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M:\Month End\June 2021 FY End\Audit Queries\"/>
    </mc:Choice>
  </mc:AlternateContent>
  <xr:revisionPtr revIDLastSave="0" documentId="8_{2621A027-1D1B-4BAA-AB22-4661304C407C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30-06-21 Teusner" sheetId="16" r:id="rId1"/>
    <sheet name="30-06-21 Mancave" sheetId="17" r:id="rId2"/>
    <sheet name="31-12-2020 Teusner" sheetId="13" r:id="rId3"/>
    <sheet name="31-12-2020 Mancave" sheetId="14" r:id="rId4"/>
    <sheet name="Adds Teusner- Mancave" sheetId="15" r:id="rId5"/>
    <sheet name="30-06-2020 - Teusner" sheetId="10" r:id="rId6"/>
    <sheet name="30-06-2020 - Mancave" sheetId="11" r:id="rId7"/>
    <sheet name="Adds Teusner Mancave - 300620" sheetId="12" r:id="rId8"/>
    <sheet name="31-12-19 - Teusner" sheetId="7" r:id="rId9"/>
    <sheet name="31-12-19 Mancave" sheetId="8" r:id="rId10"/>
    <sheet name="Additions 31-12-19" sheetId="9" r:id="rId11"/>
    <sheet name="30-6-19 - Teusner" sheetId="2" r:id="rId12"/>
    <sheet name="30-6-19 - Mancave" sheetId="5" r:id="rId13"/>
    <sheet name="Additions 30-6-19" sheetId="6" r:id="rId14"/>
    <sheet name="30-11-18 comp accts - Teusner " sheetId="1" r:id="rId15"/>
    <sheet name="30-11-18 comp accts - Mancave" sheetId="4" r:id="rId16"/>
  </sheets>
  <definedNames>
    <definedName name="_xlnm.Print_Area" localSheetId="6">'30-06-2020 - Mancave'!$A$1:$V$127</definedName>
    <definedName name="_xlnm.Print_Area" localSheetId="5">'30-06-2020 - Teusner'!$A$1:$V$839</definedName>
    <definedName name="_xlnm.Print_Area" localSheetId="1">'30-06-21 Mancave'!$A$1:$V$128</definedName>
    <definedName name="_xlnm.Print_Area" localSheetId="0">'30-06-21 Teusner'!$A$1:$V$770</definedName>
    <definedName name="_xlnm.Print_Area" localSheetId="11">'30-6-19 - Teusner'!$A$1:$V$924</definedName>
    <definedName name="_xlnm.Print_Area" localSheetId="8">'31-12-19 - Teusner'!$A$1:$V$827</definedName>
    <definedName name="_xlnm.Print_Area" localSheetId="9">'31-12-19 Mancave'!$A$1:$V$124</definedName>
    <definedName name="_xlnm.Print_Area" localSheetId="3">'31-12-2020 Mancave'!$A$1:$V$128</definedName>
    <definedName name="_xlnm.Print_Area" localSheetId="2">'31-12-2020 Teusner'!$A$1:$V$768</definedName>
    <definedName name="_xlnm.Print_Titles" localSheetId="6">'30-06-2020 - Mancave'!$1:$6</definedName>
    <definedName name="_xlnm.Print_Titles" localSheetId="5">'30-06-2020 - Teusner'!$1:$6</definedName>
    <definedName name="_xlnm.Print_Titles" localSheetId="0">'30-06-21 Teusner'!$1:$6</definedName>
    <definedName name="_xlnm.Print_Titles" localSheetId="11">'30-6-19 - Teusner'!$1:$6</definedName>
    <definedName name="_xlnm.Print_Titles" localSheetId="8">'31-12-19 - Teusner'!$1:$6</definedName>
    <definedName name="_xlnm.Print_Titles" localSheetId="9">'31-12-19 Mancave'!$1:$6</definedName>
    <definedName name="_xlnm.Print_Titles" localSheetId="3">'31-12-2020 Mancave'!$1:$6</definedName>
    <definedName name="_xlnm.Print_Titles" localSheetId="2">'31-12-2020 Teusner'!$1:$6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725" i="16" l="1"/>
  <c r="K571" i="16"/>
  <c r="K570" i="16"/>
  <c r="K569" i="16"/>
  <c r="K568" i="16"/>
  <c r="K567" i="16"/>
  <c r="H714" i="16"/>
  <c r="H712" i="16"/>
  <c r="Y718" i="13"/>
  <c r="Y715" i="13"/>
  <c r="Y172" i="16"/>
  <c r="Y537" i="16"/>
  <c r="Y554" i="16"/>
  <c r="Y761" i="16"/>
  <c r="V765" i="16"/>
  <c r="S765" i="16"/>
  <c r="P765" i="16"/>
  <c r="O765" i="16"/>
  <c r="L765" i="16"/>
  <c r="K765" i="16"/>
  <c r="J718" i="16"/>
  <c r="J725" i="16" s="1"/>
  <c r="U129" i="17"/>
  <c r="Y124" i="17"/>
  <c r="I134" i="17"/>
  <c r="I132" i="17"/>
  <c r="V721" i="16"/>
  <c r="S721" i="16"/>
  <c r="P721" i="16"/>
  <c r="O721" i="16"/>
  <c r="L721" i="16"/>
  <c r="K721" i="16"/>
  <c r="V720" i="16"/>
  <c r="S720" i="16"/>
  <c r="P720" i="16"/>
  <c r="O720" i="16"/>
  <c r="L720" i="16"/>
  <c r="K720" i="16"/>
  <c r="V719" i="16"/>
  <c r="S719" i="16"/>
  <c r="R719" i="16"/>
  <c r="P719" i="16"/>
  <c r="O719" i="16"/>
  <c r="L719" i="16"/>
  <c r="K719" i="16"/>
  <c r="V718" i="16"/>
  <c r="S718" i="16"/>
  <c r="P718" i="16"/>
  <c r="O718" i="16"/>
  <c r="L718" i="16"/>
  <c r="K718" i="16"/>
  <c r="V722" i="16"/>
  <c r="S722" i="16"/>
  <c r="P722" i="16"/>
  <c r="O722" i="16"/>
  <c r="L722" i="16"/>
  <c r="K722" i="16"/>
  <c r="F569" i="16"/>
  <c r="F568" i="16"/>
  <c r="F567" i="16"/>
  <c r="V237" i="16"/>
  <c r="S237" i="16"/>
  <c r="P237" i="16"/>
  <c r="O237" i="16"/>
  <c r="L237" i="16"/>
  <c r="K237" i="16"/>
  <c r="V534" i="16"/>
  <c r="S534" i="16"/>
  <c r="R534" i="16"/>
  <c r="P534" i="16"/>
  <c r="O534" i="16"/>
  <c r="L534" i="16"/>
  <c r="K534" i="16"/>
  <c r="V533" i="16"/>
  <c r="S533" i="16"/>
  <c r="R533" i="16"/>
  <c r="P533" i="16"/>
  <c r="O533" i="16"/>
  <c r="L533" i="16"/>
  <c r="K533" i="16"/>
  <c r="I573" i="16"/>
  <c r="W127" i="17" a="1"/>
  <c r="W127" i="17" s="1"/>
  <c r="W126" i="17" a="1"/>
  <c r="W126" i="17" s="1"/>
  <c r="W125" i="17" a="1"/>
  <c r="W125" i="17" s="1"/>
  <c r="J124" i="17"/>
  <c r="I124" i="17"/>
  <c r="G124" i="17"/>
  <c r="F124" i="17"/>
  <c r="W123" i="17" a="1"/>
  <c r="W123" i="17" s="1"/>
  <c r="W122" i="17" a="1"/>
  <c r="W122" i="17" s="1"/>
  <c r="W121" i="17" a="1"/>
  <c r="W121" i="17" s="1"/>
  <c r="V120" i="17"/>
  <c r="S120" i="17"/>
  <c r="P120" i="17"/>
  <c r="O120" i="17"/>
  <c r="L120" i="17"/>
  <c r="K120" i="17"/>
  <c r="V119" i="17"/>
  <c r="S119" i="17"/>
  <c r="P119" i="17"/>
  <c r="O119" i="17"/>
  <c r="L119" i="17"/>
  <c r="K119" i="17"/>
  <c r="V118" i="17"/>
  <c r="S118" i="17"/>
  <c r="P118" i="17"/>
  <c r="O118" i="17"/>
  <c r="L118" i="17"/>
  <c r="K118" i="17"/>
  <c r="V117" i="17"/>
  <c r="S117" i="17"/>
  <c r="P117" i="17"/>
  <c r="O117" i="17"/>
  <c r="L117" i="17"/>
  <c r="K117" i="17"/>
  <c r="V116" i="17"/>
  <c r="S116" i="17"/>
  <c r="P116" i="17"/>
  <c r="O116" i="17"/>
  <c r="L116" i="17"/>
  <c r="K116" i="17"/>
  <c r="V115" i="17"/>
  <c r="U115" i="17"/>
  <c r="W115" i="17" s="1" a="1"/>
  <c r="W115" i="17" s="1"/>
  <c r="R115" i="17"/>
  <c r="P115" i="17"/>
  <c r="O115" i="17"/>
  <c r="L115" i="17"/>
  <c r="K115" i="17"/>
  <c r="W114" i="17" a="1"/>
  <c r="W114" i="17" s="1"/>
  <c r="W113" i="17" a="1"/>
  <c r="W113" i="17" s="1"/>
  <c r="W112" i="17"/>
  <c r="W112" i="17" a="1"/>
  <c r="J111" i="17"/>
  <c r="I111" i="17"/>
  <c r="G111" i="17"/>
  <c r="F111" i="17"/>
  <c r="W110" i="17" a="1"/>
  <c r="W110" i="17" s="1"/>
  <c r="W109" i="17" a="1"/>
  <c r="W109" i="17" s="1"/>
  <c r="V108" i="17"/>
  <c r="R108" i="17"/>
  <c r="P108" i="17"/>
  <c r="O108" i="17"/>
  <c r="L108" i="17"/>
  <c r="K108" i="17"/>
  <c r="V107" i="17"/>
  <c r="R107" i="17"/>
  <c r="P107" i="17"/>
  <c r="O107" i="17"/>
  <c r="L107" i="17"/>
  <c r="K107" i="17"/>
  <c r="V106" i="17"/>
  <c r="R106" i="17"/>
  <c r="P106" i="17"/>
  <c r="O106" i="17"/>
  <c r="L106" i="17"/>
  <c r="K106" i="17"/>
  <c r="V105" i="17"/>
  <c r="R105" i="17"/>
  <c r="P105" i="17"/>
  <c r="O105" i="17"/>
  <c r="L105" i="17"/>
  <c r="K105" i="17"/>
  <c r="V104" i="17"/>
  <c r="R104" i="17"/>
  <c r="P104" i="17"/>
  <c r="O104" i="17"/>
  <c r="L104" i="17"/>
  <c r="K104" i="17"/>
  <c r="V103" i="17"/>
  <c r="R103" i="17"/>
  <c r="P103" i="17"/>
  <c r="O103" i="17"/>
  <c r="L103" i="17"/>
  <c r="K103" i="17"/>
  <c r="V102" i="17"/>
  <c r="R102" i="17"/>
  <c r="P102" i="17"/>
  <c r="O102" i="17"/>
  <c r="L102" i="17"/>
  <c r="K102" i="17"/>
  <c r="V101" i="17"/>
  <c r="R101" i="17"/>
  <c r="P101" i="17"/>
  <c r="O101" i="17"/>
  <c r="L101" i="17"/>
  <c r="K101" i="17"/>
  <c r="V100" i="17"/>
  <c r="R100" i="17"/>
  <c r="P100" i="17"/>
  <c r="O100" i="17"/>
  <c r="L100" i="17"/>
  <c r="K100" i="17"/>
  <c r="V99" i="17"/>
  <c r="R99" i="17"/>
  <c r="P99" i="17"/>
  <c r="O99" i="17"/>
  <c r="L99" i="17"/>
  <c r="K99" i="17"/>
  <c r="H99" i="17"/>
  <c r="V98" i="17"/>
  <c r="R98" i="17"/>
  <c r="P98" i="17"/>
  <c r="O98" i="17"/>
  <c r="L98" i="17"/>
  <c r="K98" i="17"/>
  <c r="V97" i="17"/>
  <c r="R97" i="17"/>
  <c r="P97" i="17"/>
  <c r="O97" i="17"/>
  <c r="L97" i="17"/>
  <c r="K97" i="17"/>
  <c r="V96" i="17"/>
  <c r="R96" i="17"/>
  <c r="P96" i="17"/>
  <c r="O96" i="17"/>
  <c r="L96" i="17"/>
  <c r="K96" i="17"/>
  <c r="V95" i="17"/>
  <c r="R95" i="17"/>
  <c r="P95" i="17"/>
  <c r="O95" i="17"/>
  <c r="L95" i="17"/>
  <c r="K95" i="17"/>
  <c r="V94" i="17"/>
  <c r="R94" i="17"/>
  <c r="P94" i="17"/>
  <c r="O94" i="17"/>
  <c r="L94" i="17"/>
  <c r="K94" i="17"/>
  <c r="V93" i="17"/>
  <c r="R93" i="17"/>
  <c r="P93" i="17"/>
  <c r="O93" i="17"/>
  <c r="L93" i="17"/>
  <c r="K93" i="17"/>
  <c r="V92" i="17"/>
  <c r="R92" i="17"/>
  <c r="P92" i="17"/>
  <c r="O92" i="17"/>
  <c r="L92" i="17"/>
  <c r="K92" i="17"/>
  <c r="V91" i="17"/>
  <c r="R91" i="17"/>
  <c r="P91" i="17"/>
  <c r="O91" i="17"/>
  <c r="L91" i="17"/>
  <c r="K91" i="17"/>
  <c r="V90" i="17"/>
  <c r="R90" i="17"/>
  <c r="P90" i="17"/>
  <c r="O90" i="17"/>
  <c r="L90" i="17"/>
  <c r="K90" i="17"/>
  <c r="V89" i="17"/>
  <c r="R89" i="17"/>
  <c r="P89" i="17"/>
  <c r="O89" i="17"/>
  <c r="L89" i="17"/>
  <c r="K89" i="17"/>
  <c r="V88" i="17"/>
  <c r="R88" i="17"/>
  <c r="P88" i="17"/>
  <c r="O88" i="17"/>
  <c r="L88" i="17"/>
  <c r="K88" i="17"/>
  <c r="V87" i="17"/>
  <c r="R87" i="17"/>
  <c r="P87" i="17"/>
  <c r="O87" i="17"/>
  <c r="L87" i="17"/>
  <c r="K87" i="17"/>
  <c r="V86" i="17"/>
  <c r="R86" i="17"/>
  <c r="P86" i="17"/>
  <c r="O86" i="17"/>
  <c r="L86" i="17"/>
  <c r="K86" i="17"/>
  <c r="V85" i="17"/>
  <c r="R85" i="17"/>
  <c r="P85" i="17"/>
  <c r="O85" i="17"/>
  <c r="L85" i="17"/>
  <c r="K85" i="17"/>
  <c r="V84" i="17"/>
  <c r="R84" i="17"/>
  <c r="P84" i="17"/>
  <c r="O84" i="17"/>
  <c r="L84" i="17"/>
  <c r="K84" i="17"/>
  <c r="V83" i="17"/>
  <c r="R83" i="17"/>
  <c r="P83" i="17"/>
  <c r="O83" i="17"/>
  <c r="L83" i="17"/>
  <c r="K83" i="17"/>
  <c r="V82" i="17"/>
  <c r="R82" i="17"/>
  <c r="P82" i="17"/>
  <c r="O82" i="17"/>
  <c r="L82" i="17"/>
  <c r="K82" i="17"/>
  <c r="V81" i="17"/>
  <c r="R81" i="17"/>
  <c r="P81" i="17"/>
  <c r="O81" i="17"/>
  <c r="L81" i="17"/>
  <c r="K81" i="17"/>
  <c r="V80" i="17"/>
  <c r="R80" i="17"/>
  <c r="P80" i="17"/>
  <c r="O80" i="17"/>
  <c r="L80" i="17"/>
  <c r="K80" i="17"/>
  <c r="V79" i="17"/>
  <c r="R79" i="17"/>
  <c r="P79" i="17"/>
  <c r="O79" i="17"/>
  <c r="L79" i="17"/>
  <c r="K79" i="17"/>
  <c r="V78" i="17"/>
  <c r="R78" i="17"/>
  <c r="P78" i="17"/>
  <c r="O78" i="17"/>
  <c r="L78" i="17"/>
  <c r="K78" i="17"/>
  <c r="V77" i="17"/>
  <c r="R77" i="17"/>
  <c r="P77" i="17"/>
  <c r="O77" i="17"/>
  <c r="L77" i="17"/>
  <c r="K77" i="17"/>
  <c r="V76" i="17"/>
  <c r="R76" i="17"/>
  <c r="P76" i="17"/>
  <c r="O76" i="17"/>
  <c r="L76" i="17"/>
  <c r="K76" i="17"/>
  <c r="V75" i="17"/>
  <c r="R75" i="17"/>
  <c r="P75" i="17"/>
  <c r="O75" i="17"/>
  <c r="L75" i="17"/>
  <c r="K75" i="17"/>
  <c r="V74" i="17"/>
  <c r="R74" i="17"/>
  <c r="P74" i="17"/>
  <c r="O74" i="17"/>
  <c r="L74" i="17"/>
  <c r="K74" i="17"/>
  <c r="V73" i="17"/>
  <c r="R73" i="17"/>
  <c r="P73" i="17"/>
  <c r="O73" i="17"/>
  <c r="L73" i="17"/>
  <c r="K73" i="17"/>
  <c r="V72" i="17"/>
  <c r="R72" i="17"/>
  <c r="P72" i="17"/>
  <c r="O72" i="17"/>
  <c r="L72" i="17"/>
  <c r="K72" i="17"/>
  <c r="V71" i="17"/>
  <c r="R71" i="17"/>
  <c r="P71" i="17"/>
  <c r="O71" i="17"/>
  <c r="L71" i="17"/>
  <c r="K71" i="17"/>
  <c r="V70" i="17"/>
  <c r="R70" i="17"/>
  <c r="P70" i="17"/>
  <c r="O70" i="17"/>
  <c r="L70" i="17"/>
  <c r="K70" i="17"/>
  <c r="V69" i="17"/>
  <c r="R69" i="17"/>
  <c r="P69" i="17"/>
  <c r="O69" i="17"/>
  <c r="L69" i="17"/>
  <c r="K69" i="17"/>
  <c r="V68" i="17"/>
  <c r="R68" i="17"/>
  <c r="P68" i="17"/>
  <c r="O68" i="17"/>
  <c r="L68" i="17"/>
  <c r="K68" i="17"/>
  <c r="V67" i="17"/>
  <c r="S67" i="17"/>
  <c r="P67" i="17"/>
  <c r="O67" i="17"/>
  <c r="L67" i="17"/>
  <c r="K67" i="17"/>
  <c r="V66" i="17"/>
  <c r="S66" i="17"/>
  <c r="P66" i="17"/>
  <c r="O66" i="17"/>
  <c r="L66" i="17"/>
  <c r="K66" i="17"/>
  <c r="V65" i="17"/>
  <c r="R65" i="17"/>
  <c r="P65" i="17"/>
  <c r="O65" i="17"/>
  <c r="L65" i="17"/>
  <c r="K65" i="17"/>
  <c r="V64" i="17"/>
  <c r="R64" i="17"/>
  <c r="P64" i="17"/>
  <c r="O64" i="17"/>
  <c r="L64" i="17"/>
  <c r="K64" i="17"/>
  <c r="V63" i="17"/>
  <c r="R63" i="17"/>
  <c r="P63" i="17"/>
  <c r="O63" i="17"/>
  <c r="L63" i="17"/>
  <c r="K63" i="17"/>
  <c r="V62" i="17"/>
  <c r="R62" i="17"/>
  <c r="P62" i="17"/>
  <c r="O62" i="17"/>
  <c r="L62" i="17"/>
  <c r="K62" i="17"/>
  <c r="V61" i="17"/>
  <c r="S61" i="17"/>
  <c r="P61" i="17"/>
  <c r="O61" i="17"/>
  <c r="L61" i="17"/>
  <c r="K61" i="17"/>
  <c r="V60" i="17"/>
  <c r="R60" i="17"/>
  <c r="P60" i="17"/>
  <c r="O60" i="17"/>
  <c r="L60" i="17"/>
  <c r="K60" i="17"/>
  <c r="V59" i="17"/>
  <c r="R59" i="17"/>
  <c r="P59" i="17"/>
  <c r="O59" i="17"/>
  <c r="L59" i="17"/>
  <c r="K59" i="17"/>
  <c r="V58" i="17"/>
  <c r="R58" i="17"/>
  <c r="P58" i="17"/>
  <c r="O58" i="17"/>
  <c r="L58" i="17"/>
  <c r="K58" i="17"/>
  <c r="V57" i="17"/>
  <c r="R57" i="17"/>
  <c r="P57" i="17"/>
  <c r="O57" i="17"/>
  <c r="L57" i="17"/>
  <c r="K57" i="17"/>
  <c r="V56" i="17"/>
  <c r="R56" i="17"/>
  <c r="P56" i="17"/>
  <c r="O56" i="17"/>
  <c r="L56" i="17"/>
  <c r="K56" i="17"/>
  <c r="V55" i="17"/>
  <c r="R55" i="17"/>
  <c r="P55" i="17"/>
  <c r="O55" i="17"/>
  <c r="L55" i="17"/>
  <c r="K55" i="17"/>
  <c r="V54" i="17"/>
  <c r="R54" i="17"/>
  <c r="P54" i="17"/>
  <c r="O54" i="17"/>
  <c r="L54" i="17"/>
  <c r="K54" i="17"/>
  <c r="V53" i="17"/>
  <c r="R53" i="17"/>
  <c r="P53" i="17"/>
  <c r="O53" i="17"/>
  <c r="L53" i="17"/>
  <c r="K53" i="17"/>
  <c r="V52" i="17"/>
  <c r="R52" i="17"/>
  <c r="P52" i="17"/>
  <c r="O52" i="17"/>
  <c r="L52" i="17"/>
  <c r="K52" i="17"/>
  <c r="V51" i="17"/>
  <c r="R51" i="17"/>
  <c r="P51" i="17"/>
  <c r="O51" i="17"/>
  <c r="L51" i="17"/>
  <c r="K51" i="17"/>
  <c r="V50" i="17"/>
  <c r="R50" i="17"/>
  <c r="P50" i="17"/>
  <c r="O50" i="17"/>
  <c r="L50" i="17"/>
  <c r="K50" i="17"/>
  <c r="V49" i="17"/>
  <c r="R49" i="17"/>
  <c r="P49" i="17"/>
  <c r="O49" i="17"/>
  <c r="L49" i="17"/>
  <c r="K49" i="17"/>
  <c r="V48" i="17"/>
  <c r="R48" i="17"/>
  <c r="P48" i="17"/>
  <c r="O48" i="17"/>
  <c r="L48" i="17"/>
  <c r="K48" i="17"/>
  <c r="V47" i="17"/>
  <c r="R47" i="17"/>
  <c r="P47" i="17"/>
  <c r="O47" i="17"/>
  <c r="L47" i="17"/>
  <c r="K47" i="17"/>
  <c r="V46" i="17"/>
  <c r="S46" i="17"/>
  <c r="P46" i="17"/>
  <c r="O46" i="17"/>
  <c r="L46" i="17"/>
  <c r="K46" i="17"/>
  <c r="V45" i="17"/>
  <c r="R45" i="17"/>
  <c r="P45" i="17"/>
  <c r="O45" i="17"/>
  <c r="L45" i="17"/>
  <c r="K45" i="17"/>
  <c r="V44" i="17"/>
  <c r="R44" i="17"/>
  <c r="P44" i="17"/>
  <c r="O44" i="17"/>
  <c r="L44" i="17"/>
  <c r="K44" i="17"/>
  <c r="V43" i="17"/>
  <c r="R43" i="17"/>
  <c r="P43" i="17"/>
  <c r="O43" i="17"/>
  <c r="L43" i="17"/>
  <c r="K43" i="17"/>
  <c r="V42" i="17"/>
  <c r="S42" i="17"/>
  <c r="P42" i="17"/>
  <c r="O42" i="17"/>
  <c r="L42" i="17"/>
  <c r="K42" i="17"/>
  <c r="V41" i="17"/>
  <c r="S41" i="17"/>
  <c r="P41" i="17"/>
  <c r="O41" i="17"/>
  <c r="L41" i="17"/>
  <c r="K41" i="17"/>
  <c r="V40" i="17"/>
  <c r="R40" i="17"/>
  <c r="P40" i="17"/>
  <c r="O40" i="17"/>
  <c r="L40" i="17"/>
  <c r="K40" i="17"/>
  <c r="V39" i="17"/>
  <c r="R39" i="17"/>
  <c r="P39" i="17"/>
  <c r="O39" i="17"/>
  <c r="L39" i="17"/>
  <c r="K39" i="17"/>
  <c r="V38" i="17"/>
  <c r="S38" i="17"/>
  <c r="P38" i="17"/>
  <c r="O38" i="17"/>
  <c r="L38" i="17"/>
  <c r="K38" i="17"/>
  <c r="V37" i="17"/>
  <c r="R37" i="17"/>
  <c r="P37" i="17"/>
  <c r="O37" i="17"/>
  <c r="L37" i="17"/>
  <c r="K37" i="17"/>
  <c r="V36" i="17"/>
  <c r="R36" i="17"/>
  <c r="P36" i="17"/>
  <c r="O36" i="17"/>
  <c r="L36" i="17"/>
  <c r="K36" i="17"/>
  <c r="V35" i="17"/>
  <c r="S35" i="17"/>
  <c r="P35" i="17"/>
  <c r="O35" i="17"/>
  <c r="L35" i="17"/>
  <c r="K35" i="17"/>
  <c r="V34" i="17"/>
  <c r="R34" i="17"/>
  <c r="P34" i="17"/>
  <c r="O34" i="17"/>
  <c r="L34" i="17"/>
  <c r="K34" i="17"/>
  <c r="V33" i="17"/>
  <c r="R33" i="17"/>
  <c r="P33" i="17"/>
  <c r="O33" i="17"/>
  <c r="L33" i="17"/>
  <c r="K33" i="17"/>
  <c r="V32" i="17"/>
  <c r="R32" i="17"/>
  <c r="P32" i="17"/>
  <c r="O32" i="17"/>
  <c r="L32" i="17"/>
  <c r="K32" i="17"/>
  <c r="V31" i="17"/>
  <c r="R31" i="17"/>
  <c r="P31" i="17"/>
  <c r="O31" i="17"/>
  <c r="L31" i="17"/>
  <c r="K31" i="17"/>
  <c r="V30" i="17"/>
  <c r="R30" i="17"/>
  <c r="P30" i="17"/>
  <c r="O30" i="17"/>
  <c r="L30" i="17"/>
  <c r="K30" i="17"/>
  <c r="V29" i="17"/>
  <c r="R29" i="17"/>
  <c r="P29" i="17"/>
  <c r="O29" i="17"/>
  <c r="L29" i="17"/>
  <c r="K29" i="17"/>
  <c r="V28" i="17"/>
  <c r="R28" i="17"/>
  <c r="P28" i="17"/>
  <c r="O28" i="17"/>
  <c r="L28" i="17"/>
  <c r="K28" i="17"/>
  <c r="V27" i="17"/>
  <c r="U27" i="17"/>
  <c r="W27" i="17" s="1" a="1"/>
  <c r="W27" i="17" s="1"/>
  <c r="R27" i="17"/>
  <c r="P27" i="17"/>
  <c r="O27" i="17"/>
  <c r="L27" i="17"/>
  <c r="K27" i="17"/>
  <c r="V26" i="17"/>
  <c r="R26" i="17"/>
  <c r="P26" i="17"/>
  <c r="O26" i="17"/>
  <c r="L26" i="17"/>
  <c r="K26" i="17"/>
  <c r="V25" i="17"/>
  <c r="R25" i="17"/>
  <c r="P25" i="17"/>
  <c r="O25" i="17"/>
  <c r="L25" i="17"/>
  <c r="K25" i="17"/>
  <c r="V24" i="17"/>
  <c r="R24" i="17"/>
  <c r="P24" i="17"/>
  <c r="O24" i="17"/>
  <c r="L24" i="17"/>
  <c r="K24" i="17"/>
  <c r="V23" i="17"/>
  <c r="R23" i="17"/>
  <c r="P23" i="17"/>
  <c r="O23" i="17"/>
  <c r="L23" i="17"/>
  <c r="K23" i="17"/>
  <c r="V22" i="17"/>
  <c r="R22" i="17"/>
  <c r="P22" i="17"/>
  <c r="O22" i="17"/>
  <c r="L22" i="17"/>
  <c r="K22" i="17"/>
  <c r="V21" i="17"/>
  <c r="R21" i="17"/>
  <c r="P21" i="17"/>
  <c r="O21" i="17"/>
  <c r="L21" i="17"/>
  <c r="K21" i="17"/>
  <c r="V20" i="17"/>
  <c r="R20" i="17"/>
  <c r="P20" i="17"/>
  <c r="O20" i="17"/>
  <c r="L20" i="17"/>
  <c r="K20" i="17"/>
  <c r="V19" i="17"/>
  <c r="R19" i="17"/>
  <c r="P19" i="17"/>
  <c r="O19" i="17"/>
  <c r="L19" i="17"/>
  <c r="K19" i="17"/>
  <c r="V18" i="17"/>
  <c r="R18" i="17"/>
  <c r="P18" i="17"/>
  <c r="O18" i="17"/>
  <c r="L18" i="17"/>
  <c r="K18" i="17"/>
  <c r="V17" i="17"/>
  <c r="R17" i="17"/>
  <c r="P17" i="17"/>
  <c r="O17" i="17"/>
  <c r="L17" i="17"/>
  <c r="K17" i="17"/>
  <c r="V16" i="17"/>
  <c r="R16" i="17"/>
  <c r="P16" i="17"/>
  <c r="O16" i="17"/>
  <c r="L16" i="17"/>
  <c r="K16" i="17"/>
  <c r="W15" i="17"/>
  <c r="W15" i="17" a="1"/>
  <c r="W14" i="17" a="1"/>
  <c r="W14" i="17" s="1"/>
  <c r="V13" i="17"/>
  <c r="T13" i="17"/>
  <c r="S13" i="17"/>
  <c r="R13" i="17"/>
  <c r="P13" i="17"/>
  <c r="O13" i="17"/>
  <c r="L13" i="17"/>
  <c r="K13" i="17"/>
  <c r="J13" i="17"/>
  <c r="H13" i="17"/>
  <c r="G13" i="17"/>
  <c r="F13" i="17"/>
  <c r="W12" i="17" a="1"/>
  <c r="W12" i="17" s="1"/>
  <c r="I11" i="17"/>
  <c r="U11" i="17" s="1"/>
  <c r="W11" i="17" s="1" a="1"/>
  <c r="W11" i="17" s="1"/>
  <c r="I10" i="17"/>
  <c r="U10" i="17" s="1"/>
  <c r="W10" i="17" s="1" a="1"/>
  <c r="W10" i="17" s="1"/>
  <c r="I9" i="17"/>
  <c r="W8" i="17"/>
  <c r="W8" i="17" a="1"/>
  <c r="W769" i="16" a="1"/>
  <c r="W769" i="16" s="1"/>
  <c r="J768" i="16"/>
  <c r="I768" i="16"/>
  <c r="H768" i="16"/>
  <c r="G768" i="16"/>
  <c r="F768" i="16"/>
  <c r="W767" i="16" a="1"/>
  <c r="W767" i="16" s="1"/>
  <c r="W766" i="16" a="1"/>
  <c r="W766" i="16" s="1"/>
  <c r="V764" i="16"/>
  <c r="S764" i="16"/>
  <c r="P764" i="16"/>
  <c r="O764" i="16"/>
  <c r="L764" i="16"/>
  <c r="K764" i="16"/>
  <c r="W763" i="16" a="1"/>
  <c r="W763" i="16" s="1"/>
  <c r="W762" i="16" a="1"/>
  <c r="W762" i="16" s="1"/>
  <c r="J761" i="16"/>
  <c r="I761" i="16"/>
  <c r="G761" i="16"/>
  <c r="F761" i="16"/>
  <c r="W760" i="16" a="1"/>
  <c r="W760" i="16" s="1"/>
  <c r="W759" i="16" a="1"/>
  <c r="W759" i="16" s="1"/>
  <c r="V758" i="16"/>
  <c r="S758" i="16"/>
  <c r="P758" i="16"/>
  <c r="O758" i="16"/>
  <c r="L758" i="16"/>
  <c r="K758" i="16"/>
  <c r="V757" i="16"/>
  <c r="S757" i="16"/>
  <c r="P757" i="16"/>
  <c r="O757" i="16"/>
  <c r="L757" i="16"/>
  <c r="K757" i="16"/>
  <c r="V756" i="16"/>
  <c r="S756" i="16"/>
  <c r="P756" i="16"/>
  <c r="O756" i="16"/>
  <c r="L756" i="16"/>
  <c r="K756" i="16"/>
  <c r="V755" i="16"/>
  <c r="S755" i="16"/>
  <c r="P755" i="16"/>
  <c r="O755" i="16"/>
  <c r="L755" i="16"/>
  <c r="K755" i="16"/>
  <c r="V754" i="16"/>
  <c r="S754" i="16"/>
  <c r="P754" i="16"/>
  <c r="O754" i="16"/>
  <c r="L754" i="16"/>
  <c r="K754" i="16"/>
  <c r="V753" i="16"/>
  <c r="S753" i="16"/>
  <c r="P753" i="16"/>
  <c r="O753" i="16"/>
  <c r="L753" i="16"/>
  <c r="K753" i="16"/>
  <c r="V752" i="16"/>
  <c r="S752" i="16"/>
  <c r="P752" i="16"/>
  <c r="O752" i="16"/>
  <c r="L752" i="16"/>
  <c r="K752" i="16"/>
  <c r="V751" i="16"/>
  <c r="S751" i="16"/>
  <c r="P751" i="16"/>
  <c r="O751" i="16"/>
  <c r="L751" i="16"/>
  <c r="K751" i="16"/>
  <c r="V750" i="16"/>
  <c r="S750" i="16"/>
  <c r="P750" i="16"/>
  <c r="O750" i="16"/>
  <c r="L750" i="16"/>
  <c r="K750" i="16"/>
  <c r="V749" i="16"/>
  <c r="S749" i="16"/>
  <c r="P749" i="16"/>
  <c r="O749" i="16"/>
  <c r="L749" i="16"/>
  <c r="K749" i="16"/>
  <c r="V748" i="16"/>
  <c r="S748" i="16"/>
  <c r="P748" i="16"/>
  <c r="O748" i="16"/>
  <c r="L748" i="16"/>
  <c r="K748" i="16"/>
  <c r="V747" i="16"/>
  <c r="S747" i="16"/>
  <c r="P747" i="16"/>
  <c r="O747" i="16"/>
  <c r="L747" i="16"/>
  <c r="K747" i="16"/>
  <c r="V746" i="16"/>
  <c r="S746" i="16"/>
  <c r="P746" i="16"/>
  <c r="O746" i="16"/>
  <c r="L746" i="16"/>
  <c r="K746" i="16"/>
  <c r="V745" i="16"/>
  <c r="S745" i="16"/>
  <c r="P745" i="16"/>
  <c r="O745" i="16"/>
  <c r="L745" i="16"/>
  <c r="K745" i="16"/>
  <c r="V744" i="16"/>
  <c r="S744" i="16"/>
  <c r="P744" i="16"/>
  <c r="O744" i="16"/>
  <c r="L744" i="16"/>
  <c r="K744" i="16"/>
  <c r="V743" i="16"/>
  <c r="S743" i="16"/>
  <c r="P743" i="16"/>
  <c r="O743" i="16"/>
  <c r="L743" i="16"/>
  <c r="K743" i="16"/>
  <c r="V742" i="16"/>
  <c r="S742" i="16"/>
  <c r="P742" i="16"/>
  <c r="O742" i="16"/>
  <c r="L742" i="16"/>
  <c r="K742" i="16"/>
  <c r="V741" i="16"/>
  <c r="S741" i="16"/>
  <c r="P741" i="16"/>
  <c r="O741" i="16"/>
  <c r="L741" i="16"/>
  <c r="K741" i="16"/>
  <c r="V740" i="16"/>
  <c r="S740" i="16"/>
  <c r="P740" i="16"/>
  <c r="O740" i="16"/>
  <c r="L740" i="16"/>
  <c r="K740" i="16"/>
  <c r="V739" i="16"/>
  <c r="S739" i="16"/>
  <c r="P739" i="16"/>
  <c r="O739" i="16"/>
  <c r="L739" i="16"/>
  <c r="K739" i="16"/>
  <c r="V738" i="16"/>
  <c r="S738" i="16"/>
  <c r="P738" i="16"/>
  <c r="O738" i="16"/>
  <c r="L738" i="16"/>
  <c r="K738" i="16"/>
  <c r="V737" i="16"/>
  <c r="S737" i="16"/>
  <c r="P737" i="16"/>
  <c r="O737" i="16"/>
  <c r="L737" i="16"/>
  <c r="K737" i="16"/>
  <c r="V736" i="16"/>
  <c r="S736" i="16"/>
  <c r="P736" i="16"/>
  <c r="O736" i="16"/>
  <c r="L736" i="16"/>
  <c r="K736" i="16"/>
  <c r="V735" i="16"/>
  <c r="S735" i="16"/>
  <c r="P735" i="16"/>
  <c r="O735" i="16"/>
  <c r="L735" i="16"/>
  <c r="K735" i="16"/>
  <c r="V734" i="16"/>
  <c r="S734" i="16"/>
  <c r="P734" i="16"/>
  <c r="O734" i="16"/>
  <c r="L734" i="16"/>
  <c r="K734" i="16"/>
  <c r="V733" i="16"/>
  <c r="S733" i="16"/>
  <c r="P733" i="16"/>
  <c r="O733" i="16"/>
  <c r="L733" i="16"/>
  <c r="K733" i="16"/>
  <c r="V732" i="16"/>
  <c r="S732" i="16"/>
  <c r="P732" i="16"/>
  <c r="O732" i="16"/>
  <c r="L732" i="16"/>
  <c r="K732" i="16"/>
  <c r="V731" i="16"/>
  <c r="S731" i="16"/>
  <c r="P731" i="16"/>
  <c r="O731" i="16"/>
  <c r="L731" i="16"/>
  <c r="K731" i="16"/>
  <c r="V730" i="16"/>
  <c r="S730" i="16"/>
  <c r="P730" i="16"/>
  <c r="O730" i="16"/>
  <c r="L730" i="16"/>
  <c r="K730" i="16"/>
  <c r="V729" i="16"/>
  <c r="S729" i="16"/>
  <c r="P729" i="16"/>
  <c r="O729" i="16"/>
  <c r="L729" i="16"/>
  <c r="K729" i="16"/>
  <c r="W728" i="16" a="1"/>
  <c r="W728" i="16" s="1"/>
  <c r="W727" i="16" a="1"/>
  <c r="W727" i="16" s="1"/>
  <c r="W726" i="16" a="1"/>
  <c r="W726" i="16" s="1"/>
  <c r="W724" i="16" a="1"/>
  <c r="W724" i="16" s="1"/>
  <c r="W723" i="16" a="1"/>
  <c r="W723" i="16" s="1"/>
  <c r="V717" i="16"/>
  <c r="S717" i="16"/>
  <c r="P717" i="16"/>
  <c r="O717" i="16"/>
  <c r="L717" i="16"/>
  <c r="K717" i="16"/>
  <c r="V716" i="16"/>
  <c r="S716" i="16"/>
  <c r="P716" i="16"/>
  <c r="O716" i="16"/>
  <c r="L716" i="16"/>
  <c r="K716" i="16"/>
  <c r="V715" i="16"/>
  <c r="S715" i="16"/>
  <c r="P715" i="16"/>
  <c r="O715" i="16"/>
  <c r="L715" i="16"/>
  <c r="K715" i="16"/>
  <c r="V714" i="16"/>
  <c r="S714" i="16"/>
  <c r="P714" i="16"/>
  <c r="O714" i="16"/>
  <c r="L714" i="16"/>
  <c r="K714" i="16"/>
  <c r="V713" i="16"/>
  <c r="S713" i="16"/>
  <c r="P713" i="16"/>
  <c r="O713" i="16"/>
  <c r="L713" i="16"/>
  <c r="K713" i="16"/>
  <c r="V712" i="16"/>
  <c r="S712" i="16"/>
  <c r="P712" i="16"/>
  <c r="O712" i="16"/>
  <c r="L712" i="16"/>
  <c r="K712" i="16"/>
  <c r="V711" i="16"/>
  <c r="S711" i="16"/>
  <c r="P711" i="16"/>
  <c r="O711" i="16"/>
  <c r="L711" i="16"/>
  <c r="K711" i="16"/>
  <c r="V710" i="16"/>
  <c r="S710" i="16"/>
  <c r="P710" i="16"/>
  <c r="O710" i="16"/>
  <c r="L710" i="16"/>
  <c r="K710" i="16"/>
  <c r="V709" i="16"/>
  <c r="S709" i="16"/>
  <c r="P709" i="16"/>
  <c r="O709" i="16"/>
  <c r="L709" i="16"/>
  <c r="K709" i="16"/>
  <c r="V708" i="16"/>
  <c r="S708" i="16"/>
  <c r="P708" i="16"/>
  <c r="O708" i="16"/>
  <c r="L708" i="16"/>
  <c r="K708" i="16"/>
  <c r="V707" i="16"/>
  <c r="S707" i="16"/>
  <c r="P707" i="16"/>
  <c r="O707" i="16"/>
  <c r="L707" i="16"/>
  <c r="K707" i="16"/>
  <c r="V706" i="16"/>
  <c r="S706" i="16"/>
  <c r="P706" i="16"/>
  <c r="O706" i="16"/>
  <c r="L706" i="16"/>
  <c r="K706" i="16"/>
  <c r="V705" i="16"/>
  <c r="S705" i="16"/>
  <c r="P705" i="16"/>
  <c r="O705" i="16"/>
  <c r="L705" i="16"/>
  <c r="K705" i="16"/>
  <c r="V704" i="16"/>
  <c r="S704" i="16"/>
  <c r="P704" i="16"/>
  <c r="O704" i="16"/>
  <c r="L704" i="16"/>
  <c r="K704" i="16"/>
  <c r="V703" i="16"/>
  <c r="S703" i="16"/>
  <c r="P703" i="16"/>
  <c r="O703" i="16"/>
  <c r="L703" i="16"/>
  <c r="K703" i="16"/>
  <c r="V702" i="16"/>
  <c r="S702" i="16"/>
  <c r="P702" i="16"/>
  <c r="O702" i="16"/>
  <c r="L702" i="16"/>
  <c r="K702" i="16"/>
  <c r="G725" i="16"/>
  <c r="V701" i="16"/>
  <c r="S701" i="16"/>
  <c r="P701" i="16"/>
  <c r="O701" i="16"/>
  <c r="L701" i="16"/>
  <c r="K701" i="16"/>
  <c r="H701" i="16"/>
  <c r="V700" i="16"/>
  <c r="S700" i="16"/>
  <c r="P700" i="16"/>
  <c r="O700" i="16"/>
  <c r="L700" i="16"/>
  <c r="K700" i="16"/>
  <c r="V699" i="16"/>
  <c r="S699" i="16"/>
  <c r="P699" i="16"/>
  <c r="O699" i="16"/>
  <c r="L699" i="16"/>
  <c r="K699" i="16"/>
  <c r="V698" i="16"/>
  <c r="S698" i="16"/>
  <c r="P698" i="16"/>
  <c r="O698" i="16"/>
  <c r="L698" i="16"/>
  <c r="K698" i="16"/>
  <c r="V697" i="16"/>
  <c r="S697" i="16"/>
  <c r="P697" i="16"/>
  <c r="O697" i="16"/>
  <c r="L697" i="16"/>
  <c r="K697" i="16"/>
  <c r="V696" i="16"/>
  <c r="S696" i="16"/>
  <c r="P696" i="16"/>
  <c r="O696" i="16"/>
  <c r="L696" i="16"/>
  <c r="K696" i="16"/>
  <c r="V695" i="16"/>
  <c r="S695" i="16"/>
  <c r="P695" i="16"/>
  <c r="O695" i="16"/>
  <c r="L695" i="16"/>
  <c r="K695" i="16"/>
  <c r="V694" i="16"/>
  <c r="S694" i="16"/>
  <c r="P694" i="16"/>
  <c r="O694" i="16"/>
  <c r="L694" i="16"/>
  <c r="K694" i="16"/>
  <c r="V693" i="16"/>
  <c r="S693" i="16"/>
  <c r="P693" i="16"/>
  <c r="O693" i="16"/>
  <c r="L693" i="16"/>
  <c r="K693" i="16"/>
  <c r="V692" i="16"/>
  <c r="S692" i="16"/>
  <c r="P692" i="16"/>
  <c r="O692" i="16"/>
  <c r="L692" i="16"/>
  <c r="K692" i="16"/>
  <c r="V691" i="16"/>
  <c r="S691" i="16"/>
  <c r="P691" i="16"/>
  <c r="O691" i="16"/>
  <c r="L691" i="16"/>
  <c r="K691" i="16"/>
  <c r="V690" i="16"/>
  <c r="S690" i="16"/>
  <c r="P690" i="16"/>
  <c r="O690" i="16"/>
  <c r="L690" i="16"/>
  <c r="K690" i="16"/>
  <c r="V689" i="16"/>
  <c r="S689" i="16"/>
  <c r="P689" i="16"/>
  <c r="O689" i="16"/>
  <c r="L689" i="16"/>
  <c r="K689" i="16"/>
  <c r="V688" i="16"/>
  <c r="S688" i="16"/>
  <c r="P688" i="16"/>
  <c r="O688" i="16"/>
  <c r="L688" i="16"/>
  <c r="K688" i="16"/>
  <c r="V687" i="16"/>
  <c r="S687" i="16"/>
  <c r="P687" i="16"/>
  <c r="O687" i="16"/>
  <c r="L687" i="16"/>
  <c r="K687" i="16"/>
  <c r="V686" i="16"/>
  <c r="S686" i="16"/>
  <c r="P686" i="16"/>
  <c r="O686" i="16"/>
  <c r="L686" i="16"/>
  <c r="K686" i="16"/>
  <c r="V685" i="16"/>
  <c r="S685" i="16"/>
  <c r="P685" i="16"/>
  <c r="O685" i="16"/>
  <c r="L685" i="16"/>
  <c r="K685" i="16"/>
  <c r="V684" i="16"/>
  <c r="S684" i="16"/>
  <c r="P684" i="16"/>
  <c r="O684" i="16"/>
  <c r="L684" i="16"/>
  <c r="K684" i="16"/>
  <c r="V683" i="16"/>
  <c r="S683" i="16"/>
  <c r="P683" i="16"/>
  <c r="O683" i="16"/>
  <c r="L683" i="16"/>
  <c r="K683" i="16"/>
  <c r="V682" i="16"/>
  <c r="S682" i="16"/>
  <c r="P682" i="16"/>
  <c r="O682" i="16"/>
  <c r="L682" i="16"/>
  <c r="K682" i="16"/>
  <c r="V681" i="16"/>
  <c r="S681" i="16"/>
  <c r="P681" i="16"/>
  <c r="O681" i="16"/>
  <c r="L681" i="16"/>
  <c r="K681" i="16"/>
  <c r="V680" i="16"/>
  <c r="S680" i="16"/>
  <c r="P680" i="16"/>
  <c r="O680" i="16"/>
  <c r="L680" i="16"/>
  <c r="K680" i="16"/>
  <c r="V679" i="16"/>
  <c r="S679" i="16"/>
  <c r="P679" i="16"/>
  <c r="O679" i="16"/>
  <c r="L679" i="16"/>
  <c r="K679" i="16"/>
  <c r="V678" i="16"/>
  <c r="S678" i="16"/>
  <c r="P678" i="16"/>
  <c r="O678" i="16"/>
  <c r="L678" i="16"/>
  <c r="K678" i="16"/>
  <c r="V677" i="16"/>
  <c r="S677" i="16"/>
  <c r="P677" i="16"/>
  <c r="O677" i="16"/>
  <c r="L677" i="16"/>
  <c r="K677" i="16"/>
  <c r="V676" i="16"/>
  <c r="S676" i="16"/>
  <c r="P676" i="16"/>
  <c r="O676" i="16"/>
  <c r="L676" i="16"/>
  <c r="K676" i="16"/>
  <c r="V675" i="16"/>
  <c r="S675" i="16"/>
  <c r="P675" i="16"/>
  <c r="O675" i="16"/>
  <c r="L675" i="16"/>
  <c r="K675" i="16"/>
  <c r="V674" i="16"/>
  <c r="S674" i="16"/>
  <c r="P674" i="16"/>
  <c r="O674" i="16"/>
  <c r="L674" i="16"/>
  <c r="K674" i="16"/>
  <c r="V673" i="16"/>
  <c r="S673" i="16"/>
  <c r="P673" i="16"/>
  <c r="O673" i="16"/>
  <c r="L673" i="16"/>
  <c r="K673" i="16"/>
  <c r="V672" i="16"/>
  <c r="S672" i="16"/>
  <c r="P672" i="16"/>
  <c r="O672" i="16"/>
  <c r="L672" i="16"/>
  <c r="K672" i="16"/>
  <c r="V671" i="16"/>
  <c r="S671" i="16"/>
  <c r="P671" i="16"/>
  <c r="O671" i="16"/>
  <c r="L671" i="16"/>
  <c r="K671" i="16"/>
  <c r="V670" i="16"/>
  <c r="S670" i="16"/>
  <c r="P670" i="16"/>
  <c r="O670" i="16"/>
  <c r="L670" i="16"/>
  <c r="K670" i="16"/>
  <c r="V669" i="16"/>
  <c r="S669" i="16"/>
  <c r="P669" i="16"/>
  <c r="O669" i="16"/>
  <c r="L669" i="16"/>
  <c r="K669" i="16"/>
  <c r="V668" i="16"/>
  <c r="S668" i="16"/>
  <c r="P668" i="16"/>
  <c r="O668" i="16"/>
  <c r="L668" i="16"/>
  <c r="K668" i="16"/>
  <c r="V667" i="16"/>
  <c r="S667" i="16"/>
  <c r="P667" i="16"/>
  <c r="O667" i="16"/>
  <c r="L667" i="16"/>
  <c r="K667" i="16"/>
  <c r="V666" i="16"/>
  <c r="S666" i="16"/>
  <c r="P666" i="16"/>
  <c r="O666" i="16"/>
  <c r="L666" i="16"/>
  <c r="K666" i="16"/>
  <c r="V665" i="16"/>
  <c r="S665" i="16"/>
  <c r="P665" i="16"/>
  <c r="O665" i="16"/>
  <c r="L665" i="16"/>
  <c r="K665" i="16"/>
  <c r="V664" i="16"/>
  <c r="S664" i="16"/>
  <c r="P664" i="16"/>
  <c r="O664" i="16"/>
  <c r="L664" i="16"/>
  <c r="K664" i="16"/>
  <c r="V663" i="16"/>
  <c r="S663" i="16"/>
  <c r="P663" i="16"/>
  <c r="O663" i="16"/>
  <c r="L663" i="16"/>
  <c r="K663" i="16"/>
  <c r="V662" i="16"/>
  <c r="S662" i="16"/>
  <c r="P662" i="16"/>
  <c r="O662" i="16"/>
  <c r="L662" i="16"/>
  <c r="K662" i="16"/>
  <c r="V661" i="16"/>
  <c r="S661" i="16"/>
  <c r="P661" i="16"/>
  <c r="O661" i="16"/>
  <c r="L661" i="16"/>
  <c r="K661" i="16"/>
  <c r="V660" i="16"/>
  <c r="S660" i="16"/>
  <c r="P660" i="16"/>
  <c r="O660" i="16"/>
  <c r="L660" i="16"/>
  <c r="K660" i="16"/>
  <c r="V659" i="16"/>
  <c r="S659" i="16"/>
  <c r="P659" i="16"/>
  <c r="O659" i="16"/>
  <c r="L659" i="16"/>
  <c r="K659" i="16"/>
  <c r="V658" i="16"/>
  <c r="S658" i="16"/>
  <c r="P658" i="16"/>
  <c r="O658" i="16"/>
  <c r="L658" i="16"/>
  <c r="K658" i="16"/>
  <c r="V657" i="16"/>
  <c r="S657" i="16"/>
  <c r="P657" i="16"/>
  <c r="O657" i="16"/>
  <c r="L657" i="16"/>
  <c r="K657" i="16"/>
  <c r="V656" i="16"/>
  <c r="S656" i="16"/>
  <c r="P656" i="16"/>
  <c r="O656" i="16"/>
  <c r="L656" i="16"/>
  <c r="K656" i="16"/>
  <c r="V655" i="16"/>
  <c r="S655" i="16"/>
  <c r="P655" i="16"/>
  <c r="O655" i="16"/>
  <c r="L655" i="16"/>
  <c r="K655" i="16"/>
  <c r="V654" i="16"/>
  <c r="S654" i="16"/>
  <c r="P654" i="16"/>
  <c r="O654" i="16"/>
  <c r="L654" i="16"/>
  <c r="K654" i="16"/>
  <c r="V653" i="16"/>
  <c r="S653" i="16"/>
  <c r="P653" i="16"/>
  <c r="O653" i="16"/>
  <c r="L653" i="16"/>
  <c r="K653" i="16"/>
  <c r="V652" i="16"/>
  <c r="S652" i="16"/>
  <c r="P652" i="16"/>
  <c r="O652" i="16"/>
  <c r="L652" i="16"/>
  <c r="K652" i="16"/>
  <c r="V651" i="16"/>
  <c r="S651" i="16"/>
  <c r="P651" i="16"/>
  <c r="O651" i="16"/>
  <c r="L651" i="16"/>
  <c r="K651" i="16"/>
  <c r="V650" i="16"/>
  <c r="S650" i="16"/>
  <c r="P650" i="16"/>
  <c r="O650" i="16"/>
  <c r="L650" i="16"/>
  <c r="K650" i="16"/>
  <c r="V649" i="16"/>
  <c r="S649" i="16"/>
  <c r="P649" i="16"/>
  <c r="O649" i="16"/>
  <c r="L649" i="16"/>
  <c r="K649" i="16"/>
  <c r="V648" i="16"/>
  <c r="S648" i="16"/>
  <c r="P648" i="16"/>
  <c r="O648" i="16"/>
  <c r="L648" i="16"/>
  <c r="K648" i="16"/>
  <c r="V647" i="16"/>
  <c r="S647" i="16"/>
  <c r="P647" i="16"/>
  <c r="O647" i="16"/>
  <c r="L647" i="16"/>
  <c r="K647" i="16"/>
  <c r="V646" i="16"/>
  <c r="S646" i="16"/>
  <c r="P646" i="16"/>
  <c r="O646" i="16"/>
  <c r="L646" i="16"/>
  <c r="K646" i="16"/>
  <c r="V645" i="16"/>
  <c r="S645" i="16"/>
  <c r="P645" i="16"/>
  <c r="O645" i="16"/>
  <c r="L645" i="16"/>
  <c r="K645" i="16"/>
  <c r="V644" i="16"/>
  <c r="S644" i="16"/>
  <c r="P644" i="16"/>
  <c r="O644" i="16"/>
  <c r="L644" i="16"/>
  <c r="K644" i="16"/>
  <c r="V643" i="16"/>
  <c r="S643" i="16"/>
  <c r="P643" i="16"/>
  <c r="O643" i="16"/>
  <c r="L643" i="16"/>
  <c r="K643" i="16"/>
  <c r="V642" i="16"/>
  <c r="S642" i="16"/>
  <c r="P642" i="16"/>
  <c r="O642" i="16"/>
  <c r="L642" i="16"/>
  <c r="K642" i="16"/>
  <c r="V641" i="16"/>
  <c r="S641" i="16"/>
  <c r="P641" i="16"/>
  <c r="O641" i="16"/>
  <c r="L641" i="16"/>
  <c r="K641" i="16"/>
  <c r="V640" i="16"/>
  <c r="S640" i="16"/>
  <c r="P640" i="16"/>
  <c r="O640" i="16"/>
  <c r="L640" i="16"/>
  <c r="K640" i="16"/>
  <c r="V639" i="16"/>
  <c r="S639" i="16"/>
  <c r="P639" i="16"/>
  <c r="O639" i="16"/>
  <c r="L639" i="16"/>
  <c r="K639" i="16"/>
  <c r="V638" i="16"/>
  <c r="S638" i="16"/>
  <c r="P638" i="16"/>
  <c r="O638" i="16"/>
  <c r="L638" i="16"/>
  <c r="K638" i="16"/>
  <c r="V637" i="16"/>
  <c r="S637" i="16"/>
  <c r="P637" i="16"/>
  <c r="O637" i="16"/>
  <c r="L637" i="16"/>
  <c r="K637" i="16"/>
  <c r="V636" i="16"/>
  <c r="S636" i="16"/>
  <c r="P636" i="16"/>
  <c r="O636" i="16"/>
  <c r="L636" i="16"/>
  <c r="K636" i="16"/>
  <c r="V635" i="16"/>
  <c r="S635" i="16"/>
  <c r="P635" i="16"/>
  <c r="O635" i="16"/>
  <c r="L635" i="16"/>
  <c r="K635" i="16"/>
  <c r="V634" i="16"/>
  <c r="S634" i="16"/>
  <c r="P634" i="16"/>
  <c r="O634" i="16"/>
  <c r="L634" i="16"/>
  <c r="K634" i="16"/>
  <c r="V633" i="16"/>
  <c r="S633" i="16"/>
  <c r="P633" i="16"/>
  <c r="O633" i="16"/>
  <c r="L633" i="16"/>
  <c r="K633" i="16"/>
  <c r="V632" i="16"/>
  <c r="S632" i="16"/>
  <c r="P632" i="16"/>
  <c r="O632" i="16"/>
  <c r="L632" i="16"/>
  <c r="K632" i="16"/>
  <c r="V631" i="16"/>
  <c r="S631" i="16"/>
  <c r="P631" i="16"/>
  <c r="O631" i="16"/>
  <c r="L631" i="16"/>
  <c r="K631" i="16"/>
  <c r="V630" i="16"/>
  <c r="S630" i="16"/>
  <c r="P630" i="16"/>
  <c r="O630" i="16"/>
  <c r="L630" i="16"/>
  <c r="K630" i="16"/>
  <c r="V629" i="16"/>
  <c r="S629" i="16"/>
  <c r="P629" i="16"/>
  <c r="O629" i="16"/>
  <c r="L629" i="16"/>
  <c r="K629" i="16"/>
  <c r="V628" i="16"/>
  <c r="S628" i="16"/>
  <c r="P628" i="16"/>
  <c r="O628" i="16"/>
  <c r="L628" i="16"/>
  <c r="K628" i="16"/>
  <c r="V627" i="16"/>
  <c r="S627" i="16"/>
  <c r="P627" i="16"/>
  <c r="O627" i="16"/>
  <c r="L627" i="16"/>
  <c r="K627" i="16"/>
  <c r="V626" i="16"/>
  <c r="S626" i="16"/>
  <c r="P626" i="16"/>
  <c r="O626" i="16"/>
  <c r="L626" i="16"/>
  <c r="K626" i="16"/>
  <c r="V625" i="16"/>
  <c r="S625" i="16"/>
  <c r="P625" i="16"/>
  <c r="O625" i="16"/>
  <c r="L625" i="16"/>
  <c r="K625" i="16"/>
  <c r="V624" i="16"/>
  <c r="S624" i="16"/>
  <c r="P624" i="16"/>
  <c r="O624" i="16"/>
  <c r="L624" i="16"/>
  <c r="K624" i="16"/>
  <c r="V623" i="16"/>
  <c r="S623" i="16"/>
  <c r="P623" i="16"/>
  <c r="O623" i="16"/>
  <c r="L623" i="16"/>
  <c r="K623" i="16"/>
  <c r="V622" i="16"/>
  <c r="S622" i="16"/>
  <c r="P622" i="16"/>
  <c r="O622" i="16"/>
  <c r="L622" i="16"/>
  <c r="K622" i="16"/>
  <c r="V621" i="16"/>
  <c r="S621" i="16"/>
  <c r="P621" i="16"/>
  <c r="O621" i="16"/>
  <c r="L621" i="16"/>
  <c r="K621" i="16"/>
  <c r="V620" i="16"/>
  <c r="S620" i="16"/>
  <c r="P620" i="16"/>
  <c r="O620" i="16"/>
  <c r="L620" i="16"/>
  <c r="K620" i="16"/>
  <c r="V619" i="16"/>
  <c r="S619" i="16"/>
  <c r="P619" i="16"/>
  <c r="O619" i="16"/>
  <c r="L619" i="16"/>
  <c r="K619" i="16"/>
  <c r="V618" i="16"/>
  <c r="S618" i="16"/>
  <c r="P618" i="16"/>
  <c r="O618" i="16"/>
  <c r="L618" i="16"/>
  <c r="K618" i="16"/>
  <c r="V617" i="16"/>
  <c r="S617" i="16"/>
  <c r="P617" i="16"/>
  <c r="O617" i="16"/>
  <c r="L617" i="16"/>
  <c r="K617" i="16"/>
  <c r="V616" i="16"/>
  <c r="S616" i="16"/>
  <c r="P616" i="16"/>
  <c r="O616" i="16"/>
  <c r="L616" i="16"/>
  <c r="K616" i="16"/>
  <c r="V615" i="16"/>
  <c r="S615" i="16"/>
  <c r="P615" i="16"/>
  <c r="O615" i="16"/>
  <c r="L615" i="16"/>
  <c r="K615" i="16"/>
  <c r="V614" i="16"/>
  <c r="S614" i="16"/>
  <c r="P614" i="16"/>
  <c r="O614" i="16"/>
  <c r="L614" i="16"/>
  <c r="K614" i="16"/>
  <c r="V613" i="16"/>
  <c r="S613" i="16"/>
  <c r="P613" i="16"/>
  <c r="O613" i="16"/>
  <c r="L613" i="16"/>
  <c r="K613" i="16"/>
  <c r="V612" i="16"/>
  <c r="S612" i="16"/>
  <c r="P612" i="16"/>
  <c r="O612" i="16"/>
  <c r="L612" i="16"/>
  <c r="K612" i="16"/>
  <c r="V611" i="16"/>
  <c r="S611" i="16"/>
  <c r="P611" i="16"/>
  <c r="O611" i="16"/>
  <c r="L611" i="16"/>
  <c r="K611" i="16"/>
  <c r="V610" i="16"/>
  <c r="S610" i="16"/>
  <c r="P610" i="16"/>
  <c r="O610" i="16"/>
  <c r="L610" i="16"/>
  <c r="K610" i="16"/>
  <c r="V609" i="16"/>
  <c r="S609" i="16"/>
  <c r="P609" i="16"/>
  <c r="O609" i="16"/>
  <c r="L609" i="16"/>
  <c r="K609" i="16"/>
  <c r="V608" i="16"/>
  <c r="S608" i="16"/>
  <c r="P608" i="16"/>
  <c r="O608" i="16"/>
  <c r="L608" i="16"/>
  <c r="K608" i="16"/>
  <c r="V607" i="16"/>
  <c r="S607" i="16"/>
  <c r="P607" i="16"/>
  <c r="O607" i="16"/>
  <c r="L607" i="16"/>
  <c r="K607" i="16"/>
  <c r="V606" i="16"/>
  <c r="S606" i="16"/>
  <c r="P606" i="16"/>
  <c r="O606" i="16"/>
  <c r="L606" i="16"/>
  <c r="K606" i="16"/>
  <c r="V605" i="16"/>
  <c r="S605" i="16"/>
  <c r="P605" i="16"/>
  <c r="O605" i="16"/>
  <c r="L605" i="16"/>
  <c r="K605" i="16"/>
  <c r="V604" i="16"/>
  <c r="S604" i="16"/>
  <c r="P604" i="16"/>
  <c r="O604" i="16"/>
  <c r="L604" i="16"/>
  <c r="K604" i="16"/>
  <c r="V603" i="16"/>
  <c r="S603" i="16"/>
  <c r="P603" i="16"/>
  <c r="O603" i="16"/>
  <c r="L603" i="16"/>
  <c r="K603" i="16"/>
  <c r="V602" i="16"/>
  <c r="S602" i="16"/>
  <c r="P602" i="16"/>
  <c r="O602" i="16"/>
  <c r="L602" i="16"/>
  <c r="K602" i="16"/>
  <c r="V601" i="16"/>
  <c r="S601" i="16"/>
  <c r="P601" i="16"/>
  <c r="O601" i="16"/>
  <c r="L601" i="16"/>
  <c r="K601" i="16"/>
  <c r="V600" i="16"/>
  <c r="S600" i="16"/>
  <c r="P600" i="16"/>
  <c r="O600" i="16"/>
  <c r="L600" i="16"/>
  <c r="K600" i="16"/>
  <c r="V599" i="16"/>
  <c r="S599" i="16"/>
  <c r="P599" i="16"/>
  <c r="O599" i="16"/>
  <c r="L599" i="16"/>
  <c r="K599" i="16"/>
  <c r="V598" i="16"/>
  <c r="S598" i="16"/>
  <c r="P598" i="16"/>
  <c r="O598" i="16"/>
  <c r="L598" i="16"/>
  <c r="K598" i="16"/>
  <c r="V597" i="16"/>
  <c r="S597" i="16"/>
  <c r="P597" i="16"/>
  <c r="O597" i="16"/>
  <c r="L597" i="16"/>
  <c r="K597" i="16"/>
  <c r="V596" i="16"/>
  <c r="S596" i="16"/>
  <c r="P596" i="16"/>
  <c r="O596" i="16"/>
  <c r="L596" i="16"/>
  <c r="K596" i="16"/>
  <c r="V595" i="16"/>
  <c r="S595" i="16"/>
  <c r="P595" i="16"/>
  <c r="O595" i="16"/>
  <c r="L595" i="16"/>
  <c r="K595" i="16"/>
  <c r="V594" i="16"/>
  <c r="S594" i="16"/>
  <c r="P594" i="16"/>
  <c r="O594" i="16"/>
  <c r="L594" i="16"/>
  <c r="K594" i="16"/>
  <c r="V593" i="16"/>
  <c r="S593" i="16"/>
  <c r="P593" i="16"/>
  <c r="O593" i="16"/>
  <c r="L593" i="16"/>
  <c r="K593" i="16"/>
  <c r="V592" i="16"/>
  <c r="S592" i="16"/>
  <c r="P592" i="16"/>
  <c r="O592" i="16"/>
  <c r="L592" i="16"/>
  <c r="K592" i="16"/>
  <c r="V591" i="16"/>
  <c r="S591" i="16"/>
  <c r="P591" i="16"/>
  <c r="O591" i="16"/>
  <c r="L591" i="16"/>
  <c r="K591" i="16"/>
  <c r="V590" i="16"/>
  <c r="S590" i="16"/>
  <c r="P590" i="16"/>
  <c r="O590" i="16"/>
  <c r="L590" i="16"/>
  <c r="K590" i="16"/>
  <c r="V589" i="16"/>
  <c r="S589" i="16"/>
  <c r="P589" i="16"/>
  <c r="O589" i="16"/>
  <c r="L589" i="16"/>
  <c r="K589" i="16"/>
  <c r="V588" i="16"/>
  <c r="S588" i="16"/>
  <c r="P588" i="16"/>
  <c r="O588" i="16"/>
  <c r="L588" i="16"/>
  <c r="K588" i="16"/>
  <c r="V587" i="16"/>
  <c r="S587" i="16"/>
  <c r="P587" i="16"/>
  <c r="O587" i="16"/>
  <c r="L587" i="16"/>
  <c r="K587" i="16"/>
  <c r="V586" i="16"/>
  <c r="S586" i="16"/>
  <c r="P586" i="16"/>
  <c r="O586" i="16"/>
  <c r="L586" i="16"/>
  <c r="K586" i="16"/>
  <c r="V585" i="16"/>
  <c r="S585" i="16"/>
  <c r="P585" i="16"/>
  <c r="O585" i="16"/>
  <c r="L585" i="16"/>
  <c r="K585" i="16"/>
  <c r="V584" i="16"/>
  <c r="S584" i="16"/>
  <c r="P584" i="16"/>
  <c r="O584" i="16"/>
  <c r="L584" i="16"/>
  <c r="K584" i="16"/>
  <c r="V583" i="16"/>
  <c r="S583" i="16"/>
  <c r="P583" i="16"/>
  <c r="O583" i="16"/>
  <c r="L583" i="16"/>
  <c r="K583" i="16"/>
  <c r="V582" i="16"/>
  <c r="S582" i="16"/>
  <c r="P582" i="16"/>
  <c r="O582" i="16"/>
  <c r="V581" i="16"/>
  <c r="S581" i="16"/>
  <c r="P581" i="16"/>
  <c r="O581" i="16"/>
  <c r="L581" i="16"/>
  <c r="K581" i="16"/>
  <c r="V580" i="16"/>
  <c r="S580" i="16"/>
  <c r="P580" i="16"/>
  <c r="O580" i="16"/>
  <c r="L580" i="16"/>
  <c r="K580" i="16"/>
  <c r="V579" i="16"/>
  <c r="S579" i="16"/>
  <c r="P579" i="16"/>
  <c r="O579" i="16"/>
  <c r="L579" i="16"/>
  <c r="K579" i="16"/>
  <c r="V578" i="16"/>
  <c r="S578" i="16"/>
  <c r="P578" i="16"/>
  <c r="O578" i="16"/>
  <c r="L578" i="16"/>
  <c r="K578" i="16"/>
  <c r="V577" i="16"/>
  <c r="S577" i="16"/>
  <c r="P577" i="16"/>
  <c r="O577" i="16"/>
  <c r="L577" i="16"/>
  <c r="K577" i="16"/>
  <c r="V576" i="16"/>
  <c r="S576" i="16"/>
  <c r="P576" i="16"/>
  <c r="O576" i="16"/>
  <c r="L576" i="16"/>
  <c r="K576" i="16"/>
  <c r="V575" i="16"/>
  <c r="S575" i="16"/>
  <c r="P575" i="16"/>
  <c r="O575" i="16"/>
  <c r="L575" i="16"/>
  <c r="K575" i="16"/>
  <c r="V574" i="16"/>
  <c r="S574" i="16"/>
  <c r="P574" i="16"/>
  <c r="O574" i="16"/>
  <c r="L574" i="16"/>
  <c r="K574" i="16"/>
  <c r="V573" i="16"/>
  <c r="S573" i="16"/>
  <c r="P573" i="16"/>
  <c r="O573" i="16"/>
  <c r="L573" i="16"/>
  <c r="K573" i="16"/>
  <c r="V572" i="16"/>
  <c r="S572" i="16"/>
  <c r="P572" i="16"/>
  <c r="O572" i="16"/>
  <c r="L572" i="16"/>
  <c r="K572" i="16"/>
  <c r="V571" i="16"/>
  <c r="S571" i="16"/>
  <c r="P571" i="16"/>
  <c r="O571" i="16"/>
  <c r="V570" i="16"/>
  <c r="S570" i="16"/>
  <c r="P570" i="16"/>
  <c r="O570" i="16"/>
  <c r="V569" i="16"/>
  <c r="S569" i="16"/>
  <c r="P569" i="16"/>
  <c r="O569" i="16"/>
  <c r="V568" i="16"/>
  <c r="S568" i="16"/>
  <c r="P568" i="16"/>
  <c r="O568" i="16"/>
  <c r="V567" i="16"/>
  <c r="S567" i="16"/>
  <c r="P567" i="16"/>
  <c r="O567" i="16"/>
  <c r="V566" i="16"/>
  <c r="S566" i="16"/>
  <c r="P566" i="16"/>
  <c r="O566" i="16"/>
  <c r="L566" i="16"/>
  <c r="K566" i="16"/>
  <c r="H566" i="16"/>
  <c r="V565" i="16"/>
  <c r="S565" i="16"/>
  <c r="P565" i="16"/>
  <c r="O565" i="16"/>
  <c r="L565" i="16"/>
  <c r="K565" i="16"/>
  <c r="V564" i="16"/>
  <c r="S564" i="16"/>
  <c r="P564" i="16"/>
  <c r="O564" i="16"/>
  <c r="L564" i="16"/>
  <c r="K564" i="16"/>
  <c r="V563" i="16"/>
  <c r="S563" i="16"/>
  <c r="P563" i="16"/>
  <c r="O563" i="16"/>
  <c r="L563" i="16"/>
  <c r="K563" i="16"/>
  <c r="V562" i="16"/>
  <c r="S562" i="16"/>
  <c r="P562" i="16"/>
  <c r="O562" i="16"/>
  <c r="L562" i="16"/>
  <c r="K562" i="16"/>
  <c r="V561" i="16"/>
  <c r="S561" i="16"/>
  <c r="P561" i="16"/>
  <c r="O561" i="16"/>
  <c r="L561" i="16"/>
  <c r="K561" i="16"/>
  <c r="V560" i="16"/>
  <c r="S560" i="16"/>
  <c r="P560" i="16"/>
  <c r="O560" i="16"/>
  <c r="L560" i="16"/>
  <c r="K560" i="16"/>
  <c r="V559" i="16"/>
  <c r="S559" i="16"/>
  <c r="P559" i="16"/>
  <c r="O559" i="16"/>
  <c r="L559" i="16"/>
  <c r="K559" i="16"/>
  <c r="V558" i="16"/>
  <c r="S558" i="16"/>
  <c r="P558" i="16"/>
  <c r="O558" i="16"/>
  <c r="L558" i="16"/>
  <c r="K558" i="16"/>
  <c r="W557" i="16" a="1"/>
  <c r="W557" i="16" s="1"/>
  <c r="W556" i="16" a="1"/>
  <c r="W556" i="16" s="1"/>
  <c r="W555" i="16" a="1"/>
  <c r="W555" i="16" s="1"/>
  <c r="J554" i="16"/>
  <c r="G554" i="16"/>
  <c r="F554" i="16"/>
  <c r="W553" i="16" a="1"/>
  <c r="W553" i="16" s="1"/>
  <c r="W552" i="16" a="1"/>
  <c r="W552" i="16" s="1"/>
  <c r="V551" i="16"/>
  <c r="S551" i="16"/>
  <c r="P551" i="16"/>
  <c r="O551" i="16"/>
  <c r="L551" i="16"/>
  <c r="K551" i="16"/>
  <c r="V550" i="16"/>
  <c r="S550" i="16"/>
  <c r="P550" i="16"/>
  <c r="O550" i="16"/>
  <c r="L550" i="16"/>
  <c r="K550" i="16"/>
  <c r="A550" i="16"/>
  <c r="A551" i="16" s="1"/>
  <c r="V549" i="16"/>
  <c r="S549" i="16"/>
  <c r="P549" i="16"/>
  <c r="O549" i="16"/>
  <c r="L549" i="16"/>
  <c r="K549" i="16"/>
  <c r="H549" i="16"/>
  <c r="V548" i="16"/>
  <c r="S548" i="16"/>
  <c r="P548" i="16"/>
  <c r="O548" i="16"/>
  <c r="L548" i="16"/>
  <c r="K548" i="16"/>
  <c r="V547" i="16"/>
  <c r="S547" i="16"/>
  <c r="P547" i="16"/>
  <c r="O547" i="16"/>
  <c r="L547" i="16"/>
  <c r="K547" i="16"/>
  <c r="V546" i="16"/>
  <c r="S546" i="16"/>
  <c r="P546" i="16"/>
  <c r="O546" i="16"/>
  <c r="L546" i="16"/>
  <c r="K546" i="16"/>
  <c r="V545" i="16"/>
  <c r="S545" i="16"/>
  <c r="P545" i="16"/>
  <c r="O545" i="16"/>
  <c r="L545" i="16"/>
  <c r="K545" i="16"/>
  <c r="V544" i="16"/>
  <c r="S544" i="16"/>
  <c r="P544" i="16"/>
  <c r="O544" i="16"/>
  <c r="L544" i="16"/>
  <c r="K544" i="16"/>
  <c r="V543" i="16"/>
  <c r="S543" i="16"/>
  <c r="P543" i="16"/>
  <c r="O543" i="16"/>
  <c r="L543" i="16"/>
  <c r="K543" i="16"/>
  <c r="V542" i="16"/>
  <c r="S542" i="16"/>
  <c r="P542" i="16"/>
  <c r="O542" i="16"/>
  <c r="L542" i="16"/>
  <c r="K542" i="16"/>
  <c r="V541" i="16"/>
  <c r="S541" i="16"/>
  <c r="P541" i="16"/>
  <c r="O541" i="16"/>
  <c r="L541" i="16"/>
  <c r="K541" i="16"/>
  <c r="W540" i="16" a="1"/>
  <c r="W540" i="16" s="1"/>
  <c r="W539" i="16" a="1"/>
  <c r="W539" i="16" s="1"/>
  <c r="W538" i="16" a="1"/>
  <c r="W538" i="16" s="1"/>
  <c r="J537" i="16"/>
  <c r="G537" i="16"/>
  <c r="F537" i="16"/>
  <c r="W536" i="16" a="1"/>
  <c r="W536" i="16" s="1"/>
  <c r="W535" i="16" a="1"/>
  <c r="W535" i="16" s="1"/>
  <c r="V532" i="16"/>
  <c r="S532" i="16"/>
  <c r="P532" i="16"/>
  <c r="O532" i="16"/>
  <c r="L532" i="16"/>
  <c r="K532" i="16"/>
  <c r="V531" i="16"/>
  <c r="S531" i="16"/>
  <c r="P531" i="16"/>
  <c r="O531" i="16"/>
  <c r="L531" i="16"/>
  <c r="K531" i="16"/>
  <c r="V530" i="16"/>
  <c r="S530" i="16"/>
  <c r="P530" i="16"/>
  <c r="O530" i="16"/>
  <c r="L530" i="16"/>
  <c r="K530" i="16"/>
  <c r="V529" i="16"/>
  <c r="S529" i="16"/>
  <c r="P529" i="16"/>
  <c r="O529" i="16"/>
  <c r="L529" i="16"/>
  <c r="K529" i="16"/>
  <c r="V528" i="16"/>
  <c r="S528" i="16"/>
  <c r="P528" i="16"/>
  <c r="O528" i="16"/>
  <c r="L528" i="16"/>
  <c r="K528" i="16"/>
  <c r="V527" i="16"/>
  <c r="S527" i="16"/>
  <c r="P527" i="16"/>
  <c r="O527" i="16"/>
  <c r="L527" i="16"/>
  <c r="K527" i="16"/>
  <c r="V526" i="16"/>
  <c r="S526" i="16"/>
  <c r="P526" i="16"/>
  <c r="O526" i="16"/>
  <c r="L526" i="16"/>
  <c r="K526" i="16"/>
  <c r="V525" i="16"/>
  <c r="S525" i="16"/>
  <c r="P525" i="16"/>
  <c r="O525" i="16"/>
  <c r="L525" i="16"/>
  <c r="K525" i="16"/>
  <c r="V524" i="16"/>
  <c r="S524" i="16"/>
  <c r="P524" i="16"/>
  <c r="O524" i="16"/>
  <c r="L524" i="16"/>
  <c r="K524" i="16"/>
  <c r="V523" i="16"/>
  <c r="S523" i="16"/>
  <c r="P523" i="16"/>
  <c r="O523" i="16"/>
  <c r="L523" i="16"/>
  <c r="K523" i="16"/>
  <c r="V522" i="16"/>
  <c r="S522" i="16"/>
  <c r="P522" i="16"/>
  <c r="O522" i="16"/>
  <c r="L522" i="16"/>
  <c r="K522" i="16"/>
  <c r="V521" i="16"/>
  <c r="S521" i="16"/>
  <c r="P521" i="16"/>
  <c r="O521" i="16"/>
  <c r="L521" i="16"/>
  <c r="K521" i="16"/>
  <c r="V520" i="16"/>
  <c r="S520" i="16"/>
  <c r="P520" i="16"/>
  <c r="O520" i="16"/>
  <c r="L520" i="16"/>
  <c r="K520" i="16"/>
  <c r="V519" i="16"/>
  <c r="S519" i="16"/>
  <c r="P519" i="16"/>
  <c r="O519" i="16"/>
  <c r="L519" i="16"/>
  <c r="K519" i="16"/>
  <c r="V518" i="16"/>
  <c r="S518" i="16"/>
  <c r="P518" i="16"/>
  <c r="O518" i="16"/>
  <c r="L518" i="16"/>
  <c r="K518" i="16"/>
  <c r="V517" i="16"/>
  <c r="S517" i="16"/>
  <c r="P517" i="16"/>
  <c r="O517" i="16"/>
  <c r="L517" i="16"/>
  <c r="K517" i="16"/>
  <c r="V516" i="16"/>
  <c r="S516" i="16"/>
  <c r="P516" i="16"/>
  <c r="O516" i="16"/>
  <c r="L516" i="16"/>
  <c r="K516" i="16"/>
  <c r="V515" i="16"/>
  <c r="S515" i="16"/>
  <c r="P515" i="16"/>
  <c r="O515" i="16"/>
  <c r="L515" i="16"/>
  <c r="K515" i="16"/>
  <c r="V514" i="16"/>
  <c r="S514" i="16"/>
  <c r="P514" i="16"/>
  <c r="O514" i="16"/>
  <c r="L514" i="16"/>
  <c r="K514" i="16"/>
  <c r="V513" i="16"/>
  <c r="S513" i="16"/>
  <c r="P513" i="16"/>
  <c r="O513" i="16"/>
  <c r="L513" i="16"/>
  <c r="K513" i="16"/>
  <c r="V512" i="16"/>
  <c r="S512" i="16"/>
  <c r="P512" i="16"/>
  <c r="O512" i="16"/>
  <c r="L512" i="16"/>
  <c r="K512" i="16"/>
  <c r="V511" i="16"/>
  <c r="S511" i="16"/>
  <c r="P511" i="16"/>
  <c r="O511" i="16"/>
  <c r="L511" i="16"/>
  <c r="K511" i="16"/>
  <c r="V510" i="16"/>
  <c r="S510" i="16"/>
  <c r="P510" i="16"/>
  <c r="O510" i="16"/>
  <c r="L510" i="16"/>
  <c r="K510" i="16"/>
  <c r="V509" i="16"/>
  <c r="S509" i="16"/>
  <c r="P509" i="16"/>
  <c r="O509" i="16"/>
  <c r="L509" i="16"/>
  <c r="K509" i="16"/>
  <c r="V508" i="16"/>
  <c r="S508" i="16"/>
  <c r="P508" i="16"/>
  <c r="O508" i="16"/>
  <c r="L508" i="16"/>
  <c r="K508" i="16"/>
  <c r="V507" i="16"/>
  <c r="S507" i="16"/>
  <c r="P507" i="16"/>
  <c r="O507" i="16"/>
  <c r="L507" i="16"/>
  <c r="K507" i="16"/>
  <c r="V506" i="16"/>
  <c r="S506" i="16"/>
  <c r="P506" i="16"/>
  <c r="O506" i="16"/>
  <c r="L506" i="16"/>
  <c r="K506" i="16"/>
  <c r="V505" i="16"/>
  <c r="S505" i="16"/>
  <c r="P505" i="16"/>
  <c r="O505" i="16"/>
  <c r="L505" i="16"/>
  <c r="K505" i="16"/>
  <c r="V504" i="16"/>
  <c r="S504" i="16"/>
  <c r="P504" i="16"/>
  <c r="O504" i="16"/>
  <c r="L504" i="16"/>
  <c r="K504" i="16"/>
  <c r="V503" i="16"/>
  <c r="S503" i="16"/>
  <c r="P503" i="16"/>
  <c r="O503" i="16"/>
  <c r="L503" i="16"/>
  <c r="K503" i="16"/>
  <c r="V502" i="16"/>
  <c r="S502" i="16"/>
  <c r="P502" i="16"/>
  <c r="O502" i="16"/>
  <c r="L502" i="16"/>
  <c r="K502" i="16"/>
  <c r="V501" i="16"/>
  <c r="S501" i="16"/>
  <c r="P501" i="16"/>
  <c r="O501" i="16"/>
  <c r="L501" i="16"/>
  <c r="K501" i="16"/>
  <c r="V500" i="16"/>
  <c r="S500" i="16"/>
  <c r="P500" i="16"/>
  <c r="O500" i="16"/>
  <c r="L500" i="16"/>
  <c r="K500" i="16"/>
  <c r="V499" i="16"/>
  <c r="S499" i="16"/>
  <c r="P499" i="16"/>
  <c r="O499" i="16"/>
  <c r="L499" i="16"/>
  <c r="K499" i="16"/>
  <c r="V498" i="16"/>
  <c r="S498" i="16"/>
  <c r="P498" i="16"/>
  <c r="O498" i="16"/>
  <c r="L498" i="16"/>
  <c r="K498" i="16"/>
  <c r="V497" i="16"/>
  <c r="S497" i="16"/>
  <c r="P497" i="16"/>
  <c r="O497" i="16"/>
  <c r="L497" i="16"/>
  <c r="K497" i="16"/>
  <c r="V496" i="16"/>
  <c r="S496" i="16"/>
  <c r="P496" i="16"/>
  <c r="O496" i="16"/>
  <c r="L496" i="16"/>
  <c r="K496" i="16"/>
  <c r="V495" i="16"/>
  <c r="S495" i="16"/>
  <c r="P495" i="16"/>
  <c r="O495" i="16"/>
  <c r="L495" i="16"/>
  <c r="K495" i="16"/>
  <c r="V494" i="16"/>
  <c r="S494" i="16"/>
  <c r="P494" i="16"/>
  <c r="O494" i="16"/>
  <c r="L494" i="16"/>
  <c r="K494" i="16"/>
  <c r="V493" i="16"/>
  <c r="S493" i="16"/>
  <c r="P493" i="16"/>
  <c r="O493" i="16"/>
  <c r="L493" i="16"/>
  <c r="K493" i="16"/>
  <c r="V492" i="16"/>
  <c r="S492" i="16"/>
  <c r="P492" i="16"/>
  <c r="O492" i="16"/>
  <c r="L492" i="16"/>
  <c r="K492" i="16"/>
  <c r="V491" i="16"/>
  <c r="S491" i="16"/>
  <c r="P491" i="16"/>
  <c r="O491" i="16"/>
  <c r="L491" i="16"/>
  <c r="K491" i="16"/>
  <c r="V490" i="16"/>
  <c r="S490" i="16"/>
  <c r="P490" i="16"/>
  <c r="O490" i="16"/>
  <c r="L490" i="16"/>
  <c r="K490" i="16"/>
  <c r="V489" i="16"/>
  <c r="S489" i="16"/>
  <c r="P489" i="16"/>
  <c r="O489" i="16"/>
  <c r="L489" i="16"/>
  <c r="K489" i="16"/>
  <c r="V488" i="16"/>
  <c r="S488" i="16"/>
  <c r="P488" i="16"/>
  <c r="O488" i="16"/>
  <c r="L488" i="16"/>
  <c r="K488" i="16"/>
  <c r="V487" i="16"/>
  <c r="S487" i="16"/>
  <c r="P487" i="16"/>
  <c r="O487" i="16"/>
  <c r="L487" i="16"/>
  <c r="K487" i="16"/>
  <c r="V486" i="16"/>
  <c r="S486" i="16"/>
  <c r="P486" i="16"/>
  <c r="O486" i="16"/>
  <c r="L486" i="16"/>
  <c r="K486" i="16"/>
  <c r="V485" i="16"/>
  <c r="S485" i="16"/>
  <c r="P485" i="16"/>
  <c r="O485" i="16"/>
  <c r="L485" i="16"/>
  <c r="K485" i="16"/>
  <c r="V484" i="16"/>
  <c r="S484" i="16"/>
  <c r="P484" i="16"/>
  <c r="O484" i="16"/>
  <c r="L484" i="16"/>
  <c r="K484" i="16"/>
  <c r="V483" i="16"/>
  <c r="S483" i="16"/>
  <c r="P483" i="16"/>
  <c r="O483" i="16"/>
  <c r="L483" i="16"/>
  <c r="K483" i="16"/>
  <c r="V482" i="16"/>
  <c r="S482" i="16"/>
  <c r="P482" i="16"/>
  <c r="O482" i="16"/>
  <c r="L482" i="16"/>
  <c r="K482" i="16"/>
  <c r="V481" i="16"/>
  <c r="S481" i="16"/>
  <c r="P481" i="16"/>
  <c r="O481" i="16"/>
  <c r="L481" i="16"/>
  <c r="K481" i="16"/>
  <c r="V480" i="16"/>
  <c r="S480" i="16"/>
  <c r="P480" i="16"/>
  <c r="O480" i="16"/>
  <c r="L480" i="16"/>
  <c r="K480" i="16"/>
  <c r="V479" i="16"/>
  <c r="S479" i="16"/>
  <c r="P479" i="16"/>
  <c r="O479" i="16"/>
  <c r="L479" i="16"/>
  <c r="K479" i="16"/>
  <c r="V478" i="16"/>
  <c r="S478" i="16"/>
  <c r="P478" i="16"/>
  <c r="O478" i="16"/>
  <c r="L478" i="16"/>
  <c r="K478" i="16"/>
  <c r="V477" i="16"/>
  <c r="S477" i="16"/>
  <c r="P477" i="16"/>
  <c r="O477" i="16"/>
  <c r="L477" i="16"/>
  <c r="K477" i="16"/>
  <c r="V476" i="16"/>
  <c r="S476" i="16"/>
  <c r="P476" i="16"/>
  <c r="O476" i="16"/>
  <c r="L476" i="16"/>
  <c r="K476" i="16"/>
  <c r="V475" i="16"/>
  <c r="S475" i="16"/>
  <c r="P475" i="16"/>
  <c r="O475" i="16"/>
  <c r="L475" i="16"/>
  <c r="K475" i="16"/>
  <c r="V474" i="16"/>
  <c r="S474" i="16"/>
  <c r="P474" i="16"/>
  <c r="O474" i="16"/>
  <c r="L474" i="16"/>
  <c r="K474" i="16"/>
  <c r="V473" i="16"/>
  <c r="S473" i="16"/>
  <c r="P473" i="16"/>
  <c r="O473" i="16"/>
  <c r="L473" i="16"/>
  <c r="K473" i="16"/>
  <c r="V472" i="16"/>
  <c r="S472" i="16"/>
  <c r="P472" i="16"/>
  <c r="O472" i="16"/>
  <c r="L472" i="16"/>
  <c r="K472" i="16"/>
  <c r="V471" i="16"/>
  <c r="S471" i="16"/>
  <c r="P471" i="16"/>
  <c r="O471" i="16"/>
  <c r="L471" i="16"/>
  <c r="K471" i="16"/>
  <c r="V470" i="16"/>
  <c r="S470" i="16"/>
  <c r="P470" i="16"/>
  <c r="O470" i="16"/>
  <c r="L470" i="16"/>
  <c r="K470" i="16"/>
  <c r="V469" i="16"/>
  <c r="S469" i="16"/>
  <c r="P469" i="16"/>
  <c r="O469" i="16"/>
  <c r="L469" i="16"/>
  <c r="K469" i="16"/>
  <c r="V468" i="16"/>
  <c r="S468" i="16"/>
  <c r="P468" i="16"/>
  <c r="O468" i="16"/>
  <c r="L468" i="16"/>
  <c r="K468" i="16"/>
  <c r="V467" i="16"/>
  <c r="S467" i="16"/>
  <c r="P467" i="16"/>
  <c r="O467" i="16"/>
  <c r="L467" i="16"/>
  <c r="K467" i="16"/>
  <c r="V466" i="16"/>
  <c r="S466" i="16"/>
  <c r="P466" i="16"/>
  <c r="O466" i="16"/>
  <c r="L466" i="16"/>
  <c r="K466" i="16"/>
  <c r="V465" i="16"/>
  <c r="S465" i="16"/>
  <c r="P465" i="16"/>
  <c r="O465" i="16"/>
  <c r="L465" i="16"/>
  <c r="K465" i="16"/>
  <c r="V464" i="16"/>
  <c r="S464" i="16"/>
  <c r="P464" i="16"/>
  <c r="O464" i="16"/>
  <c r="L464" i="16"/>
  <c r="K464" i="16"/>
  <c r="V463" i="16"/>
  <c r="S463" i="16"/>
  <c r="P463" i="16"/>
  <c r="O463" i="16"/>
  <c r="L463" i="16"/>
  <c r="K463" i="16"/>
  <c r="V462" i="16"/>
  <c r="S462" i="16"/>
  <c r="P462" i="16"/>
  <c r="O462" i="16"/>
  <c r="L462" i="16"/>
  <c r="K462" i="16"/>
  <c r="V461" i="16"/>
  <c r="S461" i="16"/>
  <c r="P461" i="16"/>
  <c r="O461" i="16"/>
  <c r="L461" i="16"/>
  <c r="K461" i="16"/>
  <c r="V460" i="16"/>
  <c r="S460" i="16"/>
  <c r="P460" i="16"/>
  <c r="O460" i="16"/>
  <c r="L460" i="16"/>
  <c r="K460" i="16"/>
  <c r="V459" i="16"/>
  <c r="S459" i="16"/>
  <c r="P459" i="16"/>
  <c r="O459" i="16"/>
  <c r="L459" i="16"/>
  <c r="K459" i="16"/>
  <c r="V458" i="16"/>
  <c r="S458" i="16"/>
  <c r="P458" i="16"/>
  <c r="O458" i="16"/>
  <c r="L458" i="16"/>
  <c r="K458" i="16"/>
  <c r="V457" i="16"/>
  <c r="S457" i="16"/>
  <c r="P457" i="16"/>
  <c r="O457" i="16"/>
  <c r="L457" i="16"/>
  <c r="K457" i="16"/>
  <c r="V456" i="16"/>
  <c r="S456" i="16"/>
  <c r="P456" i="16"/>
  <c r="O456" i="16"/>
  <c r="L456" i="16"/>
  <c r="K456" i="16"/>
  <c r="V455" i="16"/>
  <c r="S455" i="16"/>
  <c r="P455" i="16"/>
  <c r="O455" i="16"/>
  <c r="L455" i="16"/>
  <c r="K455" i="16"/>
  <c r="V454" i="16"/>
  <c r="S454" i="16"/>
  <c r="P454" i="16"/>
  <c r="O454" i="16"/>
  <c r="L454" i="16"/>
  <c r="K454" i="16"/>
  <c r="V453" i="16"/>
  <c r="S453" i="16"/>
  <c r="P453" i="16"/>
  <c r="O453" i="16"/>
  <c r="L453" i="16"/>
  <c r="K453" i="16"/>
  <c r="V452" i="16"/>
  <c r="S452" i="16"/>
  <c r="P452" i="16"/>
  <c r="O452" i="16"/>
  <c r="L452" i="16"/>
  <c r="K452" i="16"/>
  <c r="V451" i="16"/>
  <c r="S451" i="16"/>
  <c r="P451" i="16"/>
  <c r="O451" i="16"/>
  <c r="L451" i="16"/>
  <c r="K451" i="16"/>
  <c r="V450" i="16"/>
  <c r="S450" i="16"/>
  <c r="P450" i="16"/>
  <c r="O450" i="16"/>
  <c r="L450" i="16"/>
  <c r="K450" i="16"/>
  <c r="V449" i="16"/>
  <c r="S449" i="16"/>
  <c r="P449" i="16"/>
  <c r="O449" i="16"/>
  <c r="L449" i="16"/>
  <c r="K449" i="16"/>
  <c r="V448" i="16"/>
  <c r="S448" i="16"/>
  <c r="P448" i="16"/>
  <c r="O448" i="16"/>
  <c r="L448" i="16"/>
  <c r="K448" i="16"/>
  <c r="V447" i="16"/>
  <c r="S447" i="16"/>
  <c r="P447" i="16"/>
  <c r="O447" i="16"/>
  <c r="L447" i="16"/>
  <c r="K447" i="16"/>
  <c r="V446" i="16"/>
  <c r="S446" i="16"/>
  <c r="P446" i="16"/>
  <c r="O446" i="16"/>
  <c r="L446" i="16"/>
  <c r="K446" i="16"/>
  <c r="V445" i="16"/>
  <c r="S445" i="16"/>
  <c r="P445" i="16"/>
  <c r="O445" i="16"/>
  <c r="L445" i="16"/>
  <c r="K445" i="16"/>
  <c r="V444" i="16"/>
  <c r="S444" i="16"/>
  <c r="P444" i="16"/>
  <c r="O444" i="16"/>
  <c r="L444" i="16"/>
  <c r="K444" i="16"/>
  <c r="V443" i="16"/>
  <c r="S443" i="16"/>
  <c r="P443" i="16"/>
  <c r="O443" i="16"/>
  <c r="L443" i="16"/>
  <c r="K443" i="16"/>
  <c r="V442" i="16"/>
  <c r="S442" i="16"/>
  <c r="P442" i="16"/>
  <c r="O442" i="16"/>
  <c r="L442" i="16"/>
  <c r="K442" i="16"/>
  <c r="V441" i="16"/>
  <c r="S441" i="16"/>
  <c r="P441" i="16"/>
  <c r="O441" i="16"/>
  <c r="L441" i="16"/>
  <c r="K441" i="16"/>
  <c r="V440" i="16"/>
  <c r="S440" i="16"/>
  <c r="P440" i="16"/>
  <c r="O440" i="16"/>
  <c r="L440" i="16"/>
  <c r="K440" i="16"/>
  <c r="V439" i="16"/>
  <c r="S439" i="16"/>
  <c r="P439" i="16"/>
  <c r="O439" i="16"/>
  <c r="L439" i="16"/>
  <c r="K439" i="16"/>
  <c r="V438" i="16"/>
  <c r="S438" i="16"/>
  <c r="P438" i="16"/>
  <c r="O438" i="16"/>
  <c r="L438" i="16"/>
  <c r="K438" i="16"/>
  <c r="V437" i="16"/>
  <c r="S437" i="16"/>
  <c r="P437" i="16"/>
  <c r="O437" i="16"/>
  <c r="L437" i="16"/>
  <c r="K437" i="16"/>
  <c r="V436" i="16"/>
  <c r="S436" i="16"/>
  <c r="P436" i="16"/>
  <c r="O436" i="16"/>
  <c r="L436" i="16"/>
  <c r="K436" i="16"/>
  <c r="V435" i="16"/>
  <c r="S435" i="16"/>
  <c r="P435" i="16"/>
  <c r="O435" i="16"/>
  <c r="L435" i="16"/>
  <c r="K435" i="16"/>
  <c r="V434" i="16"/>
  <c r="S434" i="16"/>
  <c r="P434" i="16"/>
  <c r="O434" i="16"/>
  <c r="L434" i="16"/>
  <c r="K434" i="16"/>
  <c r="V433" i="16"/>
  <c r="S433" i="16"/>
  <c r="P433" i="16"/>
  <c r="O433" i="16"/>
  <c r="L433" i="16"/>
  <c r="K433" i="16"/>
  <c r="V432" i="16"/>
  <c r="S432" i="16"/>
  <c r="P432" i="16"/>
  <c r="O432" i="16"/>
  <c r="L432" i="16"/>
  <c r="K432" i="16"/>
  <c r="V431" i="16"/>
  <c r="S431" i="16"/>
  <c r="P431" i="16"/>
  <c r="O431" i="16"/>
  <c r="L431" i="16"/>
  <c r="K431" i="16"/>
  <c r="V430" i="16"/>
  <c r="S430" i="16"/>
  <c r="P430" i="16"/>
  <c r="O430" i="16"/>
  <c r="L430" i="16"/>
  <c r="K430" i="16"/>
  <c r="V429" i="16"/>
  <c r="S429" i="16"/>
  <c r="P429" i="16"/>
  <c r="O429" i="16"/>
  <c r="L429" i="16"/>
  <c r="K429" i="16"/>
  <c r="V428" i="16"/>
  <c r="S428" i="16"/>
  <c r="P428" i="16"/>
  <c r="O428" i="16"/>
  <c r="L428" i="16"/>
  <c r="K428" i="16"/>
  <c r="V427" i="16"/>
  <c r="S427" i="16"/>
  <c r="P427" i="16"/>
  <c r="O427" i="16"/>
  <c r="L427" i="16"/>
  <c r="K427" i="16"/>
  <c r="V426" i="16"/>
  <c r="S426" i="16"/>
  <c r="P426" i="16"/>
  <c r="O426" i="16"/>
  <c r="L426" i="16"/>
  <c r="K426" i="16"/>
  <c r="V425" i="16"/>
  <c r="S425" i="16"/>
  <c r="P425" i="16"/>
  <c r="O425" i="16"/>
  <c r="L425" i="16"/>
  <c r="K425" i="16"/>
  <c r="V424" i="16"/>
  <c r="S424" i="16"/>
  <c r="P424" i="16"/>
  <c r="O424" i="16"/>
  <c r="L424" i="16"/>
  <c r="K424" i="16"/>
  <c r="V423" i="16"/>
  <c r="S423" i="16"/>
  <c r="P423" i="16"/>
  <c r="O423" i="16"/>
  <c r="L423" i="16"/>
  <c r="K423" i="16"/>
  <c r="V422" i="16"/>
  <c r="S422" i="16"/>
  <c r="P422" i="16"/>
  <c r="O422" i="16"/>
  <c r="L422" i="16"/>
  <c r="K422" i="16"/>
  <c r="V421" i="16"/>
  <c r="S421" i="16"/>
  <c r="P421" i="16"/>
  <c r="O421" i="16"/>
  <c r="L421" i="16"/>
  <c r="K421" i="16"/>
  <c r="V420" i="16"/>
  <c r="S420" i="16"/>
  <c r="P420" i="16"/>
  <c r="O420" i="16"/>
  <c r="L420" i="16"/>
  <c r="K420" i="16"/>
  <c r="V419" i="16"/>
  <c r="S419" i="16"/>
  <c r="P419" i="16"/>
  <c r="O419" i="16"/>
  <c r="L419" i="16"/>
  <c r="K419" i="16"/>
  <c r="V418" i="16"/>
  <c r="S418" i="16"/>
  <c r="P418" i="16"/>
  <c r="O418" i="16"/>
  <c r="L418" i="16"/>
  <c r="K418" i="16"/>
  <c r="V417" i="16"/>
  <c r="S417" i="16"/>
  <c r="P417" i="16"/>
  <c r="O417" i="16"/>
  <c r="L417" i="16"/>
  <c r="K417" i="16"/>
  <c r="V416" i="16"/>
  <c r="S416" i="16"/>
  <c r="P416" i="16"/>
  <c r="O416" i="16"/>
  <c r="L416" i="16"/>
  <c r="K416" i="16"/>
  <c r="V415" i="16"/>
  <c r="S415" i="16"/>
  <c r="P415" i="16"/>
  <c r="O415" i="16"/>
  <c r="L415" i="16"/>
  <c r="K415" i="16"/>
  <c r="V414" i="16"/>
  <c r="S414" i="16"/>
  <c r="P414" i="16"/>
  <c r="O414" i="16"/>
  <c r="L414" i="16"/>
  <c r="K414" i="16"/>
  <c r="V413" i="16"/>
  <c r="S413" i="16"/>
  <c r="P413" i="16"/>
  <c r="O413" i="16"/>
  <c r="L413" i="16"/>
  <c r="K413" i="16"/>
  <c r="V412" i="16"/>
  <c r="S412" i="16"/>
  <c r="P412" i="16"/>
  <c r="O412" i="16"/>
  <c r="L412" i="16"/>
  <c r="K412" i="16"/>
  <c r="V411" i="16"/>
  <c r="S411" i="16"/>
  <c r="P411" i="16"/>
  <c r="O411" i="16"/>
  <c r="L411" i="16"/>
  <c r="K411" i="16"/>
  <c r="V410" i="16"/>
  <c r="S410" i="16"/>
  <c r="P410" i="16"/>
  <c r="O410" i="16"/>
  <c r="L410" i="16"/>
  <c r="K410" i="16"/>
  <c r="V409" i="16"/>
  <c r="S409" i="16"/>
  <c r="P409" i="16"/>
  <c r="O409" i="16"/>
  <c r="L409" i="16"/>
  <c r="K409" i="16"/>
  <c r="V408" i="16"/>
  <c r="S408" i="16"/>
  <c r="P408" i="16"/>
  <c r="O408" i="16"/>
  <c r="L408" i="16"/>
  <c r="K408" i="16"/>
  <c r="V407" i="16"/>
  <c r="S407" i="16"/>
  <c r="P407" i="16"/>
  <c r="O407" i="16"/>
  <c r="L407" i="16"/>
  <c r="K407" i="16"/>
  <c r="V406" i="16"/>
  <c r="S406" i="16"/>
  <c r="P406" i="16"/>
  <c r="O406" i="16"/>
  <c r="L406" i="16"/>
  <c r="K406" i="16"/>
  <c r="V405" i="16"/>
  <c r="S405" i="16"/>
  <c r="P405" i="16"/>
  <c r="O405" i="16"/>
  <c r="L405" i="16"/>
  <c r="K405" i="16"/>
  <c r="V404" i="16"/>
  <c r="S404" i="16"/>
  <c r="P404" i="16"/>
  <c r="O404" i="16"/>
  <c r="L404" i="16"/>
  <c r="K404" i="16"/>
  <c r="V403" i="16"/>
  <c r="S403" i="16"/>
  <c r="P403" i="16"/>
  <c r="O403" i="16"/>
  <c r="L403" i="16"/>
  <c r="K403" i="16"/>
  <c r="V402" i="16"/>
  <c r="S402" i="16"/>
  <c r="P402" i="16"/>
  <c r="O402" i="16"/>
  <c r="L402" i="16"/>
  <c r="K402" i="16"/>
  <c r="V401" i="16"/>
  <c r="S401" i="16"/>
  <c r="P401" i="16"/>
  <c r="O401" i="16"/>
  <c r="L401" i="16"/>
  <c r="K401" i="16"/>
  <c r="V400" i="16"/>
  <c r="S400" i="16"/>
  <c r="P400" i="16"/>
  <c r="O400" i="16"/>
  <c r="L400" i="16"/>
  <c r="K400" i="16"/>
  <c r="V399" i="16"/>
  <c r="S399" i="16"/>
  <c r="P399" i="16"/>
  <c r="O399" i="16"/>
  <c r="L399" i="16"/>
  <c r="K399" i="16"/>
  <c r="V398" i="16"/>
  <c r="S398" i="16"/>
  <c r="P398" i="16"/>
  <c r="O398" i="16"/>
  <c r="L398" i="16"/>
  <c r="K398" i="16"/>
  <c r="V397" i="16"/>
  <c r="S397" i="16"/>
  <c r="P397" i="16"/>
  <c r="O397" i="16"/>
  <c r="L397" i="16"/>
  <c r="K397" i="16"/>
  <c r="V396" i="16"/>
  <c r="S396" i="16"/>
  <c r="P396" i="16"/>
  <c r="O396" i="16"/>
  <c r="L396" i="16"/>
  <c r="K396" i="16"/>
  <c r="V395" i="16"/>
  <c r="S395" i="16"/>
  <c r="P395" i="16"/>
  <c r="O395" i="16"/>
  <c r="L395" i="16"/>
  <c r="K395" i="16"/>
  <c r="V394" i="16"/>
  <c r="S394" i="16"/>
  <c r="P394" i="16"/>
  <c r="O394" i="16"/>
  <c r="L394" i="16"/>
  <c r="K394" i="16"/>
  <c r="V393" i="16"/>
  <c r="S393" i="16"/>
  <c r="P393" i="16"/>
  <c r="O393" i="16"/>
  <c r="L393" i="16"/>
  <c r="K393" i="16"/>
  <c r="V392" i="16"/>
  <c r="S392" i="16"/>
  <c r="P392" i="16"/>
  <c r="O392" i="16"/>
  <c r="L392" i="16"/>
  <c r="K392" i="16"/>
  <c r="V391" i="16"/>
  <c r="S391" i="16"/>
  <c r="P391" i="16"/>
  <c r="O391" i="16"/>
  <c r="L391" i="16"/>
  <c r="K391" i="16"/>
  <c r="V390" i="16"/>
  <c r="S390" i="16"/>
  <c r="P390" i="16"/>
  <c r="O390" i="16"/>
  <c r="L390" i="16"/>
  <c r="K390" i="16"/>
  <c r="V389" i="16"/>
  <c r="S389" i="16"/>
  <c r="P389" i="16"/>
  <c r="O389" i="16"/>
  <c r="L389" i="16"/>
  <c r="K389" i="16"/>
  <c r="V388" i="16"/>
  <c r="S388" i="16"/>
  <c r="P388" i="16"/>
  <c r="O388" i="16"/>
  <c r="L388" i="16"/>
  <c r="K388" i="16"/>
  <c r="V387" i="16"/>
  <c r="S387" i="16"/>
  <c r="P387" i="16"/>
  <c r="O387" i="16"/>
  <c r="L387" i="16"/>
  <c r="K387" i="16"/>
  <c r="V386" i="16"/>
  <c r="S386" i="16"/>
  <c r="P386" i="16"/>
  <c r="O386" i="16"/>
  <c r="L386" i="16"/>
  <c r="K386" i="16"/>
  <c r="V385" i="16"/>
  <c r="S385" i="16"/>
  <c r="P385" i="16"/>
  <c r="O385" i="16"/>
  <c r="L385" i="16"/>
  <c r="K385" i="16"/>
  <c r="V384" i="16"/>
  <c r="S384" i="16"/>
  <c r="P384" i="16"/>
  <c r="O384" i="16"/>
  <c r="L384" i="16"/>
  <c r="K384" i="16"/>
  <c r="V383" i="16"/>
  <c r="S383" i="16"/>
  <c r="P383" i="16"/>
  <c r="O383" i="16"/>
  <c r="L383" i="16"/>
  <c r="K383" i="16"/>
  <c r="V382" i="16"/>
  <c r="S382" i="16"/>
  <c r="P382" i="16"/>
  <c r="O382" i="16"/>
  <c r="L382" i="16"/>
  <c r="K382" i="16"/>
  <c r="V381" i="16"/>
  <c r="S381" i="16"/>
  <c r="P381" i="16"/>
  <c r="O381" i="16"/>
  <c r="L381" i="16"/>
  <c r="K381" i="16"/>
  <c r="V380" i="16"/>
  <c r="S380" i="16"/>
  <c r="P380" i="16"/>
  <c r="O380" i="16"/>
  <c r="L380" i="16"/>
  <c r="K380" i="16"/>
  <c r="V379" i="16"/>
  <c r="S379" i="16"/>
  <c r="P379" i="16"/>
  <c r="O379" i="16"/>
  <c r="L379" i="16"/>
  <c r="K379" i="16"/>
  <c r="V378" i="16"/>
  <c r="S378" i="16"/>
  <c r="P378" i="16"/>
  <c r="O378" i="16"/>
  <c r="L378" i="16"/>
  <c r="K378" i="16"/>
  <c r="V377" i="16"/>
  <c r="S377" i="16"/>
  <c r="P377" i="16"/>
  <c r="O377" i="16"/>
  <c r="L377" i="16"/>
  <c r="K377" i="16"/>
  <c r="V376" i="16"/>
  <c r="S376" i="16"/>
  <c r="P376" i="16"/>
  <c r="O376" i="16"/>
  <c r="L376" i="16"/>
  <c r="K376" i="16"/>
  <c r="V375" i="16"/>
  <c r="S375" i="16"/>
  <c r="P375" i="16"/>
  <c r="O375" i="16"/>
  <c r="L375" i="16"/>
  <c r="K375" i="16"/>
  <c r="V374" i="16"/>
  <c r="S374" i="16"/>
  <c r="P374" i="16"/>
  <c r="O374" i="16"/>
  <c r="L374" i="16"/>
  <c r="K374" i="16"/>
  <c r="V373" i="16"/>
  <c r="S373" i="16"/>
  <c r="P373" i="16"/>
  <c r="O373" i="16"/>
  <c r="L373" i="16"/>
  <c r="K373" i="16"/>
  <c r="V372" i="16"/>
  <c r="S372" i="16"/>
  <c r="P372" i="16"/>
  <c r="O372" i="16"/>
  <c r="L372" i="16"/>
  <c r="K372" i="16"/>
  <c r="V371" i="16"/>
  <c r="S371" i="16"/>
  <c r="P371" i="16"/>
  <c r="O371" i="16"/>
  <c r="L371" i="16"/>
  <c r="K371" i="16"/>
  <c r="V370" i="16"/>
  <c r="S370" i="16"/>
  <c r="P370" i="16"/>
  <c r="O370" i="16"/>
  <c r="L370" i="16"/>
  <c r="K370" i="16"/>
  <c r="V369" i="16"/>
  <c r="S369" i="16"/>
  <c r="P369" i="16"/>
  <c r="O369" i="16"/>
  <c r="L369" i="16"/>
  <c r="K369" i="16"/>
  <c r="V368" i="16"/>
  <c r="S368" i="16"/>
  <c r="P368" i="16"/>
  <c r="O368" i="16"/>
  <c r="L368" i="16"/>
  <c r="K368" i="16"/>
  <c r="V367" i="16"/>
  <c r="S367" i="16"/>
  <c r="P367" i="16"/>
  <c r="O367" i="16"/>
  <c r="L367" i="16"/>
  <c r="K367" i="16"/>
  <c r="V366" i="16"/>
  <c r="S366" i="16"/>
  <c r="P366" i="16"/>
  <c r="O366" i="16"/>
  <c r="L366" i="16"/>
  <c r="K366" i="16"/>
  <c r="V365" i="16"/>
  <c r="S365" i="16"/>
  <c r="P365" i="16"/>
  <c r="O365" i="16"/>
  <c r="L365" i="16"/>
  <c r="K365" i="16"/>
  <c r="V364" i="16"/>
  <c r="S364" i="16"/>
  <c r="P364" i="16"/>
  <c r="O364" i="16"/>
  <c r="L364" i="16"/>
  <c r="K364" i="16"/>
  <c r="V363" i="16"/>
  <c r="S363" i="16"/>
  <c r="P363" i="16"/>
  <c r="O363" i="16"/>
  <c r="L363" i="16"/>
  <c r="K363" i="16"/>
  <c r="V362" i="16"/>
  <c r="S362" i="16"/>
  <c r="P362" i="16"/>
  <c r="O362" i="16"/>
  <c r="L362" i="16"/>
  <c r="K362" i="16"/>
  <c r="V361" i="16"/>
  <c r="S361" i="16"/>
  <c r="P361" i="16"/>
  <c r="O361" i="16"/>
  <c r="L361" i="16"/>
  <c r="K361" i="16"/>
  <c r="V360" i="16"/>
  <c r="S360" i="16"/>
  <c r="P360" i="16"/>
  <c r="O360" i="16"/>
  <c r="L360" i="16"/>
  <c r="K360" i="16"/>
  <c r="V359" i="16"/>
  <c r="S359" i="16"/>
  <c r="P359" i="16"/>
  <c r="O359" i="16"/>
  <c r="L359" i="16"/>
  <c r="K359" i="16"/>
  <c r="V358" i="16"/>
  <c r="S358" i="16"/>
  <c r="P358" i="16"/>
  <c r="O358" i="16"/>
  <c r="L358" i="16"/>
  <c r="K358" i="16"/>
  <c r="V357" i="16"/>
  <c r="S357" i="16"/>
  <c r="P357" i="16"/>
  <c r="O357" i="16"/>
  <c r="L357" i="16"/>
  <c r="K357" i="16"/>
  <c r="V356" i="16"/>
  <c r="S356" i="16"/>
  <c r="P356" i="16"/>
  <c r="O356" i="16"/>
  <c r="L356" i="16"/>
  <c r="K356" i="16"/>
  <c r="V355" i="16"/>
  <c r="S355" i="16"/>
  <c r="P355" i="16"/>
  <c r="O355" i="16"/>
  <c r="L355" i="16"/>
  <c r="K355" i="16"/>
  <c r="V354" i="16"/>
  <c r="S354" i="16"/>
  <c r="P354" i="16"/>
  <c r="O354" i="16"/>
  <c r="L354" i="16"/>
  <c r="K354" i="16"/>
  <c r="V353" i="16"/>
  <c r="S353" i="16"/>
  <c r="P353" i="16"/>
  <c r="O353" i="16"/>
  <c r="L353" i="16"/>
  <c r="K353" i="16"/>
  <c r="V352" i="16"/>
  <c r="S352" i="16"/>
  <c r="P352" i="16"/>
  <c r="O352" i="16"/>
  <c r="L352" i="16"/>
  <c r="K352" i="16"/>
  <c r="V351" i="16"/>
  <c r="S351" i="16"/>
  <c r="P351" i="16"/>
  <c r="O351" i="16"/>
  <c r="L351" i="16"/>
  <c r="K351" i="16"/>
  <c r="V350" i="16"/>
  <c r="S350" i="16"/>
  <c r="P350" i="16"/>
  <c r="O350" i="16"/>
  <c r="L350" i="16"/>
  <c r="K350" i="16"/>
  <c r="V349" i="16"/>
  <c r="S349" i="16"/>
  <c r="P349" i="16"/>
  <c r="O349" i="16"/>
  <c r="L349" i="16"/>
  <c r="K349" i="16"/>
  <c r="V348" i="16"/>
  <c r="S348" i="16"/>
  <c r="P348" i="16"/>
  <c r="O348" i="16"/>
  <c r="L348" i="16"/>
  <c r="K348" i="16"/>
  <c r="V347" i="16"/>
  <c r="S347" i="16"/>
  <c r="P347" i="16"/>
  <c r="O347" i="16"/>
  <c r="L347" i="16"/>
  <c r="K347" i="16"/>
  <c r="V346" i="16"/>
  <c r="S346" i="16"/>
  <c r="P346" i="16"/>
  <c r="O346" i="16"/>
  <c r="L346" i="16"/>
  <c r="K346" i="16"/>
  <c r="V345" i="16"/>
  <c r="S345" i="16"/>
  <c r="P345" i="16"/>
  <c r="O345" i="16"/>
  <c r="L345" i="16"/>
  <c r="K345" i="16"/>
  <c r="V344" i="16"/>
  <c r="S344" i="16"/>
  <c r="P344" i="16"/>
  <c r="O344" i="16"/>
  <c r="L344" i="16"/>
  <c r="K344" i="16"/>
  <c r="V343" i="16"/>
  <c r="S343" i="16"/>
  <c r="P343" i="16"/>
  <c r="O343" i="16"/>
  <c r="L343" i="16"/>
  <c r="K343" i="16"/>
  <c r="V342" i="16"/>
  <c r="S342" i="16"/>
  <c r="P342" i="16"/>
  <c r="O342" i="16"/>
  <c r="L342" i="16"/>
  <c r="K342" i="16"/>
  <c r="V341" i="16"/>
  <c r="S341" i="16"/>
  <c r="P341" i="16"/>
  <c r="O341" i="16"/>
  <c r="L341" i="16"/>
  <c r="K341" i="16"/>
  <c r="V340" i="16"/>
  <c r="S340" i="16"/>
  <c r="P340" i="16"/>
  <c r="O340" i="16"/>
  <c r="L340" i="16"/>
  <c r="K340" i="16"/>
  <c r="V339" i="16"/>
  <c r="S339" i="16"/>
  <c r="P339" i="16"/>
  <c r="O339" i="16"/>
  <c r="L339" i="16"/>
  <c r="K339" i="16"/>
  <c r="V338" i="16"/>
  <c r="S338" i="16"/>
  <c r="P338" i="16"/>
  <c r="O338" i="16"/>
  <c r="L338" i="16"/>
  <c r="K338" i="16"/>
  <c r="V337" i="16"/>
  <c r="S337" i="16"/>
  <c r="P337" i="16"/>
  <c r="O337" i="16"/>
  <c r="L337" i="16"/>
  <c r="K337" i="16"/>
  <c r="V336" i="16"/>
  <c r="S336" i="16"/>
  <c r="P336" i="16"/>
  <c r="O336" i="16"/>
  <c r="L336" i="16"/>
  <c r="K336" i="16"/>
  <c r="V335" i="16"/>
  <c r="S335" i="16"/>
  <c r="P335" i="16"/>
  <c r="O335" i="16"/>
  <c r="L335" i="16"/>
  <c r="K335" i="16"/>
  <c r="V334" i="16"/>
  <c r="S334" i="16"/>
  <c r="P334" i="16"/>
  <c r="O334" i="16"/>
  <c r="L334" i="16"/>
  <c r="K334" i="16"/>
  <c r="V333" i="16"/>
  <c r="S333" i="16"/>
  <c r="P333" i="16"/>
  <c r="O333" i="16"/>
  <c r="L333" i="16"/>
  <c r="K333" i="16"/>
  <c r="V332" i="16"/>
  <c r="S332" i="16"/>
  <c r="P332" i="16"/>
  <c r="O332" i="16"/>
  <c r="L332" i="16"/>
  <c r="K332" i="16"/>
  <c r="V331" i="16"/>
  <c r="S331" i="16"/>
  <c r="P331" i="16"/>
  <c r="O331" i="16"/>
  <c r="L331" i="16"/>
  <c r="K331" i="16"/>
  <c r="V330" i="16"/>
  <c r="S330" i="16"/>
  <c r="P330" i="16"/>
  <c r="O330" i="16"/>
  <c r="L330" i="16"/>
  <c r="K330" i="16"/>
  <c r="V329" i="16"/>
  <c r="S329" i="16"/>
  <c r="P329" i="16"/>
  <c r="O329" i="16"/>
  <c r="L329" i="16"/>
  <c r="K329" i="16"/>
  <c r="V328" i="16"/>
  <c r="S328" i="16"/>
  <c r="P328" i="16"/>
  <c r="O328" i="16"/>
  <c r="L328" i="16"/>
  <c r="K328" i="16"/>
  <c r="V327" i="16"/>
  <c r="S327" i="16"/>
  <c r="P327" i="16"/>
  <c r="O327" i="16"/>
  <c r="L327" i="16"/>
  <c r="K327" i="16"/>
  <c r="V326" i="16"/>
  <c r="S326" i="16"/>
  <c r="P326" i="16"/>
  <c r="O326" i="16"/>
  <c r="L326" i="16"/>
  <c r="K326" i="16"/>
  <c r="V325" i="16"/>
  <c r="S325" i="16"/>
  <c r="P325" i="16"/>
  <c r="O325" i="16"/>
  <c r="L325" i="16"/>
  <c r="K325" i="16"/>
  <c r="V324" i="16"/>
  <c r="S324" i="16"/>
  <c r="P324" i="16"/>
  <c r="O324" i="16"/>
  <c r="L324" i="16"/>
  <c r="K324" i="16"/>
  <c r="V323" i="16"/>
  <c r="S323" i="16"/>
  <c r="P323" i="16"/>
  <c r="O323" i="16"/>
  <c r="L323" i="16"/>
  <c r="K323" i="16"/>
  <c r="V322" i="16"/>
  <c r="S322" i="16"/>
  <c r="P322" i="16"/>
  <c r="O322" i="16"/>
  <c r="L322" i="16"/>
  <c r="K322" i="16"/>
  <c r="V321" i="16"/>
  <c r="S321" i="16"/>
  <c r="P321" i="16"/>
  <c r="O321" i="16"/>
  <c r="L321" i="16"/>
  <c r="K321" i="16"/>
  <c r="V320" i="16"/>
  <c r="S320" i="16"/>
  <c r="P320" i="16"/>
  <c r="O320" i="16"/>
  <c r="L320" i="16"/>
  <c r="K320" i="16"/>
  <c r="V319" i="16"/>
  <c r="S319" i="16"/>
  <c r="P319" i="16"/>
  <c r="O319" i="16"/>
  <c r="L319" i="16"/>
  <c r="K319" i="16"/>
  <c r="V318" i="16"/>
  <c r="S318" i="16"/>
  <c r="P318" i="16"/>
  <c r="O318" i="16"/>
  <c r="L318" i="16"/>
  <c r="K318" i="16"/>
  <c r="V317" i="16"/>
  <c r="S317" i="16"/>
  <c r="P317" i="16"/>
  <c r="O317" i="16"/>
  <c r="L317" i="16"/>
  <c r="K317" i="16"/>
  <c r="V316" i="16"/>
  <c r="S316" i="16"/>
  <c r="P316" i="16"/>
  <c r="O316" i="16"/>
  <c r="L316" i="16"/>
  <c r="K316" i="16"/>
  <c r="V315" i="16"/>
  <c r="S315" i="16"/>
  <c r="P315" i="16"/>
  <c r="O315" i="16"/>
  <c r="L315" i="16"/>
  <c r="K315" i="16"/>
  <c r="V314" i="16"/>
  <c r="S314" i="16"/>
  <c r="P314" i="16"/>
  <c r="O314" i="16"/>
  <c r="L314" i="16"/>
  <c r="K314" i="16"/>
  <c r="V313" i="16"/>
  <c r="S313" i="16"/>
  <c r="P313" i="16"/>
  <c r="O313" i="16"/>
  <c r="L313" i="16"/>
  <c r="K313" i="16"/>
  <c r="V312" i="16"/>
  <c r="S312" i="16"/>
  <c r="P312" i="16"/>
  <c r="O312" i="16"/>
  <c r="L312" i="16"/>
  <c r="K312" i="16"/>
  <c r="V311" i="16"/>
  <c r="S311" i="16"/>
  <c r="P311" i="16"/>
  <c r="O311" i="16"/>
  <c r="L311" i="16"/>
  <c r="K311" i="16"/>
  <c r="V310" i="16"/>
  <c r="S310" i="16"/>
  <c r="P310" i="16"/>
  <c r="O310" i="16"/>
  <c r="L310" i="16"/>
  <c r="K310" i="16"/>
  <c r="V309" i="16"/>
  <c r="S309" i="16"/>
  <c r="P309" i="16"/>
  <c r="O309" i="16"/>
  <c r="L309" i="16"/>
  <c r="K309" i="16"/>
  <c r="H309" i="16"/>
  <c r="V308" i="16"/>
  <c r="S308" i="16"/>
  <c r="P308" i="16"/>
  <c r="O308" i="16"/>
  <c r="L308" i="16"/>
  <c r="K308" i="16"/>
  <c r="V307" i="16"/>
  <c r="S307" i="16"/>
  <c r="P307" i="16"/>
  <c r="O307" i="16"/>
  <c r="L307" i="16"/>
  <c r="K307" i="16"/>
  <c r="V306" i="16"/>
  <c r="S306" i="16"/>
  <c r="P306" i="16"/>
  <c r="O306" i="16"/>
  <c r="L306" i="16"/>
  <c r="K306" i="16"/>
  <c r="V305" i="16"/>
  <c r="S305" i="16"/>
  <c r="P305" i="16"/>
  <c r="O305" i="16"/>
  <c r="L305" i="16"/>
  <c r="K305" i="16"/>
  <c r="V304" i="16"/>
  <c r="S304" i="16"/>
  <c r="P304" i="16"/>
  <c r="O304" i="16"/>
  <c r="L304" i="16"/>
  <c r="K304" i="16"/>
  <c r="V303" i="16"/>
  <c r="S303" i="16"/>
  <c r="P303" i="16"/>
  <c r="O303" i="16"/>
  <c r="L303" i="16"/>
  <c r="K303" i="16"/>
  <c r="V302" i="16"/>
  <c r="S302" i="16"/>
  <c r="P302" i="16"/>
  <c r="O302" i="16"/>
  <c r="L302" i="16"/>
  <c r="K302" i="16"/>
  <c r="V301" i="16"/>
  <c r="S301" i="16"/>
  <c r="P301" i="16"/>
  <c r="O301" i="16"/>
  <c r="L301" i="16"/>
  <c r="K301" i="16"/>
  <c r="V300" i="16"/>
  <c r="S300" i="16"/>
  <c r="P300" i="16"/>
  <c r="O300" i="16"/>
  <c r="L300" i="16"/>
  <c r="K300" i="16"/>
  <c r="V299" i="16"/>
  <c r="S299" i="16"/>
  <c r="P299" i="16"/>
  <c r="O299" i="16"/>
  <c r="L299" i="16"/>
  <c r="K299" i="16"/>
  <c r="V298" i="16"/>
  <c r="S298" i="16"/>
  <c r="P298" i="16"/>
  <c r="O298" i="16"/>
  <c r="L298" i="16"/>
  <c r="K298" i="16"/>
  <c r="V297" i="16"/>
  <c r="S297" i="16"/>
  <c r="P297" i="16"/>
  <c r="O297" i="16"/>
  <c r="L297" i="16"/>
  <c r="K297" i="16"/>
  <c r="V296" i="16"/>
  <c r="S296" i="16"/>
  <c r="P296" i="16"/>
  <c r="O296" i="16"/>
  <c r="L296" i="16"/>
  <c r="K296" i="16"/>
  <c r="V295" i="16"/>
  <c r="S295" i="16"/>
  <c r="P295" i="16"/>
  <c r="O295" i="16"/>
  <c r="L295" i="16"/>
  <c r="K295" i="16"/>
  <c r="V294" i="16"/>
  <c r="S294" i="16"/>
  <c r="P294" i="16"/>
  <c r="O294" i="16"/>
  <c r="L294" i="16"/>
  <c r="K294" i="16"/>
  <c r="V293" i="16"/>
  <c r="S293" i="16"/>
  <c r="P293" i="16"/>
  <c r="O293" i="16"/>
  <c r="L293" i="16"/>
  <c r="K293" i="16"/>
  <c r="V292" i="16"/>
  <c r="S292" i="16"/>
  <c r="P292" i="16"/>
  <c r="O292" i="16"/>
  <c r="L292" i="16"/>
  <c r="K292" i="16"/>
  <c r="V291" i="16"/>
  <c r="S291" i="16"/>
  <c r="P291" i="16"/>
  <c r="O291" i="16"/>
  <c r="L291" i="16"/>
  <c r="K291" i="16"/>
  <c r="V290" i="16"/>
  <c r="S290" i="16"/>
  <c r="P290" i="16"/>
  <c r="O290" i="16"/>
  <c r="L290" i="16"/>
  <c r="K290" i="16"/>
  <c r="V289" i="16"/>
  <c r="S289" i="16"/>
  <c r="P289" i="16"/>
  <c r="O289" i="16"/>
  <c r="L289" i="16"/>
  <c r="K289" i="16"/>
  <c r="V288" i="16"/>
  <c r="S288" i="16"/>
  <c r="P288" i="16"/>
  <c r="O288" i="16"/>
  <c r="L288" i="16"/>
  <c r="K288" i="16"/>
  <c r="V287" i="16"/>
  <c r="S287" i="16"/>
  <c r="P287" i="16"/>
  <c r="O287" i="16"/>
  <c r="L287" i="16"/>
  <c r="K287" i="16"/>
  <c r="V286" i="16"/>
  <c r="S286" i="16"/>
  <c r="P286" i="16"/>
  <c r="O286" i="16"/>
  <c r="L286" i="16"/>
  <c r="K286" i="16"/>
  <c r="V285" i="16"/>
  <c r="S285" i="16"/>
  <c r="P285" i="16"/>
  <c r="O285" i="16"/>
  <c r="L285" i="16"/>
  <c r="K285" i="16"/>
  <c r="V284" i="16"/>
  <c r="S284" i="16"/>
  <c r="P284" i="16"/>
  <c r="O284" i="16"/>
  <c r="L284" i="16"/>
  <c r="K284" i="16"/>
  <c r="V283" i="16"/>
  <c r="S283" i="16"/>
  <c r="P283" i="16"/>
  <c r="O283" i="16"/>
  <c r="L283" i="16"/>
  <c r="K283" i="16"/>
  <c r="V282" i="16"/>
  <c r="S282" i="16"/>
  <c r="P282" i="16"/>
  <c r="O282" i="16"/>
  <c r="L282" i="16"/>
  <c r="K282" i="16"/>
  <c r="V281" i="16"/>
  <c r="S281" i="16"/>
  <c r="P281" i="16"/>
  <c r="O281" i="16"/>
  <c r="L281" i="16"/>
  <c r="K281" i="16"/>
  <c r="V280" i="16"/>
  <c r="S280" i="16"/>
  <c r="P280" i="16"/>
  <c r="O280" i="16"/>
  <c r="L280" i="16"/>
  <c r="K280" i="16"/>
  <c r="V279" i="16"/>
  <c r="S279" i="16"/>
  <c r="P279" i="16"/>
  <c r="O279" i="16"/>
  <c r="L279" i="16"/>
  <c r="K279" i="16"/>
  <c r="V278" i="16"/>
  <c r="S278" i="16"/>
  <c r="P278" i="16"/>
  <c r="O278" i="16"/>
  <c r="L278" i="16"/>
  <c r="K278" i="16"/>
  <c r="V277" i="16"/>
  <c r="R277" i="16"/>
  <c r="P277" i="16"/>
  <c r="O277" i="16"/>
  <c r="L277" i="16"/>
  <c r="K277" i="16"/>
  <c r="V276" i="16"/>
  <c r="S276" i="16"/>
  <c r="P276" i="16"/>
  <c r="O276" i="16"/>
  <c r="L276" i="16"/>
  <c r="K276" i="16"/>
  <c r="V275" i="16"/>
  <c r="S275" i="16"/>
  <c r="P275" i="16"/>
  <c r="O275" i="16"/>
  <c r="L275" i="16"/>
  <c r="K275" i="16"/>
  <c r="V274" i="16"/>
  <c r="S274" i="16"/>
  <c r="P274" i="16"/>
  <c r="O274" i="16"/>
  <c r="L274" i="16"/>
  <c r="K274" i="16"/>
  <c r="V273" i="16"/>
  <c r="S273" i="16"/>
  <c r="P273" i="16"/>
  <c r="O273" i="16"/>
  <c r="L273" i="16"/>
  <c r="K273" i="16"/>
  <c r="V272" i="16"/>
  <c r="S272" i="16"/>
  <c r="P272" i="16"/>
  <c r="O272" i="16"/>
  <c r="L272" i="16"/>
  <c r="K272" i="16"/>
  <c r="V271" i="16"/>
  <c r="S271" i="16"/>
  <c r="P271" i="16"/>
  <c r="O271" i="16"/>
  <c r="L271" i="16"/>
  <c r="K271" i="16"/>
  <c r="V270" i="16"/>
  <c r="S270" i="16"/>
  <c r="P270" i="16"/>
  <c r="O270" i="16"/>
  <c r="L270" i="16"/>
  <c r="K270" i="16"/>
  <c r="V269" i="16"/>
  <c r="S269" i="16"/>
  <c r="P269" i="16"/>
  <c r="O269" i="16"/>
  <c r="L269" i="16"/>
  <c r="K269" i="16"/>
  <c r="V268" i="16"/>
  <c r="S268" i="16"/>
  <c r="P268" i="16"/>
  <c r="O268" i="16"/>
  <c r="L268" i="16"/>
  <c r="K268" i="16"/>
  <c r="V267" i="16"/>
  <c r="S267" i="16"/>
  <c r="P267" i="16"/>
  <c r="O267" i="16"/>
  <c r="L267" i="16"/>
  <c r="K267" i="16"/>
  <c r="V266" i="16"/>
  <c r="S266" i="16"/>
  <c r="P266" i="16"/>
  <c r="O266" i="16"/>
  <c r="L266" i="16"/>
  <c r="K266" i="16"/>
  <c r="V265" i="16"/>
  <c r="S265" i="16"/>
  <c r="P265" i="16"/>
  <c r="O265" i="16"/>
  <c r="L265" i="16"/>
  <c r="K265" i="16"/>
  <c r="V264" i="16"/>
  <c r="S264" i="16"/>
  <c r="P264" i="16"/>
  <c r="O264" i="16"/>
  <c r="L264" i="16"/>
  <c r="K264" i="16"/>
  <c r="V263" i="16"/>
  <c r="S263" i="16"/>
  <c r="P263" i="16"/>
  <c r="O263" i="16"/>
  <c r="L263" i="16"/>
  <c r="K263" i="16"/>
  <c r="V262" i="16"/>
  <c r="S262" i="16"/>
  <c r="P262" i="16"/>
  <c r="O262" i="16"/>
  <c r="L262" i="16"/>
  <c r="K262" i="16"/>
  <c r="V261" i="16"/>
  <c r="S261" i="16"/>
  <c r="P261" i="16"/>
  <c r="O261" i="16"/>
  <c r="L261" i="16"/>
  <c r="K261" i="16"/>
  <c r="V260" i="16"/>
  <c r="S260" i="16"/>
  <c r="P260" i="16"/>
  <c r="O260" i="16"/>
  <c r="L260" i="16"/>
  <c r="K260" i="16"/>
  <c r="V259" i="16"/>
  <c r="S259" i="16"/>
  <c r="P259" i="16"/>
  <c r="O259" i="16"/>
  <c r="L259" i="16"/>
  <c r="K259" i="16"/>
  <c r="V258" i="16"/>
  <c r="S258" i="16"/>
  <c r="P258" i="16"/>
  <c r="O258" i="16"/>
  <c r="L258" i="16"/>
  <c r="K258" i="16"/>
  <c r="V257" i="16"/>
  <c r="S257" i="16"/>
  <c r="P257" i="16"/>
  <c r="O257" i="16"/>
  <c r="L257" i="16"/>
  <c r="K257" i="16"/>
  <c r="V256" i="16"/>
  <c r="S256" i="16"/>
  <c r="P256" i="16"/>
  <c r="O256" i="16"/>
  <c r="L256" i="16"/>
  <c r="K256" i="16"/>
  <c r="V255" i="16"/>
  <c r="S255" i="16"/>
  <c r="P255" i="16"/>
  <c r="O255" i="16"/>
  <c r="L255" i="16"/>
  <c r="K255" i="16"/>
  <c r="V254" i="16"/>
  <c r="S254" i="16"/>
  <c r="P254" i="16"/>
  <c r="O254" i="16"/>
  <c r="L254" i="16"/>
  <c r="K254" i="16"/>
  <c r="V253" i="16"/>
  <c r="S253" i="16"/>
  <c r="P253" i="16"/>
  <c r="O253" i="16"/>
  <c r="L253" i="16"/>
  <c r="K253" i="16"/>
  <c r="V252" i="16"/>
  <c r="S252" i="16"/>
  <c r="P252" i="16"/>
  <c r="O252" i="16"/>
  <c r="L252" i="16"/>
  <c r="K252" i="16"/>
  <c r="V251" i="16"/>
  <c r="S251" i="16"/>
  <c r="P251" i="16"/>
  <c r="O251" i="16"/>
  <c r="L251" i="16"/>
  <c r="K251" i="16"/>
  <c r="V250" i="16"/>
  <c r="S250" i="16"/>
  <c r="P250" i="16"/>
  <c r="O250" i="16"/>
  <c r="L250" i="16"/>
  <c r="K250" i="16"/>
  <c r="V249" i="16"/>
  <c r="S249" i="16"/>
  <c r="P249" i="16"/>
  <c r="O249" i="16"/>
  <c r="L249" i="16"/>
  <c r="K249" i="16"/>
  <c r="V248" i="16"/>
  <c r="S248" i="16"/>
  <c r="P248" i="16"/>
  <c r="O248" i="16"/>
  <c r="L248" i="16"/>
  <c r="K248" i="16"/>
  <c r="V247" i="16"/>
  <c r="S247" i="16"/>
  <c r="P247" i="16"/>
  <c r="O247" i="16"/>
  <c r="L247" i="16"/>
  <c r="K247" i="16"/>
  <c r="V246" i="16"/>
  <c r="S246" i="16"/>
  <c r="P246" i="16"/>
  <c r="O246" i="16"/>
  <c r="L246" i="16"/>
  <c r="K246" i="16"/>
  <c r="V245" i="16"/>
  <c r="S245" i="16"/>
  <c r="P245" i="16"/>
  <c r="O245" i="16"/>
  <c r="L245" i="16"/>
  <c r="K245" i="16"/>
  <c r="V244" i="16"/>
  <c r="S244" i="16"/>
  <c r="P244" i="16"/>
  <c r="O244" i="16"/>
  <c r="L244" i="16"/>
  <c r="K244" i="16"/>
  <c r="V243" i="16"/>
  <c r="S243" i="16"/>
  <c r="P243" i="16"/>
  <c r="O243" i="16"/>
  <c r="L243" i="16"/>
  <c r="K243" i="16"/>
  <c r="V242" i="16"/>
  <c r="S242" i="16"/>
  <c r="P242" i="16"/>
  <c r="O242" i="16"/>
  <c r="L242" i="16"/>
  <c r="K242" i="16"/>
  <c r="V241" i="16"/>
  <c r="S241" i="16"/>
  <c r="P241" i="16"/>
  <c r="O241" i="16"/>
  <c r="L241" i="16"/>
  <c r="K241" i="16"/>
  <c r="V240" i="16"/>
  <c r="S240" i="16"/>
  <c r="P240" i="16"/>
  <c r="O240" i="16"/>
  <c r="L240" i="16"/>
  <c r="K240" i="16"/>
  <c r="V239" i="16"/>
  <c r="S239" i="16"/>
  <c r="P239" i="16"/>
  <c r="O239" i="16"/>
  <c r="L239" i="16"/>
  <c r="K239" i="16"/>
  <c r="V238" i="16"/>
  <c r="S238" i="16"/>
  <c r="P238" i="16"/>
  <c r="O238" i="16"/>
  <c r="L238" i="16"/>
  <c r="K238" i="16"/>
  <c r="V236" i="16"/>
  <c r="S236" i="16"/>
  <c r="P236" i="16"/>
  <c r="O236" i="16"/>
  <c r="V235" i="16"/>
  <c r="S235" i="16"/>
  <c r="P235" i="16"/>
  <c r="O235" i="16"/>
  <c r="L235" i="16"/>
  <c r="K235" i="16"/>
  <c r="V234" i="16"/>
  <c r="S234" i="16"/>
  <c r="P234" i="16"/>
  <c r="O234" i="16"/>
  <c r="L234" i="16"/>
  <c r="K234" i="16"/>
  <c r="V233" i="16"/>
  <c r="S233" i="16"/>
  <c r="P233" i="16"/>
  <c r="O233" i="16"/>
  <c r="L233" i="16"/>
  <c r="K233" i="16"/>
  <c r="V232" i="16"/>
  <c r="S232" i="16"/>
  <c r="P232" i="16"/>
  <c r="O232" i="16"/>
  <c r="L232" i="16"/>
  <c r="K232" i="16"/>
  <c r="V231" i="16"/>
  <c r="S231" i="16"/>
  <c r="P231" i="16"/>
  <c r="O231" i="16"/>
  <c r="L231" i="16"/>
  <c r="K231" i="16"/>
  <c r="V230" i="16"/>
  <c r="S230" i="16"/>
  <c r="P230" i="16"/>
  <c r="O230" i="16"/>
  <c r="L230" i="16"/>
  <c r="K230" i="16"/>
  <c r="V229" i="16"/>
  <c r="S229" i="16"/>
  <c r="P229" i="16"/>
  <c r="O229" i="16"/>
  <c r="L229" i="16"/>
  <c r="K229" i="16"/>
  <c r="V228" i="16"/>
  <c r="S228" i="16"/>
  <c r="P228" i="16"/>
  <c r="O228" i="16"/>
  <c r="L228" i="16"/>
  <c r="K228" i="16"/>
  <c r="V227" i="16"/>
  <c r="S227" i="16"/>
  <c r="P227" i="16"/>
  <c r="O227" i="16"/>
  <c r="L227" i="16"/>
  <c r="K227" i="16"/>
  <c r="V226" i="16"/>
  <c r="S226" i="16"/>
  <c r="P226" i="16"/>
  <c r="O226" i="16"/>
  <c r="L226" i="16"/>
  <c r="K226" i="16"/>
  <c r="V225" i="16"/>
  <c r="S225" i="16"/>
  <c r="P225" i="16"/>
  <c r="O225" i="16"/>
  <c r="L225" i="16"/>
  <c r="K225" i="16"/>
  <c r="V224" i="16"/>
  <c r="S224" i="16"/>
  <c r="P224" i="16"/>
  <c r="O224" i="16"/>
  <c r="L224" i="16"/>
  <c r="K224" i="16"/>
  <c r="V223" i="16"/>
  <c r="S223" i="16"/>
  <c r="P223" i="16"/>
  <c r="O223" i="16"/>
  <c r="L223" i="16"/>
  <c r="K223" i="16"/>
  <c r="H223" i="16"/>
  <c r="V222" i="16"/>
  <c r="S222" i="16"/>
  <c r="P222" i="16"/>
  <c r="O222" i="16"/>
  <c r="L222" i="16"/>
  <c r="K222" i="16"/>
  <c r="V221" i="16"/>
  <c r="S221" i="16"/>
  <c r="P221" i="16"/>
  <c r="O221" i="16"/>
  <c r="L221" i="16"/>
  <c r="K221" i="16"/>
  <c r="V220" i="16"/>
  <c r="S220" i="16"/>
  <c r="P220" i="16"/>
  <c r="O220" i="16"/>
  <c r="L220" i="16"/>
  <c r="K220" i="16"/>
  <c r="V219" i="16"/>
  <c r="S219" i="16"/>
  <c r="P219" i="16"/>
  <c r="O219" i="16"/>
  <c r="L219" i="16"/>
  <c r="K219" i="16"/>
  <c r="V218" i="16"/>
  <c r="S218" i="16"/>
  <c r="P218" i="16"/>
  <c r="O218" i="16"/>
  <c r="L218" i="16"/>
  <c r="K218" i="16"/>
  <c r="V217" i="16"/>
  <c r="S217" i="16"/>
  <c r="P217" i="16"/>
  <c r="O217" i="16"/>
  <c r="L217" i="16"/>
  <c r="K217" i="16"/>
  <c r="V216" i="16"/>
  <c r="S216" i="16"/>
  <c r="P216" i="16"/>
  <c r="O216" i="16"/>
  <c r="L216" i="16"/>
  <c r="K216" i="16"/>
  <c r="V215" i="16"/>
  <c r="S215" i="16"/>
  <c r="P215" i="16"/>
  <c r="O215" i="16"/>
  <c r="L215" i="16"/>
  <c r="K215" i="16"/>
  <c r="V214" i="16"/>
  <c r="S214" i="16"/>
  <c r="P214" i="16"/>
  <c r="O214" i="16"/>
  <c r="L214" i="16"/>
  <c r="K214" i="16"/>
  <c r="V213" i="16"/>
  <c r="S213" i="16"/>
  <c r="P213" i="16"/>
  <c r="O213" i="16"/>
  <c r="L213" i="16"/>
  <c r="K213" i="16"/>
  <c r="V212" i="16"/>
  <c r="S212" i="16"/>
  <c r="P212" i="16"/>
  <c r="O212" i="16"/>
  <c r="L212" i="16"/>
  <c r="K212" i="16"/>
  <c r="V211" i="16"/>
  <c r="S211" i="16"/>
  <c r="P211" i="16"/>
  <c r="O211" i="16"/>
  <c r="L211" i="16"/>
  <c r="K211" i="16"/>
  <c r="V210" i="16"/>
  <c r="S210" i="16"/>
  <c r="P210" i="16"/>
  <c r="O210" i="16"/>
  <c r="L210" i="16"/>
  <c r="K210" i="16"/>
  <c r="V209" i="16"/>
  <c r="S209" i="16"/>
  <c r="P209" i="16"/>
  <c r="O209" i="16"/>
  <c r="L209" i="16"/>
  <c r="K209" i="16"/>
  <c r="V208" i="16"/>
  <c r="S208" i="16"/>
  <c r="P208" i="16"/>
  <c r="O208" i="16"/>
  <c r="L208" i="16"/>
  <c r="K208" i="16"/>
  <c r="V207" i="16"/>
  <c r="S207" i="16"/>
  <c r="P207" i="16"/>
  <c r="O207" i="16"/>
  <c r="L207" i="16"/>
  <c r="K207" i="16"/>
  <c r="V206" i="16"/>
  <c r="S206" i="16"/>
  <c r="P206" i="16"/>
  <c r="O206" i="16"/>
  <c r="L206" i="16"/>
  <c r="K206" i="16"/>
  <c r="V205" i="16"/>
  <c r="S205" i="16"/>
  <c r="P205" i="16"/>
  <c r="O205" i="16"/>
  <c r="L205" i="16"/>
  <c r="K205" i="16"/>
  <c r="V204" i="16"/>
  <c r="S204" i="16"/>
  <c r="P204" i="16"/>
  <c r="O204" i="16"/>
  <c r="L204" i="16"/>
  <c r="K204" i="16"/>
  <c r="V203" i="16"/>
  <c r="S203" i="16"/>
  <c r="P203" i="16"/>
  <c r="O203" i="16"/>
  <c r="L203" i="16"/>
  <c r="K203" i="16"/>
  <c r="V202" i="16"/>
  <c r="S202" i="16"/>
  <c r="P202" i="16"/>
  <c r="O202" i="16"/>
  <c r="L202" i="16"/>
  <c r="K202" i="16"/>
  <c r="V201" i="16"/>
  <c r="S201" i="16"/>
  <c r="P201" i="16"/>
  <c r="O201" i="16"/>
  <c r="L201" i="16"/>
  <c r="K201" i="16"/>
  <c r="V200" i="16"/>
  <c r="S200" i="16"/>
  <c r="P200" i="16"/>
  <c r="O200" i="16"/>
  <c r="L200" i="16"/>
  <c r="K200" i="16"/>
  <c r="V199" i="16"/>
  <c r="S199" i="16"/>
  <c r="P199" i="16"/>
  <c r="O199" i="16"/>
  <c r="L199" i="16"/>
  <c r="K199" i="16"/>
  <c r="V198" i="16"/>
  <c r="S198" i="16"/>
  <c r="P198" i="16"/>
  <c r="O198" i="16"/>
  <c r="L198" i="16"/>
  <c r="K198" i="16"/>
  <c r="V197" i="16"/>
  <c r="S197" i="16"/>
  <c r="P197" i="16"/>
  <c r="O197" i="16"/>
  <c r="L197" i="16"/>
  <c r="K197" i="16"/>
  <c r="V196" i="16"/>
  <c r="S196" i="16"/>
  <c r="P196" i="16"/>
  <c r="O196" i="16"/>
  <c r="L196" i="16"/>
  <c r="K196" i="16"/>
  <c r="V195" i="16"/>
  <c r="S195" i="16"/>
  <c r="P195" i="16"/>
  <c r="O195" i="16"/>
  <c r="L195" i="16"/>
  <c r="K195" i="16"/>
  <c r="V194" i="16"/>
  <c r="S194" i="16"/>
  <c r="P194" i="16"/>
  <c r="O194" i="16"/>
  <c r="L194" i="16"/>
  <c r="K194" i="16"/>
  <c r="V193" i="16"/>
  <c r="S193" i="16"/>
  <c r="P193" i="16"/>
  <c r="O193" i="16"/>
  <c r="L193" i="16"/>
  <c r="K193" i="16"/>
  <c r="V192" i="16"/>
  <c r="S192" i="16"/>
  <c r="P192" i="16"/>
  <c r="O192" i="16"/>
  <c r="L192" i="16"/>
  <c r="K192" i="16"/>
  <c r="V191" i="16"/>
  <c r="S191" i="16"/>
  <c r="P191" i="16"/>
  <c r="O191" i="16"/>
  <c r="L191" i="16"/>
  <c r="K191" i="16"/>
  <c r="V190" i="16"/>
  <c r="S190" i="16"/>
  <c r="P190" i="16"/>
  <c r="O190" i="16"/>
  <c r="L190" i="16"/>
  <c r="K190" i="16"/>
  <c r="V189" i="16"/>
  <c r="S189" i="16"/>
  <c r="P189" i="16"/>
  <c r="O189" i="16"/>
  <c r="L189" i="16"/>
  <c r="K189" i="16"/>
  <c r="V188" i="16"/>
  <c r="S188" i="16"/>
  <c r="P188" i="16"/>
  <c r="O188" i="16"/>
  <c r="L188" i="16"/>
  <c r="K188" i="16"/>
  <c r="V187" i="16"/>
  <c r="S187" i="16"/>
  <c r="P187" i="16"/>
  <c r="O187" i="16"/>
  <c r="L187" i="16"/>
  <c r="K187" i="16"/>
  <c r="V186" i="16"/>
  <c r="S186" i="16"/>
  <c r="P186" i="16"/>
  <c r="O186" i="16"/>
  <c r="L186" i="16"/>
  <c r="K186" i="16"/>
  <c r="V185" i="16"/>
  <c r="S185" i="16"/>
  <c r="P185" i="16"/>
  <c r="O185" i="16"/>
  <c r="L185" i="16"/>
  <c r="K185" i="16"/>
  <c r="V184" i="16"/>
  <c r="S184" i="16"/>
  <c r="P184" i="16"/>
  <c r="O184" i="16"/>
  <c r="L184" i="16"/>
  <c r="K184" i="16"/>
  <c r="V183" i="16"/>
  <c r="S183" i="16"/>
  <c r="P183" i="16"/>
  <c r="O183" i="16"/>
  <c r="L183" i="16"/>
  <c r="K183" i="16"/>
  <c r="V182" i="16"/>
  <c r="S182" i="16"/>
  <c r="P182" i="16"/>
  <c r="O182" i="16"/>
  <c r="L182" i="16"/>
  <c r="K182" i="16"/>
  <c r="V181" i="16"/>
  <c r="S181" i="16"/>
  <c r="P181" i="16"/>
  <c r="O181" i="16"/>
  <c r="L181" i="16"/>
  <c r="K181" i="16"/>
  <c r="V180" i="16"/>
  <c r="S180" i="16"/>
  <c r="P180" i="16"/>
  <c r="O180" i="16"/>
  <c r="L180" i="16"/>
  <c r="K180" i="16"/>
  <c r="V179" i="16"/>
  <c r="S179" i="16"/>
  <c r="P179" i="16"/>
  <c r="O179" i="16"/>
  <c r="L179" i="16"/>
  <c r="K179" i="16"/>
  <c r="W178" i="16" a="1"/>
  <c r="W178" i="16" s="1"/>
  <c r="V178" i="16"/>
  <c r="S178" i="16"/>
  <c r="P178" i="16"/>
  <c r="O178" i="16"/>
  <c r="V177" i="16"/>
  <c r="S177" i="16"/>
  <c r="P177" i="16"/>
  <c r="O177" i="16"/>
  <c r="L177" i="16"/>
  <c r="K177" i="16"/>
  <c r="V176" i="16"/>
  <c r="S176" i="16"/>
  <c r="P176" i="16"/>
  <c r="O176" i="16"/>
  <c r="L176" i="16"/>
  <c r="K176" i="16"/>
  <c r="W175" i="16" a="1"/>
  <c r="W175" i="16" s="1"/>
  <c r="W174" i="16" a="1"/>
  <c r="W174" i="16" s="1"/>
  <c r="W173" i="16" a="1"/>
  <c r="W173" i="16" s="1"/>
  <c r="J172" i="16"/>
  <c r="I172" i="16"/>
  <c r="G172" i="16"/>
  <c r="F172" i="16"/>
  <c r="W171" i="16" a="1"/>
  <c r="W171" i="16" s="1"/>
  <c r="W170" i="16" a="1"/>
  <c r="W170" i="16" s="1"/>
  <c r="V169" i="16"/>
  <c r="R169" i="16"/>
  <c r="P169" i="16"/>
  <c r="O169" i="16"/>
  <c r="L169" i="16"/>
  <c r="K169" i="16"/>
  <c r="V168" i="16"/>
  <c r="R168" i="16"/>
  <c r="P168" i="16"/>
  <c r="O168" i="16"/>
  <c r="L168" i="16"/>
  <c r="K168" i="16"/>
  <c r="V167" i="16"/>
  <c r="R167" i="16"/>
  <c r="P167" i="16"/>
  <c r="O167" i="16"/>
  <c r="L167" i="16"/>
  <c r="K167" i="16"/>
  <c r="V166" i="16"/>
  <c r="R166" i="16"/>
  <c r="P166" i="16"/>
  <c r="O166" i="16"/>
  <c r="L166" i="16"/>
  <c r="K166" i="16"/>
  <c r="V165" i="16"/>
  <c r="R165" i="16"/>
  <c r="P165" i="16"/>
  <c r="O165" i="16"/>
  <c r="L165" i="16"/>
  <c r="K165" i="16"/>
  <c r="V164" i="16"/>
  <c r="R164" i="16"/>
  <c r="P164" i="16"/>
  <c r="O164" i="16"/>
  <c r="L164" i="16"/>
  <c r="K164" i="16"/>
  <c r="V163" i="16"/>
  <c r="R163" i="16"/>
  <c r="P163" i="16"/>
  <c r="O163" i="16"/>
  <c r="L163" i="16"/>
  <c r="K163" i="16"/>
  <c r="V162" i="16"/>
  <c r="R162" i="16"/>
  <c r="P162" i="16"/>
  <c r="O162" i="16"/>
  <c r="L162" i="16"/>
  <c r="K162" i="16"/>
  <c r="V161" i="16"/>
  <c r="R161" i="16"/>
  <c r="P161" i="16"/>
  <c r="O161" i="16"/>
  <c r="L161" i="16"/>
  <c r="K161" i="16"/>
  <c r="V160" i="16"/>
  <c r="R160" i="16"/>
  <c r="P160" i="16"/>
  <c r="O160" i="16"/>
  <c r="L160" i="16"/>
  <c r="K160" i="16"/>
  <c r="V159" i="16"/>
  <c r="R159" i="16"/>
  <c r="P159" i="16"/>
  <c r="O159" i="16"/>
  <c r="L159" i="16"/>
  <c r="K159" i="16"/>
  <c r="V158" i="16"/>
  <c r="R158" i="16"/>
  <c r="P158" i="16"/>
  <c r="O158" i="16"/>
  <c r="L158" i="16"/>
  <c r="K158" i="16"/>
  <c r="V157" i="16"/>
  <c r="R157" i="16"/>
  <c r="P157" i="16"/>
  <c r="O157" i="16"/>
  <c r="L157" i="16"/>
  <c r="K157" i="16"/>
  <c r="V156" i="16"/>
  <c r="R156" i="16"/>
  <c r="P156" i="16"/>
  <c r="O156" i="16"/>
  <c r="L156" i="16"/>
  <c r="K156" i="16"/>
  <c r="V155" i="16"/>
  <c r="R155" i="16"/>
  <c r="P155" i="16"/>
  <c r="O155" i="16"/>
  <c r="L155" i="16"/>
  <c r="K155" i="16"/>
  <c r="V154" i="16"/>
  <c r="R154" i="16"/>
  <c r="P154" i="16"/>
  <c r="O154" i="16"/>
  <c r="L154" i="16"/>
  <c r="K154" i="16"/>
  <c r="V153" i="16"/>
  <c r="R153" i="16"/>
  <c r="P153" i="16"/>
  <c r="O153" i="16"/>
  <c r="L153" i="16"/>
  <c r="K153" i="16"/>
  <c r="V152" i="16"/>
  <c r="R152" i="16"/>
  <c r="P152" i="16"/>
  <c r="O152" i="16"/>
  <c r="L152" i="16"/>
  <c r="K152" i="16"/>
  <c r="V151" i="16"/>
  <c r="R151" i="16"/>
  <c r="P151" i="16"/>
  <c r="O151" i="16"/>
  <c r="L151" i="16"/>
  <c r="K151" i="16"/>
  <c r="V150" i="16"/>
  <c r="R150" i="16"/>
  <c r="P150" i="16"/>
  <c r="O150" i="16"/>
  <c r="L150" i="16"/>
  <c r="K150" i="16"/>
  <c r="V149" i="16"/>
  <c r="R149" i="16"/>
  <c r="P149" i="16"/>
  <c r="O149" i="16"/>
  <c r="L149" i="16"/>
  <c r="K149" i="16"/>
  <c r="V148" i="16"/>
  <c r="R148" i="16"/>
  <c r="P148" i="16"/>
  <c r="O148" i="16"/>
  <c r="L148" i="16"/>
  <c r="K148" i="16"/>
  <c r="V147" i="16"/>
  <c r="R147" i="16"/>
  <c r="P147" i="16"/>
  <c r="O147" i="16"/>
  <c r="L147" i="16"/>
  <c r="K147" i="16"/>
  <c r="V146" i="16"/>
  <c r="R146" i="16"/>
  <c r="P146" i="16"/>
  <c r="O146" i="16"/>
  <c r="L146" i="16"/>
  <c r="K146" i="16"/>
  <c r="V145" i="16"/>
  <c r="R145" i="16"/>
  <c r="P145" i="16"/>
  <c r="O145" i="16"/>
  <c r="L145" i="16"/>
  <c r="K145" i="16"/>
  <c r="V144" i="16"/>
  <c r="R144" i="16"/>
  <c r="P144" i="16"/>
  <c r="O144" i="16"/>
  <c r="L144" i="16"/>
  <c r="K144" i="16"/>
  <c r="V143" i="16"/>
  <c r="R143" i="16"/>
  <c r="P143" i="16"/>
  <c r="O143" i="16"/>
  <c r="L143" i="16"/>
  <c r="K143" i="16"/>
  <c r="V142" i="16"/>
  <c r="R142" i="16"/>
  <c r="P142" i="16"/>
  <c r="O142" i="16"/>
  <c r="L142" i="16"/>
  <c r="K142" i="16"/>
  <c r="V141" i="16"/>
  <c r="R141" i="16"/>
  <c r="P141" i="16"/>
  <c r="O141" i="16"/>
  <c r="L141" i="16"/>
  <c r="K141" i="16"/>
  <c r="V140" i="16"/>
  <c r="R140" i="16"/>
  <c r="P140" i="16"/>
  <c r="O140" i="16"/>
  <c r="L140" i="16"/>
  <c r="K140" i="16"/>
  <c r="V139" i="16"/>
  <c r="R139" i="16"/>
  <c r="P139" i="16"/>
  <c r="O139" i="16"/>
  <c r="L139" i="16"/>
  <c r="K139" i="16"/>
  <c r="V138" i="16"/>
  <c r="R138" i="16"/>
  <c r="P138" i="16"/>
  <c r="O138" i="16"/>
  <c r="L138" i="16"/>
  <c r="K138" i="16"/>
  <c r="V137" i="16"/>
  <c r="R137" i="16"/>
  <c r="P137" i="16"/>
  <c r="O137" i="16"/>
  <c r="L137" i="16"/>
  <c r="K137" i="16"/>
  <c r="V136" i="16"/>
  <c r="R136" i="16"/>
  <c r="P136" i="16"/>
  <c r="O136" i="16"/>
  <c r="L136" i="16"/>
  <c r="K136" i="16"/>
  <c r="V135" i="16"/>
  <c r="R135" i="16"/>
  <c r="P135" i="16"/>
  <c r="O135" i="16"/>
  <c r="L135" i="16"/>
  <c r="K135" i="16"/>
  <c r="V134" i="16"/>
  <c r="R134" i="16"/>
  <c r="P134" i="16"/>
  <c r="O134" i="16"/>
  <c r="L134" i="16"/>
  <c r="K134" i="16"/>
  <c r="V133" i="16"/>
  <c r="R133" i="16"/>
  <c r="P133" i="16"/>
  <c r="O133" i="16"/>
  <c r="L133" i="16"/>
  <c r="K133" i="16"/>
  <c r="V132" i="16"/>
  <c r="R132" i="16"/>
  <c r="P132" i="16"/>
  <c r="O132" i="16"/>
  <c r="L132" i="16"/>
  <c r="K132" i="16"/>
  <c r="V131" i="16"/>
  <c r="R131" i="16"/>
  <c r="P131" i="16"/>
  <c r="O131" i="16"/>
  <c r="L131" i="16"/>
  <c r="K131" i="16"/>
  <c r="V130" i="16"/>
  <c r="R130" i="16"/>
  <c r="P130" i="16"/>
  <c r="O130" i="16"/>
  <c r="L130" i="16"/>
  <c r="K130" i="16"/>
  <c r="V129" i="16"/>
  <c r="R129" i="16"/>
  <c r="P129" i="16"/>
  <c r="O129" i="16"/>
  <c r="L129" i="16"/>
  <c r="K129" i="16"/>
  <c r="V128" i="16"/>
  <c r="R128" i="16"/>
  <c r="P128" i="16"/>
  <c r="O128" i="16"/>
  <c r="L128" i="16"/>
  <c r="K128" i="16"/>
  <c r="V127" i="16"/>
  <c r="R127" i="16"/>
  <c r="P127" i="16"/>
  <c r="O127" i="16"/>
  <c r="L127" i="16"/>
  <c r="K127" i="16"/>
  <c r="V126" i="16"/>
  <c r="R126" i="16"/>
  <c r="P126" i="16"/>
  <c r="O126" i="16"/>
  <c r="L126" i="16"/>
  <c r="K126" i="16"/>
  <c r="V125" i="16"/>
  <c r="R125" i="16"/>
  <c r="P125" i="16"/>
  <c r="O125" i="16"/>
  <c r="L125" i="16"/>
  <c r="K125" i="16"/>
  <c r="V124" i="16"/>
  <c r="R124" i="16"/>
  <c r="P124" i="16"/>
  <c r="O124" i="16"/>
  <c r="L124" i="16"/>
  <c r="K124" i="16"/>
  <c r="V123" i="16"/>
  <c r="R123" i="16"/>
  <c r="P123" i="16"/>
  <c r="O123" i="16"/>
  <c r="L123" i="16"/>
  <c r="K123" i="16"/>
  <c r="V122" i="16"/>
  <c r="R122" i="16"/>
  <c r="P122" i="16"/>
  <c r="O122" i="16"/>
  <c r="L122" i="16"/>
  <c r="K122" i="16"/>
  <c r="V121" i="16"/>
  <c r="R121" i="16"/>
  <c r="P121" i="16"/>
  <c r="O121" i="16"/>
  <c r="L121" i="16"/>
  <c r="K121" i="16"/>
  <c r="V120" i="16"/>
  <c r="R120" i="16"/>
  <c r="P120" i="16"/>
  <c r="O120" i="16"/>
  <c r="L120" i="16"/>
  <c r="K120" i="16"/>
  <c r="V119" i="16"/>
  <c r="R119" i="16"/>
  <c r="P119" i="16"/>
  <c r="O119" i="16"/>
  <c r="L119" i="16"/>
  <c r="K119" i="16"/>
  <c r="V118" i="16"/>
  <c r="R118" i="16"/>
  <c r="P118" i="16"/>
  <c r="O118" i="16"/>
  <c r="L118" i="16"/>
  <c r="K118" i="16"/>
  <c r="V117" i="16"/>
  <c r="R117" i="16"/>
  <c r="P117" i="16"/>
  <c r="O117" i="16"/>
  <c r="L117" i="16"/>
  <c r="K117" i="16"/>
  <c r="V116" i="16"/>
  <c r="R116" i="16"/>
  <c r="P116" i="16"/>
  <c r="O116" i="16"/>
  <c r="L116" i="16"/>
  <c r="K116" i="16"/>
  <c r="V115" i="16"/>
  <c r="R115" i="16"/>
  <c r="P115" i="16"/>
  <c r="O115" i="16"/>
  <c r="L115" i="16"/>
  <c r="K115" i="16"/>
  <c r="V114" i="16"/>
  <c r="R114" i="16"/>
  <c r="P114" i="16"/>
  <c r="O114" i="16"/>
  <c r="L114" i="16"/>
  <c r="K114" i="16"/>
  <c r="V113" i="16"/>
  <c r="R113" i="16"/>
  <c r="P113" i="16"/>
  <c r="O113" i="16"/>
  <c r="L113" i="16"/>
  <c r="K113" i="16"/>
  <c r="V112" i="16"/>
  <c r="R112" i="16"/>
  <c r="P112" i="16"/>
  <c r="O112" i="16"/>
  <c r="L112" i="16"/>
  <c r="K112" i="16"/>
  <c r="V111" i="16"/>
  <c r="R111" i="16"/>
  <c r="P111" i="16"/>
  <c r="O111" i="16"/>
  <c r="L111" i="16"/>
  <c r="K111" i="16"/>
  <c r="V110" i="16"/>
  <c r="R110" i="16"/>
  <c r="P110" i="16"/>
  <c r="O110" i="16"/>
  <c r="L110" i="16"/>
  <c r="K110" i="16"/>
  <c r="V109" i="16"/>
  <c r="R109" i="16"/>
  <c r="P109" i="16"/>
  <c r="O109" i="16"/>
  <c r="L109" i="16"/>
  <c r="K109" i="16"/>
  <c r="V108" i="16"/>
  <c r="R108" i="16"/>
  <c r="P108" i="16"/>
  <c r="O108" i="16"/>
  <c r="L108" i="16"/>
  <c r="K108" i="16"/>
  <c r="V107" i="16"/>
  <c r="R107" i="16"/>
  <c r="P107" i="16"/>
  <c r="O107" i="16"/>
  <c r="L107" i="16"/>
  <c r="K107" i="16"/>
  <c r="V106" i="16"/>
  <c r="R106" i="16"/>
  <c r="P106" i="16"/>
  <c r="O106" i="16"/>
  <c r="L106" i="16"/>
  <c r="K106" i="16"/>
  <c r="V105" i="16"/>
  <c r="R105" i="16"/>
  <c r="P105" i="16"/>
  <c r="O105" i="16"/>
  <c r="L105" i="16"/>
  <c r="K105" i="16"/>
  <c r="V104" i="16"/>
  <c r="R104" i="16"/>
  <c r="P104" i="16"/>
  <c r="O104" i="16"/>
  <c r="L104" i="16"/>
  <c r="K104" i="16"/>
  <c r="V103" i="16"/>
  <c r="R103" i="16"/>
  <c r="P103" i="16"/>
  <c r="O103" i="16"/>
  <c r="L103" i="16"/>
  <c r="K103" i="16"/>
  <c r="V102" i="16"/>
  <c r="R102" i="16"/>
  <c r="P102" i="16"/>
  <c r="O102" i="16"/>
  <c r="L102" i="16"/>
  <c r="K102" i="16"/>
  <c r="V101" i="16"/>
  <c r="R101" i="16"/>
  <c r="P101" i="16"/>
  <c r="O101" i="16"/>
  <c r="L101" i="16"/>
  <c r="K101" i="16"/>
  <c r="V100" i="16"/>
  <c r="R100" i="16"/>
  <c r="P100" i="16"/>
  <c r="O100" i="16"/>
  <c r="L100" i="16"/>
  <c r="K100" i="16"/>
  <c r="V99" i="16"/>
  <c r="R99" i="16"/>
  <c r="P99" i="16"/>
  <c r="O99" i="16"/>
  <c r="L99" i="16"/>
  <c r="K99" i="16"/>
  <c r="V98" i="16"/>
  <c r="R98" i="16"/>
  <c r="P98" i="16"/>
  <c r="O98" i="16"/>
  <c r="L98" i="16"/>
  <c r="K98" i="16"/>
  <c r="V97" i="16"/>
  <c r="R97" i="16"/>
  <c r="P97" i="16"/>
  <c r="O97" i="16"/>
  <c r="L97" i="16"/>
  <c r="K97" i="16"/>
  <c r="V96" i="16"/>
  <c r="R96" i="16"/>
  <c r="P96" i="16"/>
  <c r="O96" i="16"/>
  <c r="L96" i="16"/>
  <c r="K96" i="16"/>
  <c r="V95" i="16"/>
  <c r="R95" i="16"/>
  <c r="P95" i="16"/>
  <c r="O95" i="16"/>
  <c r="L95" i="16"/>
  <c r="K95" i="16"/>
  <c r="V94" i="16"/>
  <c r="R94" i="16"/>
  <c r="P94" i="16"/>
  <c r="O94" i="16"/>
  <c r="L94" i="16"/>
  <c r="K94" i="16"/>
  <c r="V93" i="16"/>
  <c r="R93" i="16"/>
  <c r="P93" i="16"/>
  <c r="O93" i="16"/>
  <c r="L93" i="16"/>
  <c r="K93" i="16"/>
  <c r="V92" i="16"/>
  <c r="R92" i="16"/>
  <c r="P92" i="16"/>
  <c r="O92" i="16"/>
  <c r="L92" i="16"/>
  <c r="K92" i="16"/>
  <c r="V91" i="16"/>
  <c r="R91" i="16"/>
  <c r="P91" i="16"/>
  <c r="O91" i="16"/>
  <c r="L91" i="16"/>
  <c r="K91" i="16"/>
  <c r="V90" i="16"/>
  <c r="R90" i="16"/>
  <c r="P90" i="16"/>
  <c r="O90" i="16"/>
  <c r="L90" i="16"/>
  <c r="K90" i="16"/>
  <c r="V89" i="16"/>
  <c r="R89" i="16"/>
  <c r="P89" i="16"/>
  <c r="O89" i="16"/>
  <c r="L89" i="16"/>
  <c r="K89" i="16"/>
  <c r="V88" i="16"/>
  <c r="R88" i="16"/>
  <c r="P88" i="16"/>
  <c r="O88" i="16"/>
  <c r="L88" i="16"/>
  <c r="K88" i="16"/>
  <c r="V87" i="16"/>
  <c r="R87" i="16"/>
  <c r="P87" i="16"/>
  <c r="O87" i="16"/>
  <c r="L87" i="16"/>
  <c r="K87" i="16"/>
  <c r="V86" i="16"/>
  <c r="R86" i="16"/>
  <c r="P86" i="16"/>
  <c r="O86" i="16"/>
  <c r="L86" i="16"/>
  <c r="K86" i="16"/>
  <c r="V85" i="16"/>
  <c r="R85" i="16"/>
  <c r="P85" i="16"/>
  <c r="O85" i="16"/>
  <c r="L85" i="16"/>
  <c r="K85" i="16"/>
  <c r="V84" i="16"/>
  <c r="R84" i="16"/>
  <c r="P84" i="16"/>
  <c r="O84" i="16"/>
  <c r="L84" i="16"/>
  <c r="K84" i="16"/>
  <c r="V83" i="16"/>
  <c r="R83" i="16"/>
  <c r="P83" i="16"/>
  <c r="O83" i="16"/>
  <c r="L83" i="16"/>
  <c r="K83" i="16"/>
  <c r="V82" i="16"/>
  <c r="R82" i="16"/>
  <c r="P82" i="16"/>
  <c r="O82" i="16"/>
  <c r="L82" i="16"/>
  <c r="K82" i="16"/>
  <c r="V81" i="16"/>
  <c r="R81" i="16"/>
  <c r="P81" i="16"/>
  <c r="O81" i="16"/>
  <c r="L81" i="16"/>
  <c r="K81" i="16"/>
  <c r="V80" i="16"/>
  <c r="R80" i="16"/>
  <c r="P80" i="16"/>
  <c r="O80" i="16"/>
  <c r="L80" i="16"/>
  <c r="K80" i="16"/>
  <c r="V79" i="16"/>
  <c r="R79" i="16"/>
  <c r="P79" i="16"/>
  <c r="O79" i="16"/>
  <c r="L79" i="16"/>
  <c r="K79" i="16"/>
  <c r="V78" i="16"/>
  <c r="R78" i="16"/>
  <c r="P78" i="16"/>
  <c r="O78" i="16"/>
  <c r="L78" i="16"/>
  <c r="K78" i="16"/>
  <c r="V77" i="16"/>
  <c r="R77" i="16"/>
  <c r="P77" i="16"/>
  <c r="O77" i="16"/>
  <c r="L77" i="16"/>
  <c r="K77" i="16"/>
  <c r="V76" i="16"/>
  <c r="R76" i="16"/>
  <c r="P76" i="16"/>
  <c r="O76" i="16"/>
  <c r="L76" i="16"/>
  <c r="K76" i="16"/>
  <c r="V75" i="16"/>
  <c r="R75" i="16"/>
  <c r="P75" i="16"/>
  <c r="O75" i="16"/>
  <c r="L75" i="16"/>
  <c r="K75" i="16"/>
  <c r="V74" i="16"/>
  <c r="R74" i="16"/>
  <c r="P74" i="16"/>
  <c r="O74" i="16"/>
  <c r="L74" i="16"/>
  <c r="K74" i="16"/>
  <c r="V73" i="16"/>
  <c r="R73" i="16"/>
  <c r="P73" i="16"/>
  <c r="O73" i="16"/>
  <c r="L73" i="16"/>
  <c r="K73" i="16"/>
  <c r="V72" i="16"/>
  <c r="R72" i="16"/>
  <c r="P72" i="16"/>
  <c r="O72" i="16"/>
  <c r="L72" i="16"/>
  <c r="K72" i="16"/>
  <c r="V71" i="16"/>
  <c r="R71" i="16"/>
  <c r="P71" i="16"/>
  <c r="O71" i="16"/>
  <c r="L71" i="16"/>
  <c r="K71" i="16"/>
  <c r="V70" i="16"/>
  <c r="R70" i="16"/>
  <c r="P70" i="16"/>
  <c r="O70" i="16"/>
  <c r="L70" i="16"/>
  <c r="K70" i="16"/>
  <c r="V69" i="16"/>
  <c r="R69" i="16"/>
  <c r="P69" i="16"/>
  <c r="O69" i="16"/>
  <c r="L69" i="16"/>
  <c r="K69" i="16"/>
  <c r="V68" i="16"/>
  <c r="R68" i="16"/>
  <c r="P68" i="16"/>
  <c r="O68" i="16"/>
  <c r="L68" i="16"/>
  <c r="K68" i="16"/>
  <c r="V67" i="16"/>
  <c r="R67" i="16"/>
  <c r="P67" i="16"/>
  <c r="O67" i="16"/>
  <c r="L67" i="16"/>
  <c r="K67" i="16"/>
  <c r="V66" i="16"/>
  <c r="R66" i="16"/>
  <c r="P66" i="16"/>
  <c r="O66" i="16"/>
  <c r="L66" i="16"/>
  <c r="K66" i="16"/>
  <c r="V65" i="16"/>
  <c r="R65" i="16"/>
  <c r="P65" i="16"/>
  <c r="O65" i="16"/>
  <c r="L65" i="16"/>
  <c r="K65" i="16"/>
  <c r="V64" i="16"/>
  <c r="R64" i="16"/>
  <c r="P64" i="16"/>
  <c r="O64" i="16"/>
  <c r="L64" i="16"/>
  <c r="K64" i="16"/>
  <c r="V63" i="16"/>
  <c r="R63" i="16"/>
  <c r="P63" i="16"/>
  <c r="O63" i="16"/>
  <c r="L63" i="16"/>
  <c r="K63" i="16"/>
  <c r="V62" i="16"/>
  <c r="R62" i="16"/>
  <c r="P62" i="16"/>
  <c r="O62" i="16"/>
  <c r="L62" i="16"/>
  <c r="K62" i="16"/>
  <c r="V61" i="16"/>
  <c r="R61" i="16"/>
  <c r="P61" i="16"/>
  <c r="O61" i="16"/>
  <c r="L61" i="16"/>
  <c r="K61" i="16"/>
  <c r="V60" i="16"/>
  <c r="R60" i="16"/>
  <c r="P60" i="16"/>
  <c r="O60" i="16"/>
  <c r="L60" i="16"/>
  <c r="K60" i="16"/>
  <c r="V59" i="16"/>
  <c r="R59" i="16"/>
  <c r="P59" i="16"/>
  <c r="O59" i="16"/>
  <c r="L59" i="16"/>
  <c r="K59" i="16"/>
  <c r="V58" i="16"/>
  <c r="R58" i="16"/>
  <c r="P58" i="16"/>
  <c r="O58" i="16"/>
  <c r="L58" i="16"/>
  <c r="K58" i="16"/>
  <c r="V57" i="16"/>
  <c r="R57" i="16"/>
  <c r="P57" i="16"/>
  <c r="O57" i="16"/>
  <c r="L57" i="16"/>
  <c r="K57" i="16"/>
  <c r="V56" i="16"/>
  <c r="R56" i="16"/>
  <c r="P56" i="16"/>
  <c r="O56" i="16"/>
  <c r="L56" i="16"/>
  <c r="K56" i="16"/>
  <c r="V55" i="16"/>
  <c r="R55" i="16"/>
  <c r="P55" i="16"/>
  <c r="O55" i="16"/>
  <c r="L55" i="16"/>
  <c r="K55" i="16"/>
  <c r="V54" i="16"/>
  <c r="R54" i="16"/>
  <c r="P54" i="16"/>
  <c r="O54" i="16"/>
  <c r="L54" i="16"/>
  <c r="K54" i="16"/>
  <c r="V53" i="16"/>
  <c r="R53" i="16"/>
  <c r="P53" i="16"/>
  <c r="O53" i="16"/>
  <c r="L53" i="16"/>
  <c r="K53" i="16"/>
  <c r="V52" i="16"/>
  <c r="R52" i="16"/>
  <c r="P52" i="16"/>
  <c r="O52" i="16"/>
  <c r="L52" i="16"/>
  <c r="K52" i="16"/>
  <c r="V51" i="16"/>
  <c r="R51" i="16"/>
  <c r="P51" i="16"/>
  <c r="O51" i="16"/>
  <c r="L51" i="16"/>
  <c r="K51" i="16"/>
  <c r="V50" i="16"/>
  <c r="R50" i="16"/>
  <c r="P50" i="16"/>
  <c r="O50" i="16"/>
  <c r="L50" i="16"/>
  <c r="K50" i="16"/>
  <c r="V49" i="16"/>
  <c r="R49" i="16"/>
  <c r="P49" i="16"/>
  <c r="O49" i="16"/>
  <c r="L49" i="16"/>
  <c r="K49" i="16"/>
  <c r="V48" i="16"/>
  <c r="R48" i="16"/>
  <c r="P48" i="16"/>
  <c r="O48" i="16"/>
  <c r="L48" i="16"/>
  <c r="K48" i="16"/>
  <c r="V47" i="16"/>
  <c r="R47" i="16"/>
  <c r="P47" i="16"/>
  <c r="O47" i="16"/>
  <c r="L47" i="16"/>
  <c r="K47" i="16"/>
  <c r="V46" i="16"/>
  <c r="R46" i="16"/>
  <c r="P46" i="16"/>
  <c r="O46" i="16"/>
  <c r="L46" i="16"/>
  <c r="K46" i="16"/>
  <c r="V45" i="16"/>
  <c r="R45" i="16"/>
  <c r="P45" i="16"/>
  <c r="O45" i="16"/>
  <c r="L45" i="16"/>
  <c r="K45" i="16"/>
  <c r="V44" i="16"/>
  <c r="R44" i="16"/>
  <c r="P44" i="16"/>
  <c r="O44" i="16"/>
  <c r="L44" i="16"/>
  <c r="K44" i="16"/>
  <c r="V43" i="16"/>
  <c r="R43" i="16"/>
  <c r="P43" i="16"/>
  <c r="O43" i="16"/>
  <c r="L43" i="16"/>
  <c r="K43" i="16"/>
  <c r="V42" i="16"/>
  <c r="R42" i="16"/>
  <c r="P42" i="16"/>
  <c r="O42" i="16"/>
  <c r="L42" i="16"/>
  <c r="K42" i="16"/>
  <c r="V41" i="16"/>
  <c r="R41" i="16"/>
  <c r="P41" i="16"/>
  <c r="O41" i="16"/>
  <c r="L41" i="16"/>
  <c r="K41" i="16"/>
  <c r="V40" i="16"/>
  <c r="R40" i="16"/>
  <c r="P40" i="16"/>
  <c r="O40" i="16"/>
  <c r="L40" i="16"/>
  <c r="K40" i="16"/>
  <c r="V39" i="16"/>
  <c r="R39" i="16"/>
  <c r="P39" i="16"/>
  <c r="O39" i="16"/>
  <c r="L39" i="16"/>
  <c r="K39" i="16"/>
  <c r="V38" i="16"/>
  <c r="R38" i="16"/>
  <c r="P38" i="16"/>
  <c r="O38" i="16"/>
  <c r="L38" i="16"/>
  <c r="K38" i="16"/>
  <c r="V37" i="16"/>
  <c r="R37" i="16"/>
  <c r="P37" i="16"/>
  <c r="O37" i="16"/>
  <c r="L37" i="16"/>
  <c r="K37" i="16"/>
  <c r="V36" i="16"/>
  <c r="R36" i="16"/>
  <c r="P36" i="16"/>
  <c r="O36" i="16"/>
  <c r="L36" i="16"/>
  <c r="K36" i="16"/>
  <c r="V35" i="16"/>
  <c r="R35" i="16"/>
  <c r="P35" i="16"/>
  <c r="O35" i="16"/>
  <c r="L35" i="16"/>
  <c r="K35" i="16"/>
  <c r="V34" i="16"/>
  <c r="R34" i="16"/>
  <c r="P34" i="16"/>
  <c r="O34" i="16"/>
  <c r="L34" i="16"/>
  <c r="K34" i="16"/>
  <c r="V33" i="16"/>
  <c r="R33" i="16"/>
  <c r="P33" i="16"/>
  <c r="O33" i="16"/>
  <c r="L33" i="16"/>
  <c r="K33" i="16"/>
  <c r="V32" i="16"/>
  <c r="R32" i="16"/>
  <c r="P32" i="16"/>
  <c r="O32" i="16"/>
  <c r="L32" i="16"/>
  <c r="K32" i="16"/>
  <c r="V31" i="16"/>
  <c r="R31" i="16"/>
  <c r="P31" i="16"/>
  <c r="O31" i="16"/>
  <c r="L31" i="16"/>
  <c r="K31" i="16"/>
  <c r="V30" i="16"/>
  <c r="R30" i="16"/>
  <c r="P30" i="16"/>
  <c r="O30" i="16"/>
  <c r="L30" i="16"/>
  <c r="K30" i="16"/>
  <c r="V29" i="16"/>
  <c r="R29" i="16"/>
  <c r="P29" i="16"/>
  <c r="O29" i="16"/>
  <c r="L29" i="16"/>
  <c r="K29" i="16"/>
  <c r="V28" i="16"/>
  <c r="R28" i="16"/>
  <c r="P28" i="16"/>
  <c r="O28" i="16"/>
  <c r="L28" i="16"/>
  <c r="K28" i="16"/>
  <c r="V27" i="16"/>
  <c r="R27" i="16"/>
  <c r="P27" i="16"/>
  <c r="O27" i="16"/>
  <c r="L27" i="16"/>
  <c r="K27" i="16"/>
  <c r="V26" i="16"/>
  <c r="R26" i="16"/>
  <c r="P26" i="16"/>
  <c r="O26" i="16"/>
  <c r="L26" i="16"/>
  <c r="K26" i="16"/>
  <c r="V25" i="16"/>
  <c r="R25" i="16"/>
  <c r="P25" i="16"/>
  <c r="O25" i="16"/>
  <c r="L25" i="16"/>
  <c r="K25" i="16"/>
  <c r="V24" i="16"/>
  <c r="R24" i="16"/>
  <c r="P24" i="16"/>
  <c r="O24" i="16"/>
  <c r="L24" i="16"/>
  <c r="K24" i="16"/>
  <c r="V23" i="16"/>
  <c r="R23" i="16"/>
  <c r="P23" i="16"/>
  <c r="O23" i="16"/>
  <c r="L23" i="16"/>
  <c r="K23" i="16"/>
  <c r="V22" i="16"/>
  <c r="R22" i="16"/>
  <c r="P22" i="16"/>
  <c r="O22" i="16"/>
  <c r="L22" i="16"/>
  <c r="K22" i="16"/>
  <c r="V21" i="16"/>
  <c r="R21" i="16"/>
  <c r="P21" i="16"/>
  <c r="O21" i="16"/>
  <c r="L21" i="16"/>
  <c r="K21" i="16"/>
  <c r="V20" i="16"/>
  <c r="R20" i="16"/>
  <c r="P20" i="16"/>
  <c r="O20" i="16"/>
  <c r="L20" i="16"/>
  <c r="K20" i="16"/>
  <c r="V19" i="16"/>
  <c r="R19" i="16"/>
  <c r="P19" i="16"/>
  <c r="O19" i="16"/>
  <c r="L19" i="16"/>
  <c r="K19" i="16"/>
  <c r="V18" i="16"/>
  <c r="R18" i="16"/>
  <c r="P18" i="16"/>
  <c r="O18" i="16"/>
  <c r="L18" i="16"/>
  <c r="K18" i="16"/>
  <c r="V17" i="16"/>
  <c r="R17" i="16"/>
  <c r="P17" i="16"/>
  <c r="O17" i="16"/>
  <c r="L17" i="16"/>
  <c r="K17" i="16"/>
  <c r="V16" i="16"/>
  <c r="R16" i="16"/>
  <c r="P16" i="16"/>
  <c r="O16" i="16"/>
  <c r="L16" i="16"/>
  <c r="K16" i="16"/>
  <c r="V15" i="16"/>
  <c r="R15" i="16"/>
  <c r="P15" i="16"/>
  <c r="O15" i="16"/>
  <c r="L15" i="16"/>
  <c r="K15" i="16"/>
  <c r="V14" i="16"/>
  <c r="R14" i="16"/>
  <c r="P14" i="16"/>
  <c r="O14" i="16"/>
  <c r="L14" i="16"/>
  <c r="K14" i="16"/>
  <c r="V13" i="16"/>
  <c r="R13" i="16"/>
  <c r="P13" i="16"/>
  <c r="O13" i="16"/>
  <c r="L13" i="16"/>
  <c r="K13" i="16"/>
  <c r="V12" i="16"/>
  <c r="R12" i="16"/>
  <c r="P12" i="16"/>
  <c r="O12" i="16"/>
  <c r="L12" i="16"/>
  <c r="K12" i="16"/>
  <c r="V11" i="16"/>
  <c r="R11" i="16"/>
  <c r="P11" i="16"/>
  <c r="O11" i="16"/>
  <c r="L11" i="16"/>
  <c r="K11" i="16"/>
  <c r="V10" i="16"/>
  <c r="R10" i="16"/>
  <c r="P10" i="16"/>
  <c r="O10" i="16"/>
  <c r="L10" i="16"/>
  <c r="K10" i="16"/>
  <c r="V9" i="16"/>
  <c r="R9" i="16"/>
  <c r="P9" i="16"/>
  <c r="O9" i="16"/>
  <c r="L9" i="16"/>
  <c r="K9" i="16"/>
  <c r="V8" i="16"/>
  <c r="R8" i="16"/>
  <c r="P8" i="16"/>
  <c r="O8" i="16"/>
  <c r="L8" i="16"/>
  <c r="K8" i="16"/>
  <c r="U3" i="16"/>
  <c r="R208" i="16" s="1"/>
  <c r="T783" i="13"/>
  <c r="T781" i="13"/>
  <c r="T850" i="10"/>
  <c r="T780" i="13"/>
  <c r="U129" i="14"/>
  <c r="Q765" i="16" l="1"/>
  <c r="Q721" i="16"/>
  <c r="R765" i="16"/>
  <c r="Q718" i="16"/>
  <c r="Q43" i="17"/>
  <c r="Q23" i="17"/>
  <c r="Q35" i="17"/>
  <c r="Q39" i="17"/>
  <c r="Q41" i="17"/>
  <c r="Q96" i="17"/>
  <c r="Q115" i="17"/>
  <c r="Q18" i="17"/>
  <c r="Q36" i="17"/>
  <c r="Q38" i="17"/>
  <c r="Q55" i="17"/>
  <c r="Q25" i="17"/>
  <c r="Q34" i="17"/>
  <c r="Q56" i="17"/>
  <c r="Q58" i="17"/>
  <c r="Q60" i="17"/>
  <c r="T60" i="17" s="1"/>
  <c r="U60" i="17" s="1"/>
  <c r="W60" i="17" s="1" a="1"/>
  <c r="W60" i="17" s="1"/>
  <c r="Q62" i="17"/>
  <c r="Q64" i="17"/>
  <c r="Q66" i="17"/>
  <c r="Q68" i="17"/>
  <c r="Q70" i="17"/>
  <c r="Q72" i="17"/>
  <c r="Q74" i="17"/>
  <c r="Q76" i="17"/>
  <c r="Q78" i="17"/>
  <c r="Q80" i="17"/>
  <c r="Q82" i="17"/>
  <c r="Q99" i="17"/>
  <c r="Q101" i="17"/>
  <c r="Q103" i="17"/>
  <c r="Q105" i="17"/>
  <c r="Q107" i="17"/>
  <c r="Q120" i="17"/>
  <c r="Q21" i="17"/>
  <c r="Q22" i="17"/>
  <c r="Q83" i="17"/>
  <c r="Q85" i="17"/>
  <c r="Q87" i="17"/>
  <c r="Q89" i="17"/>
  <c r="Q91" i="17"/>
  <c r="T91" i="17" s="1"/>
  <c r="U91" i="17" s="1"/>
  <c r="W91" i="17" s="1" a="1"/>
  <c r="W91" i="17" s="1"/>
  <c r="Q95" i="17"/>
  <c r="Q97" i="17"/>
  <c r="Q117" i="17"/>
  <c r="Q119" i="17"/>
  <c r="Q20" i="17"/>
  <c r="Q31" i="17"/>
  <c r="Q33" i="17"/>
  <c r="Q42" i="17"/>
  <c r="Q44" i="17"/>
  <c r="Q46" i="17"/>
  <c r="Q54" i="17"/>
  <c r="I13" i="17"/>
  <c r="I128" i="17" s="1"/>
  <c r="Q17" i="17"/>
  <c r="Q26" i="17"/>
  <c r="Q28" i="17"/>
  <c r="Q30" i="17"/>
  <c r="Q47" i="17"/>
  <c r="Q49" i="17"/>
  <c r="Q51" i="17"/>
  <c r="Q53" i="17"/>
  <c r="Q92" i="17"/>
  <c r="Q94" i="17"/>
  <c r="U3" i="17"/>
  <c r="Q16" i="17"/>
  <c r="Q19" i="17"/>
  <c r="Q24" i="17"/>
  <c r="Q27" i="17"/>
  <c r="Q84" i="17"/>
  <c r="T84" i="17" s="1"/>
  <c r="U84" i="17" s="1"/>
  <c r="W84" i="17" s="1" a="1"/>
  <c r="W84" i="17" s="1"/>
  <c r="P124" i="17"/>
  <c r="Q116" i="17"/>
  <c r="Q118" i="17"/>
  <c r="P111" i="17"/>
  <c r="Q29" i="17"/>
  <c r="Q32" i="17"/>
  <c r="Q37" i="17"/>
  <c r="Q40" i="17"/>
  <c r="Q45" i="17"/>
  <c r="Q48" i="17"/>
  <c r="Q50" i="17"/>
  <c r="Q52" i="17"/>
  <c r="Q57" i="17"/>
  <c r="Q59" i="17"/>
  <c r="Q61" i="17"/>
  <c r="Q63" i="17"/>
  <c r="Q65" i="17"/>
  <c r="Q67" i="17"/>
  <c r="Q69" i="17"/>
  <c r="Q71" i="17"/>
  <c r="Q73" i="17"/>
  <c r="Q75" i="17"/>
  <c r="Q77" i="17"/>
  <c r="Q79" i="17"/>
  <c r="Q81" i="17"/>
  <c r="Q86" i="17"/>
  <c r="Q88" i="17"/>
  <c r="Q90" i="17"/>
  <c r="Q93" i="17"/>
  <c r="Q98" i="17"/>
  <c r="K124" i="17"/>
  <c r="O124" i="17"/>
  <c r="L124" i="17"/>
  <c r="K111" i="17"/>
  <c r="L111" i="17"/>
  <c r="Q100" i="17"/>
  <c r="Q102" i="17"/>
  <c r="Q104" i="17"/>
  <c r="Q106" i="17"/>
  <c r="Q108" i="17"/>
  <c r="Q620" i="16"/>
  <c r="Q622" i="16"/>
  <c r="Q624" i="16"/>
  <c r="Q628" i="16"/>
  <c r="Q630" i="16"/>
  <c r="Q636" i="16"/>
  <c r="Q640" i="16"/>
  <c r="Q642" i="16"/>
  <c r="Q644" i="16"/>
  <c r="Q648" i="16"/>
  <c r="Q650" i="16"/>
  <c r="Q652" i="16"/>
  <c r="Q654" i="16"/>
  <c r="Q660" i="16"/>
  <c r="Q664" i="16"/>
  <c r="Q676" i="16"/>
  <c r="Q684" i="16"/>
  <c r="Q686" i="16"/>
  <c r="Q690" i="16"/>
  <c r="Q692" i="16"/>
  <c r="Q694" i="16"/>
  <c r="Q696" i="16"/>
  <c r="Q698" i="16"/>
  <c r="Q700" i="16"/>
  <c r="Q707" i="16"/>
  <c r="Q709" i="16"/>
  <c r="R721" i="16"/>
  <c r="T721" i="16" s="1"/>
  <c r="U721" i="16" s="1"/>
  <c r="W721" i="16" s="1" a="1"/>
  <c r="W721" i="16" s="1"/>
  <c r="Q720" i="16"/>
  <c r="R720" i="16"/>
  <c r="Q719" i="16"/>
  <c r="T719" i="16"/>
  <c r="U719" i="16" s="1"/>
  <c r="W719" i="16" s="1" a="1"/>
  <c r="W719" i="16" s="1"/>
  <c r="Q533" i="16"/>
  <c r="T533" i="16" s="1"/>
  <c r="U533" i="16" s="1"/>
  <c r="W533" i="16" s="1" a="1"/>
  <c r="W533" i="16" s="1"/>
  <c r="R718" i="16"/>
  <c r="Q722" i="16"/>
  <c r="Q237" i="16"/>
  <c r="R722" i="16"/>
  <c r="Q342" i="16"/>
  <c r="Q374" i="16"/>
  <c r="Q392" i="16"/>
  <c r="R237" i="16"/>
  <c r="Q534" i="16"/>
  <c r="T534" i="16" s="1"/>
  <c r="U534" i="16" s="1"/>
  <c r="W534" i="16" s="1" a="1"/>
  <c r="W534" i="16" s="1"/>
  <c r="R551" i="16"/>
  <c r="Q10" i="16"/>
  <c r="Q14" i="16"/>
  <c r="Q18" i="16"/>
  <c r="Q22" i="16"/>
  <c r="Q26" i="16"/>
  <c r="Q30" i="16"/>
  <c r="Q34" i="16"/>
  <c r="Q38" i="16"/>
  <c r="Q42" i="16"/>
  <c r="Q46" i="16"/>
  <c r="Q60" i="16"/>
  <c r="Q78" i="16"/>
  <c r="Q79" i="16"/>
  <c r="Q81" i="16"/>
  <c r="Q85" i="16"/>
  <c r="Q357" i="16"/>
  <c r="Q365" i="16"/>
  <c r="Q367" i="16"/>
  <c r="Q142" i="16"/>
  <c r="Q185" i="16"/>
  <c r="Q187" i="16"/>
  <c r="Q189" i="16"/>
  <c r="Q191" i="16"/>
  <c r="Q193" i="16"/>
  <c r="Q195" i="16"/>
  <c r="Q197" i="16"/>
  <c r="Q201" i="16"/>
  <c r="Q203" i="16"/>
  <c r="Q205" i="16"/>
  <c r="Q323" i="16"/>
  <c r="Q327" i="16"/>
  <c r="Q355" i="16"/>
  <c r="Q387" i="16"/>
  <c r="Q581" i="16"/>
  <c r="Q617" i="16"/>
  <c r="Q59" i="16"/>
  <c r="Q61" i="16"/>
  <c r="Q145" i="16"/>
  <c r="Q169" i="16"/>
  <c r="Q176" i="16"/>
  <c r="Q178" i="16"/>
  <c r="K178" i="16" s="1"/>
  <c r="L178" i="16" s="1"/>
  <c r="Q371" i="16"/>
  <c r="Q571" i="16"/>
  <c r="L571" i="16" s="1"/>
  <c r="Q146" i="16"/>
  <c r="Q148" i="16"/>
  <c r="Q150" i="16"/>
  <c r="U179" i="16"/>
  <c r="W179" i="16" s="1" a="1"/>
  <c r="W179" i="16" s="1"/>
  <c r="Q184" i="16"/>
  <c r="Q226" i="16"/>
  <c r="Q230" i="16"/>
  <c r="Q234" i="16"/>
  <c r="Q239" i="16"/>
  <c r="Q243" i="16"/>
  <c r="Q247" i="16"/>
  <c r="Q251" i="16"/>
  <c r="Q255" i="16"/>
  <c r="Q259" i="16"/>
  <c r="Q263" i="16"/>
  <c r="Q267" i="16"/>
  <c r="Q271" i="16"/>
  <c r="Q275" i="16"/>
  <c r="Q281" i="16"/>
  <c r="Q285" i="16"/>
  <c r="Q289" i="16"/>
  <c r="Q293" i="16"/>
  <c r="Q297" i="16"/>
  <c r="Q299" i="16"/>
  <c r="Q301" i="16"/>
  <c r="Q303" i="16"/>
  <c r="Q356" i="16"/>
  <c r="Q358" i="16"/>
  <c r="Q360" i="16"/>
  <c r="Q362" i="16"/>
  <c r="Q364" i="16"/>
  <c r="Q368" i="16"/>
  <c r="Q619" i="16"/>
  <c r="Q655" i="16"/>
  <c r="Q685" i="16"/>
  <c r="Q730" i="16"/>
  <c r="Q734" i="16"/>
  <c r="Q738" i="16"/>
  <c r="Q742" i="16"/>
  <c r="Q746" i="16"/>
  <c r="Q750" i="16"/>
  <c r="Q754" i="16"/>
  <c r="Q758" i="16"/>
  <c r="Q616" i="16"/>
  <c r="Q701" i="16"/>
  <c r="U203" i="16"/>
  <c r="W203" i="16" s="1" a="1"/>
  <c r="W203" i="16" s="1"/>
  <c r="Q326" i="16"/>
  <c r="Q125" i="16"/>
  <c r="Q213" i="16"/>
  <c r="Q573" i="16"/>
  <c r="Q575" i="16"/>
  <c r="Q158" i="16"/>
  <c r="Q166" i="16"/>
  <c r="Q212" i="16"/>
  <c r="Q149" i="16"/>
  <c r="Q399" i="16"/>
  <c r="Q527" i="16"/>
  <c r="W571" i="16" a="1"/>
  <c r="W571" i="16" s="1"/>
  <c r="Q64" i="16"/>
  <c r="Q68" i="16"/>
  <c r="Q72" i="16"/>
  <c r="Q87" i="16"/>
  <c r="Q89" i="16"/>
  <c r="Q91" i="16"/>
  <c r="Q93" i="16"/>
  <c r="Q95" i="16"/>
  <c r="Q97" i="16"/>
  <c r="Q99" i="16"/>
  <c r="Q101" i="16"/>
  <c r="Q103" i="16"/>
  <c r="Q105" i="16"/>
  <c r="Q111" i="16"/>
  <c r="Q113" i="16"/>
  <c r="Q117" i="16"/>
  <c r="Q127" i="16"/>
  <c r="Q129" i="16"/>
  <c r="Q131" i="16"/>
  <c r="Q133" i="16"/>
  <c r="Q135" i="16"/>
  <c r="Q137" i="16"/>
  <c r="Q141" i="16"/>
  <c r="Q143" i="16"/>
  <c r="Q307" i="16"/>
  <c r="Q352" i="16"/>
  <c r="Q390" i="16"/>
  <c r="Q508" i="16"/>
  <c r="Q11" i="16"/>
  <c r="Q15" i="16"/>
  <c r="Q19" i="16"/>
  <c r="Q23" i="16"/>
  <c r="Q27" i="16"/>
  <c r="Q31" i="16"/>
  <c r="Q35" i="16"/>
  <c r="Q82" i="16"/>
  <c r="Q84" i="16"/>
  <c r="Q206" i="16"/>
  <c r="Q208" i="16"/>
  <c r="Q210" i="16"/>
  <c r="Q223" i="16"/>
  <c r="Q317" i="16"/>
  <c r="Q319" i="16"/>
  <c r="Q339" i="16"/>
  <c r="Q381" i="16"/>
  <c r="Q383" i="16"/>
  <c r="Q391" i="16"/>
  <c r="Q393" i="16"/>
  <c r="Q569" i="16"/>
  <c r="L569" i="16" s="1"/>
  <c r="Q672" i="16"/>
  <c r="Q705" i="16"/>
  <c r="Q715" i="16"/>
  <c r="Q717" i="16"/>
  <c r="Q73" i="16"/>
  <c r="Q77" i="16"/>
  <c r="Q86" i="16"/>
  <c r="Q96" i="16"/>
  <c r="Q100" i="16"/>
  <c r="Q104" i="16"/>
  <c r="Q118" i="16"/>
  <c r="Q124" i="16"/>
  <c r="Q128" i="16"/>
  <c r="Q132" i="16"/>
  <c r="Q136" i="16"/>
  <c r="Q151" i="16"/>
  <c r="Q153" i="16"/>
  <c r="Q155" i="16"/>
  <c r="Q157" i="16"/>
  <c r="Q159" i="16"/>
  <c r="Q161" i="16"/>
  <c r="Q163" i="16"/>
  <c r="Q165" i="16"/>
  <c r="Q167" i="16"/>
  <c r="G770" i="16"/>
  <c r="Q183" i="16"/>
  <c r="Q214" i="16"/>
  <c r="Q216" i="16"/>
  <c r="Q218" i="16"/>
  <c r="Q310" i="16"/>
  <c r="Q312" i="16"/>
  <c r="Q314" i="16"/>
  <c r="Q316" i="16"/>
  <c r="Q320" i="16"/>
  <c r="Q328" i="16"/>
  <c r="Q330" i="16"/>
  <c r="Q332" i="16"/>
  <c r="Q336" i="16"/>
  <c r="Q340" i="16"/>
  <c r="Q669" i="16"/>
  <c r="Q671" i="16"/>
  <c r="Q673" i="16"/>
  <c r="Q687" i="16"/>
  <c r="Q704" i="16"/>
  <c r="Q706" i="16"/>
  <c r="Q708" i="16"/>
  <c r="Q712" i="16"/>
  <c r="P172" i="16"/>
  <c r="Q217" i="16"/>
  <c r="Q305" i="16"/>
  <c r="Q341" i="16"/>
  <c r="Q343" i="16"/>
  <c r="Q578" i="16"/>
  <c r="Q713" i="16"/>
  <c r="Q764" i="16"/>
  <c r="Q39" i="16"/>
  <c r="Q41" i="16"/>
  <c r="Q43" i="16"/>
  <c r="Q45" i="16"/>
  <c r="Q325" i="16"/>
  <c r="Q349" i="16"/>
  <c r="Q351" i="16"/>
  <c r="Q372" i="16"/>
  <c r="Q394" i="16"/>
  <c r="Q396" i="16"/>
  <c r="Q398" i="16"/>
  <c r="U399" i="16"/>
  <c r="W399" i="16" s="1" a="1"/>
  <c r="W399" i="16" s="1"/>
  <c r="Q400" i="16"/>
  <c r="Q402" i="16"/>
  <c r="Q426" i="16"/>
  <c r="Q432" i="16"/>
  <c r="Q434" i="16"/>
  <c r="Q442" i="16"/>
  <c r="Q448" i="16"/>
  <c r="Q450" i="16"/>
  <c r="Q458" i="16"/>
  <c r="Q464" i="16"/>
  <c r="Q466" i="16"/>
  <c r="Q510" i="16"/>
  <c r="Q512" i="16"/>
  <c r="Q514" i="16"/>
  <c r="Q516" i="16"/>
  <c r="Q518" i="16"/>
  <c r="Q520" i="16"/>
  <c r="Q522" i="16"/>
  <c r="Q524" i="16"/>
  <c r="Q528" i="16"/>
  <c r="S761" i="16"/>
  <c r="S768" i="16" s="1"/>
  <c r="Q63" i="16"/>
  <c r="Q65" i="16"/>
  <c r="Q67" i="16"/>
  <c r="Q69" i="16"/>
  <c r="Q71" i="16"/>
  <c r="Q94" i="16"/>
  <c r="Q102" i="16"/>
  <c r="Q106" i="16"/>
  <c r="Q108" i="16"/>
  <c r="Q110" i="16"/>
  <c r="Q160" i="16"/>
  <c r="Q164" i="16"/>
  <c r="Q168" i="16"/>
  <c r="Q182" i="16"/>
  <c r="Q359" i="16"/>
  <c r="Q376" i="16"/>
  <c r="Q378" i="16"/>
  <c r="Q380" i="16"/>
  <c r="Q384" i="16"/>
  <c r="Q543" i="16"/>
  <c r="Q545" i="16"/>
  <c r="Q547" i="16"/>
  <c r="Q550" i="16"/>
  <c r="Q566" i="16"/>
  <c r="Q568" i="16"/>
  <c r="L568" i="16" s="1"/>
  <c r="W569" i="16" a="1"/>
  <c r="W569" i="16" s="1"/>
  <c r="Q621" i="16"/>
  <c r="Q623" i="16"/>
  <c r="Q625" i="16"/>
  <c r="Q627" i="16"/>
  <c r="Q629" i="16"/>
  <c r="Q631" i="16"/>
  <c r="Q633" i="16"/>
  <c r="Q635" i="16"/>
  <c r="Q637" i="16"/>
  <c r="Q639" i="16"/>
  <c r="Q641" i="16"/>
  <c r="Q643" i="16"/>
  <c r="Q645" i="16"/>
  <c r="Q649" i="16"/>
  <c r="Q651" i="16"/>
  <c r="Q657" i="16"/>
  <c r="Q659" i="16"/>
  <c r="Q661" i="16"/>
  <c r="Q663" i="16"/>
  <c r="Q665" i="16"/>
  <c r="Q702" i="16"/>
  <c r="K768" i="16"/>
  <c r="Q49" i="16"/>
  <c r="Q53" i="16"/>
  <c r="Q62" i="16"/>
  <c r="Q70" i="16"/>
  <c r="Q74" i="16"/>
  <c r="Q76" i="16"/>
  <c r="Q92" i="16"/>
  <c r="Q109" i="16"/>
  <c r="Q114" i="16"/>
  <c r="Q116" i="16"/>
  <c r="Q119" i="16"/>
  <c r="Q121" i="16"/>
  <c r="Q123" i="16"/>
  <c r="Q126" i="16"/>
  <c r="Q134" i="16"/>
  <c r="Q138" i="16"/>
  <c r="Q140" i="16"/>
  <c r="Q156" i="16"/>
  <c r="Q177" i="16"/>
  <c r="Q179" i="16"/>
  <c r="U180" i="16"/>
  <c r="W180" i="16" s="1" a="1"/>
  <c r="W180" i="16" s="1"/>
  <c r="U182" i="16"/>
  <c r="W182" i="16" s="1" a="1"/>
  <c r="W182" i="16" s="1"/>
  <c r="Q211" i="16"/>
  <c r="Q222" i="16"/>
  <c r="Q308" i="16"/>
  <c r="Q309" i="16"/>
  <c r="Q311" i="16"/>
  <c r="Q324" i="16"/>
  <c r="Q333" i="16"/>
  <c r="Q335" i="16"/>
  <c r="Q344" i="16"/>
  <c r="Q346" i="16"/>
  <c r="Q348" i="16"/>
  <c r="Q373" i="16"/>
  <c r="Q375" i="16"/>
  <c r="Q388" i="16"/>
  <c r="Q475" i="16"/>
  <c r="Q491" i="16"/>
  <c r="Q503" i="16"/>
  <c r="Q509" i="16"/>
  <c r="Q511" i="16"/>
  <c r="Q513" i="16"/>
  <c r="Q517" i="16"/>
  <c r="Q519" i="16"/>
  <c r="Q567" i="16"/>
  <c r="L567" i="16" s="1"/>
  <c r="Q583" i="16"/>
  <c r="Q585" i="16"/>
  <c r="Q587" i="16"/>
  <c r="Q599" i="16"/>
  <c r="Q601" i="16"/>
  <c r="Q603" i="16"/>
  <c r="Q605" i="16"/>
  <c r="Q607" i="16"/>
  <c r="Q609" i="16"/>
  <c r="Q611" i="16"/>
  <c r="Q613" i="16"/>
  <c r="Q615" i="16"/>
  <c r="Q662" i="16"/>
  <c r="Q668" i="16"/>
  <c r="Q675" i="16"/>
  <c r="Q677" i="16"/>
  <c r="Q679" i="16"/>
  <c r="Q681" i="16"/>
  <c r="Q683" i="16"/>
  <c r="Q703" i="16"/>
  <c r="Q710" i="16"/>
  <c r="Q714" i="16"/>
  <c r="Q716" i="16"/>
  <c r="Q757" i="16"/>
  <c r="S42" i="16"/>
  <c r="S9" i="16"/>
  <c r="S13" i="16"/>
  <c r="S17" i="16"/>
  <c r="S21" i="16"/>
  <c r="S25" i="16"/>
  <c r="S29" i="16"/>
  <c r="S33" i="16"/>
  <c r="S37" i="16"/>
  <c r="S41" i="16"/>
  <c r="S44" i="16"/>
  <c r="R212" i="16"/>
  <c r="S8" i="16"/>
  <c r="Q9" i="16"/>
  <c r="S12" i="16"/>
  <c r="Q13" i="16"/>
  <c r="S16" i="16"/>
  <c r="Q17" i="16"/>
  <c r="S20" i="16"/>
  <c r="Q21" i="16"/>
  <c r="S24" i="16"/>
  <c r="Q25" i="16"/>
  <c r="S28" i="16"/>
  <c r="Q29" i="16"/>
  <c r="S32" i="16"/>
  <c r="Q33" i="16"/>
  <c r="S36" i="16"/>
  <c r="Q37" i="16"/>
  <c r="S40" i="16"/>
  <c r="S50" i="16"/>
  <c r="Q51" i="16"/>
  <c r="Q54" i="16"/>
  <c r="Q56" i="16"/>
  <c r="Q58" i="16"/>
  <c r="Q66" i="16"/>
  <c r="Q83" i="16"/>
  <c r="Q88" i="16"/>
  <c r="Q98" i="16"/>
  <c r="Q115" i="16"/>
  <c r="Q120" i="16"/>
  <c r="Q130" i="16"/>
  <c r="Q147" i="16"/>
  <c r="Q152" i="16"/>
  <c r="Q162" i="16"/>
  <c r="Q186" i="16"/>
  <c r="Q188" i="16"/>
  <c r="Q190" i="16"/>
  <c r="Q192" i="16"/>
  <c r="Q194" i="16"/>
  <c r="Q196" i="16"/>
  <c r="Q198" i="16"/>
  <c r="Q202" i="16"/>
  <c r="Q207" i="16"/>
  <c r="Q306" i="16"/>
  <c r="R614" i="16"/>
  <c r="R423" i="16"/>
  <c r="R388" i="16"/>
  <c r="R372" i="16"/>
  <c r="R356" i="16"/>
  <c r="R340" i="16"/>
  <c r="R324" i="16"/>
  <c r="R471" i="16"/>
  <c r="R407" i="16"/>
  <c r="R383" i="16"/>
  <c r="R367" i="16"/>
  <c r="R351" i="16"/>
  <c r="R335" i="16"/>
  <c r="R319" i="16"/>
  <c r="T319" i="16" s="1"/>
  <c r="U319" i="16" s="1"/>
  <c r="W319" i="16" s="1" a="1"/>
  <c r="W319" i="16" s="1"/>
  <c r="R220" i="16"/>
  <c r="R204" i="16"/>
  <c r="R179" i="16"/>
  <c r="S51" i="16"/>
  <c r="S47" i="16"/>
  <c r="S43" i="16"/>
  <c r="R598" i="16"/>
  <c r="R455" i="16"/>
  <c r="S10" i="16"/>
  <c r="S14" i="16"/>
  <c r="S18" i="16"/>
  <c r="S22" i="16"/>
  <c r="T22" i="16" s="1"/>
  <c r="U22" i="16" s="1"/>
  <c r="W22" i="16" s="1" a="1"/>
  <c r="W22" i="16" s="1"/>
  <c r="S26" i="16"/>
  <c r="S30" i="16"/>
  <c r="S34" i="16"/>
  <c r="S38" i="16"/>
  <c r="T38" i="16" s="1"/>
  <c r="U38" i="16" s="1"/>
  <c r="W38" i="16" s="1" a="1"/>
  <c r="W38" i="16" s="1"/>
  <c r="S45" i="16"/>
  <c r="S48" i="16"/>
  <c r="R183" i="16"/>
  <c r="T183" i="16" s="1"/>
  <c r="U183" i="16" s="1"/>
  <c r="W183" i="16" s="1" a="1"/>
  <c r="W183" i="16" s="1"/>
  <c r="Q8" i="16"/>
  <c r="S11" i="16"/>
  <c r="Q12" i="16"/>
  <c r="S15" i="16"/>
  <c r="Q16" i="16"/>
  <c r="S19" i="16"/>
  <c r="T19" i="16" s="1"/>
  <c r="U19" i="16" s="1"/>
  <c r="W19" i="16" s="1" a="1"/>
  <c r="W19" i="16" s="1"/>
  <c r="Q20" i="16"/>
  <c r="S23" i="16"/>
  <c r="Q24" i="16"/>
  <c r="S27" i="16"/>
  <c r="Q28" i="16"/>
  <c r="S31" i="16"/>
  <c r="Q32" i="16"/>
  <c r="S35" i="16"/>
  <c r="T35" i="16" s="1"/>
  <c r="U35" i="16" s="1"/>
  <c r="W35" i="16" s="1" a="1"/>
  <c r="W35" i="16" s="1"/>
  <c r="Q36" i="16"/>
  <c r="S39" i="16"/>
  <c r="S46" i="16"/>
  <c r="Q47" i="16"/>
  <c r="S49" i="16"/>
  <c r="Q50" i="16"/>
  <c r="S52" i="16"/>
  <c r="Q75" i="16"/>
  <c r="Q80" i="16"/>
  <c r="Q90" i="16"/>
  <c r="Q107" i="16"/>
  <c r="Q112" i="16"/>
  <c r="Q122" i="16"/>
  <c r="Q139" i="16"/>
  <c r="Q144" i="16"/>
  <c r="Q154" i="16"/>
  <c r="Q204" i="16"/>
  <c r="R216" i="16"/>
  <c r="Q220" i="16"/>
  <c r="R439" i="16"/>
  <c r="Q526" i="16"/>
  <c r="Q529" i="16"/>
  <c r="Q551" i="16"/>
  <c r="T551" i="16" s="1"/>
  <c r="Q559" i="16"/>
  <c r="Q561" i="16"/>
  <c r="Q563" i="16"/>
  <c r="Q565" i="16"/>
  <c r="Q580" i="16"/>
  <c r="Q589" i="16"/>
  <c r="Q591" i="16"/>
  <c r="Q593" i="16"/>
  <c r="Q595" i="16"/>
  <c r="Q597" i="16"/>
  <c r="Q618" i="16"/>
  <c r="Q682" i="16"/>
  <c r="Q40" i="16"/>
  <c r="Q44" i="16"/>
  <c r="Q48" i="16"/>
  <c r="Q52" i="16"/>
  <c r="Q55" i="16"/>
  <c r="Q57" i="16"/>
  <c r="U202" i="16"/>
  <c r="W202" i="16" s="1" a="1"/>
  <c r="W202" i="16" s="1"/>
  <c r="Q209" i="16"/>
  <c r="Q215" i="16"/>
  <c r="Q219" i="16"/>
  <c r="Q225" i="16"/>
  <c r="Q229" i="16"/>
  <c r="Q233" i="16"/>
  <c r="Q238" i="16"/>
  <c r="Q242" i="16"/>
  <c r="Q246" i="16"/>
  <c r="Q250" i="16"/>
  <c r="Q254" i="16"/>
  <c r="Q258" i="16"/>
  <c r="Q262" i="16"/>
  <c r="Q266" i="16"/>
  <c r="Q270" i="16"/>
  <c r="Q274" i="16"/>
  <c r="Q278" i="16"/>
  <c r="Q282" i="16"/>
  <c r="Q286" i="16"/>
  <c r="Q290" i="16"/>
  <c r="Q294" i="16"/>
  <c r="Q298" i="16"/>
  <c r="Q318" i="16"/>
  <c r="Q334" i="16"/>
  <c r="Q350" i="16"/>
  <c r="Q366" i="16"/>
  <c r="Q382" i="16"/>
  <c r="S554" i="16"/>
  <c r="V768" i="16"/>
  <c r="H767" i="16" s="1"/>
  <c r="Q221" i="16"/>
  <c r="Q300" i="16"/>
  <c r="Q302" i="16"/>
  <c r="Q304" i="16"/>
  <c r="Q315" i="16"/>
  <c r="Q331" i="16"/>
  <c r="Q347" i="16"/>
  <c r="Q363" i="16"/>
  <c r="Q379" i="16"/>
  <c r="Q395" i="16"/>
  <c r="Q397" i="16"/>
  <c r="Q410" i="16"/>
  <c r="Q416" i="16"/>
  <c r="Q418" i="16"/>
  <c r="Q474" i="16"/>
  <c r="Q476" i="16"/>
  <c r="Q480" i="16"/>
  <c r="Q484" i="16"/>
  <c r="Q488" i="16"/>
  <c r="Q490" i="16"/>
  <c r="Q492" i="16"/>
  <c r="Q496" i="16"/>
  <c r="Q500" i="16"/>
  <c r="Q502" i="16"/>
  <c r="Q504" i="16"/>
  <c r="Q506" i="16"/>
  <c r="Q515" i="16"/>
  <c r="Q521" i="16"/>
  <c r="Q525" i="16"/>
  <c r="Q530" i="16"/>
  <c r="V554" i="16"/>
  <c r="H553" i="16" s="1"/>
  <c r="H554" i="16" s="1"/>
  <c r="Q549" i="16"/>
  <c r="Q560" i="16"/>
  <c r="Q562" i="16"/>
  <c r="Q564" i="16"/>
  <c r="Q577" i="16"/>
  <c r="Q579" i="16"/>
  <c r="Q584" i="16"/>
  <c r="Q588" i="16"/>
  <c r="Q626" i="16"/>
  <c r="Q647" i="16"/>
  <c r="Q653" i="16"/>
  <c r="Q658" i="16"/>
  <c r="Q667" i="16"/>
  <c r="Q670" i="16"/>
  <c r="Q678" i="16"/>
  <c r="U730" i="16"/>
  <c r="W730" i="16" s="1" a="1"/>
  <c r="W730" i="16" s="1"/>
  <c r="Q737" i="16"/>
  <c r="Q753" i="16"/>
  <c r="Q756" i="16"/>
  <c r="Q586" i="16"/>
  <c r="Q688" i="16"/>
  <c r="Q574" i="16"/>
  <c r="Q674" i="16"/>
  <c r="Q711" i="16"/>
  <c r="Q632" i="16"/>
  <c r="W568" i="16" a="1"/>
  <c r="W568" i="16" s="1"/>
  <c r="Q572" i="16"/>
  <c r="Q576" i="16"/>
  <c r="Q582" i="16"/>
  <c r="K582" i="16" s="1"/>
  <c r="L582" i="16" s="1"/>
  <c r="Q656" i="16"/>
  <c r="Q666" i="16"/>
  <c r="Q680" i="16"/>
  <c r="K554" i="16"/>
  <c r="L554" i="16"/>
  <c r="Q181" i="16"/>
  <c r="Q313" i="16"/>
  <c r="Q322" i="16"/>
  <c r="Q329" i="16"/>
  <c r="Q338" i="16"/>
  <c r="Q345" i="16"/>
  <c r="Q354" i="16"/>
  <c r="Q361" i="16"/>
  <c r="Q370" i="16"/>
  <c r="Q377" i="16"/>
  <c r="Q386" i="16"/>
  <c r="Q507" i="16"/>
  <c r="Q389" i="16"/>
  <c r="Q531" i="16"/>
  <c r="T208" i="16"/>
  <c r="U208" i="16" s="1"/>
  <c r="W208" i="16" s="1" a="1"/>
  <c r="W208" i="16" s="1"/>
  <c r="Q321" i="16"/>
  <c r="Q337" i="16"/>
  <c r="Q353" i="16"/>
  <c r="Q369" i="16"/>
  <c r="Q385" i="16"/>
  <c r="Q523" i="16"/>
  <c r="S108" i="17"/>
  <c r="S107" i="17"/>
  <c r="S106" i="17"/>
  <c r="S105" i="17"/>
  <c r="T105" i="17" s="1"/>
  <c r="U105" i="17" s="1"/>
  <c r="W105" i="17" s="1" a="1"/>
  <c r="W105" i="17" s="1"/>
  <c r="S104" i="17"/>
  <c r="S103" i="17"/>
  <c r="T103" i="17" s="1"/>
  <c r="U103" i="17" s="1"/>
  <c r="W103" i="17" s="1" a="1"/>
  <c r="W103" i="17" s="1"/>
  <c r="S102" i="17"/>
  <c r="T102" i="17" s="1"/>
  <c r="U102" i="17" s="1"/>
  <c r="W102" i="17" s="1" a="1"/>
  <c r="W102" i="17" s="1"/>
  <c r="S101" i="17"/>
  <c r="S100" i="17"/>
  <c r="S99" i="17"/>
  <c r="S115" i="17"/>
  <c r="S124" i="17" s="1"/>
  <c r="S98" i="17"/>
  <c r="T98" i="17" s="1"/>
  <c r="U98" i="17" s="1"/>
  <c r="W98" i="17" s="1" a="1"/>
  <c r="W98" i="17" s="1"/>
  <c r="S97" i="17"/>
  <c r="T97" i="17" s="1"/>
  <c r="U97" i="17" s="1"/>
  <c r="W97" i="17" s="1" a="1"/>
  <c r="W97" i="17" s="1"/>
  <c r="S96" i="17"/>
  <c r="S95" i="17"/>
  <c r="S94" i="17"/>
  <c r="T94" i="17" s="1"/>
  <c r="U94" i="17" s="1"/>
  <c r="W94" i="17" s="1" a="1"/>
  <c r="W94" i="17" s="1"/>
  <c r="S93" i="17"/>
  <c r="T93" i="17" s="1"/>
  <c r="U93" i="17" s="1"/>
  <c r="W93" i="17" s="1" a="1"/>
  <c r="W93" i="17" s="1"/>
  <c r="S92" i="17"/>
  <c r="S91" i="17"/>
  <c r="S90" i="17"/>
  <c r="S89" i="17"/>
  <c r="T89" i="17" s="1"/>
  <c r="U89" i="17" s="1"/>
  <c r="W89" i="17" s="1" a="1"/>
  <c r="W89" i="17" s="1"/>
  <c r="R118" i="17"/>
  <c r="T118" i="17" s="1"/>
  <c r="U118" i="17" s="1"/>
  <c r="W118" i="17" s="1" a="1"/>
  <c r="W118" i="17" s="1"/>
  <c r="S87" i="17"/>
  <c r="S85" i="17"/>
  <c r="S83" i="17"/>
  <c r="T83" i="17" s="1"/>
  <c r="U83" i="17" s="1"/>
  <c r="W83" i="17" s="1" a="1"/>
  <c r="W83" i="17" s="1"/>
  <c r="S81" i="17"/>
  <c r="S79" i="17"/>
  <c r="R67" i="17"/>
  <c r="T67" i="17" s="1"/>
  <c r="U67" i="17" s="1"/>
  <c r="W67" i="17" s="1" a="1"/>
  <c r="W67" i="17" s="1"/>
  <c r="R66" i="17"/>
  <c r="T66" i="17" s="1"/>
  <c r="U66" i="17" s="1"/>
  <c r="W66" i="17" s="1" a="1"/>
  <c r="W66" i="17" s="1"/>
  <c r="R119" i="17"/>
  <c r="R120" i="17"/>
  <c r="R116" i="17"/>
  <c r="S88" i="17"/>
  <c r="T88" i="17" s="1"/>
  <c r="U88" i="17" s="1"/>
  <c r="W88" i="17" s="1" a="1"/>
  <c r="W88" i="17" s="1"/>
  <c r="S86" i="17"/>
  <c r="S84" i="17"/>
  <c r="S82" i="17"/>
  <c r="T82" i="17" s="1"/>
  <c r="U82" i="17" s="1"/>
  <c r="W82" i="17" s="1" a="1"/>
  <c r="W82" i="17" s="1"/>
  <c r="S80" i="17"/>
  <c r="T80" i="17" s="1"/>
  <c r="U80" i="17" s="1"/>
  <c r="W80" i="17" s="1" a="1"/>
  <c r="W80" i="17" s="1"/>
  <c r="R35" i="17"/>
  <c r="T35" i="17" s="1"/>
  <c r="U35" i="17" s="1"/>
  <c r="W35" i="17" s="1" a="1"/>
  <c r="W35" i="17" s="1"/>
  <c r="R38" i="17"/>
  <c r="T38" i="17" s="1"/>
  <c r="U38" i="17" s="1"/>
  <c r="W38" i="17" s="1" a="1"/>
  <c r="W38" i="17" s="1"/>
  <c r="R41" i="17"/>
  <c r="R42" i="17"/>
  <c r="R46" i="17"/>
  <c r="T46" i="17" s="1"/>
  <c r="U46" i="17" s="1"/>
  <c r="W46" i="17" s="1" a="1"/>
  <c r="W46" i="17" s="1"/>
  <c r="S57" i="17"/>
  <c r="S58" i="17"/>
  <c r="T58" i="17" s="1"/>
  <c r="U58" i="17" s="1"/>
  <c r="W58" i="17" s="1" a="1"/>
  <c r="W58" i="17" s="1"/>
  <c r="S59" i="17"/>
  <c r="T59" i="17" s="1"/>
  <c r="U59" i="17" s="1"/>
  <c r="W59" i="17" s="1" a="1"/>
  <c r="W59" i="17" s="1"/>
  <c r="S60" i="17"/>
  <c r="S62" i="17"/>
  <c r="S63" i="17"/>
  <c r="S64" i="17"/>
  <c r="T64" i="17" s="1"/>
  <c r="U64" i="17" s="1"/>
  <c r="W64" i="17" s="1" a="1"/>
  <c r="W64" i="17" s="1"/>
  <c r="S65" i="17"/>
  <c r="V111" i="17"/>
  <c r="S28" i="17"/>
  <c r="T28" i="17" s="1"/>
  <c r="U28" i="17" s="1"/>
  <c r="W28" i="17" s="1" a="1"/>
  <c r="W28" i="17" s="1"/>
  <c r="S29" i="17"/>
  <c r="T29" i="17" s="1"/>
  <c r="U29" i="17" s="1"/>
  <c r="W29" i="17" s="1" a="1"/>
  <c r="W29" i="17" s="1"/>
  <c r="S30" i="17"/>
  <c r="S31" i="17"/>
  <c r="T31" i="17" s="1"/>
  <c r="U31" i="17" s="1"/>
  <c r="W31" i="17" s="1" a="1"/>
  <c r="W31" i="17" s="1"/>
  <c r="S32" i="17"/>
  <c r="T32" i="17" s="1"/>
  <c r="U32" i="17" s="1"/>
  <c r="W32" i="17" s="1" a="1"/>
  <c r="W32" i="17" s="1"/>
  <c r="S33" i="17"/>
  <c r="T33" i="17" s="1"/>
  <c r="U33" i="17" s="1"/>
  <c r="W33" i="17" s="1" a="1"/>
  <c r="W33" i="17" s="1"/>
  <c r="S34" i="17"/>
  <c r="S36" i="17"/>
  <c r="S37" i="17"/>
  <c r="T37" i="17" s="1"/>
  <c r="U37" i="17" s="1"/>
  <c r="W37" i="17" s="1" a="1"/>
  <c r="W37" i="17" s="1"/>
  <c r="S39" i="17"/>
  <c r="T39" i="17" s="1"/>
  <c r="U39" i="17" s="1"/>
  <c r="W39" i="17" s="1" a="1"/>
  <c r="W39" i="17" s="1"/>
  <c r="S40" i="17"/>
  <c r="S43" i="17"/>
  <c r="T43" i="17" s="1"/>
  <c r="U43" i="17" s="1"/>
  <c r="W43" i="17" s="1" a="1"/>
  <c r="W43" i="17" s="1"/>
  <c r="S44" i="17"/>
  <c r="S45" i="17"/>
  <c r="T45" i="17" s="1"/>
  <c r="U45" i="17" s="1"/>
  <c r="W45" i="17" s="1" a="1"/>
  <c r="W45" i="17" s="1"/>
  <c r="S47" i="17"/>
  <c r="S48" i="17"/>
  <c r="T48" i="17" s="1"/>
  <c r="U48" i="17" s="1"/>
  <c r="W48" i="17" s="1" a="1"/>
  <c r="W48" i="17" s="1"/>
  <c r="S49" i="17"/>
  <c r="T49" i="17" s="1"/>
  <c r="U49" i="17" s="1"/>
  <c r="W49" i="17" s="1" a="1"/>
  <c r="W49" i="17" s="1"/>
  <c r="S51" i="17"/>
  <c r="T51" i="17" s="1"/>
  <c r="U51" i="17" s="1"/>
  <c r="W51" i="17" s="1" a="1"/>
  <c r="W51" i="17" s="1"/>
  <c r="S53" i="17"/>
  <c r="S55" i="17"/>
  <c r="T55" i="17" s="1"/>
  <c r="U55" i="17" s="1"/>
  <c r="W55" i="17" s="1" a="1"/>
  <c r="W55" i="17" s="1"/>
  <c r="O111" i="17"/>
  <c r="S16" i="17"/>
  <c r="S17" i="17"/>
  <c r="S18" i="17"/>
  <c r="S19" i="17"/>
  <c r="S20" i="17"/>
  <c r="S21" i="17"/>
  <c r="T21" i="17" s="1"/>
  <c r="U21" i="17" s="1"/>
  <c r="W21" i="17" s="1" a="1"/>
  <c r="W21" i="17" s="1"/>
  <c r="S22" i="17"/>
  <c r="T22" i="17" s="1"/>
  <c r="U22" i="17" s="1"/>
  <c r="W22" i="17" s="1" a="1"/>
  <c r="W22" i="17" s="1"/>
  <c r="S23" i="17"/>
  <c r="T23" i="17" s="1"/>
  <c r="U23" i="17" s="1"/>
  <c r="W23" i="17" s="1" a="1"/>
  <c r="W23" i="17" s="1"/>
  <c r="S24" i="17"/>
  <c r="T24" i="17" s="1"/>
  <c r="U24" i="17" s="1"/>
  <c r="W24" i="17" s="1" a="1"/>
  <c r="W24" i="17" s="1"/>
  <c r="S25" i="17"/>
  <c r="S26" i="17"/>
  <c r="T26" i="17" s="1"/>
  <c r="U26" i="17" s="1"/>
  <c r="W26" i="17" s="1" a="1"/>
  <c r="W26" i="17" s="1"/>
  <c r="S27" i="17"/>
  <c r="S68" i="17"/>
  <c r="S69" i="17"/>
  <c r="T69" i="17" s="1"/>
  <c r="U69" i="17" s="1"/>
  <c r="W69" i="17" s="1" a="1"/>
  <c r="W69" i="17" s="1"/>
  <c r="S70" i="17"/>
  <c r="T70" i="17" s="1"/>
  <c r="U70" i="17" s="1"/>
  <c r="W70" i="17" s="1" a="1"/>
  <c r="W70" i="17" s="1"/>
  <c r="S71" i="17"/>
  <c r="T71" i="17" s="1"/>
  <c r="U71" i="17" s="1"/>
  <c r="W71" i="17" s="1" a="1"/>
  <c r="W71" i="17" s="1"/>
  <c r="S72" i="17"/>
  <c r="T72" i="17" s="1"/>
  <c r="U72" i="17" s="1"/>
  <c r="W72" i="17" s="1" a="1"/>
  <c r="W72" i="17" s="1"/>
  <c r="S73" i="17"/>
  <c r="S74" i="17"/>
  <c r="T74" i="17" s="1"/>
  <c r="U74" i="17" s="1"/>
  <c r="W74" i="17" s="1" a="1"/>
  <c r="W74" i="17" s="1"/>
  <c r="S75" i="17"/>
  <c r="T75" i="17" s="1"/>
  <c r="U75" i="17" s="1"/>
  <c r="W75" i="17" s="1" a="1"/>
  <c r="W75" i="17" s="1"/>
  <c r="S76" i="17"/>
  <c r="S77" i="17"/>
  <c r="T77" i="17" s="1"/>
  <c r="U77" i="17" s="1"/>
  <c r="W77" i="17" s="1" a="1"/>
  <c r="W77" i="17" s="1"/>
  <c r="S78" i="17"/>
  <c r="T78" i="17" s="1"/>
  <c r="U78" i="17" s="1"/>
  <c r="W78" i="17" s="1" a="1"/>
  <c r="W78" i="17" s="1"/>
  <c r="T86" i="17"/>
  <c r="U86" i="17" s="1"/>
  <c r="W86" i="17" s="1" a="1"/>
  <c r="W86" i="17" s="1"/>
  <c r="U9" i="17"/>
  <c r="S50" i="17"/>
  <c r="T50" i="17" s="1"/>
  <c r="U50" i="17" s="1"/>
  <c r="W50" i="17" s="1" a="1"/>
  <c r="W50" i="17" s="1"/>
  <c r="S52" i="17"/>
  <c r="S54" i="17"/>
  <c r="T54" i="17" s="1"/>
  <c r="U54" i="17" s="1"/>
  <c r="W54" i="17" s="1" a="1"/>
  <c r="W54" i="17" s="1"/>
  <c r="S56" i="17"/>
  <c r="T56" i="17" s="1"/>
  <c r="U56" i="17" s="1"/>
  <c r="W56" i="17" s="1" a="1"/>
  <c r="W56" i="17" s="1"/>
  <c r="R61" i="17"/>
  <c r="T61" i="17" s="1"/>
  <c r="U61" i="17" s="1"/>
  <c r="W61" i="17" s="1" a="1"/>
  <c r="W61" i="17" s="1"/>
  <c r="T65" i="17"/>
  <c r="U65" i="17" s="1"/>
  <c r="W65" i="17" s="1" a="1"/>
  <c r="W65" i="17" s="1"/>
  <c r="G128" i="17"/>
  <c r="V124" i="17"/>
  <c r="H123" i="17" s="1"/>
  <c r="H124" i="17" s="1"/>
  <c r="R117" i="17"/>
  <c r="T117" i="17" s="1"/>
  <c r="U117" i="17" s="1"/>
  <c r="W117" i="17" s="1" a="1"/>
  <c r="W117" i="17" s="1"/>
  <c r="T96" i="17"/>
  <c r="U96" i="17" s="1"/>
  <c r="W96" i="17" s="1" a="1"/>
  <c r="W96" i="17" s="1"/>
  <c r="T79" i="17"/>
  <c r="U79" i="17" s="1"/>
  <c r="W79" i="17" s="1" a="1"/>
  <c r="W79" i="17" s="1"/>
  <c r="T87" i="17"/>
  <c r="U87" i="17" s="1"/>
  <c r="W87" i="17" s="1" a="1"/>
  <c r="W87" i="17" s="1"/>
  <c r="F128" i="17"/>
  <c r="J128" i="17"/>
  <c r="J130" i="17" s="1"/>
  <c r="J770" i="16"/>
  <c r="H171" i="16"/>
  <c r="H172" i="16" s="1"/>
  <c r="I725" i="16"/>
  <c r="R572" i="16"/>
  <c r="O172" i="16"/>
  <c r="R213" i="16"/>
  <c r="T213" i="16" s="1"/>
  <c r="U213" i="16" s="1"/>
  <c r="W213" i="16" s="1" a="1"/>
  <c r="W213" i="16" s="1"/>
  <c r="R217" i="16"/>
  <c r="R363" i="16"/>
  <c r="S56" i="16"/>
  <c r="T56" i="16" s="1"/>
  <c r="U56" i="16" s="1"/>
  <c r="W56" i="16" s="1" a="1"/>
  <c r="W56" i="16" s="1"/>
  <c r="S58" i="16"/>
  <c r="R205" i="16"/>
  <c r="R209" i="16"/>
  <c r="R315" i="16"/>
  <c r="T315" i="16" s="1"/>
  <c r="U315" i="16" s="1"/>
  <c r="W315" i="16" s="1" a="1"/>
  <c r="W315" i="16" s="1"/>
  <c r="R320" i="16"/>
  <c r="T320" i="16" s="1"/>
  <c r="U320" i="16" s="1"/>
  <c r="W320" i="16" s="1" a="1"/>
  <c r="W320" i="16" s="1"/>
  <c r="R331" i="16"/>
  <c r="R347" i="16"/>
  <c r="R352" i="16"/>
  <c r="R379" i="16"/>
  <c r="R421" i="16"/>
  <c r="R592" i="16"/>
  <c r="K172" i="16"/>
  <c r="R185" i="16"/>
  <c r="T185" i="16" s="1"/>
  <c r="U185" i="16" s="1"/>
  <c r="W185" i="16" s="1" a="1"/>
  <c r="W185" i="16" s="1"/>
  <c r="U186" i="16"/>
  <c r="W186" i="16" s="1" a="1"/>
  <c r="W186" i="16" s="1"/>
  <c r="Q199" i="16"/>
  <c r="R206" i="16"/>
  <c r="R210" i="16"/>
  <c r="R214" i="16"/>
  <c r="R218" i="16"/>
  <c r="R222" i="16"/>
  <c r="Q227" i="16"/>
  <c r="Q231" i="16"/>
  <c r="Q235" i="16"/>
  <c r="Q240" i="16"/>
  <c r="Q244" i="16"/>
  <c r="Q248" i="16"/>
  <c r="Q252" i="16"/>
  <c r="Q256" i="16"/>
  <c r="Q260" i="16"/>
  <c r="Q264" i="16"/>
  <c r="Q268" i="16"/>
  <c r="Q272" i="16"/>
  <c r="Q276" i="16"/>
  <c r="S277" i="16"/>
  <c r="S537" i="16" s="1"/>
  <c r="Q279" i="16"/>
  <c r="Q283" i="16"/>
  <c r="Q287" i="16"/>
  <c r="Q291" i="16"/>
  <c r="Q295" i="16"/>
  <c r="R311" i="16"/>
  <c r="R316" i="16"/>
  <c r="R327" i="16"/>
  <c r="R332" i="16"/>
  <c r="R343" i="16"/>
  <c r="R348" i="16"/>
  <c r="R359" i="16"/>
  <c r="R364" i="16"/>
  <c r="R375" i="16"/>
  <c r="R380" i="16"/>
  <c r="T380" i="16" s="1"/>
  <c r="U380" i="16" s="1"/>
  <c r="W380" i="16" s="1" a="1"/>
  <c r="W380" i="16" s="1"/>
  <c r="R391" i="16"/>
  <c r="R393" i="16"/>
  <c r="R394" i="16"/>
  <c r="R396" i="16"/>
  <c r="R399" i="16"/>
  <c r="R415" i="16"/>
  <c r="R431" i="16"/>
  <c r="R447" i="16"/>
  <c r="R463" i="16"/>
  <c r="Q486" i="16"/>
  <c r="Q487" i="16"/>
  <c r="O554" i="16"/>
  <c r="Q541" i="16"/>
  <c r="R730" i="16"/>
  <c r="R758" i="16"/>
  <c r="R754" i="16"/>
  <c r="R750" i="16"/>
  <c r="T750" i="16" s="1"/>
  <c r="U750" i="16" s="1"/>
  <c r="W750" i="16" s="1" a="1"/>
  <c r="W750" i="16" s="1"/>
  <c r="R746" i="16"/>
  <c r="R742" i="16"/>
  <c r="R738" i="16"/>
  <c r="R734" i="16"/>
  <c r="T734" i="16" s="1"/>
  <c r="U734" i="16" s="1"/>
  <c r="W734" i="16" s="1" a="1"/>
  <c r="W734" i="16" s="1"/>
  <c r="R729" i="16"/>
  <c r="R700" i="16"/>
  <c r="R764" i="16"/>
  <c r="R757" i="16"/>
  <c r="R753" i="16"/>
  <c r="R749" i="16"/>
  <c r="R745" i="16"/>
  <c r="R741" i="16"/>
  <c r="R737" i="16"/>
  <c r="R733" i="16"/>
  <c r="R717" i="16"/>
  <c r="R713" i="16"/>
  <c r="T713" i="16" s="1"/>
  <c r="U713" i="16" s="1"/>
  <c r="W713" i="16" s="1" a="1"/>
  <c r="W713" i="16" s="1"/>
  <c r="R712" i="16"/>
  <c r="R708" i="16"/>
  <c r="R704" i="16"/>
  <c r="R701" i="16"/>
  <c r="T701" i="16" s="1"/>
  <c r="U701" i="16" s="1"/>
  <c r="W701" i="16" s="1" a="1"/>
  <c r="W701" i="16" s="1"/>
  <c r="R698" i="16"/>
  <c r="T698" i="16" s="1"/>
  <c r="U698" i="16" s="1"/>
  <c r="W698" i="16" s="1" a="1"/>
  <c r="W698" i="16" s="1"/>
  <c r="R696" i="16"/>
  <c r="T696" i="16" s="1"/>
  <c r="U696" i="16" s="1"/>
  <c r="W696" i="16" s="1" a="1"/>
  <c r="W696" i="16" s="1"/>
  <c r="R694" i="16"/>
  <c r="T694" i="16" s="1"/>
  <c r="U694" i="16" s="1"/>
  <c r="W694" i="16" s="1" a="1"/>
  <c r="W694" i="16" s="1"/>
  <c r="R692" i="16"/>
  <c r="R690" i="16"/>
  <c r="T690" i="16" s="1"/>
  <c r="U690" i="16" s="1"/>
  <c r="W690" i="16" s="1" a="1"/>
  <c r="W690" i="16" s="1"/>
  <c r="R752" i="16"/>
  <c r="R751" i="16"/>
  <c r="R744" i="16"/>
  <c r="R743" i="16"/>
  <c r="R736" i="16"/>
  <c r="R735" i="16"/>
  <c r="R716" i="16"/>
  <c r="R715" i="16"/>
  <c r="R714" i="16"/>
  <c r="R707" i="16"/>
  <c r="T707" i="16" s="1"/>
  <c r="U707" i="16" s="1"/>
  <c r="W707" i="16" s="1" a="1"/>
  <c r="W707" i="16" s="1"/>
  <c r="R703" i="16"/>
  <c r="R688" i="16"/>
  <c r="R687" i="16"/>
  <c r="R686" i="16"/>
  <c r="T686" i="16" s="1"/>
  <c r="U686" i="16" s="1"/>
  <c r="W686" i="16" s="1" a="1"/>
  <c r="W686" i="16" s="1"/>
  <c r="R685" i="16"/>
  <c r="R684" i="16"/>
  <c r="T684" i="16" s="1"/>
  <c r="U684" i="16" s="1"/>
  <c r="W684" i="16" s="1" a="1"/>
  <c r="W684" i="16" s="1"/>
  <c r="R683" i="16"/>
  <c r="R682" i="16"/>
  <c r="R681" i="16"/>
  <c r="R680" i="16"/>
  <c r="R679" i="16"/>
  <c r="R678" i="16"/>
  <c r="R677" i="16"/>
  <c r="R676" i="16"/>
  <c r="R675" i="16"/>
  <c r="R674" i="16"/>
  <c r="R673" i="16"/>
  <c r="T673" i="16" s="1"/>
  <c r="U673" i="16" s="1"/>
  <c r="W673" i="16" s="1" a="1"/>
  <c r="W673" i="16" s="1"/>
  <c r="R672" i="16"/>
  <c r="R671" i="16"/>
  <c r="R670" i="16"/>
  <c r="R669" i="16"/>
  <c r="R668" i="16"/>
  <c r="R667" i="16"/>
  <c r="R666" i="16"/>
  <c r="R665" i="16"/>
  <c r="T665" i="16" s="1"/>
  <c r="U665" i="16" s="1"/>
  <c r="W665" i="16" s="1" a="1"/>
  <c r="W665" i="16" s="1"/>
  <c r="R664" i="16"/>
  <c r="T664" i="16" s="1"/>
  <c r="U664" i="16" s="1"/>
  <c r="W664" i="16" s="1" a="1"/>
  <c r="W664" i="16" s="1"/>
  <c r="R663" i="16"/>
  <c r="R662" i="16"/>
  <c r="R661" i="16"/>
  <c r="R660" i="16"/>
  <c r="T660" i="16" s="1"/>
  <c r="U660" i="16" s="1"/>
  <c r="W660" i="16" s="1" a="1"/>
  <c r="W660" i="16" s="1"/>
  <c r="R659" i="16"/>
  <c r="R658" i="16"/>
  <c r="R657" i="16"/>
  <c r="T657" i="16" s="1"/>
  <c r="U657" i="16" s="1"/>
  <c r="W657" i="16" s="1" a="1"/>
  <c r="W657" i="16" s="1"/>
  <c r="R656" i="16"/>
  <c r="R655" i="16"/>
  <c r="R654" i="16"/>
  <c r="T654" i="16" s="1"/>
  <c r="U654" i="16" s="1"/>
  <c r="W654" i="16" s="1" a="1"/>
  <c r="W654" i="16" s="1"/>
  <c r="R653" i="16"/>
  <c r="T653" i="16" s="1"/>
  <c r="U653" i="16" s="1"/>
  <c r="W653" i="16" s="1" a="1"/>
  <c r="W653" i="16" s="1"/>
  <c r="R652" i="16"/>
  <c r="R651" i="16"/>
  <c r="R650" i="16"/>
  <c r="T650" i="16" s="1"/>
  <c r="U650" i="16" s="1"/>
  <c r="W650" i="16" s="1" a="1"/>
  <c r="W650" i="16" s="1"/>
  <c r="R649" i="16"/>
  <c r="R648" i="16"/>
  <c r="T648" i="16" s="1"/>
  <c r="U648" i="16" s="1"/>
  <c r="W648" i="16" s="1" a="1"/>
  <c r="W648" i="16" s="1"/>
  <c r="R647" i="16"/>
  <c r="R646" i="16"/>
  <c r="R645" i="16"/>
  <c r="R644" i="16"/>
  <c r="T644" i="16" s="1"/>
  <c r="U644" i="16" s="1"/>
  <c r="W644" i="16" s="1" a="1"/>
  <c r="W644" i="16" s="1"/>
  <c r="R643" i="16"/>
  <c r="R642" i="16"/>
  <c r="T642" i="16" s="1"/>
  <c r="U642" i="16" s="1"/>
  <c r="W642" i="16" s="1" a="1"/>
  <c r="W642" i="16" s="1"/>
  <c r="R641" i="16"/>
  <c r="R640" i="16"/>
  <c r="T640" i="16" s="1"/>
  <c r="U640" i="16" s="1"/>
  <c r="W640" i="16" s="1" a="1"/>
  <c r="W640" i="16" s="1"/>
  <c r="R639" i="16"/>
  <c r="R638" i="16"/>
  <c r="R637" i="16"/>
  <c r="R636" i="16"/>
  <c r="T636" i="16" s="1"/>
  <c r="U636" i="16" s="1"/>
  <c r="W636" i="16" s="1" a="1"/>
  <c r="W636" i="16" s="1"/>
  <c r="R635" i="16"/>
  <c r="R634" i="16"/>
  <c r="R633" i="16"/>
  <c r="R632" i="16"/>
  <c r="R631" i="16"/>
  <c r="R630" i="16"/>
  <c r="T630" i="16" s="1"/>
  <c r="U630" i="16" s="1"/>
  <c r="W630" i="16" s="1" a="1"/>
  <c r="W630" i="16" s="1"/>
  <c r="R629" i="16"/>
  <c r="R755" i="16"/>
  <c r="R739" i="16"/>
  <c r="R699" i="16"/>
  <c r="R697" i="16"/>
  <c r="R695" i="16"/>
  <c r="R693" i="16"/>
  <c r="R691" i="16"/>
  <c r="R689" i="16"/>
  <c r="R756" i="16"/>
  <c r="R740" i="16"/>
  <c r="R748" i="16"/>
  <c r="R706" i="16"/>
  <c r="R705" i="16"/>
  <c r="T705" i="16" s="1"/>
  <c r="U705" i="16" s="1"/>
  <c r="W705" i="16" s="1" a="1"/>
  <c r="W705" i="16" s="1"/>
  <c r="R628" i="16"/>
  <c r="R626" i="16"/>
  <c r="R624" i="16"/>
  <c r="T624" i="16" s="1"/>
  <c r="U624" i="16" s="1"/>
  <c r="W624" i="16" s="1" a="1"/>
  <c r="W624" i="16" s="1"/>
  <c r="R622" i="16"/>
  <c r="T622" i="16" s="1"/>
  <c r="U622" i="16" s="1"/>
  <c r="W622" i="16" s="1" a="1"/>
  <c r="W622" i="16" s="1"/>
  <c r="R620" i="16"/>
  <c r="T620" i="16" s="1"/>
  <c r="U620" i="16" s="1"/>
  <c r="W620" i="16" s="1" a="1"/>
  <c r="W620" i="16" s="1"/>
  <c r="R618" i="16"/>
  <c r="R616" i="16"/>
  <c r="R615" i="16"/>
  <c r="R613" i="16"/>
  <c r="R611" i="16"/>
  <c r="R609" i="16"/>
  <c r="T609" i="16" s="1"/>
  <c r="U609" i="16" s="1"/>
  <c r="W609" i="16" s="1" a="1"/>
  <c r="W609" i="16" s="1"/>
  <c r="R607" i="16"/>
  <c r="R605" i="16"/>
  <c r="R603" i="16"/>
  <c r="R601" i="16"/>
  <c r="T601" i="16" s="1"/>
  <c r="U601" i="16" s="1"/>
  <c r="W601" i="16" s="1" a="1"/>
  <c r="W601" i="16" s="1"/>
  <c r="R599" i="16"/>
  <c r="R597" i="16"/>
  <c r="R595" i="16"/>
  <c r="R593" i="16"/>
  <c r="R591" i="16"/>
  <c r="R570" i="16"/>
  <c r="R548" i="16"/>
  <c r="R547" i="16"/>
  <c r="T547" i="16" s="1"/>
  <c r="U547" i="16" s="1"/>
  <c r="W547" i="16" s="1" a="1"/>
  <c r="W547" i="16" s="1"/>
  <c r="R731" i="16"/>
  <c r="R589" i="16"/>
  <c r="R588" i="16"/>
  <c r="R587" i="16"/>
  <c r="R586" i="16"/>
  <c r="R585" i="16"/>
  <c r="R584" i="16"/>
  <c r="R583" i="16"/>
  <c r="T583" i="16" s="1"/>
  <c r="U583" i="16" s="1"/>
  <c r="W583" i="16" s="1" a="1"/>
  <c r="W583" i="16" s="1"/>
  <c r="R582" i="16"/>
  <c r="R581" i="16"/>
  <c r="R580" i="16"/>
  <c r="R579" i="16"/>
  <c r="R578" i="16"/>
  <c r="R577" i="16"/>
  <c r="R576" i="16"/>
  <c r="R575" i="16"/>
  <c r="R574" i="16"/>
  <c r="R573" i="16"/>
  <c r="R571" i="16"/>
  <c r="R531" i="16"/>
  <c r="R530" i="16"/>
  <c r="R529" i="16"/>
  <c r="R528" i="16"/>
  <c r="R527" i="16"/>
  <c r="T527" i="16" s="1"/>
  <c r="U527" i="16" s="1"/>
  <c r="W527" i="16" s="1" a="1"/>
  <c r="W527" i="16" s="1"/>
  <c r="R526" i="16"/>
  <c r="R525" i="16"/>
  <c r="R524" i="16"/>
  <c r="T524" i="16" s="1"/>
  <c r="U524" i="16" s="1"/>
  <c r="W524" i="16" s="1" a="1"/>
  <c r="W524" i="16" s="1"/>
  <c r="R523" i="16"/>
  <c r="R522" i="16"/>
  <c r="R521" i="16"/>
  <c r="R520" i="16"/>
  <c r="R519" i="16"/>
  <c r="R518" i="16"/>
  <c r="R517" i="16"/>
  <c r="R516" i="16"/>
  <c r="T516" i="16" s="1"/>
  <c r="U516" i="16" s="1"/>
  <c r="W516" i="16" s="1" a="1"/>
  <c r="W516" i="16" s="1"/>
  <c r="R515" i="16"/>
  <c r="R514" i="16"/>
  <c r="R513" i="16"/>
  <c r="R512" i="16"/>
  <c r="R511" i="16"/>
  <c r="R510" i="16"/>
  <c r="R509" i="16"/>
  <c r="R508" i="16"/>
  <c r="R507" i="16"/>
  <c r="R506" i="16"/>
  <c r="R747" i="16"/>
  <c r="R702" i="16"/>
  <c r="R566" i="16"/>
  <c r="R545" i="16"/>
  <c r="R543" i="16"/>
  <c r="R541" i="16"/>
  <c r="R505" i="16"/>
  <c r="R504" i="16"/>
  <c r="R503" i="16"/>
  <c r="R502" i="16"/>
  <c r="R501" i="16"/>
  <c r="R500" i="16"/>
  <c r="R499" i="16"/>
  <c r="R498" i="16"/>
  <c r="R497" i="16"/>
  <c r="R496" i="16"/>
  <c r="R495" i="16"/>
  <c r="R494" i="16"/>
  <c r="R493" i="16"/>
  <c r="R492" i="16"/>
  <c r="R491" i="16"/>
  <c r="R490" i="16"/>
  <c r="R489" i="16"/>
  <c r="R488" i="16"/>
  <c r="R487" i="16"/>
  <c r="R486" i="16"/>
  <c r="T486" i="16" s="1"/>
  <c r="U486" i="16" s="1"/>
  <c r="W486" i="16" s="1" a="1"/>
  <c r="W486" i="16" s="1"/>
  <c r="R485" i="16"/>
  <c r="R484" i="16"/>
  <c r="R483" i="16"/>
  <c r="R482" i="16"/>
  <c r="R481" i="16"/>
  <c r="R480" i="16"/>
  <c r="R479" i="16"/>
  <c r="R478" i="16"/>
  <c r="R477" i="16"/>
  <c r="R476" i="16"/>
  <c r="R475" i="16"/>
  <c r="R474" i="16"/>
  <c r="R473" i="16"/>
  <c r="R627" i="16"/>
  <c r="T627" i="16" s="1"/>
  <c r="U627" i="16" s="1"/>
  <c r="W627" i="16" s="1" a="1"/>
  <c r="W627" i="16" s="1"/>
  <c r="R625" i="16"/>
  <c r="R623" i="16"/>
  <c r="R621" i="16"/>
  <c r="R619" i="16"/>
  <c r="T619" i="16" s="1"/>
  <c r="U619" i="16" s="1"/>
  <c r="W619" i="16" s="1" a="1"/>
  <c r="W619" i="16" s="1"/>
  <c r="R617" i="16"/>
  <c r="R549" i="16"/>
  <c r="R610" i="16"/>
  <c r="R602" i="16"/>
  <c r="R594" i="16"/>
  <c r="R569" i="16"/>
  <c r="R568" i="16"/>
  <c r="R567" i="16"/>
  <c r="R546" i="16"/>
  <c r="R544" i="16"/>
  <c r="R542" i="16"/>
  <c r="R472" i="16"/>
  <c r="R470" i="16"/>
  <c r="R468" i="16"/>
  <c r="R466" i="16"/>
  <c r="T466" i="16" s="1"/>
  <c r="U466" i="16" s="1"/>
  <c r="W466" i="16" s="1" a="1"/>
  <c r="W466" i="16" s="1"/>
  <c r="R464" i="16"/>
  <c r="R462" i="16"/>
  <c r="R460" i="16"/>
  <c r="R458" i="16"/>
  <c r="R456" i="16"/>
  <c r="R454" i="16"/>
  <c r="R452" i="16"/>
  <c r="R450" i="16"/>
  <c r="R448" i="16"/>
  <c r="T448" i="16" s="1"/>
  <c r="U448" i="16" s="1"/>
  <c r="W448" i="16" s="1" a="1"/>
  <c r="W448" i="16" s="1"/>
  <c r="R446" i="16"/>
  <c r="R444" i="16"/>
  <c r="R442" i="16"/>
  <c r="R440" i="16"/>
  <c r="R438" i="16"/>
  <c r="R436" i="16"/>
  <c r="R434" i="16"/>
  <c r="R432" i="16"/>
  <c r="R430" i="16"/>
  <c r="R428" i="16"/>
  <c r="R426" i="16"/>
  <c r="T426" i="16" s="1"/>
  <c r="U426" i="16" s="1"/>
  <c r="W426" i="16" s="1" a="1"/>
  <c r="W426" i="16" s="1"/>
  <c r="R424" i="16"/>
  <c r="R422" i="16"/>
  <c r="R420" i="16"/>
  <c r="R418" i="16"/>
  <c r="T418" i="16" s="1"/>
  <c r="U418" i="16" s="1"/>
  <c r="W418" i="16" s="1" a="1"/>
  <c r="W418" i="16" s="1"/>
  <c r="R416" i="16"/>
  <c r="R414" i="16"/>
  <c r="R412" i="16"/>
  <c r="R410" i="16"/>
  <c r="T410" i="16" s="1"/>
  <c r="U410" i="16" s="1"/>
  <c r="W410" i="16" s="1" a="1"/>
  <c r="W410" i="16" s="1"/>
  <c r="R408" i="16"/>
  <c r="R406" i="16"/>
  <c r="R404" i="16"/>
  <c r="R402" i="16"/>
  <c r="R400" i="16"/>
  <c r="R732" i="16"/>
  <c r="R612" i="16"/>
  <c r="R604" i="16"/>
  <c r="R596" i="16"/>
  <c r="R710" i="16"/>
  <c r="R709" i="16"/>
  <c r="T709" i="16" s="1"/>
  <c r="U709" i="16" s="1"/>
  <c r="W709" i="16" s="1" a="1"/>
  <c r="W709" i="16" s="1"/>
  <c r="R565" i="16"/>
  <c r="R564" i="16"/>
  <c r="R563" i="16"/>
  <c r="R562" i="16"/>
  <c r="R561" i="16"/>
  <c r="R560" i="16"/>
  <c r="R559" i="16"/>
  <c r="R558" i="16"/>
  <c r="R532" i="16"/>
  <c r="R467" i="16"/>
  <c r="R459" i="16"/>
  <c r="R451" i="16"/>
  <c r="R443" i="16"/>
  <c r="R435" i="16"/>
  <c r="R427" i="16"/>
  <c r="R419" i="16"/>
  <c r="R411" i="16"/>
  <c r="R403" i="16"/>
  <c r="R398" i="16"/>
  <c r="R395" i="16"/>
  <c r="R389" i="16"/>
  <c r="T389" i="16" s="1"/>
  <c r="U389" i="16" s="1"/>
  <c r="W389" i="16" s="1" a="1"/>
  <c r="W389" i="16" s="1"/>
  <c r="R385" i="16"/>
  <c r="R381" i="16"/>
  <c r="R377" i="16"/>
  <c r="R373" i="16"/>
  <c r="T373" i="16" s="1"/>
  <c r="U373" i="16" s="1"/>
  <c r="W373" i="16" s="1" a="1"/>
  <c r="W373" i="16" s="1"/>
  <c r="R369" i="16"/>
  <c r="R365" i="16"/>
  <c r="R361" i="16"/>
  <c r="R357" i="16"/>
  <c r="T357" i="16" s="1"/>
  <c r="U357" i="16" s="1"/>
  <c r="W357" i="16" s="1" a="1"/>
  <c r="W357" i="16" s="1"/>
  <c r="R353" i="16"/>
  <c r="R349" i="16"/>
  <c r="R345" i="16"/>
  <c r="R341" i="16"/>
  <c r="R337" i="16"/>
  <c r="R333" i="16"/>
  <c r="R329" i="16"/>
  <c r="R325" i="16"/>
  <c r="R321" i="16"/>
  <c r="R317" i="16"/>
  <c r="R313" i="16"/>
  <c r="R309" i="16"/>
  <c r="T309" i="16" s="1"/>
  <c r="U309" i="16" s="1"/>
  <c r="W309" i="16" s="1" a="1"/>
  <c r="W309" i="16" s="1"/>
  <c r="R298" i="16"/>
  <c r="R297" i="16"/>
  <c r="R296" i="16"/>
  <c r="R295" i="16"/>
  <c r="T295" i="16" s="1"/>
  <c r="U295" i="16" s="1"/>
  <c r="W295" i="16" s="1" a="1"/>
  <c r="W295" i="16" s="1"/>
  <c r="R294" i="16"/>
  <c r="R293" i="16"/>
  <c r="R292" i="16"/>
  <c r="R291" i="16"/>
  <c r="R290" i="16"/>
  <c r="R289" i="16"/>
  <c r="T289" i="16" s="1"/>
  <c r="U289" i="16" s="1"/>
  <c r="W289" i="16" s="1" a="1"/>
  <c r="W289" i="16" s="1"/>
  <c r="R288" i="16"/>
  <c r="R287" i="16"/>
  <c r="R286" i="16"/>
  <c r="R285" i="16"/>
  <c r="R284" i="16"/>
  <c r="R283" i="16"/>
  <c r="R282" i="16"/>
  <c r="R281" i="16"/>
  <c r="R280" i="16"/>
  <c r="R279" i="16"/>
  <c r="T279" i="16" s="1"/>
  <c r="U279" i="16" s="1"/>
  <c r="W279" i="16" s="1" a="1"/>
  <c r="W279" i="16" s="1"/>
  <c r="R278" i="16"/>
  <c r="R276" i="16"/>
  <c r="R275" i="16"/>
  <c r="R274" i="16"/>
  <c r="R273" i="16"/>
  <c r="R272" i="16"/>
  <c r="R271" i="16"/>
  <c r="T271" i="16" s="1"/>
  <c r="U271" i="16" s="1"/>
  <c r="W271" i="16" s="1" a="1"/>
  <c r="W271" i="16" s="1"/>
  <c r="R270" i="16"/>
  <c r="R269" i="16"/>
  <c r="R268" i="16"/>
  <c r="R267" i="16"/>
  <c r="R266" i="16"/>
  <c r="T266" i="16" s="1"/>
  <c r="U266" i="16" s="1"/>
  <c r="W266" i="16" s="1" a="1"/>
  <c r="W266" i="16" s="1"/>
  <c r="R265" i="16"/>
  <c r="R264" i="16"/>
  <c r="R263" i="16"/>
  <c r="R262" i="16"/>
  <c r="R261" i="16"/>
  <c r="R260" i="16"/>
  <c r="R259" i="16"/>
  <c r="R258" i="16"/>
  <c r="R257" i="16"/>
  <c r="R256" i="16"/>
  <c r="R255" i="16"/>
  <c r="T255" i="16" s="1"/>
  <c r="U255" i="16" s="1"/>
  <c r="W255" i="16" s="1" a="1"/>
  <c r="W255" i="16" s="1"/>
  <c r="R254" i="16"/>
  <c r="R253" i="16"/>
  <c r="R252" i="16"/>
  <c r="R251" i="16"/>
  <c r="R250" i="16"/>
  <c r="T250" i="16" s="1"/>
  <c r="U250" i="16" s="1"/>
  <c r="W250" i="16" s="1" a="1"/>
  <c r="W250" i="16" s="1"/>
  <c r="R249" i="16"/>
  <c r="R248" i="16"/>
  <c r="R247" i="16"/>
  <c r="R246" i="16"/>
  <c r="R245" i="16"/>
  <c r="R244" i="16"/>
  <c r="R243" i="16"/>
  <c r="R242" i="16"/>
  <c r="R241" i="16"/>
  <c r="R240" i="16"/>
  <c r="R239" i="16"/>
  <c r="T239" i="16" s="1"/>
  <c r="U239" i="16" s="1"/>
  <c r="W239" i="16" s="1" a="1"/>
  <c r="W239" i="16" s="1"/>
  <c r="R238" i="16"/>
  <c r="R236" i="16"/>
  <c r="R235" i="16"/>
  <c r="R234" i="16"/>
  <c r="R233" i="16"/>
  <c r="T233" i="16" s="1"/>
  <c r="U233" i="16" s="1"/>
  <c r="W233" i="16" s="1" a="1"/>
  <c r="W233" i="16" s="1"/>
  <c r="R232" i="16"/>
  <c r="R231" i="16"/>
  <c r="R230" i="16"/>
  <c r="R229" i="16"/>
  <c r="R228" i="16"/>
  <c r="R227" i="16"/>
  <c r="R226" i="16"/>
  <c r="R225" i="16"/>
  <c r="R224" i="16"/>
  <c r="R202" i="16"/>
  <c r="R201" i="16"/>
  <c r="R200" i="16"/>
  <c r="R199" i="16"/>
  <c r="R180" i="16"/>
  <c r="R606" i="16"/>
  <c r="R600" i="16"/>
  <c r="R590" i="16"/>
  <c r="R465" i="16"/>
  <c r="R457" i="16"/>
  <c r="R449" i="16"/>
  <c r="R441" i="16"/>
  <c r="R433" i="16"/>
  <c r="R425" i="16"/>
  <c r="R417" i="16"/>
  <c r="R409" i="16"/>
  <c r="R401" i="16"/>
  <c r="R397" i="16"/>
  <c r="R392" i="16"/>
  <c r="T392" i="16" s="1"/>
  <c r="U392" i="16" s="1"/>
  <c r="W392" i="16" s="1" a="1"/>
  <c r="W392" i="16" s="1"/>
  <c r="R390" i="16"/>
  <c r="T390" i="16" s="1"/>
  <c r="U390" i="16" s="1"/>
  <c r="W390" i="16" s="1" a="1"/>
  <c r="W390" i="16" s="1"/>
  <c r="R386" i="16"/>
  <c r="R382" i="16"/>
  <c r="R378" i="16"/>
  <c r="R374" i="16"/>
  <c r="R370" i="16"/>
  <c r="R366" i="16"/>
  <c r="R362" i="16"/>
  <c r="R358" i="16"/>
  <c r="R354" i="16"/>
  <c r="R350" i="16"/>
  <c r="R346" i="16"/>
  <c r="R342" i="16"/>
  <c r="T342" i="16" s="1"/>
  <c r="U342" i="16" s="1"/>
  <c r="W342" i="16" s="1" a="1"/>
  <c r="W342" i="16" s="1"/>
  <c r="R338" i="16"/>
  <c r="R334" i="16"/>
  <c r="R330" i="16"/>
  <c r="R326" i="16"/>
  <c r="R322" i="16"/>
  <c r="R318" i="16"/>
  <c r="R314" i="16"/>
  <c r="R310" i="16"/>
  <c r="T310" i="16" s="1"/>
  <c r="U310" i="16" s="1"/>
  <c r="W310" i="16" s="1" a="1"/>
  <c r="W310" i="16" s="1"/>
  <c r="R307" i="16"/>
  <c r="R305" i="16"/>
  <c r="T305" i="16" s="1"/>
  <c r="U305" i="16" s="1"/>
  <c r="W305" i="16" s="1" a="1"/>
  <c r="W305" i="16" s="1"/>
  <c r="R303" i="16"/>
  <c r="R301" i="16"/>
  <c r="T301" i="16" s="1"/>
  <c r="U301" i="16" s="1"/>
  <c r="W301" i="16" s="1" a="1"/>
  <c r="W301" i="16" s="1"/>
  <c r="R299" i="16"/>
  <c r="R223" i="16"/>
  <c r="R203" i="16"/>
  <c r="R182" i="16"/>
  <c r="R181" i="16"/>
  <c r="R178" i="16"/>
  <c r="R177" i="16"/>
  <c r="R176" i="16"/>
  <c r="S169" i="16"/>
  <c r="S168" i="16"/>
  <c r="S167" i="16"/>
  <c r="S166" i="16"/>
  <c r="T166" i="16" s="1"/>
  <c r="U166" i="16" s="1"/>
  <c r="W166" i="16" s="1" a="1"/>
  <c r="W166" i="16" s="1"/>
  <c r="S165" i="16"/>
  <c r="S164" i="16"/>
  <c r="S163" i="16"/>
  <c r="T163" i="16" s="1"/>
  <c r="U163" i="16" s="1"/>
  <c r="W163" i="16" s="1" a="1"/>
  <c r="W163" i="16" s="1"/>
  <c r="S162" i="16"/>
  <c r="S161" i="16"/>
  <c r="S160" i="16"/>
  <c r="S159" i="16"/>
  <c r="S158" i="16"/>
  <c r="S157" i="16"/>
  <c r="S156" i="16"/>
  <c r="T156" i="16" s="1"/>
  <c r="U156" i="16" s="1"/>
  <c r="W156" i="16" s="1" a="1"/>
  <c r="W156" i="16" s="1"/>
  <c r="S155" i="16"/>
  <c r="T155" i="16" s="1"/>
  <c r="U155" i="16" s="1"/>
  <c r="W155" i="16" s="1" a="1"/>
  <c r="W155" i="16" s="1"/>
  <c r="S154" i="16"/>
  <c r="S153" i="16"/>
  <c r="S152" i="16"/>
  <c r="S151" i="16"/>
  <c r="S150" i="16"/>
  <c r="S149" i="16"/>
  <c r="S148" i="16"/>
  <c r="S147" i="16"/>
  <c r="S146" i="16"/>
  <c r="T146" i="16" s="1"/>
  <c r="U146" i="16" s="1"/>
  <c r="W146" i="16" s="1" a="1"/>
  <c r="W146" i="16" s="1"/>
  <c r="S145" i="16"/>
  <c r="S144" i="16"/>
  <c r="S143" i="16"/>
  <c r="S142" i="16"/>
  <c r="S141" i="16"/>
  <c r="S140" i="16"/>
  <c r="S139" i="16"/>
  <c r="S138" i="16"/>
  <c r="S137" i="16"/>
  <c r="S136" i="16"/>
  <c r="S135" i="16"/>
  <c r="S134" i="16"/>
  <c r="S133" i="16"/>
  <c r="S132" i="16"/>
  <c r="T132" i="16" s="1"/>
  <c r="U132" i="16" s="1"/>
  <c r="W132" i="16" s="1" a="1"/>
  <c r="W132" i="16" s="1"/>
  <c r="S131" i="16"/>
  <c r="T131" i="16" s="1"/>
  <c r="U131" i="16" s="1"/>
  <c r="W131" i="16" s="1" a="1"/>
  <c r="W131" i="16" s="1"/>
  <c r="S130" i="16"/>
  <c r="S129" i="16"/>
  <c r="S128" i="16"/>
  <c r="S127" i="16"/>
  <c r="S126" i="16"/>
  <c r="T126" i="16" s="1"/>
  <c r="U126" i="16" s="1"/>
  <c r="W126" i="16" s="1" a="1"/>
  <c r="W126" i="16" s="1"/>
  <c r="S125" i="16"/>
  <c r="S124" i="16"/>
  <c r="S123" i="16"/>
  <c r="S122" i="16"/>
  <c r="S121" i="16"/>
  <c r="S120" i="16"/>
  <c r="S119" i="16"/>
  <c r="S118" i="16"/>
  <c r="S117" i="16"/>
  <c r="S116" i="16"/>
  <c r="T116" i="16" s="1"/>
  <c r="U116" i="16" s="1"/>
  <c r="W116" i="16" s="1" a="1"/>
  <c r="W116" i="16" s="1"/>
  <c r="S115" i="16"/>
  <c r="S114" i="16"/>
  <c r="S113" i="16"/>
  <c r="S112" i="16"/>
  <c r="S111" i="16"/>
  <c r="T111" i="16" s="1"/>
  <c r="U111" i="16" s="1"/>
  <c r="W111" i="16" s="1" a="1"/>
  <c r="W111" i="16" s="1"/>
  <c r="S110" i="16"/>
  <c r="T110" i="16" s="1"/>
  <c r="U110" i="16" s="1"/>
  <c r="W110" i="16" s="1" a="1"/>
  <c r="W110" i="16" s="1"/>
  <c r="S109" i="16"/>
  <c r="S108" i="16"/>
  <c r="S107" i="16"/>
  <c r="S106" i="16"/>
  <c r="S105" i="16"/>
  <c r="S104" i="16"/>
  <c r="T104" i="16" s="1"/>
  <c r="U104" i="16" s="1"/>
  <c r="W104" i="16" s="1" a="1"/>
  <c r="W104" i="16" s="1"/>
  <c r="S103" i="16"/>
  <c r="S102" i="16"/>
  <c r="S101" i="16"/>
  <c r="S100" i="16"/>
  <c r="S99" i="16"/>
  <c r="T99" i="16" s="1"/>
  <c r="U99" i="16" s="1"/>
  <c r="W99" i="16" s="1" a="1"/>
  <c r="W99" i="16" s="1"/>
  <c r="S98" i="16"/>
  <c r="S97" i="16"/>
  <c r="S96" i="16"/>
  <c r="S95" i="16"/>
  <c r="S94" i="16"/>
  <c r="T94" i="16" s="1"/>
  <c r="U94" i="16" s="1"/>
  <c r="W94" i="16" s="1" a="1"/>
  <c r="W94" i="16" s="1"/>
  <c r="S93" i="16"/>
  <c r="S92" i="16"/>
  <c r="S91" i="16"/>
  <c r="T91" i="16" s="1"/>
  <c r="U91" i="16" s="1"/>
  <c r="W91" i="16" s="1" a="1"/>
  <c r="W91" i="16" s="1"/>
  <c r="S90" i="16"/>
  <c r="S89" i="16"/>
  <c r="S88" i="16"/>
  <c r="S87" i="16"/>
  <c r="S86" i="16"/>
  <c r="S85" i="16"/>
  <c r="S84" i="16"/>
  <c r="S83" i="16"/>
  <c r="S82" i="16"/>
  <c r="S81" i="16"/>
  <c r="S80" i="16"/>
  <c r="S79" i="16"/>
  <c r="S78" i="16"/>
  <c r="T78" i="16" s="1"/>
  <c r="U78" i="16" s="1"/>
  <c r="W78" i="16" s="1" a="1"/>
  <c r="W78" i="16" s="1"/>
  <c r="S77" i="16"/>
  <c r="S76" i="16"/>
  <c r="T76" i="16" s="1"/>
  <c r="U76" i="16" s="1"/>
  <c r="W76" i="16" s="1" a="1"/>
  <c r="W76" i="16" s="1"/>
  <c r="S75" i="16"/>
  <c r="T75" i="16" s="1"/>
  <c r="U75" i="16" s="1"/>
  <c r="W75" i="16" s="1" a="1"/>
  <c r="W75" i="16" s="1"/>
  <c r="S74" i="16"/>
  <c r="S73" i="16"/>
  <c r="S72" i="16"/>
  <c r="T72" i="16" s="1"/>
  <c r="U72" i="16" s="1"/>
  <c r="W72" i="16" s="1" a="1"/>
  <c r="W72" i="16" s="1"/>
  <c r="S71" i="16"/>
  <c r="T71" i="16" s="1"/>
  <c r="U71" i="16" s="1"/>
  <c r="W71" i="16" s="1" a="1"/>
  <c r="W71" i="16" s="1"/>
  <c r="S70" i="16"/>
  <c r="S69" i="16"/>
  <c r="S68" i="16"/>
  <c r="S67" i="16"/>
  <c r="S66" i="16"/>
  <c r="S65" i="16"/>
  <c r="S64" i="16"/>
  <c r="S63" i="16"/>
  <c r="T63" i="16" s="1"/>
  <c r="U63" i="16" s="1"/>
  <c r="W63" i="16" s="1" a="1"/>
  <c r="W63" i="16" s="1"/>
  <c r="S62" i="16"/>
  <c r="S61" i="16"/>
  <c r="S54" i="16"/>
  <c r="S60" i="16"/>
  <c r="T60" i="16" s="1"/>
  <c r="U60" i="16" s="1"/>
  <c r="W60" i="16" s="1" a="1"/>
  <c r="W60" i="16" s="1"/>
  <c r="R184" i="16"/>
  <c r="T184" i="16" s="1"/>
  <c r="U184" i="16" s="1"/>
  <c r="W184" i="16" s="1" a="1"/>
  <c r="W184" i="16" s="1"/>
  <c r="R221" i="16"/>
  <c r="R336" i="16"/>
  <c r="T336" i="16" s="1"/>
  <c r="U336" i="16" s="1"/>
  <c r="W336" i="16" s="1" a="1"/>
  <c r="W336" i="16" s="1"/>
  <c r="R368" i="16"/>
  <c r="T368" i="16" s="1"/>
  <c r="U368" i="16" s="1"/>
  <c r="W368" i="16" s="1" a="1"/>
  <c r="W368" i="16" s="1"/>
  <c r="R384" i="16"/>
  <c r="R405" i="16"/>
  <c r="R437" i="16"/>
  <c r="R453" i="16"/>
  <c r="R469" i="16"/>
  <c r="L172" i="16"/>
  <c r="R172" i="16"/>
  <c r="V172" i="16"/>
  <c r="S53" i="16"/>
  <c r="T53" i="16" s="1"/>
  <c r="U53" i="16" s="1"/>
  <c r="W53" i="16" s="1" a="1"/>
  <c r="W53" i="16" s="1"/>
  <c r="S55" i="16"/>
  <c r="S57" i="16"/>
  <c r="S59" i="16"/>
  <c r="T59" i="16" s="1"/>
  <c r="U59" i="16" s="1"/>
  <c r="W59" i="16" s="1" a="1"/>
  <c r="W59" i="16" s="1"/>
  <c r="P537" i="16"/>
  <c r="Q180" i="16"/>
  <c r="R186" i="16"/>
  <c r="R187" i="16"/>
  <c r="R188" i="16"/>
  <c r="R189" i="16"/>
  <c r="R190" i="16"/>
  <c r="R191" i="16"/>
  <c r="T191" i="16" s="1"/>
  <c r="U191" i="16" s="1"/>
  <c r="W191" i="16" s="1" a="1"/>
  <c r="W191" i="16" s="1"/>
  <c r="R192" i="16"/>
  <c r="R193" i="16"/>
  <c r="T193" i="16" s="1"/>
  <c r="U193" i="16" s="1"/>
  <c r="W193" i="16" s="1" a="1"/>
  <c r="W193" i="16" s="1"/>
  <c r="R194" i="16"/>
  <c r="R195" i="16"/>
  <c r="R196" i="16"/>
  <c r="R197" i="16"/>
  <c r="U198" i="16"/>
  <c r="W198" i="16" s="1" a="1"/>
  <c r="W198" i="16" s="1"/>
  <c r="R198" i="16"/>
  <c r="Q200" i="16"/>
  <c r="R207" i="16"/>
  <c r="R211" i="16"/>
  <c r="R215" i="16"/>
  <c r="T215" i="16" s="1"/>
  <c r="U215" i="16" s="1"/>
  <c r="W215" i="16" s="1" a="1"/>
  <c r="W215" i="16" s="1"/>
  <c r="R219" i="16"/>
  <c r="Q224" i="16"/>
  <c r="Q228" i="16"/>
  <c r="Q232" i="16"/>
  <c r="Q236" i="16"/>
  <c r="K236" i="16" s="1"/>
  <c r="L236" i="16" s="1"/>
  <c r="L537" i="16" s="1"/>
  <c r="Q241" i="16"/>
  <c r="Q245" i="16"/>
  <c r="Q249" i="16"/>
  <c r="Q253" i="16"/>
  <c r="Q257" i="16"/>
  <c r="Q261" i="16"/>
  <c r="Q265" i="16"/>
  <c r="Q269" i="16"/>
  <c r="Q273" i="16"/>
  <c r="Q277" i="16"/>
  <c r="Q280" i="16"/>
  <c r="Q284" i="16"/>
  <c r="Q288" i="16"/>
  <c r="Q292" i="16"/>
  <c r="Q296" i="16"/>
  <c r="R300" i="16"/>
  <c r="R302" i="16"/>
  <c r="R304" i="16"/>
  <c r="R306" i="16"/>
  <c r="R308" i="16"/>
  <c r="R312" i="16"/>
  <c r="R323" i="16"/>
  <c r="R328" i="16"/>
  <c r="R339" i="16"/>
  <c r="R344" i="16"/>
  <c r="R355" i="16"/>
  <c r="T355" i="16" s="1"/>
  <c r="U355" i="16" s="1"/>
  <c r="W355" i="16" s="1" a="1"/>
  <c r="W355" i="16" s="1"/>
  <c r="R360" i="16"/>
  <c r="T360" i="16" s="1"/>
  <c r="U360" i="16" s="1"/>
  <c r="W360" i="16" s="1" a="1"/>
  <c r="W360" i="16" s="1"/>
  <c r="R371" i="16"/>
  <c r="R376" i="16"/>
  <c r="R387" i="16"/>
  <c r="Q408" i="16"/>
  <c r="R413" i="16"/>
  <c r="Q424" i="16"/>
  <c r="R429" i="16"/>
  <c r="Q440" i="16"/>
  <c r="R445" i="16"/>
  <c r="Q456" i="16"/>
  <c r="R461" i="16"/>
  <c r="Q472" i="16"/>
  <c r="R608" i="16"/>
  <c r="V537" i="16"/>
  <c r="H536" i="16" s="1"/>
  <c r="Q404" i="16"/>
  <c r="Q412" i="16"/>
  <c r="Q420" i="16"/>
  <c r="Q428" i="16"/>
  <c r="Q436" i="16"/>
  <c r="Q444" i="16"/>
  <c r="Q452" i="16"/>
  <c r="Q460" i="16"/>
  <c r="Q468" i="16"/>
  <c r="Q478" i="16"/>
  <c r="Q479" i="16"/>
  <c r="Q494" i="16"/>
  <c r="Q495" i="16"/>
  <c r="O537" i="16"/>
  <c r="Q406" i="16"/>
  <c r="Q414" i="16"/>
  <c r="Q422" i="16"/>
  <c r="Q430" i="16"/>
  <c r="Q438" i="16"/>
  <c r="Q446" i="16"/>
  <c r="Q454" i="16"/>
  <c r="Q462" i="16"/>
  <c r="Q470" i="16"/>
  <c r="Q482" i="16"/>
  <c r="Q483" i="16"/>
  <c r="Q498" i="16"/>
  <c r="Q499" i="16"/>
  <c r="Q401" i="16"/>
  <c r="Q403" i="16"/>
  <c r="Q405" i="16"/>
  <c r="Q407" i="16"/>
  <c r="Q409" i="16"/>
  <c r="Q411" i="16"/>
  <c r="Q413" i="16"/>
  <c r="Q415" i="16"/>
  <c r="Q417" i="16"/>
  <c r="Q419" i="16"/>
  <c r="Q421" i="16"/>
  <c r="Q423" i="16"/>
  <c r="Q425" i="16"/>
  <c r="Q427" i="16"/>
  <c r="Q429" i="16"/>
  <c r="Q431" i="16"/>
  <c r="Q433" i="16"/>
  <c r="Q435" i="16"/>
  <c r="Q437" i="16"/>
  <c r="Q439" i="16"/>
  <c r="Q441" i="16"/>
  <c r="Q443" i="16"/>
  <c r="Q445" i="16"/>
  <c r="Q447" i="16"/>
  <c r="Q449" i="16"/>
  <c r="Q451" i="16"/>
  <c r="Q453" i="16"/>
  <c r="Q455" i="16"/>
  <c r="Q457" i="16"/>
  <c r="Q459" i="16"/>
  <c r="Q461" i="16"/>
  <c r="Q463" i="16"/>
  <c r="Q465" i="16"/>
  <c r="Q467" i="16"/>
  <c r="Q469" i="16"/>
  <c r="Q471" i="16"/>
  <c r="Q473" i="16"/>
  <c r="Q477" i="16"/>
  <c r="Q481" i="16"/>
  <c r="Q485" i="16"/>
  <c r="Q489" i="16"/>
  <c r="Q493" i="16"/>
  <c r="Q497" i="16"/>
  <c r="Q501" i="16"/>
  <c r="Q505" i="16"/>
  <c r="I537" i="16"/>
  <c r="R711" i="16"/>
  <c r="P554" i="16"/>
  <c r="Q548" i="16"/>
  <c r="S725" i="16"/>
  <c r="Q570" i="16"/>
  <c r="L570" i="16" s="1"/>
  <c r="Q532" i="16"/>
  <c r="Q542" i="16"/>
  <c r="Q544" i="16"/>
  <c r="Q546" i="16"/>
  <c r="I554" i="16"/>
  <c r="R550" i="16"/>
  <c r="O725" i="16"/>
  <c r="Q558" i="16"/>
  <c r="V725" i="16"/>
  <c r="H724" i="16" s="1"/>
  <c r="P725" i="16"/>
  <c r="F725" i="16"/>
  <c r="F770" i="16" s="1"/>
  <c r="Q638" i="16"/>
  <c r="Q590" i="16"/>
  <c r="Q592" i="16"/>
  <c r="Q594" i="16"/>
  <c r="Q596" i="16"/>
  <c r="Q598" i="16"/>
  <c r="Q600" i="16"/>
  <c r="Q602" i="16"/>
  <c r="Q604" i="16"/>
  <c r="Q606" i="16"/>
  <c r="Q608" i="16"/>
  <c r="Q610" i="16"/>
  <c r="Q612" i="16"/>
  <c r="Q614" i="16"/>
  <c r="Q634" i="16"/>
  <c r="Q646" i="16"/>
  <c r="O761" i="16"/>
  <c r="O768" i="16" s="1"/>
  <c r="Q729" i="16"/>
  <c r="L761" i="16"/>
  <c r="P761" i="16"/>
  <c r="P768" i="16" s="1"/>
  <c r="Q745" i="16"/>
  <c r="Q733" i="16"/>
  <c r="Q741" i="16"/>
  <c r="Q749" i="16"/>
  <c r="Q689" i="16"/>
  <c r="Q691" i="16"/>
  <c r="Q693" i="16"/>
  <c r="Q695" i="16"/>
  <c r="Q697" i="16"/>
  <c r="Q699" i="16"/>
  <c r="K761" i="16"/>
  <c r="V761" i="16"/>
  <c r="H760" i="16" s="1"/>
  <c r="H761" i="16" s="1"/>
  <c r="Q731" i="16"/>
  <c r="Q735" i="16"/>
  <c r="Q739" i="16"/>
  <c r="Q743" i="16"/>
  <c r="Q747" i="16"/>
  <c r="Q751" i="16"/>
  <c r="Q755" i="16"/>
  <c r="Q732" i="16"/>
  <c r="Q740" i="16"/>
  <c r="Q744" i="16"/>
  <c r="Q748" i="16"/>
  <c r="Q752" i="16"/>
  <c r="L768" i="16"/>
  <c r="Q736" i="16"/>
  <c r="Y723" i="13"/>
  <c r="I717" i="13"/>
  <c r="Y759" i="13"/>
  <c r="H717" i="13"/>
  <c r="Z553" i="13"/>
  <c r="Y553" i="13"/>
  <c r="Z536" i="13"/>
  <c r="Y536" i="13"/>
  <c r="Z172" i="13"/>
  <c r="Y172" i="13"/>
  <c r="H725" i="16" l="1"/>
  <c r="T765" i="16"/>
  <c r="U765" i="16" s="1"/>
  <c r="W765" i="16" s="1" a="1"/>
  <c r="W765" i="16" s="1"/>
  <c r="T628" i="16"/>
  <c r="U628" i="16" s="1"/>
  <c r="W628" i="16" s="1" a="1"/>
  <c r="W628" i="16" s="1"/>
  <c r="T700" i="16"/>
  <c r="U700" i="16" s="1"/>
  <c r="W700" i="16" s="1" a="1"/>
  <c r="W700" i="16" s="1"/>
  <c r="T394" i="16"/>
  <c r="U394" i="16" s="1"/>
  <c r="W394" i="16" s="1" a="1"/>
  <c r="W394" i="16" s="1"/>
  <c r="T343" i="16"/>
  <c r="U343" i="16" s="1"/>
  <c r="W343" i="16" s="1" a="1"/>
  <c r="W343" i="16" s="1"/>
  <c r="T222" i="16"/>
  <c r="U222" i="16" s="1"/>
  <c r="W222" i="16" s="1" a="1"/>
  <c r="W222" i="16" s="1"/>
  <c r="T30" i="16"/>
  <c r="U30" i="16" s="1"/>
  <c r="W30" i="16" s="1" a="1"/>
  <c r="W30" i="16" s="1"/>
  <c r="T14" i="16"/>
  <c r="U14" i="16" s="1"/>
  <c r="W14" i="16" s="1" a="1"/>
  <c r="W14" i="16" s="1"/>
  <c r="T652" i="16"/>
  <c r="U652" i="16" s="1"/>
  <c r="W652" i="16" s="1" a="1"/>
  <c r="W652" i="16" s="1"/>
  <c r="T676" i="16"/>
  <c r="U676" i="16" s="1"/>
  <c r="W676" i="16" s="1" a="1"/>
  <c r="W676" i="16" s="1"/>
  <c r="T115" i="16"/>
  <c r="U115" i="16" s="1"/>
  <c r="W115" i="16" s="1" a="1"/>
  <c r="W115" i="16" s="1"/>
  <c r="T127" i="16"/>
  <c r="U127" i="16" s="1"/>
  <c r="W127" i="16" s="1" a="1"/>
  <c r="W127" i="16" s="1"/>
  <c r="T135" i="16"/>
  <c r="U135" i="16" s="1"/>
  <c r="W135" i="16" s="1" a="1"/>
  <c r="W135" i="16" s="1"/>
  <c r="T139" i="16"/>
  <c r="U139" i="16" s="1"/>
  <c r="W139" i="16" s="1" a="1"/>
  <c r="W139" i="16" s="1"/>
  <c r="T151" i="16"/>
  <c r="U151" i="16" s="1"/>
  <c r="W151" i="16" s="1" a="1"/>
  <c r="W151" i="16" s="1"/>
  <c r="T159" i="16"/>
  <c r="U159" i="16" s="1"/>
  <c r="W159" i="16" s="1" a="1"/>
  <c r="W159" i="16" s="1"/>
  <c r="T167" i="16"/>
  <c r="U167" i="16" s="1"/>
  <c r="W167" i="16" s="1" a="1"/>
  <c r="W167" i="16" s="1"/>
  <c r="T314" i="16"/>
  <c r="U314" i="16" s="1"/>
  <c r="W314" i="16" s="1" a="1"/>
  <c r="W314" i="16" s="1"/>
  <c r="T330" i="16"/>
  <c r="U330" i="16" s="1"/>
  <c r="W330" i="16" s="1" a="1"/>
  <c r="W330" i="16" s="1"/>
  <c r="T346" i="16"/>
  <c r="U346" i="16" s="1"/>
  <c r="W346" i="16" s="1" a="1"/>
  <c r="W346" i="16" s="1"/>
  <c r="T225" i="16"/>
  <c r="U225" i="16" s="1"/>
  <c r="W225" i="16" s="1" a="1"/>
  <c r="W225" i="16" s="1"/>
  <c r="T242" i="16"/>
  <c r="U242" i="16" s="1"/>
  <c r="W242" i="16" s="1" a="1"/>
  <c r="W242" i="16" s="1"/>
  <c r="T258" i="16"/>
  <c r="U258" i="16" s="1"/>
  <c r="W258" i="16" s="1" a="1"/>
  <c r="W258" i="16" s="1"/>
  <c r="T274" i="16"/>
  <c r="U274" i="16" s="1"/>
  <c r="W274" i="16" s="1" a="1"/>
  <c r="W274" i="16" s="1"/>
  <c r="T287" i="16"/>
  <c r="U287" i="16" s="1"/>
  <c r="W287" i="16" s="1" a="1"/>
  <c r="W287" i="16" s="1"/>
  <c r="T325" i="16"/>
  <c r="U325" i="16" s="1"/>
  <c r="W325" i="16" s="1" a="1"/>
  <c r="W325" i="16" s="1"/>
  <c r="T434" i="16"/>
  <c r="U434" i="16" s="1"/>
  <c r="W434" i="16" s="1" a="1"/>
  <c r="W434" i="16" s="1"/>
  <c r="T458" i="16"/>
  <c r="U458" i="16" s="1"/>
  <c r="W458" i="16" s="1" a="1"/>
  <c r="W458" i="16" s="1"/>
  <c r="T566" i="16"/>
  <c r="U566" i="16" s="1"/>
  <c r="W566" i="16" s="1" a="1"/>
  <c r="W566" i="16" s="1"/>
  <c r="T519" i="16"/>
  <c r="U519" i="16" s="1"/>
  <c r="W519" i="16" s="1" a="1"/>
  <c r="W519" i="16" s="1"/>
  <c r="T575" i="16"/>
  <c r="U575" i="16" s="1"/>
  <c r="W575" i="16" s="1" a="1"/>
  <c r="W575" i="16" s="1"/>
  <c r="T587" i="16"/>
  <c r="U587" i="16" s="1"/>
  <c r="W587" i="16" s="1" a="1"/>
  <c r="W587" i="16" s="1"/>
  <c r="T649" i="16"/>
  <c r="U649" i="16" s="1"/>
  <c r="W649" i="16" s="1" a="1"/>
  <c r="W649" i="16" s="1"/>
  <c r="T661" i="16"/>
  <c r="U661" i="16" s="1"/>
  <c r="W661" i="16" s="1" a="1"/>
  <c r="W661" i="16" s="1"/>
  <c r="T669" i="16"/>
  <c r="U669" i="16" s="1"/>
  <c r="W669" i="16" s="1" a="1"/>
  <c r="W669" i="16" s="1"/>
  <c r="T685" i="16"/>
  <c r="U685" i="16" s="1"/>
  <c r="W685" i="16" s="1" a="1"/>
  <c r="W685" i="16" s="1"/>
  <c r="T716" i="16"/>
  <c r="U716" i="16" s="1"/>
  <c r="W716" i="16" s="1" a="1"/>
  <c r="W716" i="16" s="1"/>
  <c r="T692" i="16"/>
  <c r="U692" i="16" s="1"/>
  <c r="W692" i="16" s="1" a="1"/>
  <c r="W692" i="16" s="1"/>
  <c r="T718" i="16"/>
  <c r="U718" i="16" s="1"/>
  <c r="W718" i="16" s="1" a="1"/>
  <c r="W718" i="16" s="1"/>
  <c r="T720" i="16"/>
  <c r="U720" i="16" s="1"/>
  <c r="W720" i="16" s="1" a="1"/>
  <c r="W720" i="16" s="1"/>
  <c r="T63" i="17"/>
  <c r="U63" i="17" s="1"/>
  <c r="W63" i="17" s="1" a="1"/>
  <c r="W63" i="17" s="1"/>
  <c r="T90" i="17"/>
  <c r="U90" i="17" s="1"/>
  <c r="W90" i="17" s="1" a="1"/>
  <c r="W90" i="17" s="1"/>
  <c r="Q124" i="17"/>
  <c r="T52" i="17"/>
  <c r="U52" i="17" s="1"/>
  <c r="W52" i="17" s="1" a="1"/>
  <c r="W52" i="17" s="1"/>
  <c r="T18" i="17"/>
  <c r="U18" i="17" s="1"/>
  <c r="W18" i="17" s="1" a="1"/>
  <c r="W18" i="17" s="1"/>
  <c r="T25" i="17"/>
  <c r="U25" i="17" s="1"/>
  <c r="W25" i="17" s="1" a="1"/>
  <c r="W25" i="17" s="1"/>
  <c r="K128" i="17"/>
  <c r="L130" i="17" s="1"/>
  <c r="L131" i="17" s="1"/>
  <c r="T76" i="17"/>
  <c r="U76" i="17" s="1"/>
  <c r="W76" i="17" s="1" a="1"/>
  <c r="W76" i="17" s="1"/>
  <c r="T68" i="17"/>
  <c r="U68" i="17" s="1"/>
  <c r="W68" i="17" s="1" a="1"/>
  <c r="W68" i="17" s="1"/>
  <c r="T53" i="17"/>
  <c r="U53" i="17" s="1"/>
  <c r="W53" i="17" s="1" a="1"/>
  <c r="W53" i="17" s="1"/>
  <c r="T40" i="17"/>
  <c r="U40" i="17" s="1"/>
  <c r="W40" i="17" s="1" a="1"/>
  <c r="W40" i="17" s="1"/>
  <c r="T30" i="17"/>
  <c r="U30" i="17" s="1"/>
  <c r="W30" i="17" s="1" a="1"/>
  <c r="W30" i="17" s="1"/>
  <c r="T81" i="17"/>
  <c r="U81" i="17" s="1"/>
  <c r="W81" i="17" s="1" a="1"/>
  <c r="W81" i="17" s="1"/>
  <c r="T92" i="17"/>
  <c r="U92" i="17" s="1"/>
  <c r="W92" i="17" s="1" a="1"/>
  <c r="W92" i="17" s="1"/>
  <c r="T95" i="17"/>
  <c r="U95" i="17" s="1"/>
  <c r="W95" i="17" s="1" a="1"/>
  <c r="W95" i="17" s="1"/>
  <c r="T62" i="17"/>
  <c r="U62" i="17" s="1"/>
  <c r="W62" i="17" s="1" a="1"/>
  <c r="W62" i="17" s="1"/>
  <c r="T73" i="17"/>
  <c r="U73" i="17" s="1"/>
  <c r="W73" i="17" s="1" a="1"/>
  <c r="W73" i="17" s="1"/>
  <c r="T17" i="17"/>
  <c r="U17" i="17" s="1"/>
  <c r="W17" i="17" s="1" a="1"/>
  <c r="W17" i="17" s="1"/>
  <c r="T44" i="17"/>
  <c r="U44" i="17" s="1"/>
  <c r="W44" i="17" s="1" a="1"/>
  <c r="W44" i="17" s="1"/>
  <c r="T41" i="17"/>
  <c r="U41" i="17" s="1"/>
  <c r="W41" i="17" s="1" a="1"/>
  <c r="W41" i="17" s="1"/>
  <c r="T85" i="17"/>
  <c r="U85" i="17" s="1"/>
  <c r="W85" i="17" s="1" a="1"/>
  <c r="W85" i="17" s="1"/>
  <c r="T101" i="17"/>
  <c r="U101" i="17" s="1"/>
  <c r="W101" i="17" s="1" a="1"/>
  <c r="W101" i="17" s="1"/>
  <c r="L128" i="17"/>
  <c r="P128" i="17"/>
  <c r="T20" i="17"/>
  <c r="U20" i="17" s="1"/>
  <c r="W20" i="17" s="1" a="1"/>
  <c r="W20" i="17" s="1"/>
  <c r="T36" i="17"/>
  <c r="U36" i="17" s="1"/>
  <c r="W36" i="17" s="1" a="1"/>
  <c r="W36" i="17" s="1"/>
  <c r="T57" i="17"/>
  <c r="U57" i="17" s="1"/>
  <c r="W57" i="17" s="1" a="1"/>
  <c r="W57" i="17" s="1"/>
  <c r="T120" i="17"/>
  <c r="U120" i="17" s="1"/>
  <c r="W120" i="17" s="1" a="1"/>
  <c r="W120" i="17" s="1"/>
  <c r="T19" i="17"/>
  <c r="U19" i="17" s="1"/>
  <c r="W19" i="17" s="1" a="1"/>
  <c r="W19" i="17" s="1"/>
  <c r="O128" i="17"/>
  <c r="T47" i="17"/>
  <c r="U47" i="17" s="1"/>
  <c r="W47" i="17" s="1" a="1"/>
  <c r="W47" i="17" s="1"/>
  <c r="T34" i="17"/>
  <c r="U34" i="17" s="1"/>
  <c r="W34" i="17" s="1" a="1"/>
  <c r="W34" i="17" s="1"/>
  <c r="T119" i="17"/>
  <c r="U119" i="17" s="1"/>
  <c r="W119" i="17" s="1" a="1"/>
  <c r="W119" i="17" s="1"/>
  <c r="T99" i="17"/>
  <c r="U99" i="17" s="1"/>
  <c r="W99" i="17" s="1" a="1"/>
  <c r="W99" i="17" s="1"/>
  <c r="T107" i="17"/>
  <c r="U107" i="17" s="1"/>
  <c r="W107" i="17" s="1" a="1"/>
  <c r="W107" i="17" s="1"/>
  <c r="T42" i="17"/>
  <c r="U42" i="17" s="1"/>
  <c r="W42" i="17" s="1" a="1"/>
  <c r="W42" i="17" s="1"/>
  <c r="T106" i="17"/>
  <c r="U106" i="17" s="1"/>
  <c r="W106" i="17" s="1" a="1"/>
  <c r="W106" i="17" s="1"/>
  <c r="T100" i="17"/>
  <c r="U100" i="17" s="1"/>
  <c r="W100" i="17" s="1" a="1"/>
  <c r="W100" i="17" s="1"/>
  <c r="T104" i="17"/>
  <c r="U104" i="17" s="1"/>
  <c r="W104" i="17" s="1" a="1"/>
  <c r="W104" i="17" s="1"/>
  <c r="T108" i="17"/>
  <c r="U108" i="17" s="1"/>
  <c r="W108" i="17" s="1" a="1"/>
  <c r="W108" i="17" s="1"/>
  <c r="T237" i="16"/>
  <c r="U237" i="16" s="1"/>
  <c r="W237" i="16" s="1" a="1"/>
  <c r="W237" i="16" s="1"/>
  <c r="T10" i="16"/>
  <c r="U10" i="16" s="1"/>
  <c r="W10" i="16" s="1" a="1"/>
  <c r="W10" i="16" s="1"/>
  <c r="T306" i="16"/>
  <c r="U306" i="16" s="1"/>
  <c r="W306" i="16" s="1" a="1"/>
  <c r="W306" i="16" s="1"/>
  <c r="T195" i="16"/>
  <c r="U195" i="16" s="1"/>
  <c r="W195" i="16" s="1" a="1"/>
  <c r="W195" i="16" s="1"/>
  <c r="T187" i="16"/>
  <c r="U187" i="16" s="1"/>
  <c r="W187" i="16" s="1" a="1"/>
  <c r="W187" i="16" s="1"/>
  <c r="T95" i="16"/>
  <c r="U95" i="16" s="1"/>
  <c r="W95" i="16" s="1" a="1"/>
  <c r="W95" i="16" s="1"/>
  <c r="T103" i="16"/>
  <c r="U103" i="16" s="1"/>
  <c r="W103" i="16" s="1" a="1"/>
  <c r="W103" i="16" s="1"/>
  <c r="T147" i="16"/>
  <c r="U147" i="16" s="1"/>
  <c r="W147" i="16" s="1" a="1"/>
  <c r="W147" i="16" s="1"/>
  <c r="T303" i="16"/>
  <c r="U303" i="16" s="1"/>
  <c r="W303" i="16" s="1" a="1"/>
  <c r="W303" i="16" s="1"/>
  <c r="T362" i="16"/>
  <c r="U362" i="16" s="1"/>
  <c r="W362" i="16" s="1" a="1"/>
  <c r="W362" i="16" s="1"/>
  <c r="T238" i="16"/>
  <c r="U238" i="16" s="1"/>
  <c r="W238" i="16" s="1" a="1"/>
  <c r="W238" i="16" s="1"/>
  <c r="T254" i="16"/>
  <c r="U254" i="16" s="1"/>
  <c r="W254" i="16" s="1" a="1"/>
  <c r="W254" i="16" s="1"/>
  <c r="T270" i="16"/>
  <c r="U270" i="16" s="1"/>
  <c r="W270" i="16" s="1" a="1"/>
  <c r="W270" i="16" s="1"/>
  <c r="T283" i="16"/>
  <c r="U283" i="16" s="1"/>
  <c r="W283" i="16" s="1" a="1"/>
  <c r="W283" i="16" s="1"/>
  <c r="T561" i="16"/>
  <c r="U561" i="16" s="1"/>
  <c r="W561" i="16" s="1" a="1"/>
  <c r="W561" i="16" s="1"/>
  <c r="T579" i="16"/>
  <c r="U579" i="16" s="1"/>
  <c r="W579" i="16" s="1" a="1"/>
  <c r="W579" i="16" s="1"/>
  <c r="T681" i="16"/>
  <c r="U681" i="16" s="1"/>
  <c r="W681" i="16" s="1" a="1"/>
  <c r="W681" i="16" s="1"/>
  <c r="T26" i="16"/>
  <c r="U26" i="16" s="1"/>
  <c r="W26" i="16" s="1" a="1"/>
  <c r="W26" i="16" s="1"/>
  <c r="T42" i="16"/>
  <c r="U42" i="16" s="1"/>
  <c r="W42" i="16" s="1" a="1"/>
  <c r="W42" i="16" s="1"/>
  <c r="T79" i="16"/>
  <c r="U79" i="16" s="1"/>
  <c r="W79" i="16" s="1" a="1"/>
  <c r="W79" i="16" s="1"/>
  <c r="T387" i="16"/>
  <c r="U387" i="16" s="1"/>
  <c r="W387" i="16" s="1" a="1"/>
  <c r="W387" i="16" s="1"/>
  <c r="T148" i="16"/>
  <c r="U148" i="16" s="1"/>
  <c r="W148" i="16" s="1" a="1"/>
  <c r="W148" i="16" s="1"/>
  <c r="T226" i="16"/>
  <c r="U226" i="16" s="1"/>
  <c r="W226" i="16" s="1" a="1"/>
  <c r="W226" i="16" s="1"/>
  <c r="T243" i="16"/>
  <c r="U243" i="16" s="1"/>
  <c r="W243" i="16" s="1" a="1"/>
  <c r="W243" i="16" s="1"/>
  <c r="T259" i="16"/>
  <c r="U259" i="16" s="1"/>
  <c r="W259" i="16" s="1" a="1"/>
  <c r="W259" i="16" s="1"/>
  <c r="T275" i="16"/>
  <c r="U275" i="16" s="1"/>
  <c r="W275" i="16" s="1" a="1"/>
  <c r="W275" i="16" s="1"/>
  <c r="T738" i="16"/>
  <c r="U738" i="16" s="1"/>
  <c r="W738" i="16" s="1" a="1"/>
  <c r="W738" i="16" s="1"/>
  <c r="T754" i="16"/>
  <c r="U754" i="16" s="1"/>
  <c r="W754" i="16" s="1" a="1"/>
  <c r="W754" i="16" s="1"/>
  <c r="T205" i="16"/>
  <c r="U205" i="16" s="1"/>
  <c r="W205" i="16" s="1" a="1"/>
  <c r="W205" i="16" s="1"/>
  <c r="T328" i="16"/>
  <c r="U328" i="16" s="1"/>
  <c r="W328" i="16" s="1" a="1"/>
  <c r="W328" i="16" s="1"/>
  <c r="T67" i="16"/>
  <c r="U67" i="16" s="1"/>
  <c r="W67" i="16" s="1" a="1"/>
  <c r="W67" i="16" s="1"/>
  <c r="T550" i="16"/>
  <c r="U550" i="16" s="1"/>
  <c r="W550" i="16" s="1" a="1"/>
  <c r="W550" i="16" s="1"/>
  <c r="T312" i="16"/>
  <c r="U312" i="16" s="1"/>
  <c r="W312" i="16" s="1" a="1"/>
  <c r="W312" i="16" s="1"/>
  <c r="T61" i="16"/>
  <c r="U61" i="16" s="1"/>
  <c r="W61" i="16" s="1" a="1"/>
  <c r="W61" i="16" s="1"/>
  <c r="T117" i="16"/>
  <c r="U117" i="16" s="1"/>
  <c r="W117" i="16" s="1" a="1"/>
  <c r="W117" i="16" s="1"/>
  <c r="T133" i="16"/>
  <c r="U133" i="16" s="1"/>
  <c r="W133" i="16" s="1" a="1"/>
  <c r="W133" i="16" s="1"/>
  <c r="T157" i="16"/>
  <c r="U157" i="16" s="1"/>
  <c r="W157" i="16" s="1" a="1"/>
  <c r="W157" i="16" s="1"/>
  <c r="T165" i="16"/>
  <c r="U165" i="16" s="1"/>
  <c r="W165" i="16" s="1" a="1"/>
  <c r="W165" i="16" s="1"/>
  <c r="T293" i="16"/>
  <c r="U293" i="16" s="1"/>
  <c r="W293" i="16" s="1" a="1"/>
  <c r="W293" i="16" s="1"/>
  <c r="T365" i="16"/>
  <c r="U365" i="16" s="1"/>
  <c r="W365" i="16" s="1" a="1"/>
  <c r="W365" i="16" s="1"/>
  <c r="T722" i="16"/>
  <c r="U722" i="16" s="1"/>
  <c r="W722" i="16" s="1" a="1"/>
  <c r="W722" i="16" s="1"/>
  <c r="T231" i="16"/>
  <c r="U231" i="16" s="1"/>
  <c r="W231" i="16" s="1" a="1"/>
  <c r="W231" i="16" s="1"/>
  <c r="T248" i="16"/>
  <c r="U248" i="16" s="1"/>
  <c r="W248" i="16" s="1" a="1"/>
  <c r="W248" i="16" s="1"/>
  <c r="T264" i="16"/>
  <c r="U264" i="16" s="1"/>
  <c r="W264" i="16" s="1" a="1"/>
  <c r="W264" i="16" s="1"/>
  <c r="T31" i="16"/>
  <c r="U31" i="16" s="1"/>
  <c r="W31" i="16" s="1" a="1"/>
  <c r="W31" i="16" s="1"/>
  <c r="T15" i="16"/>
  <c r="U15" i="16" s="1"/>
  <c r="W15" i="16" s="1" a="1"/>
  <c r="W15" i="16" s="1"/>
  <c r="T34" i="16"/>
  <c r="U34" i="16" s="1"/>
  <c r="W34" i="16" s="1" a="1"/>
  <c r="W34" i="16" s="1"/>
  <c r="T18" i="16"/>
  <c r="U18" i="16" s="1"/>
  <c r="W18" i="16" s="1" a="1"/>
  <c r="W18" i="16" s="1"/>
  <c r="T374" i="16"/>
  <c r="U374" i="16" s="1"/>
  <c r="W374" i="16" s="1" a="1"/>
  <c r="W374" i="16" s="1"/>
  <c r="T206" i="16"/>
  <c r="U206" i="16" s="1"/>
  <c r="W206" i="16" s="1" a="1"/>
  <c r="W206" i="16" s="1"/>
  <c r="T352" i="16"/>
  <c r="U352" i="16" s="1"/>
  <c r="W352" i="16" s="1" a="1"/>
  <c r="W352" i="16" s="1"/>
  <c r="T123" i="16"/>
  <c r="U123" i="16" s="1"/>
  <c r="W123" i="16" s="1" a="1"/>
  <c r="W123" i="16" s="1"/>
  <c r="T378" i="16"/>
  <c r="U378" i="16" s="1"/>
  <c r="W378" i="16" s="1" a="1"/>
  <c r="W378" i="16" s="1"/>
  <c r="T402" i="16"/>
  <c r="U402" i="16" s="1"/>
  <c r="W402" i="16" s="1" a="1"/>
  <c r="W402" i="16" s="1"/>
  <c r="T442" i="16"/>
  <c r="U442" i="16" s="1"/>
  <c r="W442" i="16" s="1" a="1"/>
  <c r="W442" i="16" s="1"/>
  <c r="T511" i="16"/>
  <c r="U511" i="16" s="1"/>
  <c r="W511" i="16" s="1" a="1"/>
  <c r="W511" i="16" s="1"/>
  <c r="T616" i="16"/>
  <c r="U616" i="16" s="1"/>
  <c r="W616" i="16" s="1" a="1"/>
  <c r="W616" i="16" s="1"/>
  <c r="T706" i="16"/>
  <c r="U706" i="16" s="1"/>
  <c r="W706" i="16" s="1" a="1"/>
  <c r="W706" i="16" s="1"/>
  <c r="T633" i="16"/>
  <c r="U633" i="16" s="1"/>
  <c r="W633" i="16" s="1" a="1"/>
  <c r="W633" i="16" s="1"/>
  <c r="T641" i="16"/>
  <c r="U641" i="16" s="1"/>
  <c r="W641" i="16" s="1" a="1"/>
  <c r="W641" i="16" s="1"/>
  <c r="K725" i="16"/>
  <c r="W570" i="16" a="1"/>
  <c r="W570" i="16" s="1"/>
  <c r="H537" i="16"/>
  <c r="H770" i="16" s="1"/>
  <c r="K537" i="16"/>
  <c r="T11" i="16"/>
  <c r="U11" i="16" s="1"/>
  <c r="W11" i="16" s="1" a="1"/>
  <c r="W11" i="16" s="1"/>
  <c r="T367" i="16"/>
  <c r="U367" i="16" s="1"/>
  <c r="W367" i="16" s="1" a="1"/>
  <c r="W367" i="16" s="1"/>
  <c r="T388" i="16"/>
  <c r="U388" i="16" s="1"/>
  <c r="W388" i="16" s="1" a="1"/>
  <c r="W388" i="16" s="1"/>
  <c r="T81" i="16"/>
  <c r="U81" i="16" s="1"/>
  <c r="W81" i="16" s="1" a="1"/>
  <c r="W81" i="16" s="1"/>
  <c r="U551" i="16"/>
  <c r="W551" i="16" s="1" a="1"/>
  <c r="W551" i="16" s="1"/>
  <c r="T46" i="16"/>
  <c r="U46" i="16" s="1"/>
  <c r="W46" i="16" s="1" a="1"/>
  <c r="W46" i="16" s="1"/>
  <c r="T73" i="16"/>
  <c r="U73" i="16" s="1"/>
  <c r="W73" i="16" s="1" a="1"/>
  <c r="W73" i="16" s="1"/>
  <c r="T85" i="16"/>
  <c r="U85" i="16" s="1"/>
  <c r="W85" i="16" s="1" a="1"/>
  <c r="W85" i="16" s="1"/>
  <c r="T308" i="16"/>
  <c r="U308" i="16" s="1"/>
  <c r="W308" i="16" s="1" a="1"/>
  <c r="W308" i="16" s="1"/>
  <c r="T74" i="16"/>
  <c r="U74" i="16" s="1"/>
  <c r="W74" i="16" s="1" a="1"/>
  <c r="W74" i="16" s="1"/>
  <c r="T68" i="16"/>
  <c r="U68" i="16" s="1"/>
  <c r="W68" i="16" s="1" a="1"/>
  <c r="W68" i="16" s="1"/>
  <c r="T100" i="16"/>
  <c r="U100" i="16" s="1"/>
  <c r="W100" i="16" s="1" a="1"/>
  <c r="W100" i="16" s="1"/>
  <c r="T108" i="16"/>
  <c r="U108" i="16" s="1"/>
  <c r="W108" i="16" s="1" a="1"/>
  <c r="W108" i="16" s="1"/>
  <c r="T128" i="16"/>
  <c r="U128" i="16" s="1"/>
  <c r="W128" i="16" s="1" a="1"/>
  <c r="W128" i="16" s="1"/>
  <c r="T140" i="16"/>
  <c r="U140" i="16" s="1"/>
  <c r="W140" i="16" s="1" a="1"/>
  <c r="W140" i="16" s="1"/>
  <c r="T168" i="16"/>
  <c r="U168" i="16" s="1"/>
  <c r="W168" i="16" s="1" a="1"/>
  <c r="W168" i="16" s="1"/>
  <c r="T201" i="16"/>
  <c r="U201" i="16" s="1"/>
  <c r="W201" i="16" s="1" a="1"/>
  <c r="W201" i="16" s="1"/>
  <c r="T234" i="16"/>
  <c r="U234" i="16" s="1"/>
  <c r="W234" i="16" s="1" a="1"/>
  <c r="W234" i="16" s="1"/>
  <c r="T251" i="16"/>
  <c r="U251" i="16" s="1"/>
  <c r="W251" i="16" s="1" a="1"/>
  <c r="W251" i="16" s="1"/>
  <c r="T267" i="16"/>
  <c r="U267" i="16" s="1"/>
  <c r="W267" i="16" s="1" a="1"/>
  <c r="W267" i="16" s="1"/>
  <c r="T332" i="16"/>
  <c r="U332" i="16" s="1"/>
  <c r="W332" i="16" s="1" a="1"/>
  <c r="W332" i="16" s="1"/>
  <c r="T218" i="16"/>
  <c r="U218" i="16" s="1"/>
  <c r="W218" i="16" s="1" a="1"/>
  <c r="W218" i="16" s="1"/>
  <c r="T49" i="16"/>
  <c r="U49" i="16" s="1"/>
  <c r="W49" i="16" s="1" a="1"/>
  <c r="W49" i="16" s="1"/>
  <c r="T41" i="16"/>
  <c r="U41" i="16" s="1"/>
  <c r="W41" i="16" s="1" a="1"/>
  <c r="W41" i="16" s="1"/>
  <c r="T125" i="16"/>
  <c r="U125" i="16" s="1"/>
  <c r="W125" i="16" s="1" a="1"/>
  <c r="W125" i="16" s="1"/>
  <c r="T129" i="16"/>
  <c r="U129" i="16" s="1"/>
  <c r="W129" i="16" s="1" a="1"/>
  <c r="W129" i="16" s="1"/>
  <c r="T137" i="16"/>
  <c r="U137" i="16" s="1"/>
  <c r="W137" i="16" s="1" a="1"/>
  <c r="W137" i="16" s="1"/>
  <c r="T153" i="16"/>
  <c r="U153" i="16" s="1"/>
  <c r="W153" i="16" s="1" a="1"/>
  <c r="W153" i="16" s="1"/>
  <c r="T161" i="16"/>
  <c r="U161" i="16" s="1"/>
  <c r="W161" i="16" s="1" a="1"/>
  <c r="W161" i="16" s="1"/>
  <c r="T169" i="16"/>
  <c r="U169" i="16" s="1"/>
  <c r="W169" i="16" s="1" a="1"/>
  <c r="W169" i="16" s="1"/>
  <c r="T299" i="16"/>
  <c r="U299" i="16" s="1"/>
  <c r="W299" i="16" s="1" a="1"/>
  <c r="W299" i="16" s="1"/>
  <c r="T285" i="16"/>
  <c r="U285" i="16" s="1"/>
  <c r="W285" i="16" s="1" a="1"/>
  <c r="W285" i="16" s="1"/>
  <c r="T317" i="16"/>
  <c r="U317" i="16" s="1"/>
  <c r="W317" i="16" s="1" a="1"/>
  <c r="W317" i="16" s="1"/>
  <c r="T333" i="16"/>
  <c r="U333" i="16" s="1"/>
  <c r="W333" i="16" s="1" a="1"/>
  <c r="W333" i="16" s="1"/>
  <c r="T349" i="16"/>
  <c r="U349" i="16" s="1"/>
  <c r="W349" i="16" s="1" a="1"/>
  <c r="W349" i="16" s="1"/>
  <c r="T617" i="16"/>
  <c r="U617" i="16" s="1"/>
  <c r="W617" i="16" s="1" a="1"/>
  <c r="W617" i="16" s="1"/>
  <c r="T625" i="16"/>
  <c r="U625" i="16" s="1"/>
  <c r="W625" i="16" s="1" a="1"/>
  <c r="W625" i="16" s="1"/>
  <c r="T475" i="16"/>
  <c r="U475" i="16" s="1"/>
  <c r="W475" i="16" s="1" a="1"/>
  <c r="W475" i="16" s="1"/>
  <c r="T605" i="16"/>
  <c r="U605" i="16" s="1"/>
  <c r="W605" i="16" s="1" a="1"/>
  <c r="W605" i="16" s="1"/>
  <c r="T613" i="16"/>
  <c r="U613" i="16" s="1"/>
  <c r="W613" i="16" s="1" a="1"/>
  <c r="W613" i="16" s="1"/>
  <c r="T651" i="16"/>
  <c r="U651" i="16" s="1"/>
  <c r="W651" i="16" s="1" a="1"/>
  <c r="W651" i="16" s="1"/>
  <c r="T663" i="16"/>
  <c r="U663" i="16" s="1"/>
  <c r="W663" i="16" s="1" a="1"/>
  <c r="W663" i="16" s="1"/>
  <c r="T671" i="16"/>
  <c r="U671" i="16" s="1"/>
  <c r="W671" i="16" s="1" a="1"/>
  <c r="W671" i="16" s="1"/>
  <c r="T675" i="16"/>
  <c r="U675" i="16" s="1"/>
  <c r="W675" i="16" s="1" a="1"/>
  <c r="W675" i="16" s="1"/>
  <c r="T683" i="16"/>
  <c r="U683" i="16" s="1"/>
  <c r="W683" i="16" s="1" a="1"/>
  <c r="W683" i="16" s="1"/>
  <c r="T327" i="16"/>
  <c r="U327" i="16" s="1"/>
  <c r="W327" i="16" s="1" a="1"/>
  <c r="W327" i="16" s="1"/>
  <c r="T217" i="16"/>
  <c r="U217" i="16" s="1"/>
  <c r="W217" i="16" s="1" a="1"/>
  <c r="W217" i="16" s="1"/>
  <c r="T114" i="16"/>
  <c r="U114" i="16" s="1"/>
  <c r="W114" i="16" s="1" a="1"/>
  <c r="W114" i="16" s="1"/>
  <c r="T142" i="16"/>
  <c r="U142" i="16" s="1"/>
  <c r="W142" i="16" s="1" a="1"/>
  <c r="W142" i="16" s="1"/>
  <c r="T158" i="16"/>
  <c r="U158" i="16" s="1"/>
  <c r="W158" i="16" s="1" a="1"/>
  <c r="W158" i="16" s="1"/>
  <c r="T358" i="16"/>
  <c r="U358" i="16" s="1"/>
  <c r="W358" i="16" s="1" a="1"/>
  <c r="W358" i="16" s="1"/>
  <c r="T321" i="16"/>
  <c r="U321" i="16" s="1"/>
  <c r="W321" i="16" s="1" a="1"/>
  <c r="W321" i="16" s="1"/>
  <c r="T385" i="16"/>
  <c r="U385" i="16" s="1"/>
  <c r="W385" i="16" s="1" a="1"/>
  <c r="W385" i="16" s="1"/>
  <c r="T464" i="16"/>
  <c r="U464" i="16" s="1"/>
  <c r="W464" i="16" s="1" a="1"/>
  <c r="W464" i="16" s="1"/>
  <c r="T567" i="16"/>
  <c r="W567" i="16" s="1" a="1"/>
  <c r="W567" i="16" s="1"/>
  <c r="T545" i="16"/>
  <c r="U545" i="16" s="1"/>
  <c r="W545" i="16" s="1" a="1"/>
  <c r="W545" i="16" s="1"/>
  <c r="T514" i="16"/>
  <c r="U514" i="16" s="1"/>
  <c r="W514" i="16" s="1" a="1"/>
  <c r="W514" i="16" s="1"/>
  <c r="T522" i="16"/>
  <c r="U522" i="16" s="1"/>
  <c r="W522" i="16" s="1" a="1"/>
  <c r="W522" i="16" s="1"/>
  <c r="T578" i="16"/>
  <c r="U578" i="16" s="1"/>
  <c r="W578" i="16" s="1" a="1"/>
  <c r="W578" i="16" s="1"/>
  <c r="T672" i="16"/>
  <c r="U672" i="16" s="1"/>
  <c r="W672" i="16" s="1" a="1"/>
  <c r="W672" i="16" s="1"/>
  <c r="T746" i="16"/>
  <c r="U746" i="16" s="1"/>
  <c r="W746" i="16" s="1" a="1"/>
  <c r="W746" i="16" s="1"/>
  <c r="T396" i="16"/>
  <c r="U396" i="16" s="1"/>
  <c r="W396" i="16" s="1" a="1"/>
  <c r="W396" i="16" s="1"/>
  <c r="T348" i="16"/>
  <c r="U348" i="16" s="1"/>
  <c r="W348" i="16" s="1" a="1"/>
  <c r="W348" i="16" s="1"/>
  <c r="T316" i="16"/>
  <c r="U316" i="16" s="1"/>
  <c r="W316" i="16" s="1" a="1"/>
  <c r="W316" i="16" s="1"/>
  <c r="T383" i="16"/>
  <c r="U383" i="16" s="1"/>
  <c r="W383" i="16" s="1" a="1"/>
  <c r="W383" i="16" s="1"/>
  <c r="T364" i="16"/>
  <c r="U364" i="16" s="1"/>
  <c r="W364" i="16" s="1" a="1"/>
  <c r="W364" i="16" s="1"/>
  <c r="T27" i="16"/>
  <c r="U27" i="16" s="1"/>
  <c r="W27" i="16" s="1" a="1"/>
  <c r="W27" i="16" s="1"/>
  <c r="T324" i="16"/>
  <c r="U324" i="16" s="1"/>
  <c r="W324" i="16" s="1" a="1"/>
  <c r="W324" i="16" s="1"/>
  <c r="T263" i="16"/>
  <c r="U263" i="16" s="1"/>
  <c r="W263" i="16" s="1" a="1"/>
  <c r="W263" i="16" s="1"/>
  <c r="T573" i="16"/>
  <c r="U573" i="16" s="1"/>
  <c r="W573" i="16" s="1" a="1"/>
  <c r="W573" i="16" s="1"/>
  <c r="T581" i="16"/>
  <c r="U581" i="16" s="1"/>
  <c r="W581" i="16" s="1" a="1"/>
  <c r="W581" i="16" s="1"/>
  <c r="T655" i="16"/>
  <c r="U655" i="16" s="1"/>
  <c r="W655" i="16" s="1" a="1"/>
  <c r="W655" i="16" s="1"/>
  <c r="T687" i="16"/>
  <c r="U687" i="16" s="1"/>
  <c r="W687" i="16" s="1" a="1"/>
  <c r="W687" i="16" s="1"/>
  <c r="T742" i="16"/>
  <c r="U742" i="16" s="1"/>
  <c r="W742" i="16" s="1" a="1"/>
  <c r="W742" i="16" s="1"/>
  <c r="T758" i="16"/>
  <c r="U758" i="16" s="1"/>
  <c r="W758" i="16" s="1" a="1"/>
  <c r="W758" i="16" s="1"/>
  <c r="T214" i="16"/>
  <c r="U214" i="16" s="1"/>
  <c r="W214" i="16" s="1" a="1"/>
  <c r="W214" i="16" s="1"/>
  <c r="T8" i="16"/>
  <c r="U8" i="16" s="1"/>
  <c r="W8" i="16" s="1" a="1"/>
  <c r="W8" i="16" s="1"/>
  <c r="T340" i="16"/>
  <c r="U340" i="16" s="1"/>
  <c r="W340" i="16" s="1" a="1"/>
  <c r="W340" i="16" s="1"/>
  <c r="T212" i="16"/>
  <c r="U212" i="16" s="1"/>
  <c r="W212" i="16" s="1" a="1"/>
  <c r="W212" i="16" s="1"/>
  <c r="T323" i="16"/>
  <c r="U323" i="16" s="1"/>
  <c r="W323" i="16" s="1" a="1"/>
  <c r="W323" i="16" s="1"/>
  <c r="T230" i="16"/>
  <c r="U230" i="16" s="1"/>
  <c r="W230" i="16" s="1" a="1"/>
  <c r="W230" i="16" s="1"/>
  <c r="T247" i="16"/>
  <c r="U247" i="16" s="1"/>
  <c r="W247" i="16" s="1" a="1"/>
  <c r="W247" i="16" s="1"/>
  <c r="T197" i="16"/>
  <c r="U197" i="16" s="1"/>
  <c r="W197" i="16" s="1" a="1"/>
  <c r="W197" i="16" s="1"/>
  <c r="T189" i="16"/>
  <c r="U189" i="16" s="1"/>
  <c r="W189" i="16" s="1" a="1"/>
  <c r="W189" i="16" s="1"/>
  <c r="T145" i="16"/>
  <c r="U145" i="16" s="1"/>
  <c r="W145" i="16" s="1" a="1"/>
  <c r="W145" i="16" s="1"/>
  <c r="T322" i="16"/>
  <c r="U322" i="16" s="1"/>
  <c r="W322" i="16" s="1" a="1"/>
  <c r="W322" i="16" s="1"/>
  <c r="T354" i="16"/>
  <c r="U354" i="16" s="1"/>
  <c r="W354" i="16" s="1" a="1"/>
  <c r="W354" i="16" s="1"/>
  <c r="T386" i="16"/>
  <c r="U386" i="16" s="1"/>
  <c r="W386" i="16" s="1" a="1"/>
  <c r="W386" i="16" s="1"/>
  <c r="T281" i="16"/>
  <c r="U281" i="16" s="1"/>
  <c r="W281" i="16" s="1" a="1"/>
  <c r="W281" i="16" s="1"/>
  <c r="T297" i="16"/>
  <c r="U297" i="16" s="1"/>
  <c r="W297" i="16" s="1" a="1"/>
  <c r="W297" i="16" s="1"/>
  <c r="T371" i="16"/>
  <c r="U371" i="16" s="1"/>
  <c r="W371" i="16" s="1" a="1"/>
  <c r="W371" i="16" s="1"/>
  <c r="T219" i="16"/>
  <c r="U219" i="16" s="1"/>
  <c r="W219" i="16" s="1" a="1"/>
  <c r="W219" i="16" s="1"/>
  <c r="T196" i="16"/>
  <c r="U196" i="16" s="1"/>
  <c r="W196" i="16" s="1" a="1"/>
  <c r="W196" i="16" s="1"/>
  <c r="T188" i="16"/>
  <c r="U188" i="16" s="1"/>
  <c r="W188" i="16" s="1" a="1"/>
  <c r="W188" i="16" s="1"/>
  <c r="T70" i="16"/>
  <c r="U70" i="16" s="1"/>
  <c r="W70" i="16" s="1" a="1"/>
  <c r="W70" i="16" s="1"/>
  <c r="T106" i="16"/>
  <c r="U106" i="16" s="1"/>
  <c r="W106" i="16" s="1" a="1"/>
  <c r="W106" i="16" s="1"/>
  <c r="T130" i="16"/>
  <c r="U130" i="16" s="1"/>
  <c r="W130" i="16" s="1" a="1"/>
  <c r="W130" i="16" s="1"/>
  <c r="T138" i="16"/>
  <c r="U138" i="16" s="1"/>
  <c r="W138" i="16" s="1" a="1"/>
  <c r="W138" i="16" s="1"/>
  <c r="T150" i="16"/>
  <c r="U150" i="16" s="1"/>
  <c r="W150" i="16" s="1" a="1"/>
  <c r="W150" i="16" s="1"/>
  <c r="T326" i="16"/>
  <c r="U326" i="16" s="1"/>
  <c r="W326" i="16" s="1" a="1"/>
  <c r="W326" i="16" s="1"/>
  <c r="T286" i="16"/>
  <c r="U286" i="16" s="1"/>
  <c r="W286" i="16" s="1" a="1"/>
  <c r="W286" i="16" s="1"/>
  <c r="T353" i="16"/>
  <c r="U353" i="16" s="1"/>
  <c r="W353" i="16" s="1" a="1"/>
  <c r="W353" i="16" s="1"/>
  <c r="T560" i="16"/>
  <c r="U560" i="16" s="1"/>
  <c r="W560" i="16" s="1" a="1"/>
  <c r="W560" i="16" s="1"/>
  <c r="T400" i="16"/>
  <c r="U400" i="16" s="1"/>
  <c r="W400" i="16" s="1" a="1"/>
  <c r="W400" i="16" s="1"/>
  <c r="T416" i="16"/>
  <c r="U416" i="16" s="1"/>
  <c r="W416" i="16" s="1" a="1"/>
  <c r="W416" i="16" s="1"/>
  <c r="T480" i="16"/>
  <c r="U480" i="16" s="1"/>
  <c r="W480" i="16" s="1" a="1"/>
  <c r="W480" i="16" s="1"/>
  <c r="T492" i="16"/>
  <c r="U492" i="16" s="1"/>
  <c r="W492" i="16" s="1" a="1"/>
  <c r="W492" i="16" s="1"/>
  <c r="T504" i="16"/>
  <c r="U504" i="16" s="1"/>
  <c r="W504" i="16" s="1" a="1"/>
  <c r="W504" i="16" s="1"/>
  <c r="T574" i="16"/>
  <c r="U574" i="16" s="1"/>
  <c r="W574" i="16" s="1" a="1"/>
  <c r="W574" i="16" s="1"/>
  <c r="T656" i="16"/>
  <c r="U656" i="16" s="1"/>
  <c r="W656" i="16" s="1" a="1"/>
  <c r="W656" i="16" s="1"/>
  <c r="T668" i="16"/>
  <c r="U668" i="16" s="1"/>
  <c r="W668" i="16" s="1" a="1"/>
  <c r="W668" i="16" s="1"/>
  <c r="T753" i="16"/>
  <c r="U753" i="16" s="1"/>
  <c r="W753" i="16" s="1" a="1"/>
  <c r="W753" i="16" s="1"/>
  <c r="T379" i="16"/>
  <c r="U379" i="16" s="1"/>
  <c r="W379" i="16" s="1" a="1"/>
  <c r="W379" i="16" s="1"/>
  <c r="T356" i="16"/>
  <c r="U356" i="16" s="1"/>
  <c r="W356" i="16" s="1" a="1"/>
  <c r="W356" i="16" s="1"/>
  <c r="T47" i="16"/>
  <c r="U47" i="16" s="1"/>
  <c r="W47" i="16" s="1" a="1"/>
  <c r="W47" i="16" s="1"/>
  <c r="T40" i="16"/>
  <c r="U40" i="16" s="1"/>
  <c r="W40" i="16" s="1" a="1"/>
  <c r="W40" i="16" s="1"/>
  <c r="T21" i="16"/>
  <c r="U21" i="16" s="1"/>
  <c r="W21" i="16" s="1" a="1"/>
  <c r="W21" i="16" s="1"/>
  <c r="T43" i="16"/>
  <c r="U43" i="16" s="1"/>
  <c r="W43" i="16" s="1" a="1"/>
  <c r="W43" i="16" s="1"/>
  <c r="T351" i="16"/>
  <c r="U351" i="16" s="1"/>
  <c r="W351" i="16" s="1" a="1"/>
  <c r="W351" i="16" s="1"/>
  <c r="T154" i="16"/>
  <c r="U154" i="16" s="1"/>
  <c r="W154" i="16" s="1" a="1"/>
  <c r="W154" i="16" s="1"/>
  <c r="T45" i="16"/>
  <c r="U45" i="16" s="1"/>
  <c r="W45" i="16" s="1" a="1"/>
  <c r="W45" i="16" s="1"/>
  <c r="T304" i="16"/>
  <c r="U304" i="16" s="1"/>
  <c r="W304" i="16" s="1" a="1"/>
  <c r="W304" i="16" s="1"/>
  <c r="T194" i="16"/>
  <c r="U194" i="16" s="1"/>
  <c r="W194" i="16" s="1" a="1"/>
  <c r="W194" i="16" s="1"/>
  <c r="T57" i="16"/>
  <c r="U57" i="16" s="1"/>
  <c r="W57" i="16" s="1" a="1"/>
  <c r="W57" i="16" s="1"/>
  <c r="T64" i="16"/>
  <c r="U64" i="16" s="1"/>
  <c r="W64" i="16" s="1" a="1"/>
  <c r="W64" i="16" s="1"/>
  <c r="T80" i="16"/>
  <c r="U80" i="16" s="1"/>
  <c r="W80" i="16" s="1" a="1"/>
  <c r="W80" i="16" s="1"/>
  <c r="T84" i="16"/>
  <c r="U84" i="16" s="1"/>
  <c r="W84" i="16" s="1" a="1"/>
  <c r="W84" i="16" s="1"/>
  <c r="T88" i="16"/>
  <c r="U88" i="16" s="1"/>
  <c r="W88" i="16" s="1" a="1"/>
  <c r="W88" i="16" s="1"/>
  <c r="T96" i="16"/>
  <c r="U96" i="16" s="1"/>
  <c r="W96" i="16" s="1" a="1"/>
  <c r="W96" i="16" s="1"/>
  <c r="T124" i="16"/>
  <c r="U124" i="16" s="1"/>
  <c r="W124" i="16" s="1" a="1"/>
  <c r="W124" i="16" s="1"/>
  <c r="T223" i="16"/>
  <c r="U223" i="16" s="1"/>
  <c r="W223" i="16" s="1" a="1"/>
  <c r="W223" i="16" s="1"/>
  <c r="T318" i="16"/>
  <c r="U318" i="16" s="1"/>
  <c r="W318" i="16" s="1" a="1"/>
  <c r="W318" i="16" s="1"/>
  <c r="T366" i="16"/>
  <c r="U366" i="16" s="1"/>
  <c r="W366" i="16" s="1" a="1"/>
  <c r="W366" i="16" s="1"/>
  <c r="T382" i="16"/>
  <c r="U382" i="16" s="1"/>
  <c r="W382" i="16" s="1" a="1"/>
  <c r="W382" i="16" s="1"/>
  <c r="T313" i="16"/>
  <c r="U313" i="16" s="1"/>
  <c r="W313" i="16" s="1" a="1"/>
  <c r="W313" i="16" s="1"/>
  <c r="T377" i="16"/>
  <c r="U377" i="16" s="1"/>
  <c r="W377" i="16" s="1" a="1"/>
  <c r="W377" i="16" s="1"/>
  <c r="T623" i="16"/>
  <c r="U623" i="16" s="1"/>
  <c r="W623" i="16" s="1" a="1"/>
  <c r="W623" i="16" s="1"/>
  <c r="T512" i="16"/>
  <c r="U512" i="16" s="1"/>
  <c r="W512" i="16" s="1" a="1"/>
  <c r="W512" i="16" s="1"/>
  <c r="T603" i="16"/>
  <c r="U603" i="16" s="1"/>
  <c r="W603" i="16" s="1" a="1"/>
  <c r="W603" i="16" s="1"/>
  <c r="T611" i="16"/>
  <c r="U611" i="16" s="1"/>
  <c r="W611" i="16" s="1" a="1"/>
  <c r="W611" i="16" s="1"/>
  <c r="T662" i="16"/>
  <c r="U662" i="16" s="1"/>
  <c r="W662" i="16" s="1" a="1"/>
  <c r="W662" i="16" s="1"/>
  <c r="T670" i="16"/>
  <c r="U670" i="16" s="1"/>
  <c r="W670" i="16" s="1" a="1"/>
  <c r="W670" i="16" s="1"/>
  <c r="T704" i="16"/>
  <c r="U704" i="16" s="1"/>
  <c r="W704" i="16" s="1" a="1"/>
  <c r="W704" i="16" s="1"/>
  <c r="T717" i="16"/>
  <c r="U717" i="16" s="1"/>
  <c r="W717" i="16" s="1" a="1"/>
  <c r="W717" i="16" s="1"/>
  <c r="T220" i="16"/>
  <c r="U220" i="16" s="1"/>
  <c r="W220" i="16" s="1" a="1"/>
  <c r="W220" i="16" s="1"/>
  <c r="T32" i="16"/>
  <c r="U32" i="16" s="1"/>
  <c r="W32" i="16" s="1" a="1"/>
  <c r="W32" i="16" s="1"/>
  <c r="T24" i="16"/>
  <c r="U24" i="16" s="1"/>
  <c r="W24" i="16" s="1" a="1"/>
  <c r="W24" i="16" s="1"/>
  <c r="T16" i="16"/>
  <c r="U16" i="16" s="1"/>
  <c r="W16" i="16" s="1" a="1"/>
  <c r="W16" i="16" s="1"/>
  <c r="T37" i="16"/>
  <c r="U37" i="16" s="1"/>
  <c r="W37" i="16" s="1" a="1"/>
  <c r="W37" i="16" s="1"/>
  <c r="T471" i="16"/>
  <c r="U471" i="16" s="1"/>
  <c r="W471" i="16" s="1" a="1"/>
  <c r="W471" i="16" s="1"/>
  <c r="T439" i="16"/>
  <c r="U439" i="16" s="1"/>
  <c r="W439" i="16" s="1" a="1"/>
  <c r="W439" i="16" s="1"/>
  <c r="T112" i="16"/>
  <c r="U112" i="16" s="1"/>
  <c r="W112" i="16" s="1" a="1"/>
  <c r="W112" i="16" s="1"/>
  <c r="T164" i="16"/>
  <c r="U164" i="16" s="1"/>
  <c r="W164" i="16" s="1" a="1"/>
  <c r="W164" i="16" s="1"/>
  <c r="T345" i="16"/>
  <c r="U345" i="16" s="1"/>
  <c r="W345" i="16" s="1" a="1"/>
  <c r="W345" i="16" s="1"/>
  <c r="T549" i="16"/>
  <c r="U549" i="16" s="1"/>
  <c r="W549" i="16" s="1" a="1"/>
  <c r="W549" i="16" s="1"/>
  <c r="T520" i="16"/>
  <c r="U520" i="16" s="1"/>
  <c r="W520" i="16" s="1" a="1"/>
  <c r="W520" i="16" s="1"/>
  <c r="T711" i="16"/>
  <c r="U711" i="16" s="1"/>
  <c r="W711" i="16" s="1" a="1"/>
  <c r="W711" i="16" s="1"/>
  <c r="T376" i="16"/>
  <c r="U376" i="16" s="1"/>
  <c r="W376" i="16" s="1" a="1"/>
  <c r="W376" i="16" s="1"/>
  <c r="T344" i="16"/>
  <c r="U344" i="16" s="1"/>
  <c r="W344" i="16" s="1" a="1"/>
  <c r="W344" i="16" s="1"/>
  <c r="T302" i="16"/>
  <c r="U302" i="16" s="1"/>
  <c r="W302" i="16" s="1" a="1"/>
  <c r="W302" i="16" s="1"/>
  <c r="T207" i="16"/>
  <c r="U207" i="16" s="1"/>
  <c r="W207" i="16" s="1" a="1"/>
  <c r="W207" i="16" s="1"/>
  <c r="T55" i="16"/>
  <c r="U55" i="16" s="1"/>
  <c r="W55" i="16" s="1" a="1"/>
  <c r="W55" i="16" s="1"/>
  <c r="T221" i="16"/>
  <c r="U221" i="16" s="1"/>
  <c r="W221" i="16" s="1" a="1"/>
  <c r="W221" i="16" s="1"/>
  <c r="T65" i="16"/>
  <c r="U65" i="16" s="1"/>
  <c r="W65" i="16" s="1" a="1"/>
  <c r="W65" i="16" s="1"/>
  <c r="T69" i="16"/>
  <c r="U69" i="16" s="1"/>
  <c r="W69" i="16" s="1" a="1"/>
  <c r="W69" i="16" s="1"/>
  <c r="T77" i="16"/>
  <c r="U77" i="16" s="1"/>
  <c r="W77" i="16" s="1" a="1"/>
  <c r="W77" i="16" s="1"/>
  <c r="T89" i="16"/>
  <c r="U89" i="16" s="1"/>
  <c r="W89" i="16" s="1" a="1"/>
  <c r="W89" i="16" s="1"/>
  <c r="T93" i="16"/>
  <c r="U93" i="16" s="1"/>
  <c r="W93" i="16" s="1" a="1"/>
  <c r="W93" i="16" s="1"/>
  <c r="T97" i="16"/>
  <c r="U97" i="16" s="1"/>
  <c r="W97" i="16" s="1" a="1"/>
  <c r="W97" i="16" s="1"/>
  <c r="T101" i="16"/>
  <c r="U101" i="16" s="1"/>
  <c r="W101" i="16" s="1" a="1"/>
  <c r="W101" i="16" s="1"/>
  <c r="T105" i="16"/>
  <c r="U105" i="16" s="1"/>
  <c r="W105" i="16" s="1" a="1"/>
  <c r="W105" i="16" s="1"/>
  <c r="T109" i="16"/>
  <c r="U109" i="16" s="1"/>
  <c r="W109" i="16" s="1" a="1"/>
  <c r="W109" i="16" s="1"/>
  <c r="T113" i="16"/>
  <c r="U113" i="16" s="1"/>
  <c r="W113" i="16" s="1" a="1"/>
  <c r="W113" i="16" s="1"/>
  <c r="T121" i="16"/>
  <c r="U121" i="16" s="1"/>
  <c r="W121" i="16" s="1" a="1"/>
  <c r="W121" i="16" s="1"/>
  <c r="T141" i="16"/>
  <c r="U141" i="16" s="1"/>
  <c r="W141" i="16" s="1" a="1"/>
  <c r="W141" i="16" s="1"/>
  <c r="T149" i="16"/>
  <c r="U149" i="16" s="1"/>
  <c r="W149" i="16" s="1" a="1"/>
  <c r="W149" i="16" s="1"/>
  <c r="T181" i="16"/>
  <c r="U181" i="16" s="1"/>
  <c r="W181" i="16" s="1" a="1"/>
  <c r="W181" i="16" s="1"/>
  <c r="T307" i="16"/>
  <c r="U307" i="16" s="1"/>
  <c r="W307" i="16" s="1" a="1"/>
  <c r="W307" i="16" s="1"/>
  <c r="T227" i="16"/>
  <c r="U227" i="16" s="1"/>
  <c r="W227" i="16" s="1" a="1"/>
  <c r="W227" i="16" s="1"/>
  <c r="T235" i="16"/>
  <c r="U235" i="16" s="1"/>
  <c r="W235" i="16" s="1" a="1"/>
  <c r="W235" i="16" s="1"/>
  <c r="T244" i="16"/>
  <c r="U244" i="16" s="1"/>
  <c r="W244" i="16" s="1" a="1"/>
  <c r="W244" i="16" s="1"/>
  <c r="T252" i="16"/>
  <c r="U252" i="16" s="1"/>
  <c r="W252" i="16" s="1" a="1"/>
  <c r="W252" i="16" s="1"/>
  <c r="T260" i="16"/>
  <c r="U260" i="16" s="1"/>
  <c r="W260" i="16" s="1" a="1"/>
  <c r="W260" i="16" s="1"/>
  <c r="T268" i="16"/>
  <c r="U268" i="16" s="1"/>
  <c r="W268" i="16" s="1" a="1"/>
  <c r="W268" i="16" s="1"/>
  <c r="T276" i="16"/>
  <c r="U276" i="16" s="1"/>
  <c r="W276" i="16" s="1" a="1"/>
  <c r="W276" i="16" s="1"/>
  <c r="T381" i="16"/>
  <c r="U381" i="16" s="1"/>
  <c r="W381" i="16" s="1" a="1"/>
  <c r="W381" i="16" s="1"/>
  <c r="T398" i="16"/>
  <c r="U398" i="16" s="1"/>
  <c r="W398" i="16" s="1" a="1"/>
  <c r="W398" i="16" s="1"/>
  <c r="T559" i="16"/>
  <c r="U559" i="16" s="1"/>
  <c r="W559" i="16" s="1" a="1"/>
  <c r="W559" i="16" s="1"/>
  <c r="T710" i="16"/>
  <c r="U710" i="16" s="1"/>
  <c r="W710" i="16" s="1" a="1"/>
  <c r="W710" i="16" s="1"/>
  <c r="T491" i="16"/>
  <c r="U491" i="16" s="1"/>
  <c r="W491" i="16" s="1" a="1"/>
  <c r="W491" i="16" s="1"/>
  <c r="T543" i="16"/>
  <c r="U543" i="16" s="1"/>
  <c r="W543" i="16" s="1" a="1"/>
  <c r="W543" i="16" s="1"/>
  <c r="T509" i="16"/>
  <c r="U509" i="16" s="1"/>
  <c r="W509" i="16" s="1" a="1"/>
  <c r="W509" i="16" s="1"/>
  <c r="T513" i="16"/>
  <c r="U513" i="16" s="1"/>
  <c r="W513" i="16" s="1" a="1"/>
  <c r="W513" i="16" s="1"/>
  <c r="T521" i="16"/>
  <c r="U521" i="16" s="1"/>
  <c r="W521" i="16" s="1" a="1"/>
  <c r="W521" i="16" s="1"/>
  <c r="T525" i="16"/>
  <c r="U525" i="16" s="1"/>
  <c r="W525" i="16" s="1" a="1"/>
  <c r="W525" i="16" s="1"/>
  <c r="T577" i="16"/>
  <c r="U577" i="16" s="1"/>
  <c r="W577" i="16" s="1" a="1"/>
  <c r="W577" i="16" s="1"/>
  <c r="T585" i="16"/>
  <c r="U585" i="16" s="1"/>
  <c r="W585" i="16" s="1" a="1"/>
  <c r="W585" i="16" s="1"/>
  <c r="T589" i="16"/>
  <c r="U589" i="16" s="1"/>
  <c r="W589" i="16" s="1" a="1"/>
  <c r="W589" i="16" s="1"/>
  <c r="T597" i="16"/>
  <c r="U597" i="16" s="1"/>
  <c r="W597" i="16" s="1" a="1"/>
  <c r="W597" i="16" s="1"/>
  <c r="T631" i="16"/>
  <c r="U631" i="16" s="1"/>
  <c r="W631" i="16" s="1" a="1"/>
  <c r="W631" i="16" s="1"/>
  <c r="T635" i="16"/>
  <c r="U635" i="16" s="1"/>
  <c r="W635" i="16" s="1" a="1"/>
  <c r="W635" i="16" s="1"/>
  <c r="T639" i="16"/>
  <c r="U639" i="16" s="1"/>
  <c r="W639" i="16" s="1" a="1"/>
  <c r="W639" i="16" s="1"/>
  <c r="T643" i="16"/>
  <c r="U643" i="16" s="1"/>
  <c r="W643" i="16" s="1" a="1"/>
  <c r="W643" i="16" s="1"/>
  <c r="T647" i="16"/>
  <c r="U647" i="16" s="1"/>
  <c r="W647" i="16" s="1" a="1"/>
  <c r="W647" i="16" s="1"/>
  <c r="T667" i="16"/>
  <c r="U667" i="16" s="1"/>
  <c r="W667" i="16" s="1" a="1"/>
  <c r="W667" i="16" s="1"/>
  <c r="T679" i="16"/>
  <c r="U679" i="16" s="1"/>
  <c r="W679" i="16" s="1" a="1"/>
  <c r="W679" i="16" s="1"/>
  <c r="T714" i="16"/>
  <c r="U714" i="16" s="1"/>
  <c r="W714" i="16" s="1" a="1"/>
  <c r="W714" i="16" s="1"/>
  <c r="T708" i="16"/>
  <c r="U708" i="16" s="1"/>
  <c r="W708" i="16" s="1" a="1"/>
  <c r="W708" i="16" s="1"/>
  <c r="T391" i="16"/>
  <c r="U391" i="16" s="1"/>
  <c r="W391" i="16" s="1" a="1"/>
  <c r="W391" i="16" s="1"/>
  <c r="T48" i="16"/>
  <c r="U48" i="16" s="1"/>
  <c r="W48" i="16" s="1" a="1"/>
  <c r="W48" i="16" s="1"/>
  <c r="T216" i="16"/>
  <c r="U216" i="16" s="1"/>
  <c r="W216" i="16" s="1" a="1"/>
  <c r="W216" i="16" s="1"/>
  <c r="T39" i="16"/>
  <c r="U39" i="16" s="1"/>
  <c r="W39" i="16" s="1" a="1"/>
  <c r="W39" i="16" s="1"/>
  <c r="T335" i="16"/>
  <c r="U335" i="16" s="1"/>
  <c r="W335" i="16" s="1" a="1"/>
  <c r="W335" i="16" s="1"/>
  <c r="T339" i="16"/>
  <c r="U339" i="16" s="1"/>
  <c r="W339" i="16" s="1" a="1"/>
  <c r="W339" i="16" s="1"/>
  <c r="T82" i="16"/>
  <c r="U82" i="16" s="1"/>
  <c r="W82" i="16" s="1" a="1"/>
  <c r="W82" i="16" s="1"/>
  <c r="T86" i="16"/>
  <c r="U86" i="16" s="1"/>
  <c r="W86" i="16" s="1" a="1"/>
  <c r="W86" i="16" s="1"/>
  <c r="T118" i="16"/>
  <c r="U118" i="16" s="1"/>
  <c r="W118" i="16" s="1" a="1"/>
  <c r="W118" i="16" s="1"/>
  <c r="T278" i="16"/>
  <c r="U278" i="16" s="1"/>
  <c r="W278" i="16" s="1" a="1"/>
  <c r="W278" i="16" s="1"/>
  <c r="T294" i="16"/>
  <c r="U294" i="16" s="1"/>
  <c r="W294" i="16" s="1" a="1"/>
  <c r="W294" i="16" s="1"/>
  <c r="T564" i="16"/>
  <c r="U564" i="16" s="1"/>
  <c r="W564" i="16" s="1" a="1"/>
  <c r="W564" i="16" s="1"/>
  <c r="T488" i="16"/>
  <c r="U488" i="16" s="1"/>
  <c r="W488" i="16" s="1" a="1"/>
  <c r="W488" i="16" s="1"/>
  <c r="T500" i="16"/>
  <c r="U500" i="16" s="1"/>
  <c r="W500" i="16" s="1" a="1"/>
  <c r="W500" i="16" s="1"/>
  <c r="T586" i="16"/>
  <c r="U586" i="16" s="1"/>
  <c r="W586" i="16" s="1" a="1"/>
  <c r="W586" i="16" s="1"/>
  <c r="T680" i="16"/>
  <c r="U680" i="16" s="1"/>
  <c r="W680" i="16" s="1" a="1"/>
  <c r="W680" i="16" s="1"/>
  <c r="T715" i="16"/>
  <c r="U715" i="16" s="1"/>
  <c r="W715" i="16" s="1" a="1"/>
  <c r="W715" i="16" s="1"/>
  <c r="T712" i="16"/>
  <c r="U712" i="16" s="1"/>
  <c r="W712" i="16" s="1" a="1"/>
  <c r="W712" i="16" s="1"/>
  <c r="T210" i="16"/>
  <c r="U210" i="16" s="1"/>
  <c r="W210" i="16" s="1" a="1"/>
  <c r="W210" i="16" s="1"/>
  <c r="T23" i="16"/>
  <c r="U23" i="16" s="1"/>
  <c r="W23" i="16" s="1" a="1"/>
  <c r="W23" i="16" s="1"/>
  <c r="T44" i="16"/>
  <c r="U44" i="16" s="1"/>
  <c r="W44" i="16" s="1" a="1"/>
  <c r="W44" i="16" s="1"/>
  <c r="T83" i="16"/>
  <c r="U83" i="16" s="1"/>
  <c r="W83" i="16" s="1" a="1"/>
  <c r="W83" i="16" s="1"/>
  <c r="T177" i="16"/>
  <c r="U177" i="16" s="1"/>
  <c r="W177" i="16" s="1" a="1"/>
  <c r="W177" i="16" s="1"/>
  <c r="T229" i="16"/>
  <c r="U229" i="16" s="1"/>
  <c r="W229" i="16" s="1" a="1"/>
  <c r="W229" i="16" s="1"/>
  <c r="T262" i="16"/>
  <c r="U262" i="16" s="1"/>
  <c r="W262" i="16" s="1" a="1"/>
  <c r="W262" i="16" s="1"/>
  <c r="T565" i="16"/>
  <c r="U565" i="16" s="1"/>
  <c r="W565" i="16" s="1" a="1"/>
  <c r="W565" i="16" s="1"/>
  <c r="T450" i="16"/>
  <c r="U450" i="16" s="1"/>
  <c r="W450" i="16" s="1" a="1"/>
  <c r="W450" i="16" s="1"/>
  <c r="T621" i="16"/>
  <c r="U621" i="16" s="1"/>
  <c r="W621" i="16" s="1" a="1"/>
  <c r="W621" i="16" s="1"/>
  <c r="T515" i="16"/>
  <c r="U515" i="16" s="1"/>
  <c r="W515" i="16" s="1" a="1"/>
  <c r="W515" i="16" s="1"/>
  <c r="T531" i="16"/>
  <c r="U531" i="16" s="1"/>
  <c r="W531" i="16" s="1" a="1"/>
  <c r="W531" i="16" s="1"/>
  <c r="T593" i="16"/>
  <c r="U593" i="16" s="1"/>
  <c r="W593" i="16" s="1" a="1"/>
  <c r="W593" i="16" s="1"/>
  <c r="T629" i="16"/>
  <c r="U629" i="16" s="1"/>
  <c r="W629" i="16" s="1" a="1"/>
  <c r="W629" i="16" s="1"/>
  <c r="T637" i="16"/>
  <c r="U637" i="16" s="1"/>
  <c r="W637" i="16" s="1" a="1"/>
  <c r="W637" i="16" s="1"/>
  <c r="T645" i="16"/>
  <c r="U645" i="16" s="1"/>
  <c r="W645" i="16" s="1" a="1"/>
  <c r="W645" i="16" s="1"/>
  <c r="T677" i="16"/>
  <c r="U677" i="16" s="1"/>
  <c r="W677" i="16" s="1" a="1"/>
  <c r="W677" i="16" s="1"/>
  <c r="T703" i="16"/>
  <c r="U703" i="16" s="1"/>
  <c r="W703" i="16" s="1" a="1"/>
  <c r="W703" i="16" s="1"/>
  <c r="T757" i="16"/>
  <c r="U757" i="16" s="1"/>
  <c r="W757" i="16" s="1" a="1"/>
  <c r="W757" i="16" s="1"/>
  <c r="T375" i="16"/>
  <c r="U375" i="16" s="1"/>
  <c r="W375" i="16" s="1" a="1"/>
  <c r="W375" i="16" s="1"/>
  <c r="T311" i="16"/>
  <c r="U311" i="16" s="1"/>
  <c r="W311" i="16" s="1" a="1"/>
  <c r="W311" i="16" s="1"/>
  <c r="T87" i="16"/>
  <c r="U87" i="16" s="1"/>
  <c r="W87" i="16" s="1" a="1"/>
  <c r="W87" i="16" s="1"/>
  <c r="T107" i="16"/>
  <c r="U107" i="16" s="1"/>
  <c r="W107" i="16" s="1" a="1"/>
  <c r="W107" i="16" s="1"/>
  <c r="T119" i="16"/>
  <c r="U119" i="16" s="1"/>
  <c r="W119" i="16" s="1" a="1"/>
  <c r="W119" i="16" s="1"/>
  <c r="T143" i="16"/>
  <c r="U143" i="16" s="1"/>
  <c r="W143" i="16" s="1" a="1"/>
  <c r="W143" i="16" s="1"/>
  <c r="T246" i="16"/>
  <c r="U246" i="16" s="1"/>
  <c r="W246" i="16" s="1" a="1"/>
  <c r="W246" i="16" s="1"/>
  <c r="T136" i="16"/>
  <c r="U136" i="16" s="1"/>
  <c r="W136" i="16" s="1" a="1"/>
  <c r="W136" i="16" s="1"/>
  <c r="T350" i="16"/>
  <c r="U350" i="16" s="1"/>
  <c r="W350" i="16" s="1" a="1"/>
  <c r="W350" i="16" s="1"/>
  <c r="T397" i="16"/>
  <c r="U397" i="16" s="1"/>
  <c r="W397" i="16" s="1" a="1"/>
  <c r="W397" i="16" s="1"/>
  <c r="T474" i="16"/>
  <c r="U474" i="16" s="1"/>
  <c r="W474" i="16" s="1" a="1"/>
  <c r="W474" i="16" s="1"/>
  <c r="T508" i="16"/>
  <c r="U508" i="16" s="1"/>
  <c r="W508" i="16" s="1" a="1"/>
  <c r="W508" i="16" s="1"/>
  <c r="T576" i="16"/>
  <c r="U576" i="16" s="1"/>
  <c r="W576" i="16" s="1" a="1"/>
  <c r="W576" i="16" s="1"/>
  <c r="T588" i="16"/>
  <c r="U588" i="16" s="1"/>
  <c r="W588" i="16" s="1" a="1"/>
  <c r="W588" i="16" s="1"/>
  <c r="T658" i="16"/>
  <c r="U658" i="16" s="1"/>
  <c r="W658" i="16" s="1" a="1"/>
  <c r="W658" i="16" s="1"/>
  <c r="T682" i="16"/>
  <c r="U682" i="16" s="1"/>
  <c r="W682" i="16" s="1" a="1"/>
  <c r="W682" i="16" s="1"/>
  <c r="T393" i="16"/>
  <c r="U393" i="16" s="1"/>
  <c r="W393" i="16" s="1" a="1"/>
  <c r="W393" i="16" s="1"/>
  <c r="T347" i="16"/>
  <c r="U347" i="16" s="1"/>
  <c r="W347" i="16" s="1" a="1"/>
  <c r="W347" i="16" s="1"/>
  <c r="T209" i="16"/>
  <c r="U209" i="16" s="1"/>
  <c r="W209" i="16" s="1" a="1"/>
  <c r="W209" i="16" s="1"/>
  <c r="T407" i="16"/>
  <c r="U407" i="16" s="1"/>
  <c r="W407" i="16" s="1" a="1"/>
  <c r="W407" i="16" s="1"/>
  <c r="T211" i="16"/>
  <c r="U211" i="16" s="1"/>
  <c r="W211" i="16" s="1" a="1"/>
  <c r="W211" i="16" s="1"/>
  <c r="T190" i="16"/>
  <c r="U190" i="16" s="1"/>
  <c r="W190" i="16" s="1" a="1"/>
  <c r="W190" i="16" s="1"/>
  <c r="T92" i="16"/>
  <c r="U92" i="16" s="1"/>
  <c r="W92" i="16" s="1" a="1"/>
  <c r="W92" i="16" s="1"/>
  <c r="T152" i="16"/>
  <c r="U152" i="16" s="1"/>
  <c r="W152" i="16" s="1" a="1"/>
  <c r="W152" i="16" s="1"/>
  <c r="T160" i="16"/>
  <c r="U160" i="16" s="1"/>
  <c r="W160" i="16" s="1" a="1"/>
  <c r="W160" i="16" s="1"/>
  <c r="T702" i="16"/>
  <c r="U702" i="16" s="1"/>
  <c r="W702" i="16" s="1" a="1"/>
  <c r="W702" i="16" s="1"/>
  <c r="T528" i="16"/>
  <c r="U528" i="16" s="1"/>
  <c r="W528" i="16" s="1" a="1"/>
  <c r="W528" i="16" s="1"/>
  <c r="T764" i="16"/>
  <c r="U764" i="16" s="1"/>
  <c r="T36" i="16"/>
  <c r="U36" i="16" s="1"/>
  <c r="W36" i="16" s="1" a="1"/>
  <c r="W36" i="16" s="1"/>
  <c r="T28" i="16"/>
  <c r="U28" i="16" s="1"/>
  <c r="W28" i="16" s="1" a="1"/>
  <c r="W28" i="16" s="1"/>
  <c r="T20" i="16"/>
  <c r="U20" i="16" s="1"/>
  <c r="W20" i="16" s="1" a="1"/>
  <c r="W20" i="16" s="1"/>
  <c r="T12" i="16"/>
  <c r="U12" i="16" s="1"/>
  <c r="W12" i="16" s="1" a="1"/>
  <c r="W12" i="16" s="1"/>
  <c r="T204" i="16"/>
  <c r="U204" i="16" s="1"/>
  <c r="W204" i="16" s="1" a="1"/>
  <c r="W204" i="16" s="1"/>
  <c r="T372" i="16"/>
  <c r="U372" i="16" s="1"/>
  <c r="W372" i="16" s="1" a="1"/>
  <c r="W372" i="16" s="1"/>
  <c r="T50" i="16"/>
  <c r="U50" i="16" s="1"/>
  <c r="W50" i="16" s="1" a="1"/>
  <c r="W50" i="16" s="1"/>
  <c r="T25" i="16"/>
  <c r="U25" i="16" s="1"/>
  <c r="W25" i="16" s="1" a="1"/>
  <c r="W25" i="16" s="1"/>
  <c r="T9" i="16"/>
  <c r="U9" i="16" s="1"/>
  <c r="W9" i="16" s="1" a="1"/>
  <c r="W9" i="16" s="1"/>
  <c r="T338" i="16"/>
  <c r="U338" i="16" s="1"/>
  <c r="W338" i="16" s="1" a="1"/>
  <c r="W338" i="16" s="1"/>
  <c r="T370" i="16"/>
  <c r="U370" i="16" s="1"/>
  <c r="W370" i="16" s="1" a="1"/>
  <c r="W370" i="16" s="1"/>
  <c r="T563" i="16"/>
  <c r="U563" i="16" s="1"/>
  <c r="W563" i="16" s="1" a="1"/>
  <c r="W563" i="16" s="1"/>
  <c r="T503" i="16"/>
  <c r="U503" i="16" s="1"/>
  <c r="W503" i="16" s="1" a="1"/>
  <c r="W503" i="16" s="1"/>
  <c r="T517" i="16"/>
  <c r="U517" i="16" s="1"/>
  <c r="W517" i="16" s="1" a="1"/>
  <c r="W517" i="16" s="1"/>
  <c r="T529" i="16"/>
  <c r="U529" i="16" s="1"/>
  <c r="W529" i="16" s="1" a="1"/>
  <c r="W529" i="16" s="1"/>
  <c r="T659" i="16"/>
  <c r="U659" i="16" s="1"/>
  <c r="W659" i="16" s="1" a="1"/>
  <c r="W659" i="16" s="1"/>
  <c r="T359" i="16"/>
  <c r="U359" i="16" s="1"/>
  <c r="W359" i="16" s="1" a="1"/>
  <c r="W359" i="16" s="1"/>
  <c r="T341" i="16"/>
  <c r="U341" i="16" s="1"/>
  <c r="W341" i="16" s="1" a="1"/>
  <c r="W341" i="16" s="1"/>
  <c r="T614" i="16"/>
  <c r="U614" i="16" s="1"/>
  <c r="W614" i="16" s="1" a="1"/>
  <c r="W614" i="16" s="1"/>
  <c r="T598" i="16"/>
  <c r="U598" i="16" s="1"/>
  <c r="W598" i="16" s="1" a="1"/>
  <c r="W598" i="16" s="1"/>
  <c r="T384" i="16"/>
  <c r="U384" i="16" s="1"/>
  <c r="W384" i="16" s="1" a="1"/>
  <c r="W384" i="16" s="1"/>
  <c r="T62" i="16"/>
  <c r="U62" i="16" s="1"/>
  <c r="W62" i="16" s="1" a="1"/>
  <c r="W62" i="16" s="1"/>
  <c r="T66" i="16"/>
  <c r="U66" i="16" s="1"/>
  <c r="W66" i="16" s="1" a="1"/>
  <c r="W66" i="16" s="1"/>
  <c r="T90" i="16"/>
  <c r="U90" i="16" s="1"/>
  <c r="W90" i="16" s="1" a="1"/>
  <c r="W90" i="16" s="1"/>
  <c r="T102" i="16"/>
  <c r="U102" i="16" s="1"/>
  <c r="W102" i="16" s="1" a="1"/>
  <c r="W102" i="16" s="1"/>
  <c r="T134" i="16"/>
  <c r="U134" i="16" s="1"/>
  <c r="W134" i="16" s="1" a="1"/>
  <c r="W134" i="16" s="1"/>
  <c r="T432" i="16"/>
  <c r="U432" i="16" s="1"/>
  <c r="W432" i="16" s="1" a="1"/>
  <c r="W432" i="16" s="1"/>
  <c r="T510" i="16"/>
  <c r="U510" i="16" s="1"/>
  <c r="W510" i="16" s="1" a="1"/>
  <c r="W510" i="16" s="1"/>
  <c r="T518" i="16"/>
  <c r="U518" i="16" s="1"/>
  <c r="W518" i="16" s="1" a="1"/>
  <c r="W518" i="16" s="1"/>
  <c r="T599" i="16"/>
  <c r="U599" i="16" s="1"/>
  <c r="W599" i="16" s="1" a="1"/>
  <c r="W599" i="16" s="1"/>
  <c r="T607" i="16"/>
  <c r="U607" i="16" s="1"/>
  <c r="W607" i="16" s="1" a="1"/>
  <c r="W607" i="16" s="1"/>
  <c r="T615" i="16"/>
  <c r="U615" i="16" s="1"/>
  <c r="W615" i="16" s="1" a="1"/>
  <c r="W615" i="16" s="1"/>
  <c r="T52" i="16"/>
  <c r="U52" i="16" s="1"/>
  <c r="W52" i="16" s="1" a="1"/>
  <c r="W52" i="16" s="1"/>
  <c r="T51" i="16"/>
  <c r="U51" i="16" s="1"/>
  <c r="W51" i="16" s="1" a="1"/>
  <c r="W51" i="16" s="1"/>
  <c r="T29" i="16"/>
  <c r="U29" i="16" s="1"/>
  <c r="W29" i="16" s="1" a="1"/>
  <c r="W29" i="16" s="1"/>
  <c r="T13" i="16"/>
  <c r="U13" i="16" s="1"/>
  <c r="W13" i="16" s="1" a="1"/>
  <c r="W13" i="16" s="1"/>
  <c r="T33" i="16"/>
  <c r="U33" i="16" s="1"/>
  <c r="W33" i="16" s="1" a="1"/>
  <c r="W33" i="16" s="1"/>
  <c r="T17" i="16"/>
  <c r="U17" i="16" s="1"/>
  <c r="W17" i="16" s="1" a="1"/>
  <c r="W17" i="16" s="1"/>
  <c r="T334" i="16"/>
  <c r="U334" i="16" s="1"/>
  <c r="W334" i="16" s="1" a="1"/>
  <c r="W334" i="16" s="1"/>
  <c r="T395" i="16"/>
  <c r="U395" i="16" s="1"/>
  <c r="W395" i="16" s="1" a="1"/>
  <c r="W395" i="16" s="1"/>
  <c r="T562" i="16"/>
  <c r="U562" i="16" s="1"/>
  <c r="W562" i="16" s="1" a="1"/>
  <c r="W562" i="16" s="1"/>
  <c r="T490" i="16"/>
  <c r="U490" i="16" s="1"/>
  <c r="W490" i="16" s="1" a="1"/>
  <c r="W490" i="16" s="1"/>
  <c r="T502" i="16"/>
  <c r="U502" i="16" s="1"/>
  <c r="W502" i="16" s="1" a="1"/>
  <c r="W502" i="16" s="1"/>
  <c r="T580" i="16"/>
  <c r="U580" i="16" s="1"/>
  <c r="W580" i="16" s="1" a="1"/>
  <c r="W580" i="16" s="1"/>
  <c r="T584" i="16"/>
  <c r="U584" i="16" s="1"/>
  <c r="W584" i="16" s="1" a="1"/>
  <c r="W584" i="16" s="1"/>
  <c r="T595" i="16"/>
  <c r="U595" i="16" s="1"/>
  <c r="W595" i="16" s="1" a="1"/>
  <c r="W595" i="16" s="1"/>
  <c r="T618" i="16"/>
  <c r="U618" i="16" s="1"/>
  <c r="W618" i="16" s="1" a="1"/>
  <c r="W618" i="16" s="1"/>
  <c r="T626" i="16"/>
  <c r="U626" i="16" s="1"/>
  <c r="W626" i="16" s="1" a="1"/>
  <c r="W626" i="16" s="1"/>
  <c r="T678" i="16"/>
  <c r="U678" i="16" s="1"/>
  <c r="W678" i="16" s="1" a="1"/>
  <c r="W678" i="16" s="1"/>
  <c r="T363" i="16"/>
  <c r="U363" i="16" s="1"/>
  <c r="W363" i="16" s="1" a="1"/>
  <c r="W363" i="16" s="1"/>
  <c r="T455" i="16"/>
  <c r="U455" i="16" s="1"/>
  <c r="W455" i="16" s="1" a="1"/>
  <c r="W455" i="16" s="1"/>
  <c r="T423" i="16"/>
  <c r="U423" i="16" s="1"/>
  <c r="W423" i="16" s="1" a="1"/>
  <c r="W423" i="16" s="1"/>
  <c r="T54" i="16"/>
  <c r="U54" i="16" s="1"/>
  <c r="W54" i="16" s="1" a="1"/>
  <c r="W54" i="16" s="1"/>
  <c r="T240" i="16"/>
  <c r="U240" i="16" s="1"/>
  <c r="W240" i="16" s="1" a="1"/>
  <c r="W240" i="16" s="1"/>
  <c r="T120" i="16"/>
  <c r="U120" i="16" s="1"/>
  <c r="W120" i="16" s="1" a="1"/>
  <c r="W120" i="16" s="1"/>
  <c r="T144" i="16"/>
  <c r="U144" i="16" s="1"/>
  <c r="W144" i="16" s="1" a="1"/>
  <c r="W144" i="16" s="1"/>
  <c r="T256" i="16"/>
  <c r="U256" i="16" s="1"/>
  <c r="W256" i="16" s="1" a="1"/>
  <c r="W256" i="16" s="1"/>
  <c r="T272" i="16"/>
  <c r="U272" i="16" s="1"/>
  <c r="W272" i="16" s="1" a="1"/>
  <c r="W272" i="16" s="1"/>
  <c r="T487" i="16"/>
  <c r="U487" i="16" s="1"/>
  <c r="W487" i="16" s="1" a="1"/>
  <c r="W487" i="16" s="1"/>
  <c r="T331" i="16"/>
  <c r="U331" i="16" s="1"/>
  <c r="W331" i="16" s="1" a="1"/>
  <c r="W331" i="16" s="1"/>
  <c r="I770" i="16"/>
  <c r="I777" i="16" s="1"/>
  <c r="T300" i="16"/>
  <c r="U300" i="16" s="1"/>
  <c r="W300" i="16" s="1" a="1"/>
  <c r="W300" i="16" s="1"/>
  <c r="T192" i="16"/>
  <c r="U192" i="16" s="1"/>
  <c r="W192" i="16" s="1" a="1"/>
  <c r="W192" i="16" s="1"/>
  <c r="P770" i="16"/>
  <c r="T98" i="16"/>
  <c r="U98" i="16" s="1"/>
  <c r="W98" i="16" s="1" a="1"/>
  <c r="W98" i="16" s="1"/>
  <c r="T122" i="16"/>
  <c r="U122" i="16" s="1"/>
  <c r="W122" i="16" s="1" a="1"/>
  <c r="W122" i="16" s="1"/>
  <c r="T162" i="16"/>
  <c r="U162" i="16" s="1"/>
  <c r="W162" i="16" s="1" a="1"/>
  <c r="W162" i="16" s="1"/>
  <c r="T282" i="16"/>
  <c r="U282" i="16" s="1"/>
  <c r="W282" i="16" s="1" a="1"/>
  <c r="W282" i="16" s="1"/>
  <c r="T290" i="16"/>
  <c r="U290" i="16" s="1"/>
  <c r="W290" i="16" s="1" a="1"/>
  <c r="W290" i="16" s="1"/>
  <c r="T298" i="16"/>
  <c r="U298" i="16" s="1"/>
  <c r="W298" i="16" s="1" a="1"/>
  <c r="W298" i="16" s="1"/>
  <c r="T369" i="16"/>
  <c r="U369" i="16" s="1"/>
  <c r="W369" i="16" s="1" a="1"/>
  <c r="W369" i="16" s="1"/>
  <c r="T476" i="16"/>
  <c r="U476" i="16" s="1"/>
  <c r="W476" i="16" s="1" a="1"/>
  <c r="W476" i="16" s="1"/>
  <c r="T484" i="16"/>
  <c r="U484" i="16" s="1"/>
  <c r="W484" i="16" s="1" a="1"/>
  <c r="W484" i="16" s="1"/>
  <c r="T496" i="16"/>
  <c r="U496" i="16" s="1"/>
  <c r="W496" i="16" s="1" a="1"/>
  <c r="W496" i="16" s="1"/>
  <c r="T506" i="16"/>
  <c r="U506" i="16" s="1"/>
  <c r="W506" i="16" s="1" a="1"/>
  <c r="W506" i="16" s="1"/>
  <c r="T526" i="16"/>
  <c r="U526" i="16" s="1"/>
  <c r="W526" i="16" s="1" a="1"/>
  <c r="W526" i="16" s="1"/>
  <c r="T530" i="16"/>
  <c r="U530" i="16" s="1"/>
  <c r="W530" i="16" s="1" a="1"/>
  <c r="W530" i="16" s="1"/>
  <c r="T582" i="16"/>
  <c r="W582" i="16" s="1" a="1"/>
  <c r="W582" i="16" s="1"/>
  <c r="T591" i="16"/>
  <c r="U591" i="16" s="1"/>
  <c r="W591" i="16" s="1" a="1"/>
  <c r="W591" i="16" s="1"/>
  <c r="T756" i="16"/>
  <c r="U756" i="16" s="1"/>
  <c r="W756" i="16" s="1" a="1"/>
  <c r="W756" i="16" s="1"/>
  <c r="T632" i="16"/>
  <c r="U632" i="16" s="1"/>
  <c r="W632" i="16" s="1" a="1"/>
  <c r="W632" i="16" s="1"/>
  <c r="T688" i="16"/>
  <c r="U688" i="16" s="1"/>
  <c r="W688" i="16" s="1" a="1"/>
  <c r="W688" i="16" s="1"/>
  <c r="T737" i="16"/>
  <c r="U737" i="16" s="1"/>
  <c r="W737" i="16" s="1" a="1"/>
  <c r="W737" i="16" s="1"/>
  <c r="T58" i="16"/>
  <c r="U58" i="16" s="1"/>
  <c r="W58" i="16" s="1" a="1"/>
  <c r="W58" i="16" s="1"/>
  <c r="T590" i="16"/>
  <c r="U590" i="16" s="1"/>
  <c r="W590" i="16" s="1" a="1"/>
  <c r="W590" i="16" s="1"/>
  <c r="T572" i="16"/>
  <c r="U572" i="16" s="1"/>
  <c r="W572" i="16" s="1" a="1"/>
  <c r="W572" i="16" s="1"/>
  <c r="T604" i="16"/>
  <c r="U604" i="16" s="1"/>
  <c r="W604" i="16" s="1" a="1"/>
  <c r="W604" i="16" s="1"/>
  <c r="T666" i="16"/>
  <c r="U666" i="16" s="1"/>
  <c r="W666" i="16" s="1" a="1"/>
  <c r="W666" i="16" s="1"/>
  <c r="T674" i="16"/>
  <c r="U674" i="16" s="1"/>
  <c r="W674" i="16" s="1" a="1"/>
  <c r="W674" i="16" s="1"/>
  <c r="Q537" i="16"/>
  <c r="T409" i="16"/>
  <c r="U409" i="16" s="1"/>
  <c r="W409" i="16" s="1" a="1"/>
  <c r="W409" i="16" s="1"/>
  <c r="T441" i="16"/>
  <c r="U441" i="16" s="1"/>
  <c r="W441" i="16" s="1" a="1"/>
  <c r="W441" i="16" s="1"/>
  <c r="T199" i="16"/>
  <c r="U199" i="16" s="1"/>
  <c r="W199" i="16" s="1" a="1"/>
  <c r="W199" i="16" s="1"/>
  <c r="T337" i="16"/>
  <c r="U337" i="16" s="1"/>
  <c r="W337" i="16" s="1" a="1"/>
  <c r="W337" i="16" s="1"/>
  <c r="T417" i="16"/>
  <c r="U417" i="16" s="1"/>
  <c r="W417" i="16" s="1" a="1"/>
  <c r="W417" i="16" s="1"/>
  <c r="T449" i="16"/>
  <c r="U449" i="16" s="1"/>
  <c r="W449" i="16" s="1" a="1"/>
  <c r="W449" i="16" s="1"/>
  <c r="T200" i="16"/>
  <c r="U200" i="16" s="1"/>
  <c r="W200" i="16" s="1" a="1"/>
  <c r="W200" i="16" s="1"/>
  <c r="T291" i="16"/>
  <c r="U291" i="16" s="1"/>
  <c r="W291" i="16" s="1" a="1"/>
  <c r="W291" i="16" s="1"/>
  <c r="T411" i="16"/>
  <c r="U411" i="16" s="1"/>
  <c r="W411" i="16" s="1" a="1"/>
  <c r="W411" i="16" s="1"/>
  <c r="T443" i="16"/>
  <c r="U443" i="16" s="1"/>
  <c r="W443" i="16" s="1" a="1"/>
  <c r="W443" i="16" s="1"/>
  <c r="T473" i="16"/>
  <c r="U473" i="16" s="1"/>
  <c r="W473" i="16" s="1" a="1"/>
  <c r="W473" i="16" s="1"/>
  <c r="T477" i="16"/>
  <c r="U477" i="16" s="1"/>
  <c r="W477" i="16" s="1" a="1"/>
  <c r="W477" i="16" s="1"/>
  <c r="T489" i="16"/>
  <c r="U489" i="16" s="1"/>
  <c r="W489" i="16" s="1" a="1"/>
  <c r="W489" i="16" s="1"/>
  <c r="T493" i="16"/>
  <c r="U493" i="16" s="1"/>
  <c r="W493" i="16" s="1" a="1"/>
  <c r="W493" i="16" s="1"/>
  <c r="T505" i="16"/>
  <c r="U505" i="16" s="1"/>
  <c r="W505" i="16" s="1" a="1"/>
  <c r="W505" i="16" s="1"/>
  <c r="T507" i="16"/>
  <c r="U507" i="16" s="1"/>
  <c r="W507" i="16" s="1" a="1"/>
  <c r="W507" i="16" s="1"/>
  <c r="T523" i="16"/>
  <c r="U523" i="16" s="1"/>
  <c r="W523" i="16" s="1" a="1"/>
  <c r="W523" i="16" s="1"/>
  <c r="T329" i="16"/>
  <c r="U329" i="16" s="1"/>
  <c r="W329" i="16" s="1" a="1"/>
  <c r="W329" i="16" s="1"/>
  <c r="T361" i="16"/>
  <c r="U361" i="16" s="1"/>
  <c r="W361" i="16" s="1" a="1"/>
  <c r="W361" i="16" s="1"/>
  <c r="T116" i="17"/>
  <c r="R124" i="17"/>
  <c r="U13" i="17"/>
  <c r="W13" i="17" s="1" a="1"/>
  <c r="W13" i="17" s="1"/>
  <c r="W9" i="17" a="1"/>
  <c r="W9" i="17" s="1"/>
  <c r="S111" i="17"/>
  <c r="S128" i="17" s="1"/>
  <c r="T16" i="17"/>
  <c r="H110" i="17"/>
  <c r="H111" i="17" s="1"/>
  <c r="H128" i="17" s="1"/>
  <c r="H130" i="17" s="1"/>
  <c r="V128" i="17"/>
  <c r="R111" i="17"/>
  <c r="V770" i="16"/>
  <c r="T600" i="16"/>
  <c r="U600" i="16" s="1"/>
  <c r="W600" i="16" s="1" a="1"/>
  <c r="W600" i="16" s="1"/>
  <c r="T542" i="16"/>
  <c r="U542" i="16" s="1"/>
  <c r="W542" i="16" s="1" a="1"/>
  <c r="W542" i="16" s="1"/>
  <c r="T610" i="16"/>
  <c r="U610" i="16" s="1"/>
  <c r="W610" i="16" s="1" a="1"/>
  <c r="W610" i="16" s="1"/>
  <c r="T481" i="16"/>
  <c r="U481" i="16" s="1"/>
  <c r="W481" i="16" s="1" a="1"/>
  <c r="W481" i="16" s="1"/>
  <c r="T485" i="16"/>
  <c r="U485" i="16" s="1"/>
  <c r="W485" i="16" s="1" a="1"/>
  <c r="W485" i="16" s="1"/>
  <c r="L725" i="16"/>
  <c r="L770" i="16" s="1"/>
  <c r="T608" i="16"/>
  <c r="U608" i="16" s="1"/>
  <c r="W608" i="16" s="1" a="1"/>
  <c r="W608" i="16" s="1"/>
  <c r="T445" i="16"/>
  <c r="U445" i="16" s="1"/>
  <c r="W445" i="16" s="1" a="1"/>
  <c r="W445" i="16" s="1"/>
  <c r="T413" i="16"/>
  <c r="U413" i="16" s="1"/>
  <c r="W413" i="16" s="1" a="1"/>
  <c r="W413" i="16" s="1"/>
  <c r="T405" i="16"/>
  <c r="U405" i="16" s="1"/>
  <c r="W405" i="16" s="1" a="1"/>
  <c r="W405" i="16" s="1"/>
  <c r="T401" i="16"/>
  <c r="U401" i="16" s="1"/>
  <c r="W401" i="16" s="1" a="1"/>
  <c r="W401" i="16" s="1"/>
  <c r="T433" i="16"/>
  <c r="U433" i="16" s="1"/>
  <c r="W433" i="16" s="1" a="1"/>
  <c r="W433" i="16" s="1"/>
  <c r="T465" i="16"/>
  <c r="U465" i="16" s="1"/>
  <c r="W465" i="16" s="1" a="1"/>
  <c r="W465" i="16" s="1"/>
  <c r="T427" i="16"/>
  <c r="U427" i="16" s="1"/>
  <c r="W427" i="16" s="1" a="1"/>
  <c r="W427" i="16" s="1"/>
  <c r="T459" i="16"/>
  <c r="U459" i="16" s="1"/>
  <c r="W459" i="16" s="1" a="1"/>
  <c r="W459" i="16" s="1"/>
  <c r="T732" i="16"/>
  <c r="U732" i="16" s="1"/>
  <c r="W732" i="16" s="1" a="1"/>
  <c r="W732" i="16" s="1"/>
  <c r="T406" i="16"/>
  <c r="U406" i="16" s="1"/>
  <c r="W406" i="16" s="1" a="1"/>
  <c r="W406" i="16" s="1"/>
  <c r="T414" i="16"/>
  <c r="U414" i="16" s="1"/>
  <c r="W414" i="16" s="1" a="1"/>
  <c r="W414" i="16" s="1"/>
  <c r="T422" i="16"/>
  <c r="U422" i="16" s="1"/>
  <c r="W422" i="16" s="1" a="1"/>
  <c r="W422" i="16" s="1"/>
  <c r="T430" i="16"/>
  <c r="U430" i="16" s="1"/>
  <c r="W430" i="16" s="1" a="1"/>
  <c r="W430" i="16" s="1"/>
  <c r="T438" i="16"/>
  <c r="U438" i="16" s="1"/>
  <c r="W438" i="16" s="1" a="1"/>
  <c r="W438" i="16" s="1"/>
  <c r="T446" i="16"/>
  <c r="U446" i="16" s="1"/>
  <c r="W446" i="16" s="1" a="1"/>
  <c r="W446" i="16" s="1"/>
  <c r="T454" i="16"/>
  <c r="U454" i="16" s="1"/>
  <c r="W454" i="16" s="1" a="1"/>
  <c r="W454" i="16" s="1"/>
  <c r="T462" i="16"/>
  <c r="U462" i="16" s="1"/>
  <c r="W462" i="16" s="1" a="1"/>
  <c r="W462" i="16" s="1"/>
  <c r="T470" i="16"/>
  <c r="U470" i="16" s="1"/>
  <c r="W470" i="16" s="1" a="1"/>
  <c r="W470" i="16" s="1"/>
  <c r="T546" i="16"/>
  <c r="U546" i="16" s="1"/>
  <c r="W546" i="16" s="1" a="1"/>
  <c r="W546" i="16" s="1"/>
  <c r="T594" i="16"/>
  <c r="U594" i="16" s="1"/>
  <c r="W594" i="16" s="1" a="1"/>
  <c r="W594" i="16" s="1"/>
  <c r="T479" i="16"/>
  <c r="U479" i="16" s="1"/>
  <c r="W479" i="16" s="1" a="1"/>
  <c r="W479" i="16" s="1"/>
  <c r="T483" i="16"/>
  <c r="U483" i="16" s="1"/>
  <c r="W483" i="16" s="1" a="1"/>
  <c r="W483" i="16" s="1"/>
  <c r="T495" i="16"/>
  <c r="U495" i="16" s="1"/>
  <c r="W495" i="16" s="1" a="1"/>
  <c r="W495" i="16" s="1"/>
  <c r="T499" i="16"/>
  <c r="U499" i="16" s="1"/>
  <c r="W499" i="16" s="1" a="1"/>
  <c r="W499" i="16" s="1"/>
  <c r="T747" i="16"/>
  <c r="U747" i="16" s="1"/>
  <c r="W747" i="16" s="1" a="1"/>
  <c r="W747" i="16" s="1"/>
  <c r="T740" i="16"/>
  <c r="U740" i="16" s="1"/>
  <c r="W740" i="16" s="1" a="1"/>
  <c r="W740" i="16" s="1"/>
  <c r="T693" i="16"/>
  <c r="U693" i="16" s="1"/>
  <c r="W693" i="16" s="1" a="1"/>
  <c r="W693" i="16" s="1"/>
  <c r="T739" i="16"/>
  <c r="U739" i="16" s="1"/>
  <c r="W739" i="16" s="1" a="1"/>
  <c r="W739" i="16" s="1"/>
  <c r="T736" i="16"/>
  <c r="U736" i="16" s="1"/>
  <c r="W736" i="16" s="1" a="1"/>
  <c r="W736" i="16" s="1"/>
  <c r="T752" i="16"/>
  <c r="U752" i="16" s="1"/>
  <c r="W752" i="16" s="1" a="1"/>
  <c r="W752" i="16" s="1"/>
  <c r="T733" i="16"/>
  <c r="U733" i="16" s="1"/>
  <c r="W733" i="16" s="1" a="1"/>
  <c r="W733" i="16" s="1"/>
  <c r="T749" i="16"/>
  <c r="U749" i="16" s="1"/>
  <c r="W749" i="16" s="1" a="1"/>
  <c r="W749" i="16" s="1"/>
  <c r="T447" i="16"/>
  <c r="U447" i="16" s="1"/>
  <c r="W447" i="16" s="1" a="1"/>
  <c r="W447" i="16" s="1"/>
  <c r="T469" i="16"/>
  <c r="U469" i="16" s="1"/>
  <c r="W469" i="16" s="1" a="1"/>
  <c r="W469" i="16" s="1"/>
  <c r="R537" i="16"/>
  <c r="T176" i="16"/>
  <c r="T224" i="16"/>
  <c r="U224" i="16" s="1"/>
  <c r="W224" i="16" s="1" a="1"/>
  <c r="W224" i="16" s="1"/>
  <c r="T228" i="16"/>
  <c r="U228" i="16" s="1"/>
  <c r="W228" i="16" s="1" a="1"/>
  <c r="W228" i="16" s="1"/>
  <c r="T232" i="16"/>
  <c r="U232" i="16" s="1"/>
  <c r="W232" i="16" s="1" a="1"/>
  <c r="W232" i="16" s="1"/>
  <c r="T236" i="16"/>
  <c r="U236" i="16" s="1"/>
  <c r="W236" i="16" s="1" a="1"/>
  <c r="W236" i="16" s="1"/>
  <c r="T241" i="16"/>
  <c r="U241" i="16" s="1"/>
  <c r="W241" i="16" s="1" a="1"/>
  <c r="W241" i="16" s="1"/>
  <c r="T245" i="16"/>
  <c r="U245" i="16" s="1"/>
  <c r="W245" i="16" s="1" a="1"/>
  <c r="W245" i="16" s="1"/>
  <c r="T249" i="16"/>
  <c r="U249" i="16" s="1"/>
  <c r="W249" i="16" s="1" a="1"/>
  <c r="W249" i="16" s="1"/>
  <c r="T253" i="16"/>
  <c r="U253" i="16" s="1"/>
  <c r="W253" i="16" s="1" a="1"/>
  <c r="W253" i="16" s="1"/>
  <c r="T257" i="16"/>
  <c r="U257" i="16" s="1"/>
  <c r="W257" i="16" s="1" a="1"/>
  <c r="W257" i="16" s="1"/>
  <c r="T261" i="16"/>
  <c r="U261" i="16" s="1"/>
  <c r="W261" i="16" s="1" a="1"/>
  <c r="W261" i="16" s="1"/>
  <c r="T265" i="16"/>
  <c r="U265" i="16" s="1"/>
  <c r="W265" i="16" s="1" a="1"/>
  <c r="W265" i="16" s="1"/>
  <c r="T269" i="16"/>
  <c r="U269" i="16" s="1"/>
  <c r="W269" i="16" s="1" a="1"/>
  <c r="W269" i="16" s="1"/>
  <c r="T273" i="16"/>
  <c r="U273" i="16" s="1"/>
  <c r="W273" i="16" s="1" a="1"/>
  <c r="W273" i="16" s="1"/>
  <c r="T403" i="16"/>
  <c r="U403" i="16" s="1"/>
  <c r="W403" i="16" s="1" a="1"/>
  <c r="W403" i="16" s="1"/>
  <c r="T435" i="16"/>
  <c r="U435" i="16" s="1"/>
  <c r="W435" i="16" s="1" a="1"/>
  <c r="W435" i="16" s="1"/>
  <c r="T467" i="16"/>
  <c r="U467" i="16" s="1"/>
  <c r="W467" i="16" s="1" a="1"/>
  <c r="W467" i="16" s="1"/>
  <c r="T596" i="16"/>
  <c r="U596" i="16" s="1"/>
  <c r="W596" i="16" s="1" a="1"/>
  <c r="W596" i="16" s="1"/>
  <c r="T408" i="16"/>
  <c r="U408" i="16" s="1"/>
  <c r="W408" i="16" s="1" a="1"/>
  <c r="W408" i="16" s="1"/>
  <c r="T424" i="16"/>
  <c r="U424" i="16" s="1"/>
  <c r="W424" i="16" s="1" a="1"/>
  <c r="W424" i="16" s="1"/>
  <c r="T440" i="16"/>
  <c r="U440" i="16" s="1"/>
  <c r="W440" i="16" s="1" a="1"/>
  <c r="W440" i="16" s="1"/>
  <c r="T456" i="16"/>
  <c r="U456" i="16" s="1"/>
  <c r="W456" i="16" s="1" a="1"/>
  <c r="W456" i="16" s="1"/>
  <c r="T472" i="16"/>
  <c r="U472" i="16" s="1"/>
  <c r="W472" i="16" s="1" a="1"/>
  <c r="W472" i="16" s="1"/>
  <c r="T602" i="16"/>
  <c r="U602" i="16" s="1"/>
  <c r="W602" i="16" s="1" a="1"/>
  <c r="W602" i="16" s="1"/>
  <c r="T731" i="16"/>
  <c r="U731" i="16" s="1"/>
  <c r="W731" i="16" s="1" a="1"/>
  <c r="W731" i="16" s="1"/>
  <c r="T695" i="16"/>
  <c r="U695" i="16" s="1"/>
  <c r="W695" i="16" s="1" a="1"/>
  <c r="W695" i="16" s="1"/>
  <c r="T755" i="16"/>
  <c r="U755" i="16" s="1"/>
  <c r="W755" i="16" s="1" a="1"/>
  <c r="W755" i="16" s="1"/>
  <c r="T743" i="16"/>
  <c r="U743" i="16" s="1"/>
  <c r="W743" i="16" s="1" a="1"/>
  <c r="W743" i="16" s="1"/>
  <c r="R761" i="16"/>
  <c r="R768" i="16" s="1"/>
  <c r="T729" i="16"/>
  <c r="T431" i="16"/>
  <c r="U431" i="16" s="1"/>
  <c r="W431" i="16" s="1" a="1"/>
  <c r="W431" i="16" s="1"/>
  <c r="T592" i="16"/>
  <c r="U592" i="16" s="1"/>
  <c r="W592" i="16" s="1" a="1"/>
  <c r="W592" i="16" s="1"/>
  <c r="T453" i="16"/>
  <c r="U453" i="16" s="1"/>
  <c r="W453" i="16" s="1" a="1"/>
  <c r="W453" i="16" s="1"/>
  <c r="T497" i="16"/>
  <c r="U497" i="16" s="1"/>
  <c r="W497" i="16" s="1" a="1"/>
  <c r="W497" i="16" s="1"/>
  <c r="T501" i="16"/>
  <c r="U501" i="16" s="1"/>
  <c r="W501" i="16" s="1" a="1"/>
  <c r="W501" i="16" s="1"/>
  <c r="T689" i="16"/>
  <c r="U689" i="16" s="1"/>
  <c r="W689" i="16" s="1" a="1"/>
  <c r="W689" i="16" s="1"/>
  <c r="T697" i="16"/>
  <c r="U697" i="16" s="1"/>
  <c r="W697" i="16" s="1" a="1"/>
  <c r="W697" i="16" s="1"/>
  <c r="T744" i="16"/>
  <c r="U744" i="16" s="1"/>
  <c r="W744" i="16" s="1" a="1"/>
  <c r="W744" i="16" s="1"/>
  <c r="T741" i="16"/>
  <c r="U741" i="16" s="1"/>
  <c r="W741" i="16" s="1" a="1"/>
  <c r="W741" i="16" s="1"/>
  <c r="S172" i="16"/>
  <c r="S770" i="16" s="1"/>
  <c r="T415" i="16"/>
  <c r="U415" i="16" s="1"/>
  <c r="W415" i="16" s="1" a="1"/>
  <c r="W415" i="16" s="1"/>
  <c r="O770" i="16"/>
  <c r="T461" i="16"/>
  <c r="U461" i="16" s="1"/>
  <c r="W461" i="16" s="1" a="1"/>
  <c r="W461" i="16" s="1"/>
  <c r="T429" i="16"/>
  <c r="U429" i="16" s="1"/>
  <c r="W429" i="16" s="1" a="1"/>
  <c r="W429" i="16" s="1"/>
  <c r="T532" i="16"/>
  <c r="U532" i="16" s="1"/>
  <c r="W532" i="16" s="1" a="1"/>
  <c r="W532" i="16" s="1"/>
  <c r="T437" i="16"/>
  <c r="U437" i="16" s="1"/>
  <c r="W437" i="16" s="1" a="1"/>
  <c r="W437" i="16" s="1"/>
  <c r="T425" i="16"/>
  <c r="U425" i="16" s="1"/>
  <c r="W425" i="16" s="1" a="1"/>
  <c r="W425" i="16" s="1"/>
  <c r="T457" i="16"/>
  <c r="U457" i="16" s="1"/>
  <c r="W457" i="16" s="1" a="1"/>
  <c r="W457" i="16" s="1"/>
  <c r="T606" i="16"/>
  <c r="U606" i="16" s="1"/>
  <c r="W606" i="16" s="1" a="1"/>
  <c r="W606" i="16" s="1"/>
  <c r="T280" i="16"/>
  <c r="U280" i="16" s="1"/>
  <c r="W280" i="16" s="1" a="1"/>
  <c r="W280" i="16" s="1"/>
  <c r="T284" i="16"/>
  <c r="U284" i="16" s="1"/>
  <c r="W284" i="16" s="1" a="1"/>
  <c r="W284" i="16" s="1"/>
  <c r="T288" i="16"/>
  <c r="U288" i="16" s="1"/>
  <c r="W288" i="16" s="1" a="1"/>
  <c r="W288" i="16" s="1"/>
  <c r="T292" i="16"/>
  <c r="U292" i="16" s="1"/>
  <c r="W292" i="16" s="1" a="1"/>
  <c r="W292" i="16" s="1"/>
  <c r="T296" i="16"/>
  <c r="U296" i="16" s="1"/>
  <c r="W296" i="16" s="1" a="1"/>
  <c r="W296" i="16" s="1"/>
  <c r="T419" i="16"/>
  <c r="U419" i="16" s="1"/>
  <c r="W419" i="16" s="1" a="1"/>
  <c r="W419" i="16" s="1"/>
  <c r="T451" i="16"/>
  <c r="U451" i="16" s="1"/>
  <c r="W451" i="16" s="1" a="1"/>
  <c r="W451" i="16" s="1"/>
  <c r="R725" i="16"/>
  <c r="T558" i="16"/>
  <c r="T612" i="16"/>
  <c r="U612" i="16" s="1"/>
  <c r="W612" i="16" s="1" a="1"/>
  <c r="W612" i="16" s="1"/>
  <c r="T404" i="16"/>
  <c r="U404" i="16" s="1"/>
  <c r="W404" i="16" s="1" a="1"/>
  <c r="W404" i="16" s="1"/>
  <c r="T412" i="16"/>
  <c r="U412" i="16" s="1"/>
  <c r="W412" i="16" s="1" a="1"/>
  <c r="W412" i="16" s="1"/>
  <c r="T420" i="16"/>
  <c r="U420" i="16" s="1"/>
  <c r="W420" i="16" s="1" a="1"/>
  <c r="W420" i="16" s="1"/>
  <c r="T428" i="16"/>
  <c r="U428" i="16" s="1"/>
  <c r="W428" i="16" s="1" a="1"/>
  <c r="W428" i="16" s="1"/>
  <c r="T436" i="16"/>
  <c r="U436" i="16" s="1"/>
  <c r="W436" i="16" s="1" a="1"/>
  <c r="W436" i="16" s="1"/>
  <c r="T444" i="16"/>
  <c r="U444" i="16" s="1"/>
  <c r="W444" i="16" s="1" a="1"/>
  <c r="W444" i="16" s="1"/>
  <c r="T452" i="16"/>
  <c r="U452" i="16" s="1"/>
  <c r="W452" i="16" s="1" a="1"/>
  <c r="W452" i="16" s="1"/>
  <c r="T460" i="16"/>
  <c r="U460" i="16" s="1"/>
  <c r="W460" i="16" s="1" a="1"/>
  <c r="W460" i="16" s="1"/>
  <c r="T468" i="16"/>
  <c r="U468" i="16" s="1"/>
  <c r="W468" i="16" s="1" a="1"/>
  <c r="W468" i="16" s="1"/>
  <c r="T544" i="16"/>
  <c r="U544" i="16" s="1"/>
  <c r="W544" i="16" s="1" a="1"/>
  <c r="W544" i="16" s="1"/>
  <c r="T478" i="16"/>
  <c r="U478" i="16" s="1"/>
  <c r="W478" i="16" s="1" a="1"/>
  <c r="W478" i="16" s="1"/>
  <c r="T482" i="16"/>
  <c r="U482" i="16" s="1"/>
  <c r="W482" i="16" s="1" a="1"/>
  <c r="W482" i="16" s="1"/>
  <c r="T494" i="16"/>
  <c r="U494" i="16" s="1"/>
  <c r="W494" i="16" s="1" a="1"/>
  <c r="W494" i="16" s="1"/>
  <c r="T498" i="16"/>
  <c r="U498" i="16" s="1"/>
  <c r="W498" i="16" s="1" a="1"/>
  <c r="W498" i="16" s="1"/>
  <c r="R554" i="16"/>
  <c r="T541" i="16"/>
  <c r="T548" i="16"/>
  <c r="U548" i="16" s="1"/>
  <c r="W548" i="16" s="1" a="1"/>
  <c r="W548" i="16" s="1"/>
  <c r="T748" i="16"/>
  <c r="U748" i="16" s="1"/>
  <c r="W748" i="16" s="1" a="1"/>
  <c r="W748" i="16" s="1"/>
  <c r="T691" i="16"/>
  <c r="U691" i="16" s="1"/>
  <c r="W691" i="16" s="1" a="1"/>
  <c r="W691" i="16" s="1"/>
  <c r="T699" i="16"/>
  <c r="U699" i="16" s="1"/>
  <c r="W699" i="16" s="1" a="1"/>
  <c r="W699" i="16" s="1"/>
  <c r="T634" i="16"/>
  <c r="U634" i="16" s="1"/>
  <c r="W634" i="16" s="1" a="1"/>
  <c r="W634" i="16" s="1"/>
  <c r="T638" i="16"/>
  <c r="U638" i="16" s="1"/>
  <c r="W638" i="16" s="1" a="1"/>
  <c r="W638" i="16" s="1"/>
  <c r="T646" i="16"/>
  <c r="U646" i="16" s="1"/>
  <c r="W646" i="16" s="1" a="1"/>
  <c r="W646" i="16" s="1"/>
  <c r="T735" i="16"/>
  <c r="U735" i="16" s="1"/>
  <c r="W735" i="16" s="1" a="1"/>
  <c r="W735" i="16" s="1"/>
  <c r="T751" i="16"/>
  <c r="U751" i="16" s="1"/>
  <c r="W751" i="16" s="1" a="1"/>
  <c r="W751" i="16" s="1"/>
  <c r="T745" i="16"/>
  <c r="U745" i="16" s="1"/>
  <c r="W745" i="16" s="1" a="1"/>
  <c r="W745" i="16" s="1"/>
  <c r="T463" i="16"/>
  <c r="U463" i="16" s="1"/>
  <c r="W463" i="16" s="1" a="1"/>
  <c r="W463" i="16" s="1"/>
  <c r="T277" i="16"/>
  <c r="U277" i="16" s="1"/>
  <c r="W277" i="16" s="1" a="1"/>
  <c r="W277" i="16" s="1"/>
  <c r="T421" i="16"/>
  <c r="U421" i="16" s="1"/>
  <c r="W421" i="16" s="1" a="1"/>
  <c r="W421" i="16" s="1"/>
  <c r="V108" i="14"/>
  <c r="R108" i="14"/>
  <c r="P108" i="14"/>
  <c r="O108" i="14"/>
  <c r="L108" i="14"/>
  <c r="K108" i="14"/>
  <c r="G704" i="13"/>
  <c r="R704" i="13"/>
  <c r="I703" i="13"/>
  <c r="H703" i="13"/>
  <c r="V704" i="13"/>
  <c r="S704" i="13"/>
  <c r="P704" i="13"/>
  <c r="O704" i="13"/>
  <c r="F574" i="13"/>
  <c r="F570" i="13"/>
  <c r="F569" i="13"/>
  <c r="V550" i="13"/>
  <c r="S550" i="13"/>
  <c r="R550" i="13"/>
  <c r="P550" i="13"/>
  <c r="O550" i="13"/>
  <c r="L550" i="13"/>
  <c r="K550" i="13"/>
  <c r="A550" i="13"/>
  <c r="H606" i="10"/>
  <c r="H224" i="13"/>
  <c r="H223" i="13"/>
  <c r="V224" i="13"/>
  <c r="S224" i="13"/>
  <c r="R224" i="13"/>
  <c r="P224" i="13"/>
  <c r="O224" i="13"/>
  <c r="Q224" i="13" s="1"/>
  <c r="K224" i="13" s="1"/>
  <c r="L224" i="13" s="1"/>
  <c r="R128" i="17" l="1"/>
  <c r="K770" i="16"/>
  <c r="L772" i="16" s="1"/>
  <c r="T768" i="16"/>
  <c r="U172" i="16"/>
  <c r="W172" i="16" s="1" a="1"/>
  <c r="W172" i="16" s="1"/>
  <c r="T172" i="16"/>
  <c r="R770" i="16"/>
  <c r="T111" i="17"/>
  <c r="U16" i="17"/>
  <c r="U116" i="17"/>
  <c r="T124" i="17"/>
  <c r="T725" i="16"/>
  <c r="U558" i="16"/>
  <c r="T537" i="16"/>
  <c r="U176" i="16"/>
  <c r="W764" i="16" a="1"/>
  <c r="W764" i="16" s="1"/>
  <c r="U768" i="16"/>
  <c r="W768" i="16" s="1" a="1"/>
  <c r="W768" i="16" s="1"/>
  <c r="T554" i="16"/>
  <c r="U541" i="16"/>
  <c r="T761" i="16"/>
  <c r="U729" i="16"/>
  <c r="Q108" i="14"/>
  <c r="Q704" i="13"/>
  <c r="Q550" i="13"/>
  <c r="T550" i="13" s="1"/>
  <c r="U550" i="13"/>
  <c r="W550" i="13" s="1" a="1"/>
  <c r="W550" i="13" s="1"/>
  <c r="T224" i="13"/>
  <c r="U224" i="13" s="1"/>
  <c r="W224" i="13" s="1" a="1"/>
  <c r="W224" i="13" s="1"/>
  <c r="J3" i="14"/>
  <c r="H3" i="14"/>
  <c r="I573" i="13"/>
  <c r="I129" i="14"/>
  <c r="I714" i="13"/>
  <c r="I532" i="13"/>
  <c r="I549" i="13"/>
  <c r="I618" i="13"/>
  <c r="W127" i="14" a="1"/>
  <c r="W127" i="14" s="1"/>
  <c r="W126" i="14" a="1"/>
  <c r="W126" i="14" s="1"/>
  <c r="W125" i="14" a="1"/>
  <c r="W125" i="14" s="1"/>
  <c r="J124" i="14"/>
  <c r="I124" i="14"/>
  <c r="G124" i="14"/>
  <c r="F124" i="14"/>
  <c r="W123" i="14" a="1"/>
  <c r="W123" i="14" s="1"/>
  <c r="W122" i="14" a="1"/>
  <c r="W122" i="14" s="1"/>
  <c r="W121" i="14" a="1"/>
  <c r="W121" i="14" s="1"/>
  <c r="V120" i="14"/>
  <c r="S120" i="14"/>
  <c r="P120" i="14"/>
  <c r="O120" i="14"/>
  <c r="L120" i="14"/>
  <c r="K120" i="14"/>
  <c r="V119" i="14"/>
  <c r="S119" i="14"/>
  <c r="P119" i="14"/>
  <c r="O119" i="14"/>
  <c r="L119" i="14"/>
  <c r="K119" i="14"/>
  <c r="V118" i="14"/>
  <c r="S118" i="14"/>
  <c r="P118" i="14"/>
  <c r="O118" i="14"/>
  <c r="L118" i="14"/>
  <c r="K118" i="14"/>
  <c r="V117" i="14"/>
  <c r="S117" i="14"/>
  <c r="P117" i="14"/>
  <c r="O117" i="14"/>
  <c r="L117" i="14"/>
  <c r="K117" i="14"/>
  <c r="V116" i="14"/>
  <c r="S116" i="14"/>
  <c r="P116" i="14"/>
  <c r="O116" i="14"/>
  <c r="L116" i="14"/>
  <c r="K116" i="14"/>
  <c r="V115" i="14"/>
  <c r="U115" i="14"/>
  <c r="W115" i="14" s="1" a="1"/>
  <c r="W115" i="14" s="1"/>
  <c r="R115" i="14"/>
  <c r="P115" i="14"/>
  <c r="O115" i="14"/>
  <c r="L115" i="14"/>
  <c r="K115" i="14"/>
  <c r="W114" i="14"/>
  <c r="W114" i="14" a="1"/>
  <c r="W113" i="14" a="1"/>
  <c r="W113" i="14" s="1"/>
  <c r="W112" i="14"/>
  <c r="W112" i="14" a="1"/>
  <c r="I111" i="14"/>
  <c r="G111" i="14"/>
  <c r="F111" i="14"/>
  <c r="W110" i="14" a="1"/>
  <c r="W110" i="14" s="1"/>
  <c r="W109" i="14" a="1"/>
  <c r="W109" i="14" s="1"/>
  <c r="V107" i="14"/>
  <c r="R107" i="14"/>
  <c r="P107" i="14"/>
  <c r="O107" i="14"/>
  <c r="L107" i="14"/>
  <c r="K107" i="14"/>
  <c r="J111" i="14"/>
  <c r="V106" i="14"/>
  <c r="R106" i="14"/>
  <c r="P106" i="14"/>
  <c r="O106" i="14"/>
  <c r="L106" i="14"/>
  <c r="K106" i="14"/>
  <c r="V105" i="14"/>
  <c r="R105" i="14"/>
  <c r="P105" i="14"/>
  <c r="O105" i="14"/>
  <c r="L105" i="14"/>
  <c r="K105" i="14"/>
  <c r="V104" i="14"/>
  <c r="R104" i="14"/>
  <c r="P104" i="14"/>
  <c r="O104" i="14"/>
  <c r="L104" i="14"/>
  <c r="K104" i="14"/>
  <c r="V103" i="14"/>
  <c r="R103" i="14"/>
  <c r="P103" i="14"/>
  <c r="O103" i="14"/>
  <c r="L103" i="14"/>
  <c r="K103" i="14"/>
  <c r="V102" i="14"/>
  <c r="R102" i="14"/>
  <c r="P102" i="14"/>
  <c r="O102" i="14"/>
  <c r="L102" i="14"/>
  <c r="K102" i="14"/>
  <c r="V101" i="14"/>
  <c r="R101" i="14"/>
  <c r="P101" i="14"/>
  <c r="O101" i="14"/>
  <c r="L101" i="14"/>
  <c r="K101" i="14"/>
  <c r="V100" i="14"/>
  <c r="R100" i="14"/>
  <c r="P100" i="14"/>
  <c r="O100" i="14"/>
  <c r="L100" i="14"/>
  <c r="K100" i="14"/>
  <c r="V99" i="14"/>
  <c r="R99" i="14"/>
  <c r="P99" i="14"/>
  <c r="O99" i="14"/>
  <c r="L99" i="14"/>
  <c r="K99" i="14"/>
  <c r="H99" i="14"/>
  <c r="V98" i="14"/>
  <c r="R98" i="14"/>
  <c r="P98" i="14"/>
  <c r="O98" i="14"/>
  <c r="L98" i="14"/>
  <c r="K98" i="14"/>
  <c r="V97" i="14"/>
  <c r="R97" i="14"/>
  <c r="P97" i="14"/>
  <c r="O97" i="14"/>
  <c r="L97" i="14"/>
  <c r="K97" i="14"/>
  <c r="V96" i="14"/>
  <c r="R96" i="14"/>
  <c r="P96" i="14"/>
  <c r="O96" i="14"/>
  <c r="L96" i="14"/>
  <c r="K96" i="14"/>
  <c r="V95" i="14"/>
  <c r="R95" i="14"/>
  <c r="P95" i="14"/>
  <c r="O95" i="14"/>
  <c r="L95" i="14"/>
  <c r="K95" i="14"/>
  <c r="V94" i="14"/>
  <c r="R94" i="14"/>
  <c r="P94" i="14"/>
  <c r="O94" i="14"/>
  <c r="L94" i="14"/>
  <c r="K94" i="14"/>
  <c r="V93" i="14"/>
  <c r="R93" i="14"/>
  <c r="P93" i="14"/>
  <c r="O93" i="14"/>
  <c r="L93" i="14"/>
  <c r="K93" i="14"/>
  <c r="V92" i="14"/>
  <c r="R92" i="14"/>
  <c r="P92" i="14"/>
  <c r="O92" i="14"/>
  <c r="L92" i="14"/>
  <c r="K92" i="14"/>
  <c r="V91" i="14"/>
  <c r="R91" i="14"/>
  <c r="P91" i="14"/>
  <c r="O91" i="14"/>
  <c r="L91" i="14"/>
  <c r="K91" i="14"/>
  <c r="V90" i="14"/>
  <c r="R90" i="14"/>
  <c r="P90" i="14"/>
  <c r="O90" i="14"/>
  <c r="L90" i="14"/>
  <c r="K90" i="14"/>
  <c r="V89" i="14"/>
  <c r="R89" i="14"/>
  <c r="P89" i="14"/>
  <c r="O89" i="14"/>
  <c r="L89" i="14"/>
  <c r="K89" i="14"/>
  <c r="V88" i="14"/>
  <c r="R88" i="14"/>
  <c r="P88" i="14"/>
  <c r="O88" i="14"/>
  <c r="L88" i="14"/>
  <c r="K88" i="14"/>
  <c r="V87" i="14"/>
  <c r="R87" i="14"/>
  <c r="P87" i="14"/>
  <c r="O87" i="14"/>
  <c r="L87" i="14"/>
  <c r="K87" i="14"/>
  <c r="V86" i="14"/>
  <c r="R86" i="14"/>
  <c r="P86" i="14"/>
  <c r="O86" i="14"/>
  <c r="L86" i="14"/>
  <c r="K86" i="14"/>
  <c r="V85" i="14"/>
  <c r="R85" i="14"/>
  <c r="P85" i="14"/>
  <c r="O85" i="14"/>
  <c r="L85" i="14"/>
  <c r="K85" i="14"/>
  <c r="V84" i="14"/>
  <c r="R84" i="14"/>
  <c r="P84" i="14"/>
  <c r="O84" i="14"/>
  <c r="L84" i="14"/>
  <c r="K84" i="14"/>
  <c r="V83" i="14"/>
  <c r="R83" i="14"/>
  <c r="P83" i="14"/>
  <c r="O83" i="14"/>
  <c r="L83" i="14"/>
  <c r="K83" i="14"/>
  <c r="V82" i="14"/>
  <c r="R82" i="14"/>
  <c r="P82" i="14"/>
  <c r="O82" i="14"/>
  <c r="L82" i="14"/>
  <c r="K82" i="14"/>
  <c r="V81" i="14"/>
  <c r="R81" i="14"/>
  <c r="P81" i="14"/>
  <c r="O81" i="14"/>
  <c r="L81" i="14"/>
  <c r="K81" i="14"/>
  <c r="V80" i="14"/>
  <c r="R80" i="14"/>
  <c r="P80" i="14"/>
  <c r="O80" i="14"/>
  <c r="L80" i="14"/>
  <c r="K80" i="14"/>
  <c r="V79" i="14"/>
  <c r="R79" i="14"/>
  <c r="P79" i="14"/>
  <c r="O79" i="14"/>
  <c r="L79" i="14"/>
  <c r="K79" i="14"/>
  <c r="V78" i="14"/>
  <c r="R78" i="14"/>
  <c r="P78" i="14"/>
  <c r="O78" i="14"/>
  <c r="L78" i="14"/>
  <c r="K78" i="14"/>
  <c r="V77" i="14"/>
  <c r="R77" i="14"/>
  <c r="P77" i="14"/>
  <c r="O77" i="14"/>
  <c r="L77" i="14"/>
  <c r="K77" i="14"/>
  <c r="V76" i="14"/>
  <c r="R76" i="14"/>
  <c r="P76" i="14"/>
  <c r="O76" i="14"/>
  <c r="L76" i="14"/>
  <c r="K76" i="14"/>
  <c r="V75" i="14"/>
  <c r="R75" i="14"/>
  <c r="P75" i="14"/>
  <c r="O75" i="14"/>
  <c r="L75" i="14"/>
  <c r="K75" i="14"/>
  <c r="V74" i="14"/>
  <c r="R74" i="14"/>
  <c r="P74" i="14"/>
  <c r="O74" i="14"/>
  <c r="L74" i="14"/>
  <c r="K74" i="14"/>
  <c r="V73" i="14"/>
  <c r="R73" i="14"/>
  <c r="P73" i="14"/>
  <c r="O73" i="14"/>
  <c r="L73" i="14"/>
  <c r="K73" i="14"/>
  <c r="V72" i="14"/>
  <c r="R72" i="14"/>
  <c r="P72" i="14"/>
  <c r="O72" i="14"/>
  <c r="L72" i="14"/>
  <c r="K72" i="14"/>
  <c r="V71" i="14"/>
  <c r="R71" i="14"/>
  <c r="P71" i="14"/>
  <c r="O71" i="14"/>
  <c r="L71" i="14"/>
  <c r="K71" i="14"/>
  <c r="V70" i="14"/>
  <c r="R70" i="14"/>
  <c r="P70" i="14"/>
  <c r="O70" i="14"/>
  <c r="L70" i="14"/>
  <c r="K70" i="14"/>
  <c r="V69" i="14"/>
  <c r="R69" i="14"/>
  <c r="P69" i="14"/>
  <c r="O69" i="14"/>
  <c r="L69" i="14"/>
  <c r="K69" i="14"/>
  <c r="V68" i="14"/>
  <c r="R68" i="14"/>
  <c r="P68" i="14"/>
  <c r="O68" i="14"/>
  <c r="L68" i="14"/>
  <c r="K68" i="14"/>
  <c r="V67" i="14"/>
  <c r="S67" i="14"/>
  <c r="P67" i="14"/>
  <c r="O67" i="14"/>
  <c r="L67" i="14"/>
  <c r="K67" i="14"/>
  <c r="V66" i="14"/>
  <c r="S66" i="14"/>
  <c r="P66" i="14"/>
  <c r="O66" i="14"/>
  <c r="L66" i="14"/>
  <c r="K66" i="14"/>
  <c r="V65" i="14"/>
  <c r="R65" i="14"/>
  <c r="P65" i="14"/>
  <c r="O65" i="14"/>
  <c r="L65" i="14"/>
  <c r="K65" i="14"/>
  <c r="V64" i="14"/>
  <c r="R64" i="14"/>
  <c r="P64" i="14"/>
  <c r="O64" i="14"/>
  <c r="L64" i="14"/>
  <c r="K64" i="14"/>
  <c r="V63" i="14"/>
  <c r="R63" i="14"/>
  <c r="P63" i="14"/>
  <c r="O63" i="14"/>
  <c r="L63" i="14"/>
  <c r="K63" i="14"/>
  <c r="V62" i="14"/>
  <c r="R62" i="14"/>
  <c r="P62" i="14"/>
  <c r="O62" i="14"/>
  <c r="L62" i="14"/>
  <c r="K62" i="14"/>
  <c r="V61" i="14"/>
  <c r="S61" i="14"/>
  <c r="P61" i="14"/>
  <c r="O61" i="14"/>
  <c r="Q61" i="14" s="1"/>
  <c r="L61" i="14"/>
  <c r="K61" i="14"/>
  <c r="V60" i="14"/>
  <c r="R60" i="14"/>
  <c r="P60" i="14"/>
  <c r="O60" i="14"/>
  <c r="L60" i="14"/>
  <c r="K60" i="14"/>
  <c r="V59" i="14"/>
  <c r="R59" i="14"/>
  <c r="P59" i="14"/>
  <c r="O59" i="14"/>
  <c r="Q59" i="14" s="1"/>
  <c r="L59" i="14"/>
  <c r="K59" i="14"/>
  <c r="V58" i="14"/>
  <c r="R58" i="14"/>
  <c r="P58" i="14"/>
  <c r="O58" i="14"/>
  <c r="L58" i="14"/>
  <c r="K58" i="14"/>
  <c r="V57" i="14"/>
  <c r="R57" i="14"/>
  <c r="P57" i="14"/>
  <c r="O57" i="14"/>
  <c r="Q57" i="14" s="1"/>
  <c r="L57" i="14"/>
  <c r="K57" i="14"/>
  <c r="V56" i="14"/>
  <c r="R56" i="14"/>
  <c r="P56" i="14"/>
  <c r="O56" i="14"/>
  <c r="L56" i="14"/>
  <c r="K56" i="14"/>
  <c r="V55" i="14"/>
  <c r="R55" i="14"/>
  <c r="P55" i="14"/>
  <c r="O55" i="14"/>
  <c r="L55" i="14"/>
  <c r="K55" i="14"/>
  <c r="V54" i="14"/>
  <c r="R54" i="14"/>
  <c r="P54" i="14"/>
  <c r="O54" i="14"/>
  <c r="L54" i="14"/>
  <c r="K54" i="14"/>
  <c r="V53" i="14"/>
  <c r="R53" i="14"/>
  <c r="P53" i="14"/>
  <c r="O53" i="14"/>
  <c r="Q53" i="14" s="1"/>
  <c r="L53" i="14"/>
  <c r="K53" i="14"/>
  <c r="V52" i="14"/>
  <c r="R52" i="14"/>
  <c r="P52" i="14"/>
  <c r="O52" i="14"/>
  <c r="L52" i="14"/>
  <c r="K52" i="14"/>
  <c r="V51" i="14"/>
  <c r="R51" i="14"/>
  <c r="P51" i="14"/>
  <c r="O51" i="14"/>
  <c r="L51" i="14"/>
  <c r="K51" i="14"/>
  <c r="V50" i="14"/>
  <c r="R50" i="14"/>
  <c r="P50" i="14"/>
  <c r="O50" i="14"/>
  <c r="L50" i="14"/>
  <c r="K50" i="14"/>
  <c r="V49" i="14"/>
  <c r="R49" i="14"/>
  <c r="P49" i="14"/>
  <c r="O49" i="14"/>
  <c r="Q49" i="14" s="1"/>
  <c r="L49" i="14"/>
  <c r="K49" i="14"/>
  <c r="V48" i="14"/>
  <c r="R48" i="14"/>
  <c r="P48" i="14"/>
  <c r="O48" i="14"/>
  <c r="L48" i="14"/>
  <c r="K48" i="14"/>
  <c r="V47" i="14"/>
  <c r="R47" i="14"/>
  <c r="P47" i="14"/>
  <c r="O47" i="14"/>
  <c r="L47" i="14"/>
  <c r="K47" i="14"/>
  <c r="V46" i="14"/>
  <c r="S46" i="14"/>
  <c r="P46" i="14"/>
  <c r="O46" i="14"/>
  <c r="L46" i="14"/>
  <c r="K46" i="14"/>
  <c r="V45" i="14"/>
  <c r="R45" i="14"/>
  <c r="P45" i="14"/>
  <c r="O45" i="14"/>
  <c r="L45" i="14"/>
  <c r="K45" i="14"/>
  <c r="V44" i="14"/>
  <c r="R44" i="14"/>
  <c r="P44" i="14"/>
  <c r="O44" i="14"/>
  <c r="L44" i="14"/>
  <c r="K44" i="14"/>
  <c r="V43" i="14"/>
  <c r="R43" i="14"/>
  <c r="P43" i="14"/>
  <c r="O43" i="14"/>
  <c r="L43" i="14"/>
  <c r="K43" i="14"/>
  <c r="V42" i="14"/>
  <c r="S42" i="14"/>
  <c r="P42" i="14"/>
  <c r="O42" i="14"/>
  <c r="L42" i="14"/>
  <c r="K42" i="14"/>
  <c r="V41" i="14"/>
  <c r="S41" i="14"/>
  <c r="P41" i="14"/>
  <c r="O41" i="14"/>
  <c r="L41" i="14"/>
  <c r="K41" i="14"/>
  <c r="V40" i="14"/>
  <c r="R40" i="14"/>
  <c r="P40" i="14"/>
  <c r="O40" i="14"/>
  <c r="L40" i="14"/>
  <c r="K40" i="14"/>
  <c r="V39" i="14"/>
  <c r="R39" i="14"/>
  <c r="P39" i="14"/>
  <c r="O39" i="14"/>
  <c r="L39" i="14"/>
  <c r="K39" i="14"/>
  <c r="V38" i="14"/>
  <c r="S38" i="14"/>
  <c r="P38" i="14"/>
  <c r="O38" i="14"/>
  <c r="L38" i="14"/>
  <c r="K38" i="14"/>
  <c r="V37" i="14"/>
  <c r="R37" i="14"/>
  <c r="P37" i="14"/>
  <c r="O37" i="14"/>
  <c r="L37" i="14"/>
  <c r="K37" i="14"/>
  <c r="V36" i="14"/>
  <c r="R36" i="14"/>
  <c r="P36" i="14"/>
  <c r="O36" i="14"/>
  <c r="L36" i="14"/>
  <c r="K36" i="14"/>
  <c r="V35" i="14"/>
  <c r="S35" i="14"/>
  <c r="P35" i="14"/>
  <c r="O35" i="14"/>
  <c r="L35" i="14"/>
  <c r="K35" i="14"/>
  <c r="V34" i="14"/>
  <c r="R34" i="14"/>
  <c r="P34" i="14"/>
  <c r="O34" i="14"/>
  <c r="L34" i="14"/>
  <c r="K34" i="14"/>
  <c r="V33" i="14"/>
  <c r="R33" i="14"/>
  <c r="P33" i="14"/>
  <c r="O33" i="14"/>
  <c r="L33" i="14"/>
  <c r="K33" i="14"/>
  <c r="V32" i="14"/>
  <c r="R32" i="14"/>
  <c r="P32" i="14"/>
  <c r="O32" i="14"/>
  <c r="L32" i="14"/>
  <c r="K32" i="14"/>
  <c r="V31" i="14"/>
  <c r="R31" i="14"/>
  <c r="P31" i="14"/>
  <c r="O31" i="14"/>
  <c r="L31" i="14"/>
  <c r="K31" i="14"/>
  <c r="V30" i="14"/>
  <c r="R30" i="14"/>
  <c r="P30" i="14"/>
  <c r="O30" i="14"/>
  <c r="L30" i="14"/>
  <c r="K30" i="14"/>
  <c r="V29" i="14"/>
  <c r="R29" i="14"/>
  <c r="P29" i="14"/>
  <c r="O29" i="14"/>
  <c r="L29" i="14"/>
  <c r="K29" i="14"/>
  <c r="V28" i="14"/>
  <c r="R28" i="14"/>
  <c r="P28" i="14"/>
  <c r="O28" i="14"/>
  <c r="L28" i="14"/>
  <c r="K28" i="14"/>
  <c r="V27" i="14"/>
  <c r="U27" i="14"/>
  <c r="W27" i="14" s="1" a="1"/>
  <c r="W27" i="14" s="1"/>
  <c r="R27" i="14"/>
  <c r="P27" i="14"/>
  <c r="O27" i="14"/>
  <c r="L27" i="14"/>
  <c r="K27" i="14"/>
  <c r="V26" i="14"/>
  <c r="R26" i="14"/>
  <c r="P26" i="14"/>
  <c r="O26" i="14"/>
  <c r="L26" i="14"/>
  <c r="K26" i="14"/>
  <c r="V25" i="14"/>
  <c r="R25" i="14"/>
  <c r="P25" i="14"/>
  <c r="O25" i="14"/>
  <c r="L25" i="14"/>
  <c r="K25" i="14"/>
  <c r="V24" i="14"/>
  <c r="R24" i="14"/>
  <c r="P24" i="14"/>
  <c r="O24" i="14"/>
  <c r="L24" i="14"/>
  <c r="K24" i="14"/>
  <c r="V23" i="14"/>
  <c r="R23" i="14"/>
  <c r="P23" i="14"/>
  <c r="O23" i="14"/>
  <c r="L23" i="14"/>
  <c r="K23" i="14"/>
  <c r="V22" i="14"/>
  <c r="R22" i="14"/>
  <c r="P22" i="14"/>
  <c r="O22" i="14"/>
  <c r="L22" i="14"/>
  <c r="K22" i="14"/>
  <c r="V21" i="14"/>
  <c r="R21" i="14"/>
  <c r="P21" i="14"/>
  <c r="O21" i="14"/>
  <c r="L21" i="14"/>
  <c r="K21" i="14"/>
  <c r="V20" i="14"/>
  <c r="R20" i="14"/>
  <c r="P20" i="14"/>
  <c r="O20" i="14"/>
  <c r="L20" i="14"/>
  <c r="K20" i="14"/>
  <c r="V19" i="14"/>
  <c r="R19" i="14"/>
  <c r="P19" i="14"/>
  <c r="O19" i="14"/>
  <c r="L19" i="14"/>
  <c r="K19" i="14"/>
  <c r="V18" i="14"/>
  <c r="R18" i="14"/>
  <c r="P18" i="14"/>
  <c r="O18" i="14"/>
  <c r="L18" i="14"/>
  <c r="K18" i="14"/>
  <c r="V17" i="14"/>
  <c r="R17" i="14"/>
  <c r="P17" i="14"/>
  <c r="O17" i="14"/>
  <c r="L17" i="14"/>
  <c r="K17" i="14"/>
  <c r="V16" i="14"/>
  <c r="R16" i="14"/>
  <c r="P16" i="14"/>
  <c r="O16" i="14"/>
  <c r="L16" i="14"/>
  <c r="K16" i="14"/>
  <c r="W15" i="14"/>
  <c r="W15" i="14" a="1"/>
  <c r="W14" i="14" a="1"/>
  <c r="W14" i="14" s="1"/>
  <c r="V13" i="14"/>
  <c r="T13" i="14"/>
  <c r="S13" i="14"/>
  <c r="R13" i="14"/>
  <c r="P13" i="14"/>
  <c r="O13" i="14"/>
  <c r="L13" i="14"/>
  <c r="K13" i="14"/>
  <c r="J13" i="14"/>
  <c r="H13" i="14"/>
  <c r="G13" i="14"/>
  <c r="F13" i="14"/>
  <c r="W12" i="14" a="1"/>
  <c r="W12" i="14" s="1"/>
  <c r="I11" i="14"/>
  <c r="U11" i="14" s="1"/>
  <c r="W11" i="14" s="1" a="1"/>
  <c r="W11" i="14" s="1"/>
  <c r="I10" i="14"/>
  <c r="U10" i="14" s="1"/>
  <c r="W10" i="14" s="1" a="1"/>
  <c r="W10" i="14" s="1"/>
  <c r="I9" i="14"/>
  <c r="I13" i="14" s="1"/>
  <c r="W8" i="14"/>
  <c r="W8" i="14" a="1"/>
  <c r="Z172" i="16" l="1"/>
  <c r="T770" i="16"/>
  <c r="W116" i="17" a="1"/>
  <c r="W116" i="17" s="1"/>
  <c r="U124" i="17"/>
  <c r="W124" i="17" s="1" a="1"/>
  <c r="W124" i="17" s="1"/>
  <c r="U111" i="17"/>
  <c r="W16" i="17" a="1"/>
  <c r="W16" i="17" s="1"/>
  <c r="T128" i="17"/>
  <c r="U537" i="16"/>
  <c r="W176" i="16" a="1"/>
  <c r="W176" i="16" s="1"/>
  <c r="U761" i="16"/>
  <c r="W761" i="16" s="1" a="1"/>
  <c r="W761" i="16" s="1"/>
  <c r="W729" i="16" a="1"/>
  <c r="W729" i="16" s="1"/>
  <c r="U725" i="16"/>
  <c r="W558" i="16" a="1"/>
  <c r="W558" i="16" s="1"/>
  <c r="U554" i="16"/>
  <c r="W541" i="16" a="1"/>
  <c r="W541" i="16" s="1"/>
  <c r="Q74" i="14"/>
  <c r="Q76" i="14"/>
  <c r="Q78" i="14"/>
  <c r="U3" i="14"/>
  <c r="R120" i="14" s="1"/>
  <c r="K704" i="13"/>
  <c r="L704" i="13" s="1"/>
  <c r="Q30" i="14"/>
  <c r="Q35" i="14"/>
  <c r="Q36" i="14"/>
  <c r="Q38" i="14"/>
  <c r="Q40" i="14"/>
  <c r="Q46" i="14"/>
  <c r="Q48" i="14"/>
  <c r="Q17" i="14"/>
  <c r="Q19" i="14"/>
  <c r="Q21" i="14"/>
  <c r="Q23" i="14"/>
  <c r="Q25" i="14"/>
  <c r="Q27" i="14"/>
  <c r="Q100" i="14"/>
  <c r="Q102" i="14"/>
  <c r="Q104" i="14"/>
  <c r="Q106" i="14"/>
  <c r="Q117" i="14"/>
  <c r="Q119" i="14"/>
  <c r="Q45" i="14"/>
  <c r="Q75" i="14"/>
  <c r="Q33" i="14"/>
  <c r="Q44" i="14"/>
  <c r="Q60" i="14"/>
  <c r="Q70" i="14"/>
  <c r="Q41" i="14"/>
  <c r="Q43" i="14"/>
  <c r="Q52" i="14"/>
  <c r="Q54" i="14"/>
  <c r="Q56" i="14"/>
  <c r="Q63" i="14"/>
  <c r="Q65" i="14"/>
  <c r="Q67" i="14"/>
  <c r="Q34" i="14"/>
  <c r="Q51" i="14"/>
  <c r="Q28" i="14"/>
  <c r="Q94" i="14"/>
  <c r="Q96" i="14"/>
  <c r="Q98" i="14"/>
  <c r="Q72" i="14"/>
  <c r="V111" i="14"/>
  <c r="Q95" i="14"/>
  <c r="Q97" i="14"/>
  <c r="V124" i="14"/>
  <c r="H123" i="14" s="1"/>
  <c r="H124" i="14" s="1"/>
  <c r="Q118" i="14"/>
  <c r="Q120" i="14"/>
  <c r="T120" i="14" s="1"/>
  <c r="U120" i="14" s="1"/>
  <c r="W120" i="14" s="1" a="1"/>
  <c r="W120" i="14" s="1"/>
  <c r="Q69" i="14"/>
  <c r="P111" i="14"/>
  <c r="Q32" i="14"/>
  <c r="Q37" i="14"/>
  <c r="Q39" i="14"/>
  <c r="Q42" i="14"/>
  <c r="Q47" i="14"/>
  <c r="Q50" i="14"/>
  <c r="Q55" i="14"/>
  <c r="Q58" i="14"/>
  <c r="Q99" i="14"/>
  <c r="Q101" i="14"/>
  <c r="Q103" i="14"/>
  <c r="Q105" i="14"/>
  <c r="P124" i="14"/>
  <c r="K124" i="14"/>
  <c r="L124" i="14"/>
  <c r="Q107" i="14"/>
  <c r="Q62" i="14"/>
  <c r="Q64" i="14"/>
  <c r="Q66" i="14"/>
  <c r="Q71" i="14"/>
  <c r="Q29" i="14"/>
  <c r="Q31" i="14"/>
  <c r="Q68" i="14"/>
  <c r="Q73" i="14"/>
  <c r="S115" i="14"/>
  <c r="S124" i="14" s="1"/>
  <c r="S106" i="14"/>
  <c r="T106" i="14" s="1"/>
  <c r="U106" i="14" s="1"/>
  <c r="W106" i="14" s="1" a="1"/>
  <c r="W106" i="14" s="1"/>
  <c r="S105" i="14"/>
  <c r="S104" i="14"/>
  <c r="T104" i="14" s="1"/>
  <c r="U104" i="14" s="1"/>
  <c r="W104" i="14" s="1" a="1"/>
  <c r="W104" i="14" s="1"/>
  <c r="S103" i="14"/>
  <c r="S102" i="14"/>
  <c r="S101" i="14"/>
  <c r="S100" i="14"/>
  <c r="S99" i="14"/>
  <c r="T99" i="14" s="1"/>
  <c r="U99" i="14" s="1"/>
  <c r="W99" i="14" s="1" a="1"/>
  <c r="W99" i="14" s="1"/>
  <c r="R119" i="14"/>
  <c r="R118" i="14"/>
  <c r="R117" i="14"/>
  <c r="R116" i="14"/>
  <c r="S98" i="14"/>
  <c r="S97" i="14"/>
  <c r="T97" i="14" s="1"/>
  <c r="U97" i="14" s="1"/>
  <c r="W97" i="14" s="1" a="1"/>
  <c r="W97" i="14" s="1"/>
  <c r="S76" i="14"/>
  <c r="S75" i="14"/>
  <c r="T75" i="14" s="1"/>
  <c r="U75" i="14" s="1"/>
  <c r="W75" i="14" s="1" a="1"/>
  <c r="W75" i="14" s="1"/>
  <c r="S74" i="14"/>
  <c r="T74" i="14" s="1"/>
  <c r="U74" i="14" s="1"/>
  <c r="W74" i="14" s="1" a="1"/>
  <c r="W74" i="14" s="1"/>
  <c r="S73" i="14"/>
  <c r="S72" i="14"/>
  <c r="T72" i="14" s="1"/>
  <c r="U72" i="14" s="1"/>
  <c r="W72" i="14" s="1" a="1"/>
  <c r="W72" i="14" s="1"/>
  <c r="S71" i="14"/>
  <c r="S70" i="14"/>
  <c r="S69" i="14"/>
  <c r="T69" i="14" s="1"/>
  <c r="U69" i="14" s="1"/>
  <c r="W69" i="14" s="1" a="1"/>
  <c r="W69" i="14" s="1"/>
  <c r="S68" i="14"/>
  <c r="T68" i="14" s="1"/>
  <c r="U68" i="14" s="1"/>
  <c r="W68" i="14" s="1" a="1"/>
  <c r="W68" i="14" s="1"/>
  <c r="S65" i="14"/>
  <c r="S64" i="14"/>
  <c r="S63" i="14"/>
  <c r="T63" i="14" s="1"/>
  <c r="U63" i="14" s="1"/>
  <c r="W63" i="14" s="1" a="1"/>
  <c r="W63" i="14" s="1"/>
  <c r="S62" i="14"/>
  <c r="S60" i="14"/>
  <c r="S59" i="14"/>
  <c r="T59" i="14" s="1"/>
  <c r="U59" i="14" s="1"/>
  <c r="W59" i="14" s="1" a="1"/>
  <c r="W59" i="14" s="1"/>
  <c r="S58" i="14"/>
  <c r="S57" i="14"/>
  <c r="T57" i="14" s="1"/>
  <c r="U57" i="14" s="1"/>
  <c r="W57" i="14" s="1" a="1"/>
  <c r="W57" i="14" s="1"/>
  <c r="S56" i="14"/>
  <c r="S55" i="14"/>
  <c r="S54" i="14"/>
  <c r="S53" i="14"/>
  <c r="T53" i="14" s="1"/>
  <c r="U53" i="14" s="1"/>
  <c r="W53" i="14" s="1" a="1"/>
  <c r="W53" i="14" s="1"/>
  <c r="S52" i="14"/>
  <c r="S51" i="14"/>
  <c r="S50" i="14"/>
  <c r="S49" i="14"/>
  <c r="T49" i="14" s="1"/>
  <c r="U49" i="14" s="1"/>
  <c r="W49" i="14" s="1" a="1"/>
  <c r="W49" i="14" s="1"/>
  <c r="S48" i="14"/>
  <c r="S96" i="14"/>
  <c r="T96" i="14" s="1"/>
  <c r="U96" i="14" s="1"/>
  <c r="W96" i="14" s="1" a="1"/>
  <c r="W96" i="14" s="1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R61" i="14"/>
  <c r="T61" i="14" s="1"/>
  <c r="U61" i="14" s="1"/>
  <c r="W61" i="14" s="1" a="1"/>
  <c r="W61" i="14" s="1"/>
  <c r="S77" i="14"/>
  <c r="R66" i="14"/>
  <c r="T66" i="14" s="1"/>
  <c r="U66" i="14" s="1"/>
  <c r="W66" i="14" s="1" a="1"/>
  <c r="W66" i="14" s="1"/>
  <c r="S47" i="14"/>
  <c r="S45" i="14"/>
  <c r="S44" i="14"/>
  <c r="S43" i="14"/>
  <c r="T43" i="14" s="1"/>
  <c r="U43" i="14" s="1"/>
  <c r="W43" i="14" s="1" a="1"/>
  <c r="W43" i="14" s="1"/>
  <c r="S40" i="14"/>
  <c r="R67" i="14"/>
  <c r="T67" i="14" s="1"/>
  <c r="U67" i="14" s="1"/>
  <c r="W67" i="14" s="1" a="1"/>
  <c r="W67" i="14" s="1"/>
  <c r="R46" i="14"/>
  <c r="T46" i="14" s="1"/>
  <c r="U46" i="14" s="1"/>
  <c r="W46" i="14" s="1" a="1"/>
  <c r="W46" i="14" s="1"/>
  <c r="R42" i="14"/>
  <c r="R41" i="14"/>
  <c r="R38" i="14"/>
  <c r="R35" i="14"/>
  <c r="T35" i="14" s="1"/>
  <c r="U35" i="14" s="1"/>
  <c r="W35" i="14" s="1" a="1"/>
  <c r="W35" i="14" s="1"/>
  <c r="U9" i="14"/>
  <c r="S32" i="14"/>
  <c r="S34" i="14"/>
  <c r="S39" i="14"/>
  <c r="L111" i="14"/>
  <c r="S16" i="14"/>
  <c r="S18" i="14"/>
  <c r="S20" i="14"/>
  <c r="S22" i="14"/>
  <c r="S24" i="14"/>
  <c r="S26" i="14"/>
  <c r="S37" i="14"/>
  <c r="T37" i="14" s="1"/>
  <c r="U37" i="14" s="1"/>
  <c r="W37" i="14" s="1" a="1"/>
  <c r="W37" i="14" s="1"/>
  <c r="O111" i="14"/>
  <c r="Q16" i="14"/>
  <c r="Q18" i="14"/>
  <c r="Q20" i="14"/>
  <c r="Q22" i="14"/>
  <c r="Q24" i="14"/>
  <c r="Q26" i="14"/>
  <c r="S28" i="14"/>
  <c r="S29" i="14"/>
  <c r="S30" i="14"/>
  <c r="S31" i="14"/>
  <c r="S33" i="14"/>
  <c r="T33" i="14" s="1"/>
  <c r="U33" i="14" s="1"/>
  <c r="W33" i="14" s="1" a="1"/>
  <c r="W33" i="14" s="1"/>
  <c r="S17" i="14"/>
  <c r="T17" i="14" s="1"/>
  <c r="U17" i="14" s="1"/>
  <c r="W17" i="14" s="1" a="1"/>
  <c r="W17" i="14" s="1"/>
  <c r="S19" i="14"/>
  <c r="S21" i="14"/>
  <c r="S23" i="14"/>
  <c r="T23" i="14" s="1"/>
  <c r="U23" i="14" s="1"/>
  <c r="W23" i="14" s="1" a="1"/>
  <c r="W23" i="14" s="1"/>
  <c r="S25" i="14"/>
  <c r="T25" i="14" s="1"/>
  <c r="U25" i="14" s="1"/>
  <c r="W25" i="14" s="1" a="1"/>
  <c r="W25" i="14" s="1"/>
  <c r="S27" i="14"/>
  <c r="S36" i="14"/>
  <c r="T64" i="14"/>
  <c r="U64" i="14" s="1"/>
  <c r="W64" i="14" s="1" a="1"/>
  <c r="W64" i="14" s="1"/>
  <c r="K111" i="14"/>
  <c r="I128" i="14"/>
  <c r="O124" i="14"/>
  <c r="Q116" i="14"/>
  <c r="Q77" i="14"/>
  <c r="Q79" i="14"/>
  <c r="Q81" i="14"/>
  <c r="Q83" i="14"/>
  <c r="Q85" i="14"/>
  <c r="Q87" i="14"/>
  <c r="Q89" i="14"/>
  <c r="Q91" i="14"/>
  <c r="Q93" i="14"/>
  <c r="J128" i="14"/>
  <c r="J130" i="14" s="1"/>
  <c r="H110" i="14"/>
  <c r="H111" i="14" s="1"/>
  <c r="H128" i="14" s="1"/>
  <c r="H130" i="14" s="1"/>
  <c r="F128" i="14"/>
  <c r="Q80" i="14"/>
  <c r="Q82" i="14"/>
  <c r="Q84" i="14"/>
  <c r="Q86" i="14"/>
  <c r="Q88" i="14"/>
  <c r="Q90" i="14"/>
  <c r="Q92" i="14"/>
  <c r="G128" i="14"/>
  <c r="S107" i="14"/>
  <c r="Q115" i="14"/>
  <c r="W767" i="13" a="1"/>
  <c r="W767" i="13" s="1"/>
  <c r="J766" i="13"/>
  <c r="H766" i="13"/>
  <c r="G766" i="13"/>
  <c r="F766" i="13"/>
  <c r="W765" i="13" a="1"/>
  <c r="W765" i="13" s="1"/>
  <c r="W764" i="13" a="1"/>
  <c r="W764" i="13" s="1"/>
  <c r="V763" i="13"/>
  <c r="S763" i="13"/>
  <c r="P763" i="13"/>
  <c r="O763" i="13"/>
  <c r="L763" i="13"/>
  <c r="K763" i="13"/>
  <c r="V762" i="13"/>
  <c r="S762" i="13"/>
  <c r="P762" i="13"/>
  <c r="O762" i="13"/>
  <c r="L762" i="13"/>
  <c r="K762" i="13"/>
  <c r="I766" i="13"/>
  <c r="W761" i="13" a="1"/>
  <c r="W761" i="13" s="1"/>
  <c r="W760" i="13" a="1"/>
  <c r="W760" i="13" s="1"/>
  <c r="J759" i="13"/>
  <c r="I759" i="13"/>
  <c r="G759" i="13"/>
  <c r="F759" i="13"/>
  <c r="W758" i="13" a="1"/>
  <c r="W758" i="13" s="1"/>
  <c r="W757" i="13" a="1"/>
  <c r="W757" i="13" s="1"/>
  <c r="V756" i="13"/>
  <c r="S756" i="13"/>
  <c r="P756" i="13"/>
  <c r="O756" i="13"/>
  <c r="L756" i="13"/>
  <c r="K756" i="13"/>
  <c r="V755" i="13"/>
  <c r="S755" i="13"/>
  <c r="P755" i="13"/>
  <c r="O755" i="13"/>
  <c r="L755" i="13"/>
  <c r="K755" i="13"/>
  <c r="V754" i="13"/>
  <c r="S754" i="13"/>
  <c r="P754" i="13"/>
  <c r="O754" i="13"/>
  <c r="L754" i="13"/>
  <c r="K754" i="13"/>
  <c r="V753" i="13"/>
  <c r="S753" i="13"/>
  <c r="P753" i="13"/>
  <c r="O753" i="13"/>
  <c r="L753" i="13"/>
  <c r="K753" i="13"/>
  <c r="V752" i="13"/>
  <c r="S752" i="13"/>
  <c r="P752" i="13"/>
  <c r="O752" i="13"/>
  <c r="L752" i="13"/>
  <c r="K752" i="13"/>
  <c r="V751" i="13"/>
  <c r="S751" i="13"/>
  <c r="P751" i="13"/>
  <c r="O751" i="13"/>
  <c r="L751" i="13"/>
  <c r="K751" i="13"/>
  <c r="V750" i="13"/>
  <c r="S750" i="13"/>
  <c r="P750" i="13"/>
  <c r="O750" i="13"/>
  <c r="L750" i="13"/>
  <c r="K750" i="13"/>
  <c r="V749" i="13"/>
  <c r="S749" i="13"/>
  <c r="P749" i="13"/>
  <c r="O749" i="13"/>
  <c r="L749" i="13"/>
  <c r="K749" i="13"/>
  <c r="V748" i="13"/>
  <c r="S748" i="13"/>
  <c r="P748" i="13"/>
  <c r="O748" i="13"/>
  <c r="L748" i="13"/>
  <c r="K748" i="13"/>
  <c r="V747" i="13"/>
  <c r="S747" i="13"/>
  <c r="P747" i="13"/>
  <c r="O747" i="13"/>
  <c r="L747" i="13"/>
  <c r="K747" i="13"/>
  <c r="V746" i="13"/>
  <c r="S746" i="13"/>
  <c r="P746" i="13"/>
  <c r="O746" i="13"/>
  <c r="L746" i="13"/>
  <c r="K746" i="13"/>
  <c r="V745" i="13"/>
  <c r="S745" i="13"/>
  <c r="P745" i="13"/>
  <c r="O745" i="13"/>
  <c r="L745" i="13"/>
  <c r="K745" i="13"/>
  <c r="V744" i="13"/>
  <c r="S744" i="13"/>
  <c r="P744" i="13"/>
  <c r="O744" i="13"/>
  <c r="L744" i="13"/>
  <c r="K744" i="13"/>
  <c r="V743" i="13"/>
  <c r="S743" i="13"/>
  <c r="P743" i="13"/>
  <c r="O743" i="13"/>
  <c r="L743" i="13"/>
  <c r="K743" i="13"/>
  <c r="V742" i="13"/>
  <c r="S742" i="13"/>
  <c r="P742" i="13"/>
  <c r="O742" i="13"/>
  <c r="L742" i="13"/>
  <c r="K742" i="13"/>
  <c r="V741" i="13"/>
  <c r="S741" i="13"/>
  <c r="P741" i="13"/>
  <c r="O741" i="13"/>
  <c r="L741" i="13"/>
  <c r="K741" i="13"/>
  <c r="V740" i="13"/>
  <c r="S740" i="13"/>
  <c r="P740" i="13"/>
  <c r="O740" i="13"/>
  <c r="L740" i="13"/>
  <c r="K740" i="13"/>
  <c r="V739" i="13"/>
  <c r="S739" i="13"/>
  <c r="P739" i="13"/>
  <c r="O739" i="13"/>
  <c r="L739" i="13"/>
  <c r="K739" i="13"/>
  <c r="V738" i="13"/>
  <c r="S738" i="13"/>
  <c r="P738" i="13"/>
  <c r="O738" i="13"/>
  <c r="L738" i="13"/>
  <c r="K738" i="13"/>
  <c r="V737" i="13"/>
  <c r="S737" i="13"/>
  <c r="P737" i="13"/>
  <c r="O737" i="13"/>
  <c r="L737" i="13"/>
  <c r="K737" i="13"/>
  <c r="V736" i="13"/>
  <c r="S736" i="13"/>
  <c r="P736" i="13"/>
  <c r="O736" i="13"/>
  <c r="L736" i="13"/>
  <c r="K736" i="13"/>
  <c r="V735" i="13"/>
  <c r="S735" i="13"/>
  <c r="P735" i="13"/>
  <c r="O735" i="13"/>
  <c r="L735" i="13"/>
  <c r="K735" i="13"/>
  <c r="V734" i="13"/>
  <c r="S734" i="13"/>
  <c r="P734" i="13"/>
  <c r="O734" i="13"/>
  <c r="L734" i="13"/>
  <c r="K734" i="13"/>
  <c r="V733" i="13"/>
  <c r="S733" i="13"/>
  <c r="P733" i="13"/>
  <c r="O733" i="13"/>
  <c r="L733" i="13"/>
  <c r="K733" i="13"/>
  <c r="V732" i="13"/>
  <c r="S732" i="13"/>
  <c r="P732" i="13"/>
  <c r="O732" i="13"/>
  <c r="L732" i="13"/>
  <c r="K732" i="13"/>
  <c r="V731" i="13"/>
  <c r="S731" i="13"/>
  <c r="P731" i="13"/>
  <c r="O731" i="13"/>
  <c r="L731" i="13"/>
  <c r="K731" i="13"/>
  <c r="V730" i="13"/>
  <c r="S730" i="13"/>
  <c r="P730" i="13"/>
  <c r="O730" i="13"/>
  <c r="L730" i="13"/>
  <c r="K730" i="13"/>
  <c r="V729" i="13"/>
  <c r="S729" i="13"/>
  <c r="P729" i="13"/>
  <c r="O729" i="13"/>
  <c r="L729" i="13"/>
  <c r="K729" i="13"/>
  <c r="V728" i="13"/>
  <c r="S728" i="13"/>
  <c r="P728" i="13"/>
  <c r="O728" i="13"/>
  <c r="L728" i="13"/>
  <c r="K728" i="13"/>
  <c r="V727" i="13"/>
  <c r="S727" i="13"/>
  <c r="P727" i="13"/>
  <c r="O727" i="13"/>
  <c r="L727" i="13"/>
  <c r="K727" i="13"/>
  <c r="W726" i="13" a="1"/>
  <c r="W726" i="13" s="1"/>
  <c r="W725" i="13" a="1"/>
  <c r="W725" i="13" s="1"/>
  <c r="W724" i="13" a="1"/>
  <c r="W724" i="13" s="1"/>
  <c r="I723" i="13"/>
  <c r="G723" i="13"/>
  <c r="W722" i="13" a="1"/>
  <c r="W722" i="13" s="1"/>
  <c r="W721" i="13" a="1"/>
  <c r="W721" i="13" s="1"/>
  <c r="V720" i="13"/>
  <c r="S720" i="13"/>
  <c r="P720" i="13"/>
  <c r="O720" i="13"/>
  <c r="L720" i="13"/>
  <c r="K720" i="13"/>
  <c r="V719" i="13"/>
  <c r="S719" i="13"/>
  <c r="P719" i="13"/>
  <c r="O719" i="13"/>
  <c r="L719" i="13"/>
  <c r="K719" i="13"/>
  <c r="V718" i="13"/>
  <c r="S718" i="13"/>
  <c r="P718" i="13"/>
  <c r="O718" i="13"/>
  <c r="L718" i="13"/>
  <c r="K718" i="13"/>
  <c r="V717" i="13"/>
  <c r="S717" i="13"/>
  <c r="P717" i="13"/>
  <c r="O717" i="13"/>
  <c r="L717" i="13"/>
  <c r="K717" i="13"/>
  <c r="V716" i="13"/>
  <c r="S716" i="13"/>
  <c r="P716" i="13"/>
  <c r="O716" i="13"/>
  <c r="L716" i="13"/>
  <c r="K716" i="13"/>
  <c r="V715" i="13"/>
  <c r="S715" i="13"/>
  <c r="P715" i="13"/>
  <c r="O715" i="13"/>
  <c r="L715" i="13"/>
  <c r="K715" i="13"/>
  <c r="V714" i="13"/>
  <c r="S714" i="13"/>
  <c r="P714" i="13"/>
  <c r="O714" i="13"/>
  <c r="L714" i="13"/>
  <c r="K714" i="13"/>
  <c r="V713" i="13"/>
  <c r="S713" i="13"/>
  <c r="P713" i="13"/>
  <c r="O713" i="13"/>
  <c r="L713" i="13"/>
  <c r="K713" i="13"/>
  <c r="V712" i="13"/>
  <c r="S712" i="13"/>
  <c r="P712" i="13"/>
  <c r="O712" i="13"/>
  <c r="L712" i="13"/>
  <c r="K712" i="13"/>
  <c r="V711" i="13"/>
  <c r="S711" i="13"/>
  <c r="P711" i="13"/>
  <c r="O711" i="13"/>
  <c r="L711" i="13"/>
  <c r="K711" i="13"/>
  <c r="V710" i="13"/>
  <c r="S710" i="13"/>
  <c r="P710" i="13"/>
  <c r="O710" i="13"/>
  <c r="L710" i="13"/>
  <c r="K710" i="13"/>
  <c r="V709" i="13"/>
  <c r="S709" i="13"/>
  <c r="P709" i="13"/>
  <c r="O709" i="13"/>
  <c r="L709" i="13"/>
  <c r="K709" i="13"/>
  <c r="V708" i="13"/>
  <c r="S708" i="13"/>
  <c r="P708" i="13"/>
  <c r="O708" i="13"/>
  <c r="L708" i="13"/>
  <c r="K708" i="13"/>
  <c r="V707" i="13"/>
  <c r="S707" i="13"/>
  <c r="P707" i="13"/>
  <c r="O707" i="13"/>
  <c r="L707" i="13"/>
  <c r="K707" i="13"/>
  <c r="V706" i="13"/>
  <c r="S706" i="13"/>
  <c r="P706" i="13"/>
  <c r="O706" i="13"/>
  <c r="L706" i="13"/>
  <c r="K706" i="13"/>
  <c r="V705" i="13"/>
  <c r="S705" i="13"/>
  <c r="P705" i="13"/>
  <c r="O705" i="13"/>
  <c r="L705" i="13"/>
  <c r="K705" i="13"/>
  <c r="V703" i="13"/>
  <c r="S703" i="13"/>
  <c r="P703" i="13"/>
  <c r="O703" i="13"/>
  <c r="L703" i="13"/>
  <c r="K703" i="13"/>
  <c r="V702" i="13"/>
  <c r="S702" i="13"/>
  <c r="P702" i="13"/>
  <c r="O702" i="13"/>
  <c r="L702" i="13"/>
  <c r="K702" i="13"/>
  <c r="V701" i="13"/>
  <c r="S701" i="13"/>
  <c r="P701" i="13"/>
  <c r="O701" i="13"/>
  <c r="L701" i="13"/>
  <c r="K701" i="13"/>
  <c r="V700" i="13"/>
  <c r="S700" i="13"/>
  <c r="P700" i="13"/>
  <c r="O700" i="13"/>
  <c r="L700" i="13"/>
  <c r="K700" i="13"/>
  <c r="V699" i="13"/>
  <c r="S699" i="13"/>
  <c r="P699" i="13"/>
  <c r="O699" i="13"/>
  <c r="L699" i="13"/>
  <c r="K699" i="13"/>
  <c r="V698" i="13"/>
  <c r="S698" i="13"/>
  <c r="P698" i="13"/>
  <c r="O698" i="13"/>
  <c r="L698" i="13"/>
  <c r="K698" i="13"/>
  <c r="V697" i="13"/>
  <c r="S697" i="13"/>
  <c r="P697" i="13"/>
  <c r="O697" i="13"/>
  <c r="L697" i="13"/>
  <c r="K697" i="13"/>
  <c r="V696" i="13"/>
  <c r="S696" i="13"/>
  <c r="P696" i="13"/>
  <c r="O696" i="13"/>
  <c r="L696" i="13"/>
  <c r="K696" i="13"/>
  <c r="V695" i="13"/>
  <c r="S695" i="13"/>
  <c r="P695" i="13"/>
  <c r="O695" i="13"/>
  <c r="L695" i="13"/>
  <c r="K695" i="13"/>
  <c r="V694" i="13"/>
  <c r="S694" i="13"/>
  <c r="P694" i="13"/>
  <c r="O694" i="13"/>
  <c r="L694" i="13"/>
  <c r="K694" i="13"/>
  <c r="V693" i="13"/>
  <c r="S693" i="13"/>
  <c r="P693" i="13"/>
  <c r="O693" i="13"/>
  <c r="L693" i="13"/>
  <c r="K693" i="13"/>
  <c r="V692" i="13"/>
  <c r="S692" i="13"/>
  <c r="P692" i="13"/>
  <c r="O692" i="13"/>
  <c r="L692" i="13"/>
  <c r="K692" i="13"/>
  <c r="V691" i="13"/>
  <c r="S691" i="13"/>
  <c r="P691" i="13"/>
  <c r="O691" i="13"/>
  <c r="L691" i="13"/>
  <c r="K691" i="13"/>
  <c r="V690" i="13"/>
  <c r="S690" i="13"/>
  <c r="P690" i="13"/>
  <c r="O690" i="13"/>
  <c r="L690" i="13"/>
  <c r="K690" i="13"/>
  <c r="V689" i="13"/>
  <c r="S689" i="13"/>
  <c r="P689" i="13"/>
  <c r="O689" i="13"/>
  <c r="L689" i="13"/>
  <c r="K689" i="13"/>
  <c r="V688" i="13"/>
  <c r="S688" i="13"/>
  <c r="P688" i="13"/>
  <c r="O688" i="13"/>
  <c r="L688" i="13"/>
  <c r="K688" i="13"/>
  <c r="V687" i="13"/>
  <c r="S687" i="13"/>
  <c r="P687" i="13"/>
  <c r="O687" i="13"/>
  <c r="L687" i="13"/>
  <c r="K687" i="13"/>
  <c r="V686" i="13"/>
  <c r="S686" i="13"/>
  <c r="P686" i="13"/>
  <c r="O686" i="13"/>
  <c r="L686" i="13"/>
  <c r="K686" i="13"/>
  <c r="V685" i="13"/>
  <c r="S685" i="13"/>
  <c r="P685" i="13"/>
  <c r="O685" i="13"/>
  <c r="L685" i="13"/>
  <c r="K685" i="13"/>
  <c r="V684" i="13"/>
  <c r="S684" i="13"/>
  <c r="P684" i="13"/>
  <c r="O684" i="13"/>
  <c r="L684" i="13"/>
  <c r="K684" i="13"/>
  <c r="V683" i="13"/>
  <c r="S683" i="13"/>
  <c r="P683" i="13"/>
  <c r="O683" i="13"/>
  <c r="L683" i="13"/>
  <c r="K683" i="13"/>
  <c r="V682" i="13"/>
  <c r="S682" i="13"/>
  <c r="P682" i="13"/>
  <c r="O682" i="13"/>
  <c r="L682" i="13"/>
  <c r="K682" i="13"/>
  <c r="V681" i="13"/>
  <c r="S681" i="13"/>
  <c r="P681" i="13"/>
  <c r="O681" i="13"/>
  <c r="L681" i="13"/>
  <c r="K681" i="13"/>
  <c r="V680" i="13"/>
  <c r="S680" i="13"/>
  <c r="P680" i="13"/>
  <c r="O680" i="13"/>
  <c r="L680" i="13"/>
  <c r="K680" i="13"/>
  <c r="V679" i="13"/>
  <c r="S679" i="13"/>
  <c r="P679" i="13"/>
  <c r="O679" i="13"/>
  <c r="L679" i="13"/>
  <c r="K679" i="13"/>
  <c r="V678" i="13"/>
  <c r="S678" i="13"/>
  <c r="P678" i="13"/>
  <c r="O678" i="13"/>
  <c r="L678" i="13"/>
  <c r="K678" i="13"/>
  <c r="V677" i="13"/>
  <c r="S677" i="13"/>
  <c r="P677" i="13"/>
  <c r="O677" i="13"/>
  <c r="L677" i="13"/>
  <c r="K677" i="13"/>
  <c r="V676" i="13"/>
  <c r="S676" i="13"/>
  <c r="P676" i="13"/>
  <c r="O676" i="13"/>
  <c r="L676" i="13"/>
  <c r="K676" i="13"/>
  <c r="V675" i="13"/>
  <c r="S675" i="13"/>
  <c r="P675" i="13"/>
  <c r="O675" i="13"/>
  <c r="L675" i="13"/>
  <c r="K675" i="13"/>
  <c r="V674" i="13"/>
  <c r="S674" i="13"/>
  <c r="P674" i="13"/>
  <c r="O674" i="13"/>
  <c r="L674" i="13"/>
  <c r="K674" i="13"/>
  <c r="V673" i="13"/>
  <c r="S673" i="13"/>
  <c r="P673" i="13"/>
  <c r="O673" i="13"/>
  <c r="L673" i="13"/>
  <c r="K673" i="13"/>
  <c r="V672" i="13"/>
  <c r="S672" i="13"/>
  <c r="P672" i="13"/>
  <c r="O672" i="13"/>
  <c r="L672" i="13"/>
  <c r="K672" i="13"/>
  <c r="V671" i="13"/>
  <c r="S671" i="13"/>
  <c r="P671" i="13"/>
  <c r="O671" i="13"/>
  <c r="L671" i="13"/>
  <c r="K671" i="13"/>
  <c r="V670" i="13"/>
  <c r="S670" i="13"/>
  <c r="P670" i="13"/>
  <c r="O670" i="13"/>
  <c r="L670" i="13"/>
  <c r="K670" i="13"/>
  <c r="V669" i="13"/>
  <c r="S669" i="13"/>
  <c r="P669" i="13"/>
  <c r="O669" i="13"/>
  <c r="L669" i="13"/>
  <c r="K669" i="13"/>
  <c r="V668" i="13"/>
  <c r="S668" i="13"/>
  <c r="P668" i="13"/>
  <c r="O668" i="13"/>
  <c r="L668" i="13"/>
  <c r="K668" i="13"/>
  <c r="V667" i="13"/>
  <c r="S667" i="13"/>
  <c r="P667" i="13"/>
  <c r="O667" i="13"/>
  <c r="L667" i="13"/>
  <c r="K667" i="13"/>
  <c r="V666" i="13"/>
  <c r="S666" i="13"/>
  <c r="P666" i="13"/>
  <c r="O666" i="13"/>
  <c r="L666" i="13"/>
  <c r="K666" i="13"/>
  <c r="V665" i="13"/>
  <c r="S665" i="13"/>
  <c r="P665" i="13"/>
  <c r="O665" i="13"/>
  <c r="L665" i="13"/>
  <c r="K665" i="13"/>
  <c r="V664" i="13"/>
  <c r="S664" i="13"/>
  <c r="P664" i="13"/>
  <c r="O664" i="13"/>
  <c r="L664" i="13"/>
  <c r="K664" i="13"/>
  <c r="V663" i="13"/>
  <c r="S663" i="13"/>
  <c r="P663" i="13"/>
  <c r="O663" i="13"/>
  <c r="L663" i="13"/>
  <c r="K663" i="13"/>
  <c r="V662" i="13"/>
  <c r="S662" i="13"/>
  <c r="P662" i="13"/>
  <c r="O662" i="13"/>
  <c r="L662" i="13"/>
  <c r="K662" i="13"/>
  <c r="V661" i="13"/>
  <c r="S661" i="13"/>
  <c r="P661" i="13"/>
  <c r="O661" i="13"/>
  <c r="L661" i="13"/>
  <c r="K661" i="13"/>
  <c r="V660" i="13"/>
  <c r="S660" i="13"/>
  <c r="P660" i="13"/>
  <c r="O660" i="13"/>
  <c r="L660" i="13"/>
  <c r="K660" i="13"/>
  <c r="V659" i="13"/>
  <c r="S659" i="13"/>
  <c r="P659" i="13"/>
  <c r="O659" i="13"/>
  <c r="L659" i="13"/>
  <c r="K659" i="13"/>
  <c r="V658" i="13"/>
  <c r="S658" i="13"/>
  <c r="P658" i="13"/>
  <c r="O658" i="13"/>
  <c r="L658" i="13"/>
  <c r="K658" i="13"/>
  <c r="V657" i="13"/>
  <c r="S657" i="13"/>
  <c r="P657" i="13"/>
  <c r="O657" i="13"/>
  <c r="L657" i="13"/>
  <c r="K657" i="13"/>
  <c r="V656" i="13"/>
  <c r="S656" i="13"/>
  <c r="P656" i="13"/>
  <c r="O656" i="13"/>
  <c r="L656" i="13"/>
  <c r="K656" i="13"/>
  <c r="V655" i="13"/>
  <c r="S655" i="13"/>
  <c r="P655" i="13"/>
  <c r="O655" i="13"/>
  <c r="L655" i="13"/>
  <c r="K655" i="13"/>
  <c r="V654" i="13"/>
  <c r="S654" i="13"/>
  <c r="P654" i="13"/>
  <c r="O654" i="13"/>
  <c r="L654" i="13"/>
  <c r="K654" i="13"/>
  <c r="V653" i="13"/>
  <c r="S653" i="13"/>
  <c r="P653" i="13"/>
  <c r="O653" i="13"/>
  <c r="L653" i="13"/>
  <c r="K653" i="13"/>
  <c r="V652" i="13"/>
  <c r="S652" i="13"/>
  <c r="P652" i="13"/>
  <c r="O652" i="13"/>
  <c r="L652" i="13"/>
  <c r="K652" i="13"/>
  <c r="V651" i="13"/>
  <c r="S651" i="13"/>
  <c r="P651" i="13"/>
  <c r="O651" i="13"/>
  <c r="L651" i="13"/>
  <c r="K651" i="13"/>
  <c r="V650" i="13"/>
  <c r="S650" i="13"/>
  <c r="P650" i="13"/>
  <c r="O650" i="13"/>
  <c r="L650" i="13"/>
  <c r="K650" i="13"/>
  <c r="V649" i="13"/>
  <c r="S649" i="13"/>
  <c r="P649" i="13"/>
  <c r="O649" i="13"/>
  <c r="L649" i="13"/>
  <c r="K649" i="13"/>
  <c r="V648" i="13"/>
  <c r="S648" i="13"/>
  <c r="P648" i="13"/>
  <c r="O648" i="13"/>
  <c r="L648" i="13"/>
  <c r="K648" i="13"/>
  <c r="V647" i="13"/>
  <c r="S647" i="13"/>
  <c r="P647" i="13"/>
  <c r="O647" i="13"/>
  <c r="L647" i="13"/>
  <c r="K647" i="13"/>
  <c r="V646" i="13"/>
  <c r="S646" i="13"/>
  <c r="P646" i="13"/>
  <c r="O646" i="13"/>
  <c r="L646" i="13"/>
  <c r="K646" i="13"/>
  <c r="V645" i="13"/>
  <c r="S645" i="13"/>
  <c r="P645" i="13"/>
  <c r="O645" i="13"/>
  <c r="L645" i="13"/>
  <c r="K645" i="13"/>
  <c r="V644" i="13"/>
  <c r="S644" i="13"/>
  <c r="P644" i="13"/>
  <c r="O644" i="13"/>
  <c r="L644" i="13"/>
  <c r="K644" i="13"/>
  <c r="V643" i="13"/>
  <c r="S643" i="13"/>
  <c r="P643" i="13"/>
  <c r="O643" i="13"/>
  <c r="L643" i="13"/>
  <c r="K643" i="13"/>
  <c r="V642" i="13"/>
  <c r="S642" i="13"/>
  <c r="P642" i="13"/>
  <c r="O642" i="13"/>
  <c r="L642" i="13"/>
  <c r="K642" i="13"/>
  <c r="V641" i="13"/>
  <c r="S641" i="13"/>
  <c r="P641" i="13"/>
  <c r="O641" i="13"/>
  <c r="L641" i="13"/>
  <c r="K641" i="13"/>
  <c r="V640" i="13"/>
  <c r="S640" i="13"/>
  <c r="P640" i="13"/>
  <c r="O640" i="13"/>
  <c r="L640" i="13"/>
  <c r="K640" i="13"/>
  <c r="V639" i="13"/>
  <c r="S639" i="13"/>
  <c r="P639" i="13"/>
  <c r="O639" i="13"/>
  <c r="L639" i="13"/>
  <c r="K639" i="13"/>
  <c r="V638" i="13"/>
  <c r="S638" i="13"/>
  <c r="P638" i="13"/>
  <c r="O638" i="13"/>
  <c r="L638" i="13"/>
  <c r="K638" i="13"/>
  <c r="V637" i="13"/>
  <c r="S637" i="13"/>
  <c r="P637" i="13"/>
  <c r="O637" i="13"/>
  <c r="L637" i="13"/>
  <c r="K637" i="13"/>
  <c r="V636" i="13"/>
  <c r="S636" i="13"/>
  <c r="P636" i="13"/>
  <c r="O636" i="13"/>
  <c r="L636" i="13"/>
  <c r="K636" i="13"/>
  <c r="V635" i="13"/>
  <c r="S635" i="13"/>
  <c r="P635" i="13"/>
  <c r="O635" i="13"/>
  <c r="L635" i="13"/>
  <c r="K635" i="13"/>
  <c r="V634" i="13"/>
  <c r="S634" i="13"/>
  <c r="P634" i="13"/>
  <c r="O634" i="13"/>
  <c r="L634" i="13"/>
  <c r="K634" i="13"/>
  <c r="V633" i="13"/>
  <c r="S633" i="13"/>
  <c r="P633" i="13"/>
  <c r="O633" i="13"/>
  <c r="L633" i="13"/>
  <c r="K633" i="13"/>
  <c r="V632" i="13"/>
  <c r="S632" i="13"/>
  <c r="P632" i="13"/>
  <c r="O632" i="13"/>
  <c r="L632" i="13"/>
  <c r="K632" i="13"/>
  <c r="V631" i="13"/>
  <c r="S631" i="13"/>
  <c r="P631" i="13"/>
  <c r="O631" i="13"/>
  <c r="L631" i="13"/>
  <c r="K631" i="13"/>
  <c r="V630" i="13"/>
  <c r="S630" i="13"/>
  <c r="P630" i="13"/>
  <c r="O630" i="13"/>
  <c r="L630" i="13"/>
  <c r="K630" i="13"/>
  <c r="V629" i="13"/>
  <c r="S629" i="13"/>
  <c r="P629" i="13"/>
  <c r="O629" i="13"/>
  <c r="L629" i="13"/>
  <c r="K629" i="13"/>
  <c r="V628" i="13"/>
  <c r="S628" i="13"/>
  <c r="P628" i="13"/>
  <c r="O628" i="13"/>
  <c r="L628" i="13"/>
  <c r="K628" i="13"/>
  <c r="V627" i="13"/>
  <c r="S627" i="13"/>
  <c r="P627" i="13"/>
  <c r="O627" i="13"/>
  <c r="L627" i="13"/>
  <c r="K627" i="13"/>
  <c r="V626" i="13"/>
  <c r="S626" i="13"/>
  <c r="P626" i="13"/>
  <c r="O626" i="13"/>
  <c r="L626" i="13"/>
  <c r="K626" i="13"/>
  <c r="V625" i="13"/>
  <c r="S625" i="13"/>
  <c r="P625" i="13"/>
  <c r="O625" i="13"/>
  <c r="L625" i="13"/>
  <c r="K625" i="13"/>
  <c r="V624" i="13"/>
  <c r="S624" i="13"/>
  <c r="P624" i="13"/>
  <c r="O624" i="13"/>
  <c r="L624" i="13"/>
  <c r="K624" i="13"/>
  <c r="V623" i="13"/>
  <c r="S623" i="13"/>
  <c r="P623" i="13"/>
  <c r="O623" i="13"/>
  <c r="L623" i="13"/>
  <c r="K623" i="13"/>
  <c r="V622" i="13"/>
  <c r="S622" i="13"/>
  <c r="P622" i="13"/>
  <c r="O622" i="13"/>
  <c r="L622" i="13"/>
  <c r="K622" i="13"/>
  <c r="V621" i="13"/>
  <c r="S621" i="13"/>
  <c r="P621" i="13"/>
  <c r="O621" i="13"/>
  <c r="L621" i="13"/>
  <c r="K621" i="13"/>
  <c r="V620" i="13"/>
  <c r="S620" i="13"/>
  <c r="P620" i="13"/>
  <c r="O620" i="13"/>
  <c r="L620" i="13"/>
  <c r="K620" i="13"/>
  <c r="V619" i="13"/>
  <c r="S619" i="13"/>
  <c r="P619" i="13"/>
  <c r="O619" i="13"/>
  <c r="L619" i="13"/>
  <c r="K619" i="13"/>
  <c r="V618" i="13"/>
  <c r="S618" i="13"/>
  <c r="P618" i="13"/>
  <c r="O618" i="13"/>
  <c r="L618" i="13"/>
  <c r="K618" i="13"/>
  <c r="V617" i="13"/>
  <c r="S617" i="13"/>
  <c r="P617" i="13"/>
  <c r="O617" i="13"/>
  <c r="L617" i="13"/>
  <c r="K617" i="13"/>
  <c r="V616" i="13"/>
  <c r="S616" i="13"/>
  <c r="P616" i="13"/>
  <c r="O616" i="13"/>
  <c r="L616" i="13"/>
  <c r="K616" i="13"/>
  <c r="V615" i="13"/>
  <c r="S615" i="13"/>
  <c r="P615" i="13"/>
  <c r="O615" i="13"/>
  <c r="L615" i="13"/>
  <c r="K615" i="13"/>
  <c r="V614" i="13"/>
  <c r="S614" i="13"/>
  <c r="P614" i="13"/>
  <c r="O614" i="13"/>
  <c r="L614" i="13"/>
  <c r="K614" i="13"/>
  <c r="V613" i="13"/>
  <c r="S613" i="13"/>
  <c r="P613" i="13"/>
  <c r="O613" i="13"/>
  <c r="L613" i="13"/>
  <c r="K613" i="13"/>
  <c r="V612" i="13"/>
  <c r="S612" i="13"/>
  <c r="P612" i="13"/>
  <c r="O612" i="13"/>
  <c r="L612" i="13"/>
  <c r="K612" i="13"/>
  <c r="V611" i="13"/>
  <c r="S611" i="13"/>
  <c r="P611" i="13"/>
  <c r="O611" i="13"/>
  <c r="L611" i="13"/>
  <c r="K611" i="13"/>
  <c r="V610" i="13"/>
  <c r="S610" i="13"/>
  <c r="P610" i="13"/>
  <c r="O610" i="13"/>
  <c r="L610" i="13"/>
  <c r="K610" i="13"/>
  <c r="V609" i="13"/>
  <c r="S609" i="13"/>
  <c r="P609" i="13"/>
  <c r="O609" i="13"/>
  <c r="L609" i="13"/>
  <c r="K609" i="13"/>
  <c r="V608" i="13"/>
  <c r="S608" i="13"/>
  <c r="P608" i="13"/>
  <c r="O608" i="13"/>
  <c r="L608" i="13"/>
  <c r="K608" i="13"/>
  <c r="V607" i="13"/>
  <c r="S607" i="13"/>
  <c r="P607" i="13"/>
  <c r="O607" i="13"/>
  <c r="L607" i="13"/>
  <c r="K607" i="13"/>
  <c r="V606" i="13"/>
  <c r="S606" i="13"/>
  <c r="P606" i="13"/>
  <c r="O606" i="13"/>
  <c r="L606" i="13"/>
  <c r="K606" i="13"/>
  <c r="V605" i="13"/>
  <c r="S605" i="13"/>
  <c r="P605" i="13"/>
  <c r="O605" i="13"/>
  <c r="L605" i="13"/>
  <c r="K605" i="13"/>
  <c r="V604" i="13"/>
  <c r="S604" i="13"/>
  <c r="P604" i="13"/>
  <c r="O604" i="13"/>
  <c r="L604" i="13"/>
  <c r="K604" i="13"/>
  <c r="V603" i="13"/>
  <c r="S603" i="13"/>
  <c r="P603" i="13"/>
  <c r="O603" i="13"/>
  <c r="L603" i="13"/>
  <c r="K603" i="13"/>
  <c r="V602" i="13"/>
  <c r="S602" i="13"/>
  <c r="P602" i="13"/>
  <c r="O602" i="13"/>
  <c r="L602" i="13"/>
  <c r="K602" i="13"/>
  <c r="V601" i="13"/>
  <c r="S601" i="13"/>
  <c r="P601" i="13"/>
  <c r="O601" i="13"/>
  <c r="L601" i="13"/>
  <c r="K601" i="13"/>
  <c r="V600" i="13"/>
  <c r="S600" i="13"/>
  <c r="P600" i="13"/>
  <c r="O600" i="13"/>
  <c r="L600" i="13"/>
  <c r="K600" i="13"/>
  <c r="V599" i="13"/>
  <c r="S599" i="13"/>
  <c r="P599" i="13"/>
  <c r="O599" i="13"/>
  <c r="L599" i="13"/>
  <c r="K599" i="13"/>
  <c r="V598" i="13"/>
  <c r="S598" i="13"/>
  <c r="P598" i="13"/>
  <c r="O598" i="13"/>
  <c r="L598" i="13"/>
  <c r="K598" i="13"/>
  <c r="V597" i="13"/>
  <c r="S597" i="13"/>
  <c r="P597" i="13"/>
  <c r="O597" i="13"/>
  <c r="L597" i="13"/>
  <c r="K597" i="13"/>
  <c r="V596" i="13"/>
  <c r="S596" i="13"/>
  <c r="P596" i="13"/>
  <c r="O596" i="13"/>
  <c r="L596" i="13"/>
  <c r="K596" i="13"/>
  <c r="V595" i="13"/>
  <c r="S595" i="13"/>
  <c r="P595" i="13"/>
  <c r="O595" i="13"/>
  <c r="L595" i="13"/>
  <c r="K595" i="13"/>
  <c r="V594" i="13"/>
  <c r="S594" i="13"/>
  <c r="P594" i="13"/>
  <c r="O594" i="13"/>
  <c r="L594" i="13"/>
  <c r="K594" i="13"/>
  <c r="V593" i="13"/>
  <c r="S593" i="13"/>
  <c r="P593" i="13"/>
  <c r="O593" i="13"/>
  <c r="L593" i="13"/>
  <c r="K593" i="13"/>
  <c r="V592" i="13"/>
  <c r="S592" i="13"/>
  <c r="P592" i="13"/>
  <c r="O592" i="13"/>
  <c r="L592" i="13"/>
  <c r="K592" i="13"/>
  <c r="V591" i="13"/>
  <c r="S591" i="13"/>
  <c r="P591" i="13"/>
  <c r="O591" i="13"/>
  <c r="L591" i="13"/>
  <c r="K591" i="13"/>
  <c r="V590" i="13"/>
  <c r="S590" i="13"/>
  <c r="P590" i="13"/>
  <c r="O590" i="13"/>
  <c r="L590" i="13"/>
  <c r="K590" i="13"/>
  <c r="V589" i="13"/>
  <c r="S589" i="13"/>
  <c r="P589" i="13"/>
  <c r="O589" i="13"/>
  <c r="L589" i="13"/>
  <c r="K589" i="13"/>
  <c r="V588" i="13"/>
  <c r="S588" i="13"/>
  <c r="P588" i="13"/>
  <c r="O588" i="13"/>
  <c r="L588" i="13"/>
  <c r="K588" i="13"/>
  <c r="V587" i="13"/>
  <c r="S587" i="13"/>
  <c r="P587" i="13"/>
  <c r="O587" i="13"/>
  <c r="L587" i="13"/>
  <c r="K587" i="13"/>
  <c r="V586" i="13"/>
  <c r="S586" i="13"/>
  <c r="P586" i="13"/>
  <c r="O586" i="13"/>
  <c r="L586" i="13"/>
  <c r="K586" i="13"/>
  <c r="V585" i="13"/>
  <c r="S585" i="13"/>
  <c r="P585" i="13"/>
  <c r="O585" i="13"/>
  <c r="L585" i="13"/>
  <c r="K585" i="13"/>
  <c r="V584" i="13"/>
  <c r="S584" i="13"/>
  <c r="P584" i="13"/>
  <c r="O584" i="13"/>
  <c r="L584" i="13"/>
  <c r="K584" i="13"/>
  <c r="V583" i="13"/>
  <c r="S583" i="13"/>
  <c r="P583" i="13"/>
  <c r="O583" i="13"/>
  <c r="L583" i="13"/>
  <c r="K583" i="13"/>
  <c r="V582" i="13"/>
  <c r="S582" i="13"/>
  <c r="P582" i="13"/>
  <c r="O582" i="13"/>
  <c r="L582" i="13"/>
  <c r="K582" i="13"/>
  <c r="V581" i="13"/>
  <c r="S581" i="13"/>
  <c r="P581" i="13"/>
  <c r="O581" i="13"/>
  <c r="L581" i="13"/>
  <c r="K581" i="13"/>
  <c r="V580" i="13"/>
  <c r="S580" i="13"/>
  <c r="P580" i="13"/>
  <c r="O580" i="13"/>
  <c r="L580" i="13"/>
  <c r="K580" i="13"/>
  <c r="V579" i="13"/>
  <c r="S579" i="13"/>
  <c r="P579" i="13"/>
  <c r="O579" i="13"/>
  <c r="L579" i="13"/>
  <c r="K579" i="13"/>
  <c r="V578" i="13"/>
  <c r="S578" i="13"/>
  <c r="P578" i="13"/>
  <c r="O578" i="13"/>
  <c r="L578" i="13"/>
  <c r="K578" i="13"/>
  <c r="V577" i="13"/>
  <c r="S577" i="13"/>
  <c r="P577" i="13"/>
  <c r="O577" i="13"/>
  <c r="L577" i="13"/>
  <c r="K577" i="13"/>
  <c r="V576" i="13"/>
  <c r="S576" i="13"/>
  <c r="P576" i="13"/>
  <c r="O576" i="13"/>
  <c r="L576" i="13"/>
  <c r="K576" i="13"/>
  <c r="V575" i="13"/>
  <c r="S575" i="13"/>
  <c r="P575" i="13"/>
  <c r="O575" i="13"/>
  <c r="L575" i="13"/>
  <c r="K575" i="13"/>
  <c r="V574" i="13"/>
  <c r="S574" i="13"/>
  <c r="P574" i="13"/>
  <c r="O574" i="13"/>
  <c r="V573" i="13"/>
  <c r="S573" i="13"/>
  <c r="P573" i="13"/>
  <c r="O573" i="13"/>
  <c r="L573" i="13"/>
  <c r="K573" i="13"/>
  <c r="V572" i="13"/>
  <c r="S572" i="13"/>
  <c r="P572" i="13"/>
  <c r="O572" i="13"/>
  <c r="L572" i="13"/>
  <c r="K572" i="13"/>
  <c r="V571" i="13"/>
  <c r="S571" i="13"/>
  <c r="P571" i="13"/>
  <c r="O571" i="13"/>
  <c r="L571" i="13"/>
  <c r="K571" i="13"/>
  <c r="V570" i="13"/>
  <c r="S570" i="13"/>
  <c r="P570" i="13"/>
  <c r="O570" i="13"/>
  <c r="V569" i="13"/>
  <c r="S569" i="13"/>
  <c r="P569" i="13"/>
  <c r="O569" i="13"/>
  <c r="V568" i="13"/>
  <c r="S568" i="13"/>
  <c r="P568" i="13"/>
  <c r="O568" i="13"/>
  <c r="L568" i="13"/>
  <c r="K568" i="13"/>
  <c r="V567" i="13"/>
  <c r="S567" i="13"/>
  <c r="P567" i="13"/>
  <c r="O567" i="13"/>
  <c r="L567" i="13"/>
  <c r="K567" i="13"/>
  <c r="V566" i="13"/>
  <c r="S566" i="13"/>
  <c r="P566" i="13"/>
  <c r="O566" i="13"/>
  <c r="L566" i="13"/>
  <c r="K566" i="13"/>
  <c r="V565" i="13"/>
  <c r="S565" i="13"/>
  <c r="P565" i="13"/>
  <c r="O565" i="13"/>
  <c r="L565" i="13"/>
  <c r="K565" i="13"/>
  <c r="H565" i="13"/>
  <c r="V564" i="13"/>
  <c r="S564" i="13"/>
  <c r="P564" i="13"/>
  <c r="O564" i="13"/>
  <c r="L564" i="13"/>
  <c r="K564" i="13"/>
  <c r="V563" i="13"/>
  <c r="S563" i="13"/>
  <c r="P563" i="13"/>
  <c r="O563" i="13"/>
  <c r="L563" i="13"/>
  <c r="K563" i="13"/>
  <c r="V562" i="13"/>
  <c r="S562" i="13"/>
  <c r="P562" i="13"/>
  <c r="O562" i="13"/>
  <c r="L562" i="13"/>
  <c r="K562" i="13"/>
  <c r="V561" i="13"/>
  <c r="S561" i="13"/>
  <c r="P561" i="13"/>
  <c r="O561" i="13"/>
  <c r="L561" i="13"/>
  <c r="K561" i="13"/>
  <c r="V560" i="13"/>
  <c r="S560" i="13"/>
  <c r="P560" i="13"/>
  <c r="O560" i="13"/>
  <c r="L560" i="13"/>
  <c r="K560" i="13"/>
  <c r="V559" i="13"/>
  <c r="S559" i="13"/>
  <c r="P559" i="13"/>
  <c r="O559" i="13"/>
  <c r="L559" i="13"/>
  <c r="K559" i="13"/>
  <c r="V558" i="13"/>
  <c r="S558" i="13"/>
  <c r="P558" i="13"/>
  <c r="O558" i="13"/>
  <c r="L558" i="13"/>
  <c r="K558" i="13"/>
  <c r="V557" i="13"/>
  <c r="S557" i="13"/>
  <c r="P557" i="13"/>
  <c r="O557" i="13"/>
  <c r="L557" i="13"/>
  <c r="K557" i="13"/>
  <c r="W556" i="13" a="1"/>
  <c r="W556" i="13" s="1"/>
  <c r="W555" i="13" a="1"/>
  <c r="W555" i="13" s="1"/>
  <c r="W554" i="13" a="1"/>
  <c r="W554" i="13" s="1"/>
  <c r="I553" i="13"/>
  <c r="G553" i="13"/>
  <c r="F553" i="13"/>
  <c r="W552" i="13" a="1"/>
  <c r="W552" i="13" s="1"/>
  <c r="W551" i="13" a="1"/>
  <c r="W551" i="13" s="1"/>
  <c r="V549" i="13"/>
  <c r="S549" i="13"/>
  <c r="P549" i="13"/>
  <c r="O549" i="13"/>
  <c r="L549" i="13"/>
  <c r="K549" i="13"/>
  <c r="J553" i="13"/>
  <c r="A549" i="13"/>
  <c r="V548" i="13"/>
  <c r="S548" i="13"/>
  <c r="P548" i="13"/>
  <c r="O548" i="13"/>
  <c r="L548" i="13"/>
  <c r="K548" i="13"/>
  <c r="H548" i="13"/>
  <c r="V547" i="13"/>
  <c r="S547" i="13"/>
  <c r="P547" i="13"/>
  <c r="O547" i="13"/>
  <c r="L547" i="13"/>
  <c r="K547" i="13"/>
  <c r="V546" i="13"/>
  <c r="S546" i="13"/>
  <c r="P546" i="13"/>
  <c r="O546" i="13"/>
  <c r="L546" i="13"/>
  <c r="K546" i="13"/>
  <c r="V545" i="13"/>
  <c r="S545" i="13"/>
  <c r="P545" i="13"/>
  <c r="O545" i="13"/>
  <c r="L545" i="13"/>
  <c r="K545" i="13"/>
  <c r="V544" i="13"/>
  <c r="S544" i="13"/>
  <c r="P544" i="13"/>
  <c r="O544" i="13"/>
  <c r="L544" i="13"/>
  <c r="K544" i="13"/>
  <c r="V543" i="13"/>
  <c r="S543" i="13"/>
  <c r="P543" i="13"/>
  <c r="O543" i="13"/>
  <c r="L543" i="13"/>
  <c r="K543" i="13"/>
  <c r="V542" i="13"/>
  <c r="S542" i="13"/>
  <c r="P542" i="13"/>
  <c r="O542" i="13"/>
  <c r="L542" i="13"/>
  <c r="K542" i="13"/>
  <c r="V541" i="13"/>
  <c r="S541" i="13"/>
  <c r="P541" i="13"/>
  <c r="O541" i="13"/>
  <c r="L541" i="13"/>
  <c r="K541" i="13"/>
  <c r="V540" i="13"/>
  <c r="S540" i="13"/>
  <c r="P540" i="13"/>
  <c r="O540" i="13"/>
  <c r="L540" i="13"/>
  <c r="K540" i="13"/>
  <c r="W539" i="13" a="1"/>
  <c r="W539" i="13" s="1"/>
  <c r="W538" i="13" a="1"/>
  <c r="W538" i="13" s="1"/>
  <c r="W537" i="13" a="1"/>
  <c r="W537" i="13" s="1"/>
  <c r="J536" i="13"/>
  <c r="I536" i="13"/>
  <c r="G536" i="13"/>
  <c r="F536" i="13"/>
  <c r="W535" i="13" a="1"/>
  <c r="W535" i="13" s="1"/>
  <c r="W534" i="13" a="1"/>
  <c r="W534" i="13" s="1"/>
  <c r="W533" i="13" a="1"/>
  <c r="W533" i="13" s="1"/>
  <c r="V532" i="13"/>
  <c r="S532" i="13"/>
  <c r="P532" i="13"/>
  <c r="O532" i="13"/>
  <c r="L532" i="13"/>
  <c r="K532" i="13"/>
  <c r="V531" i="13"/>
  <c r="S531" i="13"/>
  <c r="P531" i="13"/>
  <c r="O531" i="13"/>
  <c r="L531" i="13"/>
  <c r="K531" i="13"/>
  <c r="V530" i="13"/>
  <c r="S530" i="13"/>
  <c r="P530" i="13"/>
  <c r="O530" i="13"/>
  <c r="L530" i="13"/>
  <c r="K530" i="13"/>
  <c r="V529" i="13"/>
  <c r="S529" i="13"/>
  <c r="P529" i="13"/>
  <c r="O529" i="13"/>
  <c r="L529" i="13"/>
  <c r="K529" i="13"/>
  <c r="V528" i="13"/>
  <c r="S528" i="13"/>
  <c r="P528" i="13"/>
  <c r="O528" i="13"/>
  <c r="L528" i="13"/>
  <c r="K528" i="13"/>
  <c r="V527" i="13"/>
  <c r="S527" i="13"/>
  <c r="P527" i="13"/>
  <c r="O527" i="13"/>
  <c r="L527" i="13"/>
  <c r="K527" i="13"/>
  <c r="V526" i="13"/>
  <c r="S526" i="13"/>
  <c r="P526" i="13"/>
  <c r="O526" i="13"/>
  <c r="L526" i="13"/>
  <c r="K526" i="13"/>
  <c r="V525" i="13"/>
  <c r="S525" i="13"/>
  <c r="P525" i="13"/>
  <c r="O525" i="13"/>
  <c r="L525" i="13"/>
  <c r="K525" i="13"/>
  <c r="V524" i="13"/>
  <c r="S524" i="13"/>
  <c r="P524" i="13"/>
  <c r="O524" i="13"/>
  <c r="L524" i="13"/>
  <c r="K524" i="13"/>
  <c r="V523" i="13"/>
  <c r="S523" i="13"/>
  <c r="P523" i="13"/>
  <c r="O523" i="13"/>
  <c r="L523" i="13"/>
  <c r="K523" i="13"/>
  <c r="V522" i="13"/>
  <c r="S522" i="13"/>
  <c r="P522" i="13"/>
  <c r="O522" i="13"/>
  <c r="L522" i="13"/>
  <c r="K522" i="13"/>
  <c r="V521" i="13"/>
  <c r="S521" i="13"/>
  <c r="P521" i="13"/>
  <c r="O521" i="13"/>
  <c r="L521" i="13"/>
  <c r="K521" i="13"/>
  <c r="V520" i="13"/>
  <c r="S520" i="13"/>
  <c r="P520" i="13"/>
  <c r="O520" i="13"/>
  <c r="L520" i="13"/>
  <c r="K520" i="13"/>
  <c r="V519" i="13"/>
  <c r="S519" i="13"/>
  <c r="P519" i="13"/>
  <c r="O519" i="13"/>
  <c r="L519" i="13"/>
  <c r="K519" i="13"/>
  <c r="V518" i="13"/>
  <c r="S518" i="13"/>
  <c r="P518" i="13"/>
  <c r="O518" i="13"/>
  <c r="L518" i="13"/>
  <c r="K518" i="13"/>
  <c r="V517" i="13"/>
  <c r="S517" i="13"/>
  <c r="P517" i="13"/>
  <c r="O517" i="13"/>
  <c r="L517" i="13"/>
  <c r="K517" i="13"/>
  <c r="V516" i="13"/>
  <c r="S516" i="13"/>
  <c r="P516" i="13"/>
  <c r="O516" i="13"/>
  <c r="L516" i="13"/>
  <c r="K516" i="13"/>
  <c r="V515" i="13"/>
  <c r="S515" i="13"/>
  <c r="P515" i="13"/>
  <c r="O515" i="13"/>
  <c r="L515" i="13"/>
  <c r="K515" i="13"/>
  <c r="V514" i="13"/>
  <c r="S514" i="13"/>
  <c r="P514" i="13"/>
  <c r="O514" i="13"/>
  <c r="L514" i="13"/>
  <c r="K514" i="13"/>
  <c r="V513" i="13"/>
  <c r="S513" i="13"/>
  <c r="P513" i="13"/>
  <c r="O513" i="13"/>
  <c r="L513" i="13"/>
  <c r="K513" i="13"/>
  <c r="V512" i="13"/>
  <c r="S512" i="13"/>
  <c r="P512" i="13"/>
  <c r="O512" i="13"/>
  <c r="L512" i="13"/>
  <c r="K512" i="13"/>
  <c r="V511" i="13"/>
  <c r="S511" i="13"/>
  <c r="P511" i="13"/>
  <c r="O511" i="13"/>
  <c r="L511" i="13"/>
  <c r="K511" i="13"/>
  <c r="V510" i="13"/>
  <c r="S510" i="13"/>
  <c r="P510" i="13"/>
  <c r="O510" i="13"/>
  <c r="L510" i="13"/>
  <c r="K510" i="13"/>
  <c r="V509" i="13"/>
  <c r="S509" i="13"/>
  <c r="P509" i="13"/>
  <c r="O509" i="13"/>
  <c r="L509" i="13"/>
  <c r="K509" i="13"/>
  <c r="V508" i="13"/>
  <c r="S508" i="13"/>
  <c r="P508" i="13"/>
  <c r="O508" i="13"/>
  <c r="L508" i="13"/>
  <c r="K508" i="13"/>
  <c r="V507" i="13"/>
  <c r="S507" i="13"/>
  <c r="P507" i="13"/>
  <c r="O507" i="13"/>
  <c r="L507" i="13"/>
  <c r="K507" i="13"/>
  <c r="V506" i="13"/>
  <c r="S506" i="13"/>
  <c r="P506" i="13"/>
  <c r="O506" i="13"/>
  <c r="L506" i="13"/>
  <c r="K506" i="13"/>
  <c r="V505" i="13"/>
  <c r="S505" i="13"/>
  <c r="P505" i="13"/>
  <c r="O505" i="13"/>
  <c r="L505" i="13"/>
  <c r="K505" i="13"/>
  <c r="V504" i="13"/>
  <c r="S504" i="13"/>
  <c r="P504" i="13"/>
  <c r="O504" i="13"/>
  <c r="L504" i="13"/>
  <c r="K504" i="13"/>
  <c r="V503" i="13"/>
  <c r="S503" i="13"/>
  <c r="P503" i="13"/>
  <c r="O503" i="13"/>
  <c r="L503" i="13"/>
  <c r="K503" i="13"/>
  <c r="V502" i="13"/>
  <c r="S502" i="13"/>
  <c r="P502" i="13"/>
  <c r="O502" i="13"/>
  <c r="L502" i="13"/>
  <c r="K502" i="13"/>
  <c r="V501" i="13"/>
  <c r="S501" i="13"/>
  <c r="P501" i="13"/>
  <c r="O501" i="13"/>
  <c r="L501" i="13"/>
  <c r="K501" i="13"/>
  <c r="V500" i="13"/>
  <c r="S500" i="13"/>
  <c r="P500" i="13"/>
  <c r="O500" i="13"/>
  <c r="L500" i="13"/>
  <c r="K500" i="13"/>
  <c r="V499" i="13"/>
  <c r="S499" i="13"/>
  <c r="P499" i="13"/>
  <c r="O499" i="13"/>
  <c r="L499" i="13"/>
  <c r="K499" i="13"/>
  <c r="V498" i="13"/>
  <c r="S498" i="13"/>
  <c r="P498" i="13"/>
  <c r="O498" i="13"/>
  <c r="L498" i="13"/>
  <c r="K498" i="13"/>
  <c r="V497" i="13"/>
  <c r="S497" i="13"/>
  <c r="P497" i="13"/>
  <c r="O497" i="13"/>
  <c r="L497" i="13"/>
  <c r="K497" i="13"/>
  <c r="V496" i="13"/>
  <c r="S496" i="13"/>
  <c r="P496" i="13"/>
  <c r="O496" i="13"/>
  <c r="L496" i="13"/>
  <c r="K496" i="13"/>
  <c r="V495" i="13"/>
  <c r="S495" i="13"/>
  <c r="P495" i="13"/>
  <c r="O495" i="13"/>
  <c r="L495" i="13"/>
  <c r="K495" i="13"/>
  <c r="V494" i="13"/>
  <c r="S494" i="13"/>
  <c r="P494" i="13"/>
  <c r="O494" i="13"/>
  <c r="L494" i="13"/>
  <c r="K494" i="13"/>
  <c r="V493" i="13"/>
  <c r="S493" i="13"/>
  <c r="P493" i="13"/>
  <c r="O493" i="13"/>
  <c r="L493" i="13"/>
  <c r="K493" i="13"/>
  <c r="V492" i="13"/>
  <c r="S492" i="13"/>
  <c r="P492" i="13"/>
  <c r="O492" i="13"/>
  <c r="L492" i="13"/>
  <c r="K492" i="13"/>
  <c r="V491" i="13"/>
  <c r="S491" i="13"/>
  <c r="P491" i="13"/>
  <c r="O491" i="13"/>
  <c r="L491" i="13"/>
  <c r="K491" i="13"/>
  <c r="V490" i="13"/>
  <c r="S490" i="13"/>
  <c r="P490" i="13"/>
  <c r="O490" i="13"/>
  <c r="L490" i="13"/>
  <c r="K490" i="13"/>
  <c r="V489" i="13"/>
  <c r="S489" i="13"/>
  <c r="P489" i="13"/>
  <c r="O489" i="13"/>
  <c r="L489" i="13"/>
  <c r="K489" i="13"/>
  <c r="V488" i="13"/>
  <c r="S488" i="13"/>
  <c r="P488" i="13"/>
  <c r="O488" i="13"/>
  <c r="L488" i="13"/>
  <c r="K488" i="13"/>
  <c r="V487" i="13"/>
  <c r="S487" i="13"/>
  <c r="P487" i="13"/>
  <c r="O487" i="13"/>
  <c r="L487" i="13"/>
  <c r="K487" i="13"/>
  <c r="V486" i="13"/>
  <c r="S486" i="13"/>
  <c r="P486" i="13"/>
  <c r="O486" i="13"/>
  <c r="L486" i="13"/>
  <c r="K486" i="13"/>
  <c r="V485" i="13"/>
  <c r="S485" i="13"/>
  <c r="P485" i="13"/>
  <c r="O485" i="13"/>
  <c r="L485" i="13"/>
  <c r="K485" i="13"/>
  <c r="V484" i="13"/>
  <c r="S484" i="13"/>
  <c r="P484" i="13"/>
  <c r="O484" i="13"/>
  <c r="L484" i="13"/>
  <c r="K484" i="13"/>
  <c r="V483" i="13"/>
  <c r="S483" i="13"/>
  <c r="P483" i="13"/>
  <c r="O483" i="13"/>
  <c r="L483" i="13"/>
  <c r="K483" i="13"/>
  <c r="V482" i="13"/>
  <c r="S482" i="13"/>
  <c r="P482" i="13"/>
  <c r="O482" i="13"/>
  <c r="L482" i="13"/>
  <c r="K482" i="13"/>
  <c r="V481" i="13"/>
  <c r="S481" i="13"/>
  <c r="P481" i="13"/>
  <c r="O481" i="13"/>
  <c r="L481" i="13"/>
  <c r="K481" i="13"/>
  <c r="V480" i="13"/>
  <c r="S480" i="13"/>
  <c r="P480" i="13"/>
  <c r="O480" i="13"/>
  <c r="L480" i="13"/>
  <c r="K480" i="13"/>
  <c r="V479" i="13"/>
  <c r="S479" i="13"/>
  <c r="P479" i="13"/>
  <c r="O479" i="13"/>
  <c r="L479" i="13"/>
  <c r="K479" i="13"/>
  <c r="V478" i="13"/>
  <c r="S478" i="13"/>
  <c r="P478" i="13"/>
  <c r="O478" i="13"/>
  <c r="L478" i="13"/>
  <c r="K478" i="13"/>
  <c r="V477" i="13"/>
  <c r="S477" i="13"/>
  <c r="P477" i="13"/>
  <c r="O477" i="13"/>
  <c r="L477" i="13"/>
  <c r="K477" i="13"/>
  <c r="V476" i="13"/>
  <c r="S476" i="13"/>
  <c r="P476" i="13"/>
  <c r="O476" i="13"/>
  <c r="L476" i="13"/>
  <c r="K476" i="13"/>
  <c r="V475" i="13"/>
  <c r="S475" i="13"/>
  <c r="P475" i="13"/>
  <c r="O475" i="13"/>
  <c r="L475" i="13"/>
  <c r="K475" i="13"/>
  <c r="V474" i="13"/>
  <c r="S474" i="13"/>
  <c r="P474" i="13"/>
  <c r="O474" i="13"/>
  <c r="L474" i="13"/>
  <c r="K474" i="13"/>
  <c r="V473" i="13"/>
  <c r="S473" i="13"/>
  <c r="P473" i="13"/>
  <c r="O473" i="13"/>
  <c r="L473" i="13"/>
  <c r="K473" i="13"/>
  <c r="V472" i="13"/>
  <c r="S472" i="13"/>
  <c r="P472" i="13"/>
  <c r="O472" i="13"/>
  <c r="L472" i="13"/>
  <c r="K472" i="13"/>
  <c r="V471" i="13"/>
  <c r="S471" i="13"/>
  <c r="P471" i="13"/>
  <c r="O471" i="13"/>
  <c r="L471" i="13"/>
  <c r="K471" i="13"/>
  <c r="V470" i="13"/>
  <c r="S470" i="13"/>
  <c r="P470" i="13"/>
  <c r="O470" i="13"/>
  <c r="L470" i="13"/>
  <c r="K470" i="13"/>
  <c r="V469" i="13"/>
  <c r="S469" i="13"/>
  <c r="P469" i="13"/>
  <c r="O469" i="13"/>
  <c r="L469" i="13"/>
  <c r="K469" i="13"/>
  <c r="V468" i="13"/>
  <c r="S468" i="13"/>
  <c r="P468" i="13"/>
  <c r="O468" i="13"/>
  <c r="L468" i="13"/>
  <c r="K468" i="13"/>
  <c r="V467" i="13"/>
  <c r="S467" i="13"/>
  <c r="P467" i="13"/>
  <c r="O467" i="13"/>
  <c r="L467" i="13"/>
  <c r="K467" i="13"/>
  <c r="V466" i="13"/>
  <c r="S466" i="13"/>
  <c r="P466" i="13"/>
  <c r="O466" i="13"/>
  <c r="L466" i="13"/>
  <c r="K466" i="13"/>
  <c r="V465" i="13"/>
  <c r="S465" i="13"/>
  <c r="P465" i="13"/>
  <c r="O465" i="13"/>
  <c r="L465" i="13"/>
  <c r="K465" i="13"/>
  <c r="V464" i="13"/>
  <c r="S464" i="13"/>
  <c r="P464" i="13"/>
  <c r="O464" i="13"/>
  <c r="L464" i="13"/>
  <c r="K464" i="13"/>
  <c r="V463" i="13"/>
  <c r="S463" i="13"/>
  <c r="P463" i="13"/>
  <c r="O463" i="13"/>
  <c r="L463" i="13"/>
  <c r="K463" i="13"/>
  <c r="V462" i="13"/>
  <c r="S462" i="13"/>
  <c r="P462" i="13"/>
  <c r="O462" i="13"/>
  <c r="L462" i="13"/>
  <c r="K462" i="13"/>
  <c r="V461" i="13"/>
  <c r="S461" i="13"/>
  <c r="P461" i="13"/>
  <c r="O461" i="13"/>
  <c r="L461" i="13"/>
  <c r="K461" i="13"/>
  <c r="V460" i="13"/>
  <c r="S460" i="13"/>
  <c r="P460" i="13"/>
  <c r="O460" i="13"/>
  <c r="L460" i="13"/>
  <c r="K460" i="13"/>
  <c r="V459" i="13"/>
  <c r="S459" i="13"/>
  <c r="P459" i="13"/>
  <c r="O459" i="13"/>
  <c r="L459" i="13"/>
  <c r="K459" i="13"/>
  <c r="V458" i="13"/>
  <c r="S458" i="13"/>
  <c r="P458" i="13"/>
  <c r="O458" i="13"/>
  <c r="L458" i="13"/>
  <c r="K458" i="13"/>
  <c r="V457" i="13"/>
  <c r="S457" i="13"/>
  <c r="P457" i="13"/>
  <c r="O457" i="13"/>
  <c r="L457" i="13"/>
  <c r="K457" i="13"/>
  <c r="V456" i="13"/>
  <c r="S456" i="13"/>
  <c r="P456" i="13"/>
  <c r="O456" i="13"/>
  <c r="L456" i="13"/>
  <c r="K456" i="13"/>
  <c r="V455" i="13"/>
  <c r="S455" i="13"/>
  <c r="P455" i="13"/>
  <c r="O455" i="13"/>
  <c r="L455" i="13"/>
  <c r="K455" i="13"/>
  <c r="V454" i="13"/>
  <c r="S454" i="13"/>
  <c r="P454" i="13"/>
  <c r="O454" i="13"/>
  <c r="L454" i="13"/>
  <c r="K454" i="13"/>
  <c r="V453" i="13"/>
  <c r="S453" i="13"/>
  <c r="P453" i="13"/>
  <c r="O453" i="13"/>
  <c r="L453" i="13"/>
  <c r="K453" i="13"/>
  <c r="V452" i="13"/>
  <c r="S452" i="13"/>
  <c r="P452" i="13"/>
  <c r="O452" i="13"/>
  <c r="L452" i="13"/>
  <c r="K452" i="13"/>
  <c r="V451" i="13"/>
  <c r="S451" i="13"/>
  <c r="P451" i="13"/>
  <c r="O451" i="13"/>
  <c r="L451" i="13"/>
  <c r="K451" i="13"/>
  <c r="V450" i="13"/>
  <c r="S450" i="13"/>
  <c r="P450" i="13"/>
  <c r="O450" i="13"/>
  <c r="L450" i="13"/>
  <c r="K450" i="13"/>
  <c r="V449" i="13"/>
  <c r="S449" i="13"/>
  <c r="P449" i="13"/>
  <c r="O449" i="13"/>
  <c r="L449" i="13"/>
  <c r="K449" i="13"/>
  <c r="V448" i="13"/>
  <c r="S448" i="13"/>
  <c r="P448" i="13"/>
  <c r="O448" i="13"/>
  <c r="L448" i="13"/>
  <c r="K448" i="13"/>
  <c r="V447" i="13"/>
  <c r="S447" i="13"/>
  <c r="P447" i="13"/>
  <c r="O447" i="13"/>
  <c r="L447" i="13"/>
  <c r="K447" i="13"/>
  <c r="V446" i="13"/>
  <c r="S446" i="13"/>
  <c r="P446" i="13"/>
  <c r="O446" i="13"/>
  <c r="L446" i="13"/>
  <c r="K446" i="13"/>
  <c r="V445" i="13"/>
  <c r="S445" i="13"/>
  <c r="P445" i="13"/>
  <c r="O445" i="13"/>
  <c r="L445" i="13"/>
  <c r="K445" i="13"/>
  <c r="V444" i="13"/>
  <c r="S444" i="13"/>
  <c r="P444" i="13"/>
  <c r="O444" i="13"/>
  <c r="L444" i="13"/>
  <c r="K444" i="13"/>
  <c r="V443" i="13"/>
  <c r="S443" i="13"/>
  <c r="P443" i="13"/>
  <c r="O443" i="13"/>
  <c r="L443" i="13"/>
  <c r="K443" i="13"/>
  <c r="V442" i="13"/>
  <c r="S442" i="13"/>
  <c r="P442" i="13"/>
  <c r="O442" i="13"/>
  <c r="L442" i="13"/>
  <c r="K442" i="13"/>
  <c r="V441" i="13"/>
  <c r="S441" i="13"/>
  <c r="P441" i="13"/>
  <c r="O441" i="13"/>
  <c r="L441" i="13"/>
  <c r="K441" i="13"/>
  <c r="V440" i="13"/>
  <c r="S440" i="13"/>
  <c r="P440" i="13"/>
  <c r="O440" i="13"/>
  <c r="L440" i="13"/>
  <c r="K440" i="13"/>
  <c r="V439" i="13"/>
  <c r="S439" i="13"/>
  <c r="P439" i="13"/>
  <c r="O439" i="13"/>
  <c r="L439" i="13"/>
  <c r="K439" i="13"/>
  <c r="V438" i="13"/>
  <c r="S438" i="13"/>
  <c r="P438" i="13"/>
  <c r="O438" i="13"/>
  <c r="L438" i="13"/>
  <c r="K438" i="13"/>
  <c r="V437" i="13"/>
  <c r="S437" i="13"/>
  <c r="P437" i="13"/>
  <c r="O437" i="13"/>
  <c r="L437" i="13"/>
  <c r="K437" i="13"/>
  <c r="V436" i="13"/>
  <c r="S436" i="13"/>
  <c r="P436" i="13"/>
  <c r="O436" i="13"/>
  <c r="L436" i="13"/>
  <c r="K436" i="13"/>
  <c r="V435" i="13"/>
  <c r="S435" i="13"/>
  <c r="P435" i="13"/>
  <c r="O435" i="13"/>
  <c r="L435" i="13"/>
  <c r="K435" i="13"/>
  <c r="V434" i="13"/>
  <c r="S434" i="13"/>
  <c r="P434" i="13"/>
  <c r="O434" i="13"/>
  <c r="L434" i="13"/>
  <c r="K434" i="13"/>
  <c r="V433" i="13"/>
  <c r="S433" i="13"/>
  <c r="P433" i="13"/>
  <c r="O433" i="13"/>
  <c r="L433" i="13"/>
  <c r="K433" i="13"/>
  <c r="V432" i="13"/>
  <c r="S432" i="13"/>
  <c r="P432" i="13"/>
  <c r="O432" i="13"/>
  <c r="L432" i="13"/>
  <c r="K432" i="13"/>
  <c r="V431" i="13"/>
  <c r="S431" i="13"/>
  <c r="P431" i="13"/>
  <c r="O431" i="13"/>
  <c r="L431" i="13"/>
  <c r="K431" i="13"/>
  <c r="V430" i="13"/>
  <c r="S430" i="13"/>
  <c r="P430" i="13"/>
  <c r="O430" i="13"/>
  <c r="L430" i="13"/>
  <c r="K430" i="13"/>
  <c r="V429" i="13"/>
  <c r="S429" i="13"/>
  <c r="P429" i="13"/>
  <c r="O429" i="13"/>
  <c r="L429" i="13"/>
  <c r="K429" i="13"/>
  <c r="V428" i="13"/>
  <c r="S428" i="13"/>
  <c r="P428" i="13"/>
  <c r="O428" i="13"/>
  <c r="L428" i="13"/>
  <c r="K428" i="13"/>
  <c r="V427" i="13"/>
  <c r="S427" i="13"/>
  <c r="P427" i="13"/>
  <c r="O427" i="13"/>
  <c r="L427" i="13"/>
  <c r="K427" i="13"/>
  <c r="V426" i="13"/>
  <c r="S426" i="13"/>
  <c r="P426" i="13"/>
  <c r="O426" i="13"/>
  <c r="L426" i="13"/>
  <c r="K426" i="13"/>
  <c r="V425" i="13"/>
  <c r="S425" i="13"/>
  <c r="P425" i="13"/>
  <c r="O425" i="13"/>
  <c r="L425" i="13"/>
  <c r="K425" i="13"/>
  <c r="V424" i="13"/>
  <c r="S424" i="13"/>
  <c r="P424" i="13"/>
  <c r="O424" i="13"/>
  <c r="L424" i="13"/>
  <c r="K424" i="13"/>
  <c r="V423" i="13"/>
  <c r="S423" i="13"/>
  <c r="P423" i="13"/>
  <c r="O423" i="13"/>
  <c r="L423" i="13"/>
  <c r="K423" i="13"/>
  <c r="V422" i="13"/>
  <c r="S422" i="13"/>
  <c r="P422" i="13"/>
  <c r="O422" i="13"/>
  <c r="L422" i="13"/>
  <c r="K422" i="13"/>
  <c r="V421" i="13"/>
  <c r="S421" i="13"/>
  <c r="P421" i="13"/>
  <c r="O421" i="13"/>
  <c r="L421" i="13"/>
  <c r="K421" i="13"/>
  <c r="V420" i="13"/>
  <c r="S420" i="13"/>
  <c r="P420" i="13"/>
  <c r="O420" i="13"/>
  <c r="L420" i="13"/>
  <c r="K420" i="13"/>
  <c r="V419" i="13"/>
  <c r="S419" i="13"/>
  <c r="P419" i="13"/>
  <c r="O419" i="13"/>
  <c r="L419" i="13"/>
  <c r="K419" i="13"/>
  <c r="V418" i="13"/>
  <c r="S418" i="13"/>
  <c r="P418" i="13"/>
  <c r="O418" i="13"/>
  <c r="L418" i="13"/>
  <c r="K418" i="13"/>
  <c r="V417" i="13"/>
  <c r="S417" i="13"/>
  <c r="P417" i="13"/>
  <c r="O417" i="13"/>
  <c r="L417" i="13"/>
  <c r="K417" i="13"/>
  <c r="V416" i="13"/>
  <c r="S416" i="13"/>
  <c r="P416" i="13"/>
  <c r="O416" i="13"/>
  <c r="L416" i="13"/>
  <c r="K416" i="13"/>
  <c r="V415" i="13"/>
  <c r="S415" i="13"/>
  <c r="P415" i="13"/>
  <c r="O415" i="13"/>
  <c r="L415" i="13"/>
  <c r="K415" i="13"/>
  <c r="V414" i="13"/>
  <c r="S414" i="13"/>
  <c r="P414" i="13"/>
  <c r="O414" i="13"/>
  <c r="L414" i="13"/>
  <c r="K414" i="13"/>
  <c r="V413" i="13"/>
  <c r="S413" i="13"/>
  <c r="P413" i="13"/>
  <c r="O413" i="13"/>
  <c r="L413" i="13"/>
  <c r="K413" i="13"/>
  <c r="V412" i="13"/>
  <c r="S412" i="13"/>
  <c r="P412" i="13"/>
  <c r="O412" i="13"/>
  <c r="L412" i="13"/>
  <c r="K412" i="13"/>
  <c r="V411" i="13"/>
  <c r="S411" i="13"/>
  <c r="P411" i="13"/>
  <c r="O411" i="13"/>
  <c r="L411" i="13"/>
  <c r="K411" i="13"/>
  <c r="V410" i="13"/>
  <c r="S410" i="13"/>
  <c r="P410" i="13"/>
  <c r="O410" i="13"/>
  <c r="L410" i="13"/>
  <c r="K410" i="13"/>
  <c r="V409" i="13"/>
  <c r="S409" i="13"/>
  <c r="P409" i="13"/>
  <c r="O409" i="13"/>
  <c r="L409" i="13"/>
  <c r="K409" i="13"/>
  <c r="V408" i="13"/>
  <c r="S408" i="13"/>
  <c r="P408" i="13"/>
  <c r="O408" i="13"/>
  <c r="L408" i="13"/>
  <c r="K408" i="13"/>
  <c r="V407" i="13"/>
  <c r="S407" i="13"/>
  <c r="P407" i="13"/>
  <c r="O407" i="13"/>
  <c r="L407" i="13"/>
  <c r="K407" i="13"/>
  <c r="V406" i="13"/>
  <c r="S406" i="13"/>
  <c r="P406" i="13"/>
  <c r="O406" i="13"/>
  <c r="L406" i="13"/>
  <c r="K406" i="13"/>
  <c r="V405" i="13"/>
  <c r="S405" i="13"/>
  <c r="P405" i="13"/>
  <c r="O405" i="13"/>
  <c r="L405" i="13"/>
  <c r="K405" i="13"/>
  <c r="V404" i="13"/>
  <c r="S404" i="13"/>
  <c r="P404" i="13"/>
  <c r="O404" i="13"/>
  <c r="L404" i="13"/>
  <c r="K404" i="13"/>
  <c r="V403" i="13"/>
  <c r="S403" i="13"/>
  <c r="P403" i="13"/>
  <c r="O403" i="13"/>
  <c r="L403" i="13"/>
  <c r="K403" i="13"/>
  <c r="V402" i="13"/>
  <c r="S402" i="13"/>
  <c r="P402" i="13"/>
  <c r="O402" i="13"/>
  <c r="L402" i="13"/>
  <c r="K402" i="13"/>
  <c r="V401" i="13"/>
  <c r="S401" i="13"/>
  <c r="P401" i="13"/>
  <c r="O401" i="13"/>
  <c r="L401" i="13"/>
  <c r="K401" i="13"/>
  <c r="V400" i="13"/>
  <c r="S400" i="13"/>
  <c r="P400" i="13"/>
  <c r="O400" i="13"/>
  <c r="L400" i="13"/>
  <c r="K400" i="13"/>
  <c r="V399" i="13"/>
  <c r="S399" i="13"/>
  <c r="P399" i="13"/>
  <c r="O399" i="13"/>
  <c r="L399" i="13"/>
  <c r="K399" i="13"/>
  <c r="V398" i="13"/>
  <c r="S398" i="13"/>
  <c r="P398" i="13"/>
  <c r="O398" i="13"/>
  <c r="L398" i="13"/>
  <c r="K398" i="13"/>
  <c r="V397" i="13"/>
  <c r="S397" i="13"/>
  <c r="P397" i="13"/>
  <c r="O397" i="13"/>
  <c r="L397" i="13"/>
  <c r="K397" i="13"/>
  <c r="V396" i="13"/>
  <c r="S396" i="13"/>
  <c r="P396" i="13"/>
  <c r="O396" i="13"/>
  <c r="L396" i="13"/>
  <c r="K396" i="13"/>
  <c r="V395" i="13"/>
  <c r="S395" i="13"/>
  <c r="P395" i="13"/>
  <c r="O395" i="13"/>
  <c r="L395" i="13"/>
  <c r="K395" i="13"/>
  <c r="V394" i="13"/>
  <c r="S394" i="13"/>
  <c r="P394" i="13"/>
  <c r="O394" i="13"/>
  <c r="L394" i="13"/>
  <c r="K394" i="13"/>
  <c r="V393" i="13"/>
  <c r="S393" i="13"/>
  <c r="P393" i="13"/>
  <c r="O393" i="13"/>
  <c r="L393" i="13"/>
  <c r="K393" i="13"/>
  <c r="V392" i="13"/>
  <c r="S392" i="13"/>
  <c r="P392" i="13"/>
  <c r="O392" i="13"/>
  <c r="L392" i="13"/>
  <c r="K392" i="13"/>
  <c r="V391" i="13"/>
  <c r="S391" i="13"/>
  <c r="P391" i="13"/>
  <c r="O391" i="13"/>
  <c r="L391" i="13"/>
  <c r="K391" i="13"/>
  <c r="V390" i="13"/>
  <c r="S390" i="13"/>
  <c r="P390" i="13"/>
  <c r="O390" i="13"/>
  <c r="L390" i="13"/>
  <c r="K390" i="13"/>
  <c r="V389" i="13"/>
  <c r="S389" i="13"/>
  <c r="P389" i="13"/>
  <c r="O389" i="13"/>
  <c r="L389" i="13"/>
  <c r="K389" i="13"/>
  <c r="V388" i="13"/>
  <c r="S388" i="13"/>
  <c r="P388" i="13"/>
  <c r="O388" i="13"/>
  <c r="L388" i="13"/>
  <c r="K388" i="13"/>
  <c r="V387" i="13"/>
  <c r="S387" i="13"/>
  <c r="P387" i="13"/>
  <c r="O387" i="13"/>
  <c r="L387" i="13"/>
  <c r="K387" i="13"/>
  <c r="V386" i="13"/>
  <c r="S386" i="13"/>
  <c r="P386" i="13"/>
  <c r="O386" i="13"/>
  <c r="L386" i="13"/>
  <c r="K386" i="13"/>
  <c r="V385" i="13"/>
  <c r="S385" i="13"/>
  <c r="P385" i="13"/>
  <c r="O385" i="13"/>
  <c r="L385" i="13"/>
  <c r="K385" i="13"/>
  <c r="V384" i="13"/>
  <c r="S384" i="13"/>
  <c r="P384" i="13"/>
  <c r="O384" i="13"/>
  <c r="L384" i="13"/>
  <c r="K384" i="13"/>
  <c r="V383" i="13"/>
  <c r="S383" i="13"/>
  <c r="P383" i="13"/>
  <c r="O383" i="13"/>
  <c r="L383" i="13"/>
  <c r="K383" i="13"/>
  <c r="V382" i="13"/>
  <c r="S382" i="13"/>
  <c r="P382" i="13"/>
  <c r="O382" i="13"/>
  <c r="L382" i="13"/>
  <c r="K382" i="13"/>
  <c r="V381" i="13"/>
  <c r="S381" i="13"/>
  <c r="P381" i="13"/>
  <c r="O381" i="13"/>
  <c r="L381" i="13"/>
  <c r="K381" i="13"/>
  <c r="V380" i="13"/>
  <c r="S380" i="13"/>
  <c r="P380" i="13"/>
  <c r="O380" i="13"/>
  <c r="L380" i="13"/>
  <c r="K380" i="13"/>
  <c r="V379" i="13"/>
  <c r="S379" i="13"/>
  <c r="P379" i="13"/>
  <c r="O379" i="13"/>
  <c r="L379" i="13"/>
  <c r="K379" i="13"/>
  <c r="V378" i="13"/>
  <c r="S378" i="13"/>
  <c r="P378" i="13"/>
  <c r="O378" i="13"/>
  <c r="L378" i="13"/>
  <c r="K378" i="13"/>
  <c r="V377" i="13"/>
  <c r="S377" i="13"/>
  <c r="P377" i="13"/>
  <c r="O377" i="13"/>
  <c r="L377" i="13"/>
  <c r="K377" i="13"/>
  <c r="V376" i="13"/>
  <c r="S376" i="13"/>
  <c r="P376" i="13"/>
  <c r="O376" i="13"/>
  <c r="L376" i="13"/>
  <c r="K376" i="13"/>
  <c r="V375" i="13"/>
  <c r="S375" i="13"/>
  <c r="P375" i="13"/>
  <c r="O375" i="13"/>
  <c r="L375" i="13"/>
  <c r="K375" i="13"/>
  <c r="V374" i="13"/>
  <c r="S374" i="13"/>
  <c r="P374" i="13"/>
  <c r="O374" i="13"/>
  <c r="L374" i="13"/>
  <c r="K374" i="13"/>
  <c r="V373" i="13"/>
  <c r="S373" i="13"/>
  <c r="P373" i="13"/>
  <c r="O373" i="13"/>
  <c r="L373" i="13"/>
  <c r="K373" i="13"/>
  <c r="V372" i="13"/>
  <c r="S372" i="13"/>
  <c r="P372" i="13"/>
  <c r="O372" i="13"/>
  <c r="L372" i="13"/>
  <c r="K372" i="13"/>
  <c r="V371" i="13"/>
  <c r="S371" i="13"/>
  <c r="P371" i="13"/>
  <c r="O371" i="13"/>
  <c r="L371" i="13"/>
  <c r="K371" i="13"/>
  <c r="V370" i="13"/>
  <c r="S370" i="13"/>
  <c r="P370" i="13"/>
  <c r="O370" i="13"/>
  <c r="L370" i="13"/>
  <c r="K370" i="13"/>
  <c r="V369" i="13"/>
  <c r="S369" i="13"/>
  <c r="P369" i="13"/>
  <c r="O369" i="13"/>
  <c r="L369" i="13"/>
  <c r="K369" i="13"/>
  <c r="V368" i="13"/>
  <c r="S368" i="13"/>
  <c r="P368" i="13"/>
  <c r="O368" i="13"/>
  <c r="L368" i="13"/>
  <c r="K368" i="13"/>
  <c r="V367" i="13"/>
  <c r="S367" i="13"/>
  <c r="P367" i="13"/>
  <c r="O367" i="13"/>
  <c r="L367" i="13"/>
  <c r="K367" i="13"/>
  <c r="V366" i="13"/>
  <c r="S366" i="13"/>
  <c r="P366" i="13"/>
  <c r="O366" i="13"/>
  <c r="L366" i="13"/>
  <c r="K366" i="13"/>
  <c r="V365" i="13"/>
  <c r="S365" i="13"/>
  <c r="P365" i="13"/>
  <c r="O365" i="13"/>
  <c r="L365" i="13"/>
  <c r="K365" i="13"/>
  <c r="V364" i="13"/>
  <c r="S364" i="13"/>
  <c r="P364" i="13"/>
  <c r="O364" i="13"/>
  <c r="L364" i="13"/>
  <c r="K364" i="13"/>
  <c r="V363" i="13"/>
  <c r="S363" i="13"/>
  <c r="P363" i="13"/>
  <c r="O363" i="13"/>
  <c r="L363" i="13"/>
  <c r="K363" i="13"/>
  <c r="V362" i="13"/>
  <c r="S362" i="13"/>
  <c r="P362" i="13"/>
  <c r="O362" i="13"/>
  <c r="L362" i="13"/>
  <c r="K362" i="13"/>
  <c r="V361" i="13"/>
  <c r="S361" i="13"/>
  <c r="P361" i="13"/>
  <c r="O361" i="13"/>
  <c r="L361" i="13"/>
  <c r="K361" i="13"/>
  <c r="V360" i="13"/>
  <c r="S360" i="13"/>
  <c r="P360" i="13"/>
  <c r="O360" i="13"/>
  <c r="L360" i="13"/>
  <c r="K360" i="13"/>
  <c r="V359" i="13"/>
  <c r="S359" i="13"/>
  <c r="P359" i="13"/>
  <c r="O359" i="13"/>
  <c r="L359" i="13"/>
  <c r="K359" i="13"/>
  <c r="V358" i="13"/>
  <c r="S358" i="13"/>
  <c r="P358" i="13"/>
  <c r="O358" i="13"/>
  <c r="L358" i="13"/>
  <c r="K358" i="13"/>
  <c r="V357" i="13"/>
  <c r="S357" i="13"/>
  <c r="P357" i="13"/>
  <c r="O357" i="13"/>
  <c r="L357" i="13"/>
  <c r="K357" i="13"/>
  <c r="V356" i="13"/>
  <c r="S356" i="13"/>
  <c r="P356" i="13"/>
  <c r="O356" i="13"/>
  <c r="L356" i="13"/>
  <c r="K356" i="13"/>
  <c r="V355" i="13"/>
  <c r="S355" i="13"/>
  <c r="P355" i="13"/>
  <c r="O355" i="13"/>
  <c r="L355" i="13"/>
  <c r="K355" i="13"/>
  <c r="V354" i="13"/>
  <c r="S354" i="13"/>
  <c r="P354" i="13"/>
  <c r="O354" i="13"/>
  <c r="L354" i="13"/>
  <c r="K354" i="13"/>
  <c r="V353" i="13"/>
  <c r="S353" i="13"/>
  <c r="P353" i="13"/>
  <c r="O353" i="13"/>
  <c r="L353" i="13"/>
  <c r="K353" i="13"/>
  <c r="V352" i="13"/>
  <c r="S352" i="13"/>
  <c r="P352" i="13"/>
  <c r="O352" i="13"/>
  <c r="L352" i="13"/>
  <c r="K352" i="13"/>
  <c r="V351" i="13"/>
  <c r="S351" i="13"/>
  <c r="P351" i="13"/>
  <c r="O351" i="13"/>
  <c r="L351" i="13"/>
  <c r="K351" i="13"/>
  <c r="V350" i="13"/>
  <c r="S350" i="13"/>
  <c r="P350" i="13"/>
  <c r="O350" i="13"/>
  <c r="L350" i="13"/>
  <c r="K350" i="13"/>
  <c r="V349" i="13"/>
  <c r="S349" i="13"/>
  <c r="P349" i="13"/>
  <c r="O349" i="13"/>
  <c r="L349" i="13"/>
  <c r="K349" i="13"/>
  <c r="V348" i="13"/>
  <c r="S348" i="13"/>
  <c r="P348" i="13"/>
  <c r="O348" i="13"/>
  <c r="L348" i="13"/>
  <c r="K348" i="13"/>
  <c r="V347" i="13"/>
  <c r="S347" i="13"/>
  <c r="P347" i="13"/>
  <c r="O347" i="13"/>
  <c r="L347" i="13"/>
  <c r="K347" i="13"/>
  <c r="V346" i="13"/>
  <c r="S346" i="13"/>
  <c r="P346" i="13"/>
  <c r="O346" i="13"/>
  <c r="L346" i="13"/>
  <c r="K346" i="13"/>
  <c r="V345" i="13"/>
  <c r="S345" i="13"/>
  <c r="P345" i="13"/>
  <c r="O345" i="13"/>
  <c r="L345" i="13"/>
  <c r="K345" i="13"/>
  <c r="V344" i="13"/>
  <c r="S344" i="13"/>
  <c r="P344" i="13"/>
  <c r="O344" i="13"/>
  <c r="L344" i="13"/>
  <c r="K344" i="13"/>
  <c r="V343" i="13"/>
  <c r="S343" i="13"/>
  <c r="P343" i="13"/>
  <c r="O343" i="13"/>
  <c r="L343" i="13"/>
  <c r="K343" i="13"/>
  <c r="V342" i="13"/>
  <c r="S342" i="13"/>
  <c r="P342" i="13"/>
  <c r="O342" i="13"/>
  <c r="L342" i="13"/>
  <c r="K342" i="13"/>
  <c r="V341" i="13"/>
  <c r="S341" i="13"/>
  <c r="P341" i="13"/>
  <c r="O341" i="13"/>
  <c r="L341" i="13"/>
  <c r="K341" i="13"/>
  <c r="V340" i="13"/>
  <c r="S340" i="13"/>
  <c r="P340" i="13"/>
  <c r="O340" i="13"/>
  <c r="L340" i="13"/>
  <c r="K340" i="13"/>
  <c r="V339" i="13"/>
  <c r="S339" i="13"/>
  <c r="P339" i="13"/>
  <c r="O339" i="13"/>
  <c r="L339" i="13"/>
  <c r="K339" i="13"/>
  <c r="V338" i="13"/>
  <c r="S338" i="13"/>
  <c r="P338" i="13"/>
  <c r="O338" i="13"/>
  <c r="L338" i="13"/>
  <c r="K338" i="13"/>
  <c r="V337" i="13"/>
  <c r="S337" i="13"/>
  <c r="P337" i="13"/>
  <c r="O337" i="13"/>
  <c r="L337" i="13"/>
  <c r="K337" i="13"/>
  <c r="V336" i="13"/>
  <c r="S336" i="13"/>
  <c r="P336" i="13"/>
  <c r="O336" i="13"/>
  <c r="L336" i="13"/>
  <c r="K336" i="13"/>
  <c r="V335" i="13"/>
  <c r="S335" i="13"/>
  <c r="P335" i="13"/>
  <c r="O335" i="13"/>
  <c r="L335" i="13"/>
  <c r="K335" i="13"/>
  <c r="V334" i="13"/>
  <c r="S334" i="13"/>
  <c r="P334" i="13"/>
  <c r="O334" i="13"/>
  <c r="L334" i="13"/>
  <c r="K334" i="13"/>
  <c r="V333" i="13"/>
  <c r="S333" i="13"/>
  <c r="P333" i="13"/>
  <c r="O333" i="13"/>
  <c r="L333" i="13"/>
  <c r="K333" i="13"/>
  <c r="V332" i="13"/>
  <c r="S332" i="13"/>
  <c r="P332" i="13"/>
  <c r="O332" i="13"/>
  <c r="L332" i="13"/>
  <c r="K332" i="13"/>
  <c r="V331" i="13"/>
  <c r="S331" i="13"/>
  <c r="P331" i="13"/>
  <c r="O331" i="13"/>
  <c r="L331" i="13"/>
  <c r="K331" i="13"/>
  <c r="V330" i="13"/>
  <c r="S330" i="13"/>
  <c r="P330" i="13"/>
  <c r="O330" i="13"/>
  <c r="L330" i="13"/>
  <c r="K330" i="13"/>
  <c r="V329" i="13"/>
  <c r="S329" i="13"/>
  <c r="P329" i="13"/>
  <c r="O329" i="13"/>
  <c r="L329" i="13"/>
  <c r="K329" i="13"/>
  <c r="V328" i="13"/>
  <c r="S328" i="13"/>
  <c r="P328" i="13"/>
  <c r="O328" i="13"/>
  <c r="L328" i="13"/>
  <c r="K328" i="13"/>
  <c r="V327" i="13"/>
  <c r="S327" i="13"/>
  <c r="P327" i="13"/>
  <c r="O327" i="13"/>
  <c r="L327" i="13"/>
  <c r="K327" i="13"/>
  <c r="V326" i="13"/>
  <c r="S326" i="13"/>
  <c r="P326" i="13"/>
  <c r="O326" i="13"/>
  <c r="L326" i="13"/>
  <c r="K326" i="13"/>
  <c r="V325" i="13"/>
  <c r="S325" i="13"/>
  <c r="P325" i="13"/>
  <c r="O325" i="13"/>
  <c r="L325" i="13"/>
  <c r="K325" i="13"/>
  <c r="V324" i="13"/>
  <c r="S324" i="13"/>
  <c r="P324" i="13"/>
  <c r="O324" i="13"/>
  <c r="L324" i="13"/>
  <c r="K324" i="13"/>
  <c r="V323" i="13"/>
  <c r="S323" i="13"/>
  <c r="P323" i="13"/>
  <c r="O323" i="13"/>
  <c r="L323" i="13"/>
  <c r="K323" i="13"/>
  <c r="V322" i="13"/>
  <c r="S322" i="13"/>
  <c r="P322" i="13"/>
  <c r="O322" i="13"/>
  <c r="L322" i="13"/>
  <c r="K322" i="13"/>
  <c r="V321" i="13"/>
  <c r="S321" i="13"/>
  <c r="P321" i="13"/>
  <c r="O321" i="13"/>
  <c r="L321" i="13"/>
  <c r="K321" i="13"/>
  <c r="V320" i="13"/>
  <c r="S320" i="13"/>
  <c r="P320" i="13"/>
  <c r="O320" i="13"/>
  <c r="L320" i="13"/>
  <c r="K320" i="13"/>
  <c r="V319" i="13"/>
  <c r="S319" i="13"/>
  <c r="P319" i="13"/>
  <c r="O319" i="13"/>
  <c r="L319" i="13"/>
  <c r="K319" i="13"/>
  <c r="V318" i="13"/>
  <c r="S318" i="13"/>
  <c r="P318" i="13"/>
  <c r="O318" i="13"/>
  <c r="L318" i="13"/>
  <c r="K318" i="13"/>
  <c r="V317" i="13"/>
  <c r="S317" i="13"/>
  <c r="P317" i="13"/>
  <c r="O317" i="13"/>
  <c r="L317" i="13"/>
  <c r="K317" i="13"/>
  <c r="V316" i="13"/>
  <c r="S316" i="13"/>
  <c r="P316" i="13"/>
  <c r="O316" i="13"/>
  <c r="L316" i="13"/>
  <c r="K316" i="13"/>
  <c r="V315" i="13"/>
  <c r="S315" i="13"/>
  <c r="P315" i="13"/>
  <c r="O315" i="13"/>
  <c r="L315" i="13"/>
  <c r="K315" i="13"/>
  <c r="V314" i="13"/>
  <c r="S314" i="13"/>
  <c r="P314" i="13"/>
  <c r="O314" i="13"/>
  <c r="L314" i="13"/>
  <c r="K314" i="13"/>
  <c r="V313" i="13"/>
  <c r="S313" i="13"/>
  <c r="P313" i="13"/>
  <c r="O313" i="13"/>
  <c r="L313" i="13"/>
  <c r="K313" i="13"/>
  <c r="V312" i="13"/>
  <c r="S312" i="13"/>
  <c r="P312" i="13"/>
  <c r="O312" i="13"/>
  <c r="L312" i="13"/>
  <c r="K312" i="13"/>
  <c r="V311" i="13"/>
  <c r="S311" i="13"/>
  <c r="P311" i="13"/>
  <c r="O311" i="13"/>
  <c r="L311" i="13"/>
  <c r="K311" i="13"/>
  <c r="V310" i="13"/>
  <c r="S310" i="13"/>
  <c r="P310" i="13"/>
  <c r="O310" i="13"/>
  <c r="L310" i="13"/>
  <c r="K310" i="13"/>
  <c r="V309" i="13"/>
  <c r="S309" i="13"/>
  <c r="P309" i="13"/>
  <c r="O309" i="13"/>
  <c r="L309" i="13"/>
  <c r="K309" i="13"/>
  <c r="H309" i="13"/>
  <c r="V308" i="13"/>
  <c r="S308" i="13"/>
  <c r="P308" i="13"/>
  <c r="O308" i="13"/>
  <c r="L308" i="13"/>
  <c r="K308" i="13"/>
  <c r="V307" i="13"/>
  <c r="S307" i="13"/>
  <c r="P307" i="13"/>
  <c r="O307" i="13"/>
  <c r="L307" i="13"/>
  <c r="K307" i="13"/>
  <c r="V306" i="13"/>
  <c r="S306" i="13"/>
  <c r="P306" i="13"/>
  <c r="O306" i="13"/>
  <c r="L306" i="13"/>
  <c r="K306" i="13"/>
  <c r="V305" i="13"/>
  <c r="S305" i="13"/>
  <c r="P305" i="13"/>
  <c r="O305" i="13"/>
  <c r="L305" i="13"/>
  <c r="K305" i="13"/>
  <c r="V304" i="13"/>
  <c r="S304" i="13"/>
  <c r="P304" i="13"/>
  <c r="O304" i="13"/>
  <c r="L304" i="13"/>
  <c r="K304" i="13"/>
  <c r="V303" i="13"/>
  <c r="S303" i="13"/>
  <c r="P303" i="13"/>
  <c r="O303" i="13"/>
  <c r="L303" i="13"/>
  <c r="K303" i="13"/>
  <c r="V302" i="13"/>
  <c r="S302" i="13"/>
  <c r="P302" i="13"/>
  <c r="O302" i="13"/>
  <c r="L302" i="13"/>
  <c r="K302" i="13"/>
  <c r="V301" i="13"/>
  <c r="S301" i="13"/>
  <c r="P301" i="13"/>
  <c r="O301" i="13"/>
  <c r="L301" i="13"/>
  <c r="K301" i="13"/>
  <c r="V300" i="13"/>
  <c r="S300" i="13"/>
  <c r="P300" i="13"/>
  <c r="O300" i="13"/>
  <c r="L300" i="13"/>
  <c r="K300" i="13"/>
  <c r="V299" i="13"/>
  <c r="S299" i="13"/>
  <c r="P299" i="13"/>
  <c r="O299" i="13"/>
  <c r="L299" i="13"/>
  <c r="K299" i="13"/>
  <c r="V298" i="13"/>
  <c r="S298" i="13"/>
  <c r="P298" i="13"/>
  <c r="O298" i="13"/>
  <c r="L298" i="13"/>
  <c r="K298" i="13"/>
  <c r="V297" i="13"/>
  <c r="S297" i="13"/>
  <c r="P297" i="13"/>
  <c r="O297" i="13"/>
  <c r="L297" i="13"/>
  <c r="K297" i="13"/>
  <c r="V296" i="13"/>
  <c r="S296" i="13"/>
  <c r="P296" i="13"/>
  <c r="O296" i="13"/>
  <c r="L296" i="13"/>
  <c r="K296" i="13"/>
  <c r="V295" i="13"/>
  <c r="S295" i="13"/>
  <c r="P295" i="13"/>
  <c r="O295" i="13"/>
  <c r="L295" i="13"/>
  <c r="K295" i="13"/>
  <c r="V294" i="13"/>
  <c r="S294" i="13"/>
  <c r="P294" i="13"/>
  <c r="O294" i="13"/>
  <c r="L294" i="13"/>
  <c r="K294" i="13"/>
  <c r="V293" i="13"/>
  <c r="S293" i="13"/>
  <c r="P293" i="13"/>
  <c r="O293" i="13"/>
  <c r="L293" i="13"/>
  <c r="K293" i="13"/>
  <c r="V292" i="13"/>
  <c r="S292" i="13"/>
  <c r="P292" i="13"/>
  <c r="O292" i="13"/>
  <c r="L292" i="13"/>
  <c r="K292" i="13"/>
  <c r="V291" i="13"/>
  <c r="S291" i="13"/>
  <c r="P291" i="13"/>
  <c r="O291" i="13"/>
  <c r="L291" i="13"/>
  <c r="K291" i="13"/>
  <c r="V290" i="13"/>
  <c r="S290" i="13"/>
  <c r="P290" i="13"/>
  <c r="O290" i="13"/>
  <c r="L290" i="13"/>
  <c r="K290" i="13"/>
  <c r="V289" i="13"/>
  <c r="S289" i="13"/>
  <c r="P289" i="13"/>
  <c r="O289" i="13"/>
  <c r="L289" i="13"/>
  <c r="K289" i="13"/>
  <c r="V288" i="13"/>
  <c r="S288" i="13"/>
  <c r="P288" i="13"/>
  <c r="O288" i="13"/>
  <c r="L288" i="13"/>
  <c r="K288" i="13"/>
  <c r="V287" i="13"/>
  <c r="S287" i="13"/>
  <c r="P287" i="13"/>
  <c r="O287" i="13"/>
  <c r="L287" i="13"/>
  <c r="K287" i="13"/>
  <c r="V286" i="13"/>
  <c r="S286" i="13"/>
  <c r="P286" i="13"/>
  <c r="O286" i="13"/>
  <c r="L286" i="13"/>
  <c r="K286" i="13"/>
  <c r="V285" i="13"/>
  <c r="S285" i="13"/>
  <c r="P285" i="13"/>
  <c r="O285" i="13"/>
  <c r="L285" i="13"/>
  <c r="K285" i="13"/>
  <c r="V284" i="13"/>
  <c r="S284" i="13"/>
  <c r="P284" i="13"/>
  <c r="O284" i="13"/>
  <c r="L284" i="13"/>
  <c r="K284" i="13"/>
  <c r="V283" i="13"/>
  <c r="S283" i="13"/>
  <c r="P283" i="13"/>
  <c r="O283" i="13"/>
  <c r="L283" i="13"/>
  <c r="K283" i="13"/>
  <c r="V282" i="13"/>
  <c r="S282" i="13"/>
  <c r="P282" i="13"/>
  <c r="O282" i="13"/>
  <c r="L282" i="13"/>
  <c r="K282" i="13"/>
  <c r="V281" i="13"/>
  <c r="S281" i="13"/>
  <c r="P281" i="13"/>
  <c r="O281" i="13"/>
  <c r="L281" i="13"/>
  <c r="K281" i="13"/>
  <c r="V280" i="13"/>
  <c r="S280" i="13"/>
  <c r="P280" i="13"/>
  <c r="O280" i="13"/>
  <c r="L280" i="13"/>
  <c r="K280" i="13"/>
  <c r="V279" i="13"/>
  <c r="S279" i="13"/>
  <c r="P279" i="13"/>
  <c r="O279" i="13"/>
  <c r="L279" i="13"/>
  <c r="K279" i="13"/>
  <c r="V278" i="13"/>
  <c r="S278" i="13"/>
  <c r="P278" i="13"/>
  <c r="O278" i="13"/>
  <c r="L278" i="13"/>
  <c r="K278" i="13"/>
  <c r="V277" i="13"/>
  <c r="R277" i="13"/>
  <c r="P277" i="13"/>
  <c r="O277" i="13"/>
  <c r="L277" i="13"/>
  <c r="K277" i="13"/>
  <c r="V276" i="13"/>
  <c r="S276" i="13"/>
  <c r="P276" i="13"/>
  <c r="O276" i="13"/>
  <c r="L276" i="13"/>
  <c r="K276" i="13"/>
  <c r="V275" i="13"/>
  <c r="S275" i="13"/>
  <c r="P275" i="13"/>
  <c r="O275" i="13"/>
  <c r="L275" i="13"/>
  <c r="K275" i="13"/>
  <c r="V274" i="13"/>
  <c r="S274" i="13"/>
  <c r="P274" i="13"/>
  <c r="O274" i="13"/>
  <c r="L274" i="13"/>
  <c r="K274" i="13"/>
  <c r="V273" i="13"/>
  <c r="S273" i="13"/>
  <c r="P273" i="13"/>
  <c r="O273" i="13"/>
  <c r="L273" i="13"/>
  <c r="K273" i="13"/>
  <c r="V272" i="13"/>
  <c r="S272" i="13"/>
  <c r="P272" i="13"/>
  <c r="O272" i="13"/>
  <c r="L272" i="13"/>
  <c r="K272" i="13"/>
  <c r="V271" i="13"/>
  <c r="S271" i="13"/>
  <c r="P271" i="13"/>
  <c r="O271" i="13"/>
  <c r="L271" i="13"/>
  <c r="K271" i="13"/>
  <c r="V270" i="13"/>
  <c r="S270" i="13"/>
  <c r="P270" i="13"/>
  <c r="O270" i="13"/>
  <c r="L270" i="13"/>
  <c r="K270" i="13"/>
  <c r="V269" i="13"/>
  <c r="S269" i="13"/>
  <c r="P269" i="13"/>
  <c r="O269" i="13"/>
  <c r="L269" i="13"/>
  <c r="K269" i="13"/>
  <c r="V268" i="13"/>
  <c r="S268" i="13"/>
  <c r="P268" i="13"/>
  <c r="O268" i="13"/>
  <c r="L268" i="13"/>
  <c r="K268" i="13"/>
  <c r="V267" i="13"/>
  <c r="S267" i="13"/>
  <c r="P267" i="13"/>
  <c r="O267" i="13"/>
  <c r="L267" i="13"/>
  <c r="K267" i="13"/>
  <c r="V266" i="13"/>
  <c r="S266" i="13"/>
  <c r="P266" i="13"/>
  <c r="O266" i="13"/>
  <c r="L266" i="13"/>
  <c r="K266" i="13"/>
  <c r="V265" i="13"/>
  <c r="S265" i="13"/>
  <c r="P265" i="13"/>
  <c r="O265" i="13"/>
  <c r="L265" i="13"/>
  <c r="K265" i="13"/>
  <c r="V264" i="13"/>
  <c r="S264" i="13"/>
  <c r="P264" i="13"/>
  <c r="O264" i="13"/>
  <c r="L264" i="13"/>
  <c r="K264" i="13"/>
  <c r="V263" i="13"/>
  <c r="S263" i="13"/>
  <c r="P263" i="13"/>
  <c r="O263" i="13"/>
  <c r="L263" i="13"/>
  <c r="K263" i="13"/>
  <c r="V262" i="13"/>
  <c r="S262" i="13"/>
  <c r="P262" i="13"/>
  <c r="O262" i="13"/>
  <c r="L262" i="13"/>
  <c r="K262" i="13"/>
  <c r="V261" i="13"/>
  <c r="S261" i="13"/>
  <c r="P261" i="13"/>
  <c r="O261" i="13"/>
  <c r="L261" i="13"/>
  <c r="K261" i="13"/>
  <c r="V260" i="13"/>
  <c r="S260" i="13"/>
  <c r="P260" i="13"/>
  <c r="O260" i="13"/>
  <c r="L260" i="13"/>
  <c r="K260" i="13"/>
  <c r="V259" i="13"/>
  <c r="S259" i="13"/>
  <c r="P259" i="13"/>
  <c r="O259" i="13"/>
  <c r="L259" i="13"/>
  <c r="K259" i="13"/>
  <c r="V258" i="13"/>
  <c r="S258" i="13"/>
  <c r="P258" i="13"/>
  <c r="O258" i="13"/>
  <c r="L258" i="13"/>
  <c r="K258" i="13"/>
  <c r="V257" i="13"/>
  <c r="S257" i="13"/>
  <c r="P257" i="13"/>
  <c r="O257" i="13"/>
  <c r="L257" i="13"/>
  <c r="K257" i="13"/>
  <c r="V256" i="13"/>
  <c r="S256" i="13"/>
  <c r="P256" i="13"/>
  <c r="O256" i="13"/>
  <c r="L256" i="13"/>
  <c r="K256" i="13"/>
  <c r="V255" i="13"/>
  <c r="S255" i="13"/>
  <c r="P255" i="13"/>
  <c r="O255" i="13"/>
  <c r="L255" i="13"/>
  <c r="K255" i="13"/>
  <c r="V254" i="13"/>
  <c r="S254" i="13"/>
  <c r="P254" i="13"/>
  <c r="O254" i="13"/>
  <c r="L254" i="13"/>
  <c r="K254" i="13"/>
  <c r="V253" i="13"/>
  <c r="S253" i="13"/>
  <c r="P253" i="13"/>
  <c r="O253" i="13"/>
  <c r="L253" i="13"/>
  <c r="K253" i="13"/>
  <c r="V252" i="13"/>
  <c r="S252" i="13"/>
  <c r="P252" i="13"/>
  <c r="O252" i="13"/>
  <c r="L252" i="13"/>
  <c r="K252" i="13"/>
  <c r="V251" i="13"/>
  <c r="S251" i="13"/>
  <c r="P251" i="13"/>
  <c r="O251" i="13"/>
  <c r="L251" i="13"/>
  <c r="K251" i="13"/>
  <c r="V250" i="13"/>
  <c r="S250" i="13"/>
  <c r="P250" i="13"/>
  <c r="O250" i="13"/>
  <c r="L250" i="13"/>
  <c r="K250" i="13"/>
  <c r="V249" i="13"/>
  <c r="S249" i="13"/>
  <c r="P249" i="13"/>
  <c r="O249" i="13"/>
  <c r="L249" i="13"/>
  <c r="K249" i="13"/>
  <c r="V248" i="13"/>
  <c r="S248" i="13"/>
  <c r="P248" i="13"/>
  <c r="O248" i="13"/>
  <c r="L248" i="13"/>
  <c r="K248" i="13"/>
  <c r="V247" i="13"/>
  <c r="S247" i="13"/>
  <c r="P247" i="13"/>
  <c r="O247" i="13"/>
  <c r="L247" i="13"/>
  <c r="K247" i="13"/>
  <c r="V246" i="13"/>
  <c r="S246" i="13"/>
  <c r="P246" i="13"/>
  <c r="O246" i="13"/>
  <c r="L246" i="13"/>
  <c r="K246" i="13"/>
  <c r="V245" i="13"/>
  <c r="S245" i="13"/>
  <c r="P245" i="13"/>
  <c r="O245" i="13"/>
  <c r="L245" i="13"/>
  <c r="K245" i="13"/>
  <c r="V244" i="13"/>
  <c r="S244" i="13"/>
  <c r="P244" i="13"/>
  <c r="O244" i="13"/>
  <c r="L244" i="13"/>
  <c r="K244" i="13"/>
  <c r="V243" i="13"/>
  <c r="S243" i="13"/>
  <c r="P243" i="13"/>
  <c r="O243" i="13"/>
  <c r="L243" i="13"/>
  <c r="K243" i="13"/>
  <c r="V242" i="13"/>
  <c r="S242" i="13"/>
  <c r="P242" i="13"/>
  <c r="O242" i="13"/>
  <c r="L242" i="13"/>
  <c r="K242" i="13"/>
  <c r="V241" i="13"/>
  <c r="S241" i="13"/>
  <c r="P241" i="13"/>
  <c r="O241" i="13"/>
  <c r="L241" i="13"/>
  <c r="K241" i="13"/>
  <c r="V240" i="13"/>
  <c r="S240" i="13"/>
  <c r="P240" i="13"/>
  <c r="O240" i="13"/>
  <c r="L240" i="13"/>
  <c r="K240" i="13"/>
  <c r="V239" i="13"/>
  <c r="S239" i="13"/>
  <c r="P239" i="13"/>
  <c r="O239" i="13"/>
  <c r="L239" i="13"/>
  <c r="K239" i="13"/>
  <c r="V238" i="13"/>
  <c r="S238" i="13"/>
  <c r="P238" i="13"/>
  <c r="O238" i="13"/>
  <c r="L238" i="13"/>
  <c r="K238" i="13"/>
  <c r="V237" i="13"/>
  <c r="S237" i="13"/>
  <c r="P237" i="13"/>
  <c r="O237" i="13"/>
  <c r="L237" i="13"/>
  <c r="K237" i="13"/>
  <c r="V236" i="13"/>
  <c r="S236" i="13"/>
  <c r="P236" i="13"/>
  <c r="O236" i="13"/>
  <c r="L236" i="13"/>
  <c r="K236" i="13"/>
  <c r="V235" i="13"/>
  <c r="S235" i="13"/>
  <c r="P235" i="13"/>
  <c r="O235" i="13"/>
  <c r="L235" i="13"/>
  <c r="K235" i="13"/>
  <c r="V234" i="13"/>
  <c r="S234" i="13"/>
  <c r="P234" i="13"/>
  <c r="O234" i="13"/>
  <c r="L234" i="13"/>
  <c r="K234" i="13"/>
  <c r="V233" i="13"/>
  <c r="S233" i="13"/>
  <c r="P233" i="13"/>
  <c r="O233" i="13"/>
  <c r="L233" i="13"/>
  <c r="K233" i="13"/>
  <c r="V232" i="13"/>
  <c r="S232" i="13"/>
  <c r="P232" i="13"/>
  <c r="O232" i="13"/>
  <c r="L232" i="13"/>
  <c r="K232" i="13"/>
  <c r="V231" i="13"/>
  <c r="S231" i="13"/>
  <c r="P231" i="13"/>
  <c r="O231" i="13"/>
  <c r="L231" i="13"/>
  <c r="K231" i="13"/>
  <c r="V230" i="13"/>
  <c r="S230" i="13"/>
  <c r="P230" i="13"/>
  <c r="O230" i="13"/>
  <c r="L230" i="13"/>
  <c r="K230" i="13"/>
  <c r="V229" i="13"/>
  <c r="S229" i="13"/>
  <c r="P229" i="13"/>
  <c r="O229" i="13"/>
  <c r="L229" i="13"/>
  <c r="K229" i="13"/>
  <c r="V228" i="13"/>
  <c r="S228" i="13"/>
  <c r="P228" i="13"/>
  <c r="O228" i="13"/>
  <c r="L228" i="13"/>
  <c r="K228" i="13"/>
  <c r="V227" i="13"/>
  <c r="S227" i="13"/>
  <c r="P227" i="13"/>
  <c r="O227" i="13"/>
  <c r="L227" i="13"/>
  <c r="K227" i="13"/>
  <c r="V226" i="13"/>
  <c r="S226" i="13"/>
  <c r="P226" i="13"/>
  <c r="O226" i="13"/>
  <c r="L226" i="13"/>
  <c r="K226" i="13"/>
  <c r="V225" i="13"/>
  <c r="S225" i="13"/>
  <c r="P225" i="13"/>
  <c r="O225" i="13"/>
  <c r="L225" i="13"/>
  <c r="K225" i="13"/>
  <c r="V223" i="13"/>
  <c r="S223" i="13"/>
  <c r="P223" i="13"/>
  <c r="O223" i="13"/>
  <c r="L223" i="13"/>
  <c r="K223" i="13"/>
  <c r="V222" i="13"/>
  <c r="S222" i="13"/>
  <c r="P222" i="13"/>
  <c r="O222" i="13"/>
  <c r="L222" i="13"/>
  <c r="K222" i="13"/>
  <c r="V221" i="13"/>
  <c r="S221" i="13"/>
  <c r="P221" i="13"/>
  <c r="O221" i="13"/>
  <c r="L221" i="13"/>
  <c r="K221" i="13"/>
  <c r="V220" i="13"/>
  <c r="S220" i="13"/>
  <c r="P220" i="13"/>
  <c r="O220" i="13"/>
  <c r="L220" i="13"/>
  <c r="K220" i="13"/>
  <c r="V219" i="13"/>
  <c r="S219" i="13"/>
  <c r="P219" i="13"/>
  <c r="O219" i="13"/>
  <c r="L219" i="13"/>
  <c r="K219" i="13"/>
  <c r="V218" i="13"/>
  <c r="S218" i="13"/>
  <c r="P218" i="13"/>
  <c r="O218" i="13"/>
  <c r="L218" i="13"/>
  <c r="K218" i="13"/>
  <c r="V217" i="13"/>
  <c r="S217" i="13"/>
  <c r="P217" i="13"/>
  <c r="O217" i="13"/>
  <c r="L217" i="13"/>
  <c r="K217" i="13"/>
  <c r="V216" i="13"/>
  <c r="S216" i="13"/>
  <c r="P216" i="13"/>
  <c r="O216" i="13"/>
  <c r="L216" i="13"/>
  <c r="K216" i="13"/>
  <c r="V215" i="13"/>
  <c r="S215" i="13"/>
  <c r="P215" i="13"/>
  <c r="O215" i="13"/>
  <c r="L215" i="13"/>
  <c r="K215" i="13"/>
  <c r="V214" i="13"/>
  <c r="S214" i="13"/>
  <c r="P214" i="13"/>
  <c r="O214" i="13"/>
  <c r="L214" i="13"/>
  <c r="K214" i="13"/>
  <c r="V213" i="13"/>
  <c r="S213" i="13"/>
  <c r="P213" i="13"/>
  <c r="O213" i="13"/>
  <c r="L213" i="13"/>
  <c r="K213" i="13"/>
  <c r="V212" i="13"/>
  <c r="S212" i="13"/>
  <c r="P212" i="13"/>
  <c r="O212" i="13"/>
  <c r="L212" i="13"/>
  <c r="K212" i="13"/>
  <c r="V211" i="13"/>
  <c r="S211" i="13"/>
  <c r="P211" i="13"/>
  <c r="O211" i="13"/>
  <c r="L211" i="13"/>
  <c r="K211" i="13"/>
  <c r="V210" i="13"/>
  <c r="S210" i="13"/>
  <c r="P210" i="13"/>
  <c r="O210" i="13"/>
  <c r="L210" i="13"/>
  <c r="K210" i="13"/>
  <c r="V209" i="13"/>
  <c r="S209" i="13"/>
  <c r="P209" i="13"/>
  <c r="O209" i="13"/>
  <c r="L209" i="13"/>
  <c r="K209" i="13"/>
  <c r="V208" i="13"/>
  <c r="S208" i="13"/>
  <c r="P208" i="13"/>
  <c r="O208" i="13"/>
  <c r="L208" i="13"/>
  <c r="K208" i="13"/>
  <c r="V207" i="13"/>
  <c r="S207" i="13"/>
  <c r="P207" i="13"/>
  <c r="O207" i="13"/>
  <c r="L207" i="13"/>
  <c r="K207" i="13"/>
  <c r="V206" i="13"/>
  <c r="S206" i="13"/>
  <c r="P206" i="13"/>
  <c r="O206" i="13"/>
  <c r="L206" i="13"/>
  <c r="K206" i="13"/>
  <c r="V205" i="13"/>
  <c r="S205" i="13"/>
  <c r="P205" i="13"/>
  <c r="O205" i="13"/>
  <c r="L205" i="13"/>
  <c r="K205" i="13"/>
  <c r="V204" i="13"/>
  <c r="S204" i="13"/>
  <c r="P204" i="13"/>
  <c r="O204" i="13"/>
  <c r="L204" i="13"/>
  <c r="K204" i="13"/>
  <c r="V203" i="13"/>
  <c r="S203" i="13"/>
  <c r="P203" i="13"/>
  <c r="O203" i="13"/>
  <c r="L203" i="13"/>
  <c r="K203" i="13"/>
  <c r="V202" i="13"/>
  <c r="S202" i="13"/>
  <c r="P202" i="13"/>
  <c r="O202" i="13"/>
  <c r="L202" i="13"/>
  <c r="K202" i="13"/>
  <c r="V201" i="13"/>
  <c r="S201" i="13"/>
  <c r="P201" i="13"/>
  <c r="O201" i="13"/>
  <c r="L201" i="13"/>
  <c r="K201" i="13"/>
  <c r="V200" i="13"/>
  <c r="S200" i="13"/>
  <c r="P200" i="13"/>
  <c r="O200" i="13"/>
  <c r="L200" i="13"/>
  <c r="K200" i="13"/>
  <c r="V199" i="13"/>
  <c r="S199" i="13"/>
  <c r="P199" i="13"/>
  <c r="O199" i="13"/>
  <c r="L199" i="13"/>
  <c r="K199" i="13"/>
  <c r="V198" i="13"/>
  <c r="S198" i="13"/>
  <c r="P198" i="13"/>
  <c r="O198" i="13"/>
  <c r="L198" i="13"/>
  <c r="K198" i="13"/>
  <c r="V197" i="13"/>
  <c r="S197" i="13"/>
  <c r="P197" i="13"/>
  <c r="O197" i="13"/>
  <c r="L197" i="13"/>
  <c r="K197" i="13"/>
  <c r="V196" i="13"/>
  <c r="S196" i="13"/>
  <c r="P196" i="13"/>
  <c r="O196" i="13"/>
  <c r="L196" i="13"/>
  <c r="K196" i="13"/>
  <c r="V195" i="13"/>
  <c r="S195" i="13"/>
  <c r="P195" i="13"/>
  <c r="O195" i="13"/>
  <c r="L195" i="13"/>
  <c r="K195" i="13"/>
  <c r="V194" i="13"/>
  <c r="S194" i="13"/>
  <c r="P194" i="13"/>
  <c r="O194" i="13"/>
  <c r="L194" i="13"/>
  <c r="K194" i="13"/>
  <c r="V193" i="13"/>
  <c r="S193" i="13"/>
  <c r="P193" i="13"/>
  <c r="O193" i="13"/>
  <c r="L193" i="13"/>
  <c r="K193" i="13"/>
  <c r="V192" i="13"/>
  <c r="S192" i="13"/>
  <c r="P192" i="13"/>
  <c r="O192" i="13"/>
  <c r="L192" i="13"/>
  <c r="K192" i="13"/>
  <c r="V191" i="13"/>
  <c r="S191" i="13"/>
  <c r="P191" i="13"/>
  <c r="O191" i="13"/>
  <c r="L191" i="13"/>
  <c r="K191" i="13"/>
  <c r="V190" i="13"/>
  <c r="S190" i="13"/>
  <c r="P190" i="13"/>
  <c r="O190" i="13"/>
  <c r="L190" i="13"/>
  <c r="K190" i="13"/>
  <c r="V189" i="13"/>
  <c r="S189" i="13"/>
  <c r="P189" i="13"/>
  <c r="O189" i="13"/>
  <c r="L189" i="13"/>
  <c r="K189" i="13"/>
  <c r="V188" i="13"/>
  <c r="S188" i="13"/>
  <c r="P188" i="13"/>
  <c r="O188" i="13"/>
  <c r="L188" i="13"/>
  <c r="K188" i="13"/>
  <c r="V187" i="13"/>
  <c r="S187" i="13"/>
  <c r="P187" i="13"/>
  <c r="O187" i="13"/>
  <c r="L187" i="13"/>
  <c r="K187" i="13"/>
  <c r="V186" i="13"/>
  <c r="S186" i="13"/>
  <c r="P186" i="13"/>
  <c r="O186" i="13"/>
  <c r="L186" i="13"/>
  <c r="K186" i="13"/>
  <c r="V185" i="13"/>
  <c r="S185" i="13"/>
  <c r="P185" i="13"/>
  <c r="O185" i="13"/>
  <c r="L185" i="13"/>
  <c r="K185" i="13"/>
  <c r="V184" i="13"/>
  <c r="S184" i="13"/>
  <c r="P184" i="13"/>
  <c r="O184" i="13"/>
  <c r="L184" i="13"/>
  <c r="K184" i="13"/>
  <c r="V183" i="13"/>
  <c r="S183" i="13"/>
  <c r="P183" i="13"/>
  <c r="O183" i="13"/>
  <c r="L183" i="13"/>
  <c r="K183" i="13"/>
  <c r="V182" i="13"/>
  <c r="S182" i="13"/>
  <c r="P182" i="13"/>
  <c r="O182" i="13"/>
  <c r="L182" i="13"/>
  <c r="K182" i="13"/>
  <c r="V181" i="13"/>
  <c r="S181" i="13"/>
  <c r="P181" i="13"/>
  <c r="O181" i="13"/>
  <c r="L181" i="13"/>
  <c r="K181" i="13"/>
  <c r="V180" i="13"/>
  <c r="S180" i="13"/>
  <c r="P180" i="13"/>
  <c r="O180" i="13"/>
  <c r="L180" i="13"/>
  <c r="K180" i="13"/>
  <c r="V179" i="13"/>
  <c r="S179" i="13"/>
  <c r="P179" i="13"/>
  <c r="O179" i="13"/>
  <c r="L179" i="13"/>
  <c r="K179" i="13"/>
  <c r="V178" i="13"/>
  <c r="S178" i="13"/>
  <c r="P178" i="13"/>
  <c r="O178" i="13"/>
  <c r="L178" i="13"/>
  <c r="K178" i="13"/>
  <c r="V177" i="13"/>
  <c r="S177" i="13"/>
  <c r="P177" i="13"/>
  <c r="O177" i="13"/>
  <c r="L177" i="13"/>
  <c r="K177" i="13"/>
  <c r="V176" i="13"/>
  <c r="S176" i="13"/>
  <c r="P176" i="13"/>
  <c r="O176" i="13"/>
  <c r="L176" i="13"/>
  <c r="K176" i="13"/>
  <c r="W175" i="13" a="1"/>
  <c r="W175" i="13" s="1"/>
  <c r="W174" i="13" a="1"/>
  <c r="W174" i="13" s="1"/>
  <c r="W173" i="13" a="1"/>
  <c r="W173" i="13" s="1"/>
  <c r="J172" i="13"/>
  <c r="H171" i="13" s="1"/>
  <c r="H172" i="13" s="1"/>
  <c r="I172" i="13"/>
  <c r="G172" i="13"/>
  <c r="F172" i="13"/>
  <c r="W171" i="13" a="1"/>
  <c r="W171" i="13" s="1"/>
  <c r="W170" i="13" a="1"/>
  <c r="W170" i="13" s="1"/>
  <c r="V169" i="13"/>
  <c r="R169" i="13"/>
  <c r="P169" i="13"/>
  <c r="O169" i="13"/>
  <c r="L169" i="13"/>
  <c r="K169" i="13"/>
  <c r="V168" i="13"/>
  <c r="R168" i="13"/>
  <c r="P168" i="13"/>
  <c r="O168" i="13"/>
  <c r="L168" i="13"/>
  <c r="K168" i="13"/>
  <c r="V167" i="13"/>
  <c r="R167" i="13"/>
  <c r="P167" i="13"/>
  <c r="O167" i="13"/>
  <c r="L167" i="13"/>
  <c r="K167" i="13"/>
  <c r="V166" i="13"/>
  <c r="R166" i="13"/>
  <c r="P166" i="13"/>
  <c r="O166" i="13"/>
  <c r="L166" i="13"/>
  <c r="K166" i="13"/>
  <c r="V165" i="13"/>
  <c r="R165" i="13"/>
  <c r="P165" i="13"/>
  <c r="O165" i="13"/>
  <c r="L165" i="13"/>
  <c r="K165" i="13"/>
  <c r="V164" i="13"/>
  <c r="R164" i="13"/>
  <c r="P164" i="13"/>
  <c r="O164" i="13"/>
  <c r="L164" i="13"/>
  <c r="K164" i="13"/>
  <c r="V163" i="13"/>
  <c r="R163" i="13"/>
  <c r="P163" i="13"/>
  <c r="O163" i="13"/>
  <c r="L163" i="13"/>
  <c r="K163" i="13"/>
  <c r="V162" i="13"/>
  <c r="R162" i="13"/>
  <c r="P162" i="13"/>
  <c r="O162" i="13"/>
  <c r="L162" i="13"/>
  <c r="K162" i="13"/>
  <c r="V161" i="13"/>
  <c r="R161" i="13"/>
  <c r="P161" i="13"/>
  <c r="O161" i="13"/>
  <c r="L161" i="13"/>
  <c r="K161" i="13"/>
  <c r="V160" i="13"/>
  <c r="R160" i="13"/>
  <c r="P160" i="13"/>
  <c r="O160" i="13"/>
  <c r="L160" i="13"/>
  <c r="K160" i="13"/>
  <c r="V159" i="13"/>
  <c r="R159" i="13"/>
  <c r="P159" i="13"/>
  <c r="O159" i="13"/>
  <c r="L159" i="13"/>
  <c r="K159" i="13"/>
  <c r="V158" i="13"/>
  <c r="R158" i="13"/>
  <c r="P158" i="13"/>
  <c r="O158" i="13"/>
  <c r="L158" i="13"/>
  <c r="K158" i="13"/>
  <c r="V157" i="13"/>
  <c r="R157" i="13"/>
  <c r="P157" i="13"/>
  <c r="O157" i="13"/>
  <c r="L157" i="13"/>
  <c r="K157" i="13"/>
  <c r="V156" i="13"/>
  <c r="R156" i="13"/>
  <c r="P156" i="13"/>
  <c r="O156" i="13"/>
  <c r="L156" i="13"/>
  <c r="K156" i="13"/>
  <c r="V155" i="13"/>
  <c r="R155" i="13"/>
  <c r="P155" i="13"/>
  <c r="O155" i="13"/>
  <c r="L155" i="13"/>
  <c r="K155" i="13"/>
  <c r="V154" i="13"/>
  <c r="R154" i="13"/>
  <c r="P154" i="13"/>
  <c r="O154" i="13"/>
  <c r="L154" i="13"/>
  <c r="K154" i="13"/>
  <c r="V153" i="13"/>
  <c r="R153" i="13"/>
  <c r="P153" i="13"/>
  <c r="O153" i="13"/>
  <c r="L153" i="13"/>
  <c r="K153" i="13"/>
  <c r="V152" i="13"/>
  <c r="R152" i="13"/>
  <c r="P152" i="13"/>
  <c r="O152" i="13"/>
  <c r="L152" i="13"/>
  <c r="K152" i="13"/>
  <c r="V151" i="13"/>
  <c r="R151" i="13"/>
  <c r="P151" i="13"/>
  <c r="O151" i="13"/>
  <c r="L151" i="13"/>
  <c r="K151" i="13"/>
  <c r="V150" i="13"/>
  <c r="R150" i="13"/>
  <c r="P150" i="13"/>
  <c r="O150" i="13"/>
  <c r="L150" i="13"/>
  <c r="K150" i="13"/>
  <c r="V149" i="13"/>
  <c r="R149" i="13"/>
  <c r="P149" i="13"/>
  <c r="O149" i="13"/>
  <c r="L149" i="13"/>
  <c r="K149" i="13"/>
  <c r="V148" i="13"/>
  <c r="R148" i="13"/>
  <c r="P148" i="13"/>
  <c r="O148" i="13"/>
  <c r="L148" i="13"/>
  <c r="K148" i="13"/>
  <c r="V147" i="13"/>
  <c r="R147" i="13"/>
  <c r="P147" i="13"/>
  <c r="O147" i="13"/>
  <c r="L147" i="13"/>
  <c r="K147" i="13"/>
  <c r="V146" i="13"/>
  <c r="R146" i="13"/>
  <c r="P146" i="13"/>
  <c r="O146" i="13"/>
  <c r="L146" i="13"/>
  <c r="K146" i="13"/>
  <c r="V145" i="13"/>
  <c r="R145" i="13"/>
  <c r="P145" i="13"/>
  <c r="O145" i="13"/>
  <c r="L145" i="13"/>
  <c r="K145" i="13"/>
  <c r="V144" i="13"/>
  <c r="R144" i="13"/>
  <c r="P144" i="13"/>
  <c r="O144" i="13"/>
  <c r="L144" i="13"/>
  <c r="K144" i="13"/>
  <c r="V143" i="13"/>
  <c r="R143" i="13"/>
  <c r="P143" i="13"/>
  <c r="O143" i="13"/>
  <c r="L143" i="13"/>
  <c r="K143" i="13"/>
  <c r="V142" i="13"/>
  <c r="R142" i="13"/>
  <c r="P142" i="13"/>
  <c r="O142" i="13"/>
  <c r="L142" i="13"/>
  <c r="K142" i="13"/>
  <c r="V141" i="13"/>
  <c r="R141" i="13"/>
  <c r="P141" i="13"/>
  <c r="O141" i="13"/>
  <c r="L141" i="13"/>
  <c r="K141" i="13"/>
  <c r="V140" i="13"/>
  <c r="R140" i="13"/>
  <c r="P140" i="13"/>
  <c r="O140" i="13"/>
  <c r="L140" i="13"/>
  <c r="K140" i="13"/>
  <c r="V139" i="13"/>
  <c r="R139" i="13"/>
  <c r="P139" i="13"/>
  <c r="O139" i="13"/>
  <c r="L139" i="13"/>
  <c r="K139" i="13"/>
  <c r="V138" i="13"/>
  <c r="R138" i="13"/>
  <c r="P138" i="13"/>
  <c r="O138" i="13"/>
  <c r="L138" i="13"/>
  <c r="K138" i="13"/>
  <c r="V137" i="13"/>
  <c r="R137" i="13"/>
  <c r="P137" i="13"/>
  <c r="O137" i="13"/>
  <c r="L137" i="13"/>
  <c r="K137" i="13"/>
  <c r="V136" i="13"/>
  <c r="R136" i="13"/>
  <c r="P136" i="13"/>
  <c r="O136" i="13"/>
  <c r="L136" i="13"/>
  <c r="K136" i="13"/>
  <c r="V135" i="13"/>
  <c r="R135" i="13"/>
  <c r="P135" i="13"/>
  <c r="O135" i="13"/>
  <c r="L135" i="13"/>
  <c r="K135" i="13"/>
  <c r="V134" i="13"/>
  <c r="R134" i="13"/>
  <c r="P134" i="13"/>
  <c r="O134" i="13"/>
  <c r="L134" i="13"/>
  <c r="K134" i="13"/>
  <c r="V133" i="13"/>
  <c r="R133" i="13"/>
  <c r="P133" i="13"/>
  <c r="O133" i="13"/>
  <c r="L133" i="13"/>
  <c r="K133" i="13"/>
  <c r="V132" i="13"/>
  <c r="R132" i="13"/>
  <c r="P132" i="13"/>
  <c r="O132" i="13"/>
  <c r="L132" i="13"/>
  <c r="K132" i="13"/>
  <c r="V131" i="13"/>
  <c r="R131" i="13"/>
  <c r="P131" i="13"/>
  <c r="O131" i="13"/>
  <c r="L131" i="13"/>
  <c r="K131" i="13"/>
  <c r="V130" i="13"/>
  <c r="R130" i="13"/>
  <c r="P130" i="13"/>
  <c r="O130" i="13"/>
  <c r="L130" i="13"/>
  <c r="K130" i="13"/>
  <c r="V129" i="13"/>
  <c r="R129" i="13"/>
  <c r="P129" i="13"/>
  <c r="O129" i="13"/>
  <c r="L129" i="13"/>
  <c r="K129" i="13"/>
  <c r="V128" i="13"/>
  <c r="R128" i="13"/>
  <c r="P128" i="13"/>
  <c r="O128" i="13"/>
  <c r="L128" i="13"/>
  <c r="K128" i="13"/>
  <c r="V127" i="13"/>
  <c r="R127" i="13"/>
  <c r="P127" i="13"/>
  <c r="O127" i="13"/>
  <c r="L127" i="13"/>
  <c r="K127" i="13"/>
  <c r="V126" i="13"/>
  <c r="R126" i="13"/>
  <c r="P126" i="13"/>
  <c r="O126" i="13"/>
  <c r="L126" i="13"/>
  <c r="K126" i="13"/>
  <c r="V125" i="13"/>
  <c r="R125" i="13"/>
  <c r="P125" i="13"/>
  <c r="O125" i="13"/>
  <c r="L125" i="13"/>
  <c r="K125" i="13"/>
  <c r="V124" i="13"/>
  <c r="R124" i="13"/>
  <c r="P124" i="13"/>
  <c r="O124" i="13"/>
  <c r="L124" i="13"/>
  <c r="K124" i="13"/>
  <c r="V123" i="13"/>
  <c r="R123" i="13"/>
  <c r="P123" i="13"/>
  <c r="O123" i="13"/>
  <c r="L123" i="13"/>
  <c r="K123" i="13"/>
  <c r="V122" i="13"/>
  <c r="R122" i="13"/>
  <c r="P122" i="13"/>
  <c r="O122" i="13"/>
  <c r="L122" i="13"/>
  <c r="K122" i="13"/>
  <c r="V121" i="13"/>
  <c r="R121" i="13"/>
  <c r="P121" i="13"/>
  <c r="O121" i="13"/>
  <c r="L121" i="13"/>
  <c r="K121" i="13"/>
  <c r="V120" i="13"/>
  <c r="R120" i="13"/>
  <c r="P120" i="13"/>
  <c r="O120" i="13"/>
  <c r="L120" i="13"/>
  <c r="K120" i="13"/>
  <c r="V119" i="13"/>
  <c r="R119" i="13"/>
  <c r="P119" i="13"/>
  <c r="O119" i="13"/>
  <c r="L119" i="13"/>
  <c r="K119" i="13"/>
  <c r="V118" i="13"/>
  <c r="R118" i="13"/>
  <c r="P118" i="13"/>
  <c r="O118" i="13"/>
  <c r="L118" i="13"/>
  <c r="K118" i="13"/>
  <c r="V117" i="13"/>
  <c r="R117" i="13"/>
  <c r="P117" i="13"/>
  <c r="O117" i="13"/>
  <c r="L117" i="13"/>
  <c r="K117" i="13"/>
  <c r="V116" i="13"/>
  <c r="R116" i="13"/>
  <c r="P116" i="13"/>
  <c r="O116" i="13"/>
  <c r="L116" i="13"/>
  <c r="K116" i="13"/>
  <c r="V115" i="13"/>
  <c r="R115" i="13"/>
  <c r="P115" i="13"/>
  <c r="O115" i="13"/>
  <c r="L115" i="13"/>
  <c r="K115" i="13"/>
  <c r="V114" i="13"/>
  <c r="R114" i="13"/>
  <c r="P114" i="13"/>
  <c r="O114" i="13"/>
  <c r="L114" i="13"/>
  <c r="K114" i="13"/>
  <c r="V113" i="13"/>
  <c r="R113" i="13"/>
  <c r="P113" i="13"/>
  <c r="O113" i="13"/>
  <c r="L113" i="13"/>
  <c r="K113" i="13"/>
  <c r="V112" i="13"/>
  <c r="R112" i="13"/>
  <c r="P112" i="13"/>
  <c r="O112" i="13"/>
  <c r="L112" i="13"/>
  <c r="K112" i="13"/>
  <c r="V111" i="13"/>
  <c r="R111" i="13"/>
  <c r="P111" i="13"/>
  <c r="O111" i="13"/>
  <c r="L111" i="13"/>
  <c r="K111" i="13"/>
  <c r="V110" i="13"/>
  <c r="R110" i="13"/>
  <c r="P110" i="13"/>
  <c r="O110" i="13"/>
  <c r="L110" i="13"/>
  <c r="K110" i="13"/>
  <c r="V109" i="13"/>
  <c r="R109" i="13"/>
  <c r="P109" i="13"/>
  <c r="O109" i="13"/>
  <c r="L109" i="13"/>
  <c r="K109" i="13"/>
  <c r="V108" i="13"/>
  <c r="R108" i="13"/>
  <c r="P108" i="13"/>
  <c r="O108" i="13"/>
  <c r="L108" i="13"/>
  <c r="K108" i="13"/>
  <c r="V107" i="13"/>
  <c r="R107" i="13"/>
  <c r="P107" i="13"/>
  <c r="O107" i="13"/>
  <c r="L107" i="13"/>
  <c r="K107" i="13"/>
  <c r="V106" i="13"/>
  <c r="R106" i="13"/>
  <c r="P106" i="13"/>
  <c r="O106" i="13"/>
  <c r="L106" i="13"/>
  <c r="K106" i="13"/>
  <c r="V105" i="13"/>
  <c r="R105" i="13"/>
  <c r="P105" i="13"/>
  <c r="O105" i="13"/>
  <c r="L105" i="13"/>
  <c r="K105" i="13"/>
  <c r="V104" i="13"/>
  <c r="R104" i="13"/>
  <c r="P104" i="13"/>
  <c r="O104" i="13"/>
  <c r="L104" i="13"/>
  <c r="K104" i="13"/>
  <c r="V103" i="13"/>
  <c r="R103" i="13"/>
  <c r="P103" i="13"/>
  <c r="O103" i="13"/>
  <c r="L103" i="13"/>
  <c r="K103" i="13"/>
  <c r="V102" i="13"/>
  <c r="R102" i="13"/>
  <c r="P102" i="13"/>
  <c r="O102" i="13"/>
  <c r="L102" i="13"/>
  <c r="K102" i="13"/>
  <c r="V101" i="13"/>
  <c r="R101" i="13"/>
  <c r="P101" i="13"/>
  <c r="O101" i="13"/>
  <c r="L101" i="13"/>
  <c r="K101" i="13"/>
  <c r="V100" i="13"/>
  <c r="R100" i="13"/>
  <c r="P100" i="13"/>
  <c r="O100" i="13"/>
  <c r="L100" i="13"/>
  <c r="K100" i="13"/>
  <c r="V99" i="13"/>
  <c r="R99" i="13"/>
  <c r="P99" i="13"/>
  <c r="O99" i="13"/>
  <c r="L99" i="13"/>
  <c r="K99" i="13"/>
  <c r="V98" i="13"/>
  <c r="R98" i="13"/>
  <c r="P98" i="13"/>
  <c r="O98" i="13"/>
  <c r="L98" i="13"/>
  <c r="K98" i="13"/>
  <c r="V97" i="13"/>
  <c r="R97" i="13"/>
  <c r="P97" i="13"/>
  <c r="O97" i="13"/>
  <c r="L97" i="13"/>
  <c r="K97" i="13"/>
  <c r="V96" i="13"/>
  <c r="R96" i="13"/>
  <c r="P96" i="13"/>
  <c r="O96" i="13"/>
  <c r="L96" i="13"/>
  <c r="K96" i="13"/>
  <c r="V95" i="13"/>
  <c r="R95" i="13"/>
  <c r="P95" i="13"/>
  <c r="O95" i="13"/>
  <c r="L95" i="13"/>
  <c r="K95" i="13"/>
  <c r="V94" i="13"/>
  <c r="R94" i="13"/>
  <c r="P94" i="13"/>
  <c r="O94" i="13"/>
  <c r="L94" i="13"/>
  <c r="K94" i="13"/>
  <c r="V93" i="13"/>
  <c r="R93" i="13"/>
  <c r="P93" i="13"/>
  <c r="O93" i="13"/>
  <c r="L93" i="13"/>
  <c r="K93" i="13"/>
  <c r="V92" i="13"/>
  <c r="R92" i="13"/>
  <c r="P92" i="13"/>
  <c r="O92" i="13"/>
  <c r="L92" i="13"/>
  <c r="K92" i="13"/>
  <c r="V91" i="13"/>
  <c r="R91" i="13"/>
  <c r="P91" i="13"/>
  <c r="O91" i="13"/>
  <c r="L91" i="13"/>
  <c r="K91" i="13"/>
  <c r="V90" i="13"/>
  <c r="R90" i="13"/>
  <c r="P90" i="13"/>
  <c r="O90" i="13"/>
  <c r="L90" i="13"/>
  <c r="K90" i="13"/>
  <c r="V89" i="13"/>
  <c r="R89" i="13"/>
  <c r="P89" i="13"/>
  <c r="O89" i="13"/>
  <c r="L89" i="13"/>
  <c r="K89" i="13"/>
  <c r="V88" i="13"/>
  <c r="R88" i="13"/>
  <c r="P88" i="13"/>
  <c r="O88" i="13"/>
  <c r="L88" i="13"/>
  <c r="K88" i="13"/>
  <c r="V87" i="13"/>
  <c r="R87" i="13"/>
  <c r="P87" i="13"/>
  <c r="O87" i="13"/>
  <c r="L87" i="13"/>
  <c r="K87" i="13"/>
  <c r="V86" i="13"/>
  <c r="R86" i="13"/>
  <c r="P86" i="13"/>
  <c r="O86" i="13"/>
  <c r="L86" i="13"/>
  <c r="K86" i="13"/>
  <c r="V85" i="13"/>
  <c r="R85" i="13"/>
  <c r="P85" i="13"/>
  <c r="O85" i="13"/>
  <c r="L85" i="13"/>
  <c r="K85" i="13"/>
  <c r="V84" i="13"/>
  <c r="R84" i="13"/>
  <c r="P84" i="13"/>
  <c r="O84" i="13"/>
  <c r="L84" i="13"/>
  <c r="K84" i="13"/>
  <c r="V83" i="13"/>
  <c r="R83" i="13"/>
  <c r="P83" i="13"/>
  <c r="O83" i="13"/>
  <c r="L83" i="13"/>
  <c r="K83" i="13"/>
  <c r="V82" i="13"/>
  <c r="R82" i="13"/>
  <c r="P82" i="13"/>
  <c r="O82" i="13"/>
  <c r="L82" i="13"/>
  <c r="K82" i="13"/>
  <c r="V81" i="13"/>
  <c r="R81" i="13"/>
  <c r="P81" i="13"/>
  <c r="O81" i="13"/>
  <c r="L81" i="13"/>
  <c r="K81" i="13"/>
  <c r="V80" i="13"/>
  <c r="R80" i="13"/>
  <c r="P80" i="13"/>
  <c r="O80" i="13"/>
  <c r="L80" i="13"/>
  <c r="K80" i="13"/>
  <c r="V79" i="13"/>
  <c r="R79" i="13"/>
  <c r="P79" i="13"/>
  <c r="O79" i="13"/>
  <c r="L79" i="13"/>
  <c r="K79" i="13"/>
  <c r="V78" i="13"/>
  <c r="R78" i="13"/>
  <c r="P78" i="13"/>
  <c r="O78" i="13"/>
  <c r="L78" i="13"/>
  <c r="K78" i="13"/>
  <c r="V77" i="13"/>
  <c r="R77" i="13"/>
  <c r="P77" i="13"/>
  <c r="O77" i="13"/>
  <c r="L77" i="13"/>
  <c r="K77" i="13"/>
  <c r="V76" i="13"/>
  <c r="R76" i="13"/>
  <c r="P76" i="13"/>
  <c r="O76" i="13"/>
  <c r="L76" i="13"/>
  <c r="K76" i="13"/>
  <c r="V75" i="13"/>
  <c r="R75" i="13"/>
  <c r="P75" i="13"/>
  <c r="O75" i="13"/>
  <c r="L75" i="13"/>
  <c r="K75" i="13"/>
  <c r="V74" i="13"/>
  <c r="R74" i="13"/>
  <c r="P74" i="13"/>
  <c r="O74" i="13"/>
  <c r="L74" i="13"/>
  <c r="K74" i="13"/>
  <c r="V73" i="13"/>
  <c r="R73" i="13"/>
  <c r="P73" i="13"/>
  <c r="O73" i="13"/>
  <c r="L73" i="13"/>
  <c r="K73" i="13"/>
  <c r="V72" i="13"/>
  <c r="R72" i="13"/>
  <c r="P72" i="13"/>
  <c r="O72" i="13"/>
  <c r="L72" i="13"/>
  <c r="K72" i="13"/>
  <c r="V71" i="13"/>
  <c r="R71" i="13"/>
  <c r="P71" i="13"/>
  <c r="O71" i="13"/>
  <c r="L71" i="13"/>
  <c r="K71" i="13"/>
  <c r="V70" i="13"/>
  <c r="R70" i="13"/>
  <c r="P70" i="13"/>
  <c r="O70" i="13"/>
  <c r="L70" i="13"/>
  <c r="K70" i="13"/>
  <c r="V69" i="13"/>
  <c r="R69" i="13"/>
  <c r="P69" i="13"/>
  <c r="O69" i="13"/>
  <c r="L69" i="13"/>
  <c r="K69" i="13"/>
  <c r="V68" i="13"/>
  <c r="R68" i="13"/>
  <c r="P68" i="13"/>
  <c r="O68" i="13"/>
  <c r="L68" i="13"/>
  <c r="K68" i="13"/>
  <c r="V67" i="13"/>
  <c r="R67" i="13"/>
  <c r="P67" i="13"/>
  <c r="O67" i="13"/>
  <c r="L67" i="13"/>
  <c r="K67" i="13"/>
  <c r="V66" i="13"/>
  <c r="R66" i="13"/>
  <c r="P66" i="13"/>
  <c r="O66" i="13"/>
  <c r="L66" i="13"/>
  <c r="K66" i="13"/>
  <c r="V65" i="13"/>
  <c r="R65" i="13"/>
  <c r="P65" i="13"/>
  <c r="O65" i="13"/>
  <c r="L65" i="13"/>
  <c r="K65" i="13"/>
  <c r="V64" i="13"/>
  <c r="R64" i="13"/>
  <c r="P64" i="13"/>
  <c r="O64" i="13"/>
  <c r="L64" i="13"/>
  <c r="K64" i="13"/>
  <c r="V63" i="13"/>
  <c r="R63" i="13"/>
  <c r="P63" i="13"/>
  <c r="O63" i="13"/>
  <c r="L63" i="13"/>
  <c r="K63" i="13"/>
  <c r="V62" i="13"/>
  <c r="R62" i="13"/>
  <c r="P62" i="13"/>
  <c r="O62" i="13"/>
  <c r="L62" i="13"/>
  <c r="K62" i="13"/>
  <c r="V61" i="13"/>
  <c r="R61" i="13"/>
  <c r="P61" i="13"/>
  <c r="O61" i="13"/>
  <c r="L61" i="13"/>
  <c r="K61" i="13"/>
  <c r="V60" i="13"/>
  <c r="R60" i="13"/>
  <c r="P60" i="13"/>
  <c r="O60" i="13"/>
  <c r="L60" i="13"/>
  <c r="K60" i="13"/>
  <c r="V59" i="13"/>
  <c r="R59" i="13"/>
  <c r="P59" i="13"/>
  <c r="O59" i="13"/>
  <c r="L59" i="13"/>
  <c r="K59" i="13"/>
  <c r="V58" i="13"/>
  <c r="R58" i="13"/>
  <c r="P58" i="13"/>
  <c r="O58" i="13"/>
  <c r="L58" i="13"/>
  <c r="K58" i="13"/>
  <c r="V57" i="13"/>
  <c r="R57" i="13"/>
  <c r="P57" i="13"/>
  <c r="O57" i="13"/>
  <c r="L57" i="13"/>
  <c r="K57" i="13"/>
  <c r="V56" i="13"/>
  <c r="R56" i="13"/>
  <c r="P56" i="13"/>
  <c r="O56" i="13"/>
  <c r="L56" i="13"/>
  <c r="K56" i="13"/>
  <c r="V55" i="13"/>
  <c r="R55" i="13"/>
  <c r="P55" i="13"/>
  <c r="O55" i="13"/>
  <c r="L55" i="13"/>
  <c r="K55" i="13"/>
  <c r="V54" i="13"/>
  <c r="R54" i="13"/>
  <c r="P54" i="13"/>
  <c r="O54" i="13"/>
  <c r="L54" i="13"/>
  <c r="K54" i="13"/>
  <c r="V53" i="13"/>
  <c r="R53" i="13"/>
  <c r="P53" i="13"/>
  <c r="O53" i="13"/>
  <c r="L53" i="13"/>
  <c r="K53" i="13"/>
  <c r="V52" i="13"/>
  <c r="R52" i="13"/>
  <c r="P52" i="13"/>
  <c r="O52" i="13"/>
  <c r="L52" i="13"/>
  <c r="K52" i="13"/>
  <c r="V51" i="13"/>
  <c r="R51" i="13"/>
  <c r="P51" i="13"/>
  <c r="O51" i="13"/>
  <c r="L51" i="13"/>
  <c r="K51" i="13"/>
  <c r="V50" i="13"/>
  <c r="R50" i="13"/>
  <c r="P50" i="13"/>
  <c r="O50" i="13"/>
  <c r="L50" i="13"/>
  <c r="K50" i="13"/>
  <c r="V49" i="13"/>
  <c r="R49" i="13"/>
  <c r="P49" i="13"/>
  <c r="O49" i="13"/>
  <c r="L49" i="13"/>
  <c r="K49" i="13"/>
  <c r="V48" i="13"/>
  <c r="R48" i="13"/>
  <c r="P48" i="13"/>
  <c r="O48" i="13"/>
  <c r="L48" i="13"/>
  <c r="K48" i="13"/>
  <c r="V47" i="13"/>
  <c r="R47" i="13"/>
  <c r="P47" i="13"/>
  <c r="O47" i="13"/>
  <c r="L47" i="13"/>
  <c r="K47" i="13"/>
  <c r="V46" i="13"/>
  <c r="R46" i="13"/>
  <c r="P46" i="13"/>
  <c r="O46" i="13"/>
  <c r="L46" i="13"/>
  <c r="K46" i="13"/>
  <c r="V45" i="13"/>
  <c r="R45" i="13"/>
  <c r="P45" i="13"/>
  <c r="O45" i="13"/>
  <c r="L45" i="13"/>
  <c r="K45" i="13"/>
  <c r="V44" i="13"/>
  <c r="R44" i="13"/>
  <c r="P44" i="13"/>
  <c r="O44" i="13"/>
  <c r="L44" i="13"/>
  <c r="K44" i="13"/>
  <c r="V43" i="13"/>
  <c r="R43" i="13"/>
  <c r="P43" i="13"/>
  <c r="O43" i="13"/>
  <c r="L43" i="13"/>
  <c r="K43" i="13"/>
  <c r="V42" i="13"/>
  <c r="R42" i="13"/>
  <c r="P42" i="13"/>
  <c r="O42" i="13"/>
  <c r="L42" i="13"/>
  <c r="K42" i="13"/>
  <c r="V41" i="13"/>
  <c r="R41" i="13"/>
  <c r="P41" i="13"/>
  <c r="O41" i="13"/>
  <c r="L41" i="13"/>
  <c r="K41" i="13"/>
  <c r="V40" i="13"/>
  <c r="R40" i="13"/>
  <c r="P40" i="13"/>
  <c r="O40" i="13"/>
  <c r="L40" i="13"/>
  <c r="K40" i="13"/>
  <c r="V39" i="13"/>
  <c r="R39" i="13"/>
  <c r="P39" i="13"/>
  <c r="O39" i="13"/>
  <c r="L39" i="13"/>
  <c r="K39" i="13"/>
  <c r="V38" i="13"/>
  <c r="R38" i="13"/>
  <c r="P38" i="13"/>
  <c r="O38" i="13"/>
  <c r="L38" i="13"/>
  <c r="K38" i="13"/>
  <c r="V37" i="13"/>
  <c r="R37" i="13"/>
  <c r="P37" i="13"/>
  <c r="O37" i="13"/>
  <c r="L37" i="13"/>
  <c r="K37" i="13"/>
  <c r="V36" i="13"/>
  <c r="R36" i="13"/>
  <c r="P36" i="13"/>
  <c r="O36" i="13"/>
  <c r="L36" i="13"/>
  <c r="K36" i="13"/>
  <c r="V35" i="13"/>
  <c r="R35" i="13"/>
  <c r="P35" i="13"/>
  <c r="O35" i="13"/>
  <c r="L35" i="13"/>
  <c r="K35" i="13"/>
  <c r="V34" i="13"/>
  <c r="R34" i="13"/>
  <c r="P34" i="13"/>
  <c r="O34" i="13"/>
  <c r="L34" i="13"/>
  <c r="K34" i="13"/>
  <c r="V33" i="13"/>
  <c r="R33" i="13"/>
  <c r="P33" i="13"/>
  <c r="O33" i="13"/>
  <c r="L33" i="13"/>
  <c r="K33" i="13"/>
  <c r="V32" i="13"/>
  <c r="R32" i="13"/>
  <c r="P32" i="13"/>
  <c r="O32" i="13"/>
  <c r="L32" i="13"/>
  <c r="K32" i="13"/>
  <c r="V31" i="13"/>
  <c r="R31" i="13"/>
  <c r="P31" i="13"/>
  <c r="O31" i="13"/>
  <c r="L31" i="13"/>
  <c r="K31" i="13"/>
  <c r="V30" i="13"/>
  <c r="R30" i="13"/>
  <c r="P30" i="13"/>
  <c r="O30" i="13"/>
  <c r="L30" i="13"/>
  <c r="K30" i="13"/>
  <c r="V29" i="13"/>
  <c r="R29" i="13"/>
  <c r="P29" i="13"/>
  <c r="O29" i="13"/>
  <c r="L29" i="13"/>
  <c r="K29" i="13"/>
  <c r="V28" i="13"/>
  <c r="R28" i="13"/>
  <c r="P28" i="13"/>
  <c r="O28" i="13"/>
  <c r="L28" i="13"/>
  <c r="K28" i="13"/>
  <c r="V27" i="13"/>
  <c r="R27" i="13"/>
  <c r="P27" i="13"/>
  <c r="O27" i="13"/>
  <c r="L27" i="13"/>
  <c r="K27" i="13"/>
  <c r="V26" i="13"/>
  <c r="R26" i="13"/>
  <c r="P26" i="13"/>
  <c r="O26" i="13"/>
  <c r="L26" i="13"/>
  <c r="K26" i="13"/>
  <c r="V25" i="13"/>
  <c r="R25" i="13"/>
  <c r="P25" i="13"/>
  <c r="O25" i="13"/>
  <c r="L25" i="13"/>
  <c r="K25" i="13"/>
  <c r="V24" i="13"/>
  <c r="R24" i="13"/>
  <c r="P24" i="13"/>
  <c r="O24" i="13"/>
  <c r="L24" i="13"/>
  <c r="K24" i="13"/>
  <c r="V23" i="13"/>
  <c r="R23" i="13"/>
  <c r="P23" i="13"/>
  <c r="O23" i="13"/>
  <c r="L23" i="13"/>
  <c r="K23" i="13"/>
  <c r="V22" i="13"/>
  <c r="R22" i="13"/>
  <c r="P22" i="13"/>
  <c r="O22" i="13"/>
  <c r="L22" i="13"/>
  <c r="K22" i="13"/>
  <c r="V21" i="13"/>
  <c r="R21" i="13"/>
  <c r="P21" i="13"/>
  <c r="O21" i="13"/>
  <c r="L21" i="13"/>
  <c r="K21" i="13"/>
  <c r="V20" i="13"/>
  <c r="R20" i="13"/>
  <c r="P20" i="13"/>
  <c r="O20" i="13"/>
  <c r="L20" i="13"/>
  <c r="K20" i="13"/>
  <c r="V19" i="13"/>
  <c r="R19" i="13"/>
  <c r="P19" i="13"/>
  <c r="O19" i="13"/>
  <c r="L19" i="13"/>
  <c r="K19" i="13"/>
  <c r="V18" i="13"/>
  <c r="R18" i="13"/>
  <c r="P18" i="13"/>
  <c r="O18" i="13"/>
  <c r="L18" i="13"/>
  <c r="K18" i="13"/>
  <c r="V17" i="13"/>
  <c r="R17" i="13"/>
  <c r="P17" i="13"/>
  <c r="O17" i="13"/>
  <c r="L17" i="13"/>
  <c r="K17" i="13"/>
  <c r="V16" i="13"/>
  <c r="R16" i="13"/>
  <c r="P16" i="13"/>
  <c r="O16" i="13"/>
  <c r="L16" i="13"/>
  <c r="K16" i="13"/>
  <c r="V15" i="13"/>
  <c r="R15" i="13"/>
  <c r="P15" i="13"/>
  <c r="O15" i="13"/>
  <c r="L15" i="13"/>
  <c r="K15" i="13"/>
  <c r="V14" i="13"/>
  <c r="R14" i="13"/>
  <c r="P14" i="13"/>
  <c r="O14" i="13"/>
  <c r="L14" i="13"/>
  <c r="K14" i="13"/>
  <c r="V13" i="13"/>
  <c r="R13" i="13"/>
  <c r="P13" i="13"/>
  <c r="O13" i="13"/>
  <c r="L13" i="13"/>
  <c r="K13" i="13"/>
  <c r="V12" i="13"/>
  <c r="R12" i="13"/>
  <c r="P12" i="13"/>
  <c r="O12" i="13"/>
  <c r="L12" i="13"/>
  <c r="K12" i="13"/>
  <c r="V11" i="13"/>
  <c r="R11" i="13"/>
  <c r="P11" i="13"/>
  <c r="O11" i="13"/>
  <c r="L11" i="13"/>
  <c r="K11" i="13"/>
  <c r="V10" i="13"/>
  <c r="R10" i="13"/>
  <c r="P10" i="13"/>
  <c r="O10" i="13"/>
  <c r="L10" i="13"/>
  <c r="K10" i="13"/>
  <c r="V9" i="13"/>
  <c r="R9" i="13"/>
  <c r="P9" i="13"/>
  <c r="O9" i="13"/>
  <c r="L9" i="13"/>
  <c r="K9" i="13"/>
  <c r="V8" i="13"/>
  <c r="R8" i="13"/>
  <c r="P8" i="13"/>
  <c r="O8" i="13"/>
  <c r="L8" i="13"/>
  <c r="K8" i="13"/>
  <c r="U3" i="13"/>
  <c r="R214" i="13" s="1"/>
  <c r="U128" i="17" l="1"/>
  <c r="W111" i="17" a="1"/>
  <c r="W111" i="17" s="1"/>
  <c r="W554" i="16" a="1"/>
  <c r="W554" i="16" s="1"/>
  <c r="Z554" i="16"/>
  <c r="W725" i="16" a="1"/>
  <c r="W725" i="16" s="1"/>
  <c r="Z725" i="16"/>
  <c r="Z537" i="16"/>
  <c r="W537" i="16" a="1"/>
  <c r="W537" i="16" s="1"/>
  <c r="U770" i="16"/>
  <c r="T21" i="14"/>
  <c r="U21" i="14" s="1"/>
  <c r="W21" i="14" s="1" a="1"/>
  <c r="W21" i="14" s="1"/>
  <c r="T34" i="14"/>
  <c r="U34" i="14" s="1"/>
  <c r="W34" i="14" s="1" a="1"/>
  <c r="W34" i="14" s="1"/>
  <c r="T56" i="14"/>
  <c r="U56" i="14" s="1"/>
  <c r="W56" i="14" s="1" a="1"/>
  <c r="W56" i="14" s="1"/>
  <c r="T77" i="14"/>
  <c r="U77" i="14" s="1"/>
  <c r="W77" i="14" s="1" a="1"/>
  <c r="W77" i="14" s="1"/>
  <c r="T30" i="14"/>
  <c r="U30" i="14" s="1"/>
  <c r="W30" i="14" s="1" a="1"/>
  <c r="W30" i="14" s="1"/>
  <c r="T41" i="14"/>
  <c r="U41" i="14" s="1"/>
  <c r="W41" i="14" s="1" a="1"/>
  <c r="W41" i="14" s="1"/>
  <c r="T78" i="14"/>
  <c r="U78" i="14" s="1"/>
  <c r="W78" i="14" s="1" a="1"/>
  <c r="W78" i="14" s="1"/>
  <c r="T76" i="14"/>
  <c r="U76" i="14" s="1"/>
  <c r="W76" i="14" s="1" a="1"/>
  <c r="W76" i="14" s="1"/>
  <c r="T117" i="14"/>
  <c r="U117" i="14" s="1"/>
  <c r="W117" i="14" s="1" a="1"/>
  <c r="W117" i="14" s="1"/>
  <c r="T100" i="14"/>
  <c r="U100" i="14" s="1"/>
  <c r="W100" i="14" s="1" a="1"/>
  <c r="W100" i="14" s="1"/>
  <c r="T95" i="14"/>
  <c r="U95" i="14" s="1"/>
  <c r="W95" i="14" s="1" a="1"/>
  <c r="W95" i="14" s="1"/>
  <c r="T50" i="14"/>
  <c r="U50" i="14" s="1"/>
  <c r="W50" i="14" s="1" a="1"/>
  <c r="W50" i="14" s="1"/>
  <c r="T101" i="14"/>
  <c r="U101" i="14" s="1"/>
  <c r="W101" i="14" s="1" a="1"/>
  <c r="W101" i="14" s="1"/>
  <c r="S108" i="14"/>
  <c r="T108" i="14" s="1"/>
  <c r="U704" i="13"/>
  <c r="W704" i="13" s="1" a="1"/>
  <c r="W704" i="13" s="1"/>
  <c r="T107" i="14"/>
  <c r="U107" i="14" s="1"/>
  <c r="W107" i="14" s="1" a="1"/>
  <c r="W107" i="14" s="1"/>
  <c r="T36" i="14"/>
  <c r="U36" i="14" s="1"/>
  <c r="W36" i="14" s="1" a="1"/>
  <c r="W36" i="14" s="1"/>
  <c r="T119" i="14"/>
  <c r="U119" i="14" s="1"/>
  <c r="W119" i="14" s="1" a="1"/>
  <c r="W119" i="14" s="1"/>
  <c r="T102" i="14"/>
  <c r="U102" i="14" s="1"/>
  <c r="W102" i="14" s="1" a="1"/>
  <c r="W102" i="14" s="1"/>
  <c r="T38" i="14"/>
  <c r="U38" i="14" s="1"/>
  <c r="W38" i="14" s="1" a="1"/>
  <c r="W38" i="14" s="1"/>
  <c r="T45" i="14"/>
  <c r="U45" i="14" s="1"/>
  <c r="W45" i="14" s="1" a="1"/>
  <c r="W45" i="14" s="1"/>
  <c r="T48" i="14"/>
  <c r="U48" i="14" s="1"/>
  <c r="W48" i="14" s="1" a="1"/>
  <c r="W48" i="14" s="1"/>
  <c r="T52" i="14"/>
  <c r="U52" i="14" s="1"/>
  <c r="W52" i="14" s="1" a="1"/>
  <c r="W52" i="14" s="1"/>
  <c r="T60" i="14"/>
  <c r="U60" i="14" s="1"/>
  <c r="W60" i="14" s="1" a="1"/>
  <c r="W60" i="14" s="1"/>
  <c r="T65" i="14"/>
  <c r="U65" i="14" s="1"/>
  <c r="W65" i="14" s="1" a="1"/>
  <c r="W65" i="14" s="1"/>
  <c r="T29" i="14"/>
  <c r="U29" i="14" s="1"/>
  <c r="W29" i="14" s="1" a="1"/>
  <c r="W29" i="14" s="1"/>
  <c r="T40" i="14"/>
  <c r="U40" i="14" s="1"/>
  <c r="W40" i="14" s="1" a="1"/>
  <c r="W40" i="14" s="1"/>
  <c r="T28" i="14"/>
  <c r="U28" i="14" s="1"/>
  <c r="W28" i="14" s="1" a="1"/>
  <c r="W28" i="14" s="1"/>
  <c r="T20" i="14"/>
  <c r="U20" i="14" s="1"/>
  <c r="W20" i="14" s="1" a="1"/>
  <c r="W20" i="14" s="1"/>
  <c r="T42" i="14"/>
  <c r="U42" i="14" s="1"/>
  <c r="W42" i="14" s="1" a="1"/>
  <c r="W42" i="14" s="1"/>
  <c r="T58" i="14"/>
  <c r="U58" i="14" s="1"/>
  <c r="W58" i="14" s="1" a="1"/>
  <c r="W58" i="14" s="1"/>
  <c r="T105" i="14"/>
  <c r="U105" i="14" s="1"/>
  <c r="W105" i="14" s="1" a="1"/>
  <c r="W105" i="14" s="1"/>
  <c r="T19" i="14"/>
  <c r="U19" i="14" s="1"/>
  <c r="W19" i="14" s="1" a="1"/>
  <c r="W19" i="14" s="1"/>
  <c r="T70" i="14"/>
  <c r="U70" i="14" s="1"/>
  <c r="W70" i="14" s="1" a="1"/>
  <c r="W70" i="14" s="1"/>
  <c r="T39" i="14"/>
  <c r="U39" i="14" s="1"/>
  <c r="W39" i="14" s="1" a="1"/>
  <c r="W39" i="14" s="1"/>
  <c r="T44" i="14"/>
  <c r="U44" i="14" s="1"/>
  <c r="W44" i="14" s="1" a="1"/>
  <c r="W44" i="14" s="1"/>
  <c r="T51" i="14"/>
  <c r="U51" i="14" s="1"/>
  <c r="W51" i="14" s="1" a="1"/>
  <c r="W51" i="14" s="1"/>
  <c r="T55" i="14"/>
  <c r="U55" i="14" s="1"/>
  <c r="W55" i="14" s="1" a="1"/>
  <c r="W55" i="14" s="1"/>
  <c r="T98" i="14"/>
  <c r="U98" i="14" s="1"/>
  <c r="W98" i="14" s="1" a="1"/>
  <c r="W98" i="14" s="1"/>
  <c r="T16" i="14"/>
  <c r="T81" i="14"/>
  <c r="U81" i="14" s="1"/>
  <c r="W81" i="14" s="1" a="1"/>
  <c r="W81" i="14" s="1"/>
  <c r="T62" i="14"/>
  <c r="U62" i="14" s="1"/>
  <c r="W62" i="14" s="1" a="1"/>
  <c r="W62" i="14" s="1"/>
  <c r="T32" i="14"/>
  <c r="U32" i="14" s="1"/>
  <c r="W32" i="14" s="1" a="1"/>
  <c r="W32" i="14" s="1"/>
  <c r="T47" i="14"/>
  <c r="U47" i="14" s="1"/>
  <c r="W47" i="14" s="1" a="1"/>
  <c r="W47" i="14" s="1"/>
  <c r="T94" i="14"/>
  <c r="U94" i="14" s="1"/>
  <c r="W94" i="14" s="1" a="1"/>
  <c r="W94" i="14" s="1"/>
  <c r="P128" i="14"/>
  <c r="T54" i="14"/>
  <c r="U54" i="14" s="1"/>
  <c r="W54" i="14" s="1" a="1"/>
  <c r="W54" i="14" s="1"/>
  <c r="T118" i="14"/>
  <c r="U118" i="14" s="1"/>
  <c r="W118" i="14" s="1" a="1"/>
  <c r="W118" i="14" s="1"/>
  <c r="T103" i="14"/>
  <c r="U103" i="14" s="1"/>
  <c r="W103" i="14" s="1" a="1"/>
  <c r="W103" i="14" s="1"/>
  <c r="T85" i="14"/>
  <c r="U85" i="14" s="1"/>
  <c r="W85" i="14" s="1" a="1"/>
  <c r="W85" i="14" s="1"/>
  <c r="T26" i="14"/>
  <c r="U26" i="14" s="1"/>
  <c r="W26" i="14" s="1" a="1"/>
  <c r="W26" i="14" s="1"/>
  <c r="T18" i="14"/>
  <c r="U18" i="14" s="1"/>
  <c r="W18" i="14" s="1" a="1"/>
  <c r="W18" i="14" s="1"/>
  <c r="S168" i="13"/>
  <c r="R709" i="13"/>
  <c r="R532" i="13"/>
  <c r="R713" i="13"/>
  <c r="R525" i="13"/>
  <c r="R719" i="13"/>
  <c r="S167" i="13"/>
  <c r="R524" i="13"/>
  <c r="R528" i="13"/>
  <c r="R531" i="13"/>
  <c r="R708" i="13"/>
  <c r="R712" i="13"/>
  <c r="R715" i="13"/>
  <c r="R718" i="13"/>
  <c r="R763" i="13"/>
  <c r="R527" i="13"/>
  <c r="R530" i="13"/>
  <c r="R711" i="13"/>
  <c r="R717" i="13"/>
  <c r="S169" i="13"/>
  <c r="R526" i="13"/>
  <c r="R710" i="13"/>
  <c r="R720" i="13"/>
  <c r="R756" i="13"/>
  <c r="K128" i="14"/>
  <c r="V128" i="14"/>
  <c r="T79" i="14"/>
  <c r="U79" i="14" s="1"/>
  <c r="W79" i="14" s="1" a="1"/>
  <c r="W79" i="14" s="1"/>
  <c r="T87" i="14"/>
  <c r="U87" i="14" s="1"/>
  <c r="W87" i="14" s="1" a="1"/>
  <c r="W87" i="14" s="1"/>
  <c r="T24" i="14"/>
  <c r="U24" i="14" s="1"/>
  <c r="W24" i="14" s="1" a="1"/>
  <c r="W24" i="14" s="1"/>
  <c r="T22" i="14"/>
  <c r="U22" i="14" s="1"/>
  <c r="W22" i="14" s="1" a="1"/>
  <c r="W22" i="14" s="1"/>
  <c r="L128" i="14"/>
  <c r="T86" i="14"/>
  <c r="U86" i="14" s="1"/>
  <c r="W86" i="14" s="1" a="1"/>
  <c r="W86" i="14" s="1"/>
  <c r="O128" i="14"/>
  <c r="T83" i="14"/>
  <c r="U83" i="14" s="1"/>
  <c r="W83" i="14" s="1" a="1"/>
  <c r="W83" i="14" s="1"/>
  <c r="T73" i="14"/>
  <c r="U73" i="14" s="1"/>
  <c r="W73" i="14" s="1" a="1"/>
  <c r="W73" i="14" s="1"/>
  <c r="T31" i="14"/>
  <c r="U31" i="14" s="1"/>
  <c r="W31" i="14" s="1" a="1"/>
  <c r="W31" i="14" s="1"/>
  <c r="T89" i="14"/>
  <c r="U89" i="14" s="1"/>
  <c r="W89" i="14" s="1" a="1"/>
  <c r="W89" i="14" s="1"/>
  <c r="T71" i="14"/>
  <c r="U71" i="14" s="1"/>
  <c r="W71" i="14" s="1" a="1"/>
  <c r="W71" i="14" s="1"/>
  <c r="Q763" i="13"/>
  <c r="T763" i="13" s="1"/>
  <c r="U763" i="13" s="1"/>
  <c r="W763" i="13" s="1" a="1"/>
  <c r="W763" i="13" s="1"/>
  <c r="Q301" i="13"/>
  <c r="Q713" i="13"/>
  <c r="Q573" i="13"/>
  <c r="Q575" i="13"/>
  <c r="Q577" i="13"/>
  <c r="Q579" i="13"/>
  <c r="Q580" i="13"/>
  <c r="Q582" i="13"/>
  <c r="Q584" i="13"/>
  <c r="Q586" i="13"/>
  <c r="Q588" i="13"/>
  <c r="Q590" i="13"/>
  <c r="Q592" i="13"/>
  <c r="Q594" i="13"/>
  <c r="Q596" i="13"/>
  <c r="Q602" i="13"/>
  <c r="Q605" i="13"/>
  <c r="Q611" i="13"/>
  <c r="Q615" i="13"/>
  <c r="Q619" i="13"/>
  <c r="Q621" i="13"/>
  <c r="Q623" i="13"/>
  <c r="Q625" i="13"/>
  <c r="Q627" i="13"/>
  <c r="Q629" i="13"/>
  <c r="Q631" i="13"/>
  <c r="Q633" i="13"/>
  <c r="Q635" i="13"/>
  <c r="Q637" i="13"/>
  <c r="Q665" i="13"/>
  <c r="Q675" i="13"/>
  <c r="Q677" i="13"/>
  <c r="Q679" i="13"/>
  <c r="Q691" i="13"/>
  <c r="Q693" i="13"/>
  <c r="Q695" i="13"/>
  <c r="Q272" i="13"/>
  <c r="Q639" i="13"/>
  <c r="Q671" i="13"/>
  <c r="I768" i="13"/>
  <c r="I775" i="13" s="1"/>
  <c r="Q198" i="13"/>
  <c r="Q200" i="13"/>
  <c r="Q202" i="13"/>
  <c r="Q204" i="13"/>
  <c r="Q214" i="13"/>
  <c r="T214" i="13" s="1"/>
  <c r="U214" i="13" s="1"/>
  <c r="W214" i="13" s="1" a="1"/>
  <c r="W214" i="13" s="1"/>
  <c r="Q218" i="13"/>
  <c r="Q245" i="13"/>
  <c r="Q247" i="13"/>
  <c r="Q304" i="13"/>
  <c r="Q103" i="13"/>
  <c r="Q105" i="13"/>
  <c r="Q107" i="13"/>
  <c r="Q109" i="13"/>
  <c r="Q111" i="13"/>
  <c r="Q113" i="13"/>
  <c r="Q115" i="13"/>
  <c r="Q133" i="13"/>
  <c r="Q139" i="13"/>
  <c r="Q149" i="13"/>
  <c r="U571" i="13"/>
  <c r="W571" i="13" s="1" a="1"/>
  <c r="W571" i="13" s="1"/>
  <c r="Q572" i="13"/>
  <c r="G768" i="13"/>
  <c r="Q241" i="13"/>
  <c r="Q243" i="13"/>
  <c r="Q257" i="13"/>
  <c r="Q259" i="13"/>
  <c r="Q261" i="13"/>
  <c r="Q263" i="13"/>
  <c r="Q265" i="13"/>
  <c r="Q267" i="13"/>
  <c r="Q275" i="13"/>
  <c r="Q378" i="13"/>
  <c r="Q386" i="13"/>
  <c r="Q394" i="13"/>
  <c r="Q289" i="13"/>
  <c r="Q574" i="13"/>
  <c r="K574" i="13" s="1"/>
  <c r="L574" i="13" s="1"/>
  <c r="Q576" i="13"/>
  <c r="Q578" i="13"/>
  <c r="Q581" i="13"/>
  <c r="Q583" i="13"/>
  <c r="Q585" i="13"/>
  <c r="Q587" i="13"/>
  <c r="Q589" i="13"/>
  <c r="Q591" i="13"/>
  <c r="Q593" i="13"/>
  <c r="Q595" i="13"/>
  <c r="Q599" i="13"/>
  <c r="Q603" i="13"/>
  <c r="Q606" i="13"/>
  <c r="Q608" i="13"/>
  <c r="Q614" i="13"/>
  <c r="Q636" i="13"/>
  <c r="Q638" i="13"/>
  <c r="Q641" i="13"/>
  <c r="Q657" i="13"/>
  <c r="Q663" i="13"/>
  <c r="Q697" i="13"/>
  <c r="Q719" i="13"/>
  <c r="Q720" i="13"/>
  <c r="T720" i="13" s="1"/>
  <c r="U720" i="13" s="1"/>
  <c r="W720" i="13" s="1" a="1"/>
  <c r="W720" i="13" s="1"/>
  <c r="Q762" i="13"/>
  <c r="Q280" i="13"/>
  <c r="Q290" i="13"/>
  <c r="Q294" i="13"/>
  <c r="Q298" i="13"/>
  <c r="Q672" i="13"/>
  <c r="Q674" i="13"/>
  <c r="Q678" i="13"/>
  <c r="Q688" i="13"/>
  <c r="Q690" i="13"/>
  <c r="Q694" i="13"/>
  <c r="Q178" i="13"/>
  <c r="Q284" i="13"/>
  <c r="Q117" i="13"/>
  <c r="Q155" i="13"/>
  <c r="Q159" i="13"/>
  <c r="Q161" i="13"/>
  <c r="Q163" i="13"/>
  <c r="W178" i="13" a="1"/>
  <c r="W178" i="13" s="1"/>
  <c r="Q180" i="13"/>
  <c r="Q182" i="13"/>
  <c r="Q184" i="13"/>
  <c r="Q186" i="13"/>
  <c r="Q188" i="13"/>
  <c r="Q191" i="13"/>
  <c r="Q193" i="13"/>
  <c r="Q195" i="13"/>
  <c r="Q197" i="13"/>
  <c r="Q213" i="13"/>
  <c r="Q215" i="13"/>
  <c r="Q217" i="13"/>
  <c r="Q222" i="13"/>
  <c r="Q242" i="13"/>
  <c r="Q511" i="13"/>
  <c r="Q513" i="13"/>
  <c r="V553" i="13"/>
  <c r="H552" i="13" s="1"/>
  <c r="H553" i="13" s="1"/>
  <c r="Q547" i="13"/>
  <c r="Q558" i="13"/>
  <c r="Q560" i="13"/>
  <c r="Q562" i="13"/>
  <c r="Q564" i="13"/>
  <c r="Q648" i="13"/>
  <c r="Q650" i="13"/>
  <c r="Q654" i="13"/>
  <c r="Q664" i="13"/>
  <c r="Q681" i="13"/>
  <c r="Q687" i="13"/>
  <c r="Q712" i="13"/>
  <c r="Q714" i="13"/>
  <c r="Q717" i="13"/>
  <c r="Q228" i="13"/>
  <c r="Q235" i="13"/>
  <c r="Q238" i="13"/>
  <c r="Q240" i="13"/>
  <c r="Q244" i="13"/>
  <c r="Q246" i="13"/>
  <c r="Q249" i="13"/>
  <c r="Q258" i="13"/>
  <c r="Q262" i="13"/>
  <c r="Q266" i="13"/>
  <c r="Q276" i="13"/>
  <c r="Q278" i="13"/>
  <c r="Q314" i="13"/>
  <c r="Q322" i="13"/>
  <c r="Q330" i="13"/>
  <c r="Q338" i="13"/>
  <c r="Q346" i="13"/>
  <c r="Q354" i="13"/>
  <c r="Q362" i="13"/>
  <c r="Q370" i="13"/>
  <c r="Q567" i="13"/>
  <c r="Q570" i="13"/>
  <c r="K570" i="13" s="1"/>
  <c r="L570" i="13" s="1"/>
  <c r="Q651" i="13"/>
  <c r="Q653" i="13"/>
  <c r="Q655" i="13"/>
  <c r="Q126" i="13"/>
  <c r="Q128" i="13"/>
  <c r="Q130" i="13"/>
  <c r="Q119" i="13"/>
  <c r="Q121" i="13"/>
  <c r="Q123" i="13"/>
  <c r="Q125" i="13"/>
  <c r="Q127" i="13"/>
  <c r="Q129" i="13"/>
  <c r="Q131" i="13"/>
  <c r="Q165" i="13"/>
  <c r="Q177" i="13"/>
  <c r="Q203" i="13"/>
  <c r="Q205" i="13"/>
  <c r="Q208" i="13"/>
  <c r="Q211" i="13"/>
  <c r="Q225" i="13"/>
  <c r="Q229" i="13"/>
  <c r="Q231" i="13"/>
  <c r="Q233" i="13"/>
  <c r="Q237" i="13"/>
  <c r="Q607" i="13"/>
  <c r="Q141" i="13"/>
  <c r="Q143" i="13"/>
  <c r="Q145" i="13"/>
  <c r="Q147" i="13"/>
  <c r="Q151" i="13"/>
  <c r="Q153" i="13"/>
  <c r="Q176" i="13"/>
  <c r="Q179" i="13"/>
  <c r="Q181" i="13"/>
  <c r="Q183" i="13"/>
  <c r="Q185" i="13"/>
  <c r="Q187" i="13"/>
  <c r="Q189" i="13"/>
  <c r="Q190" i="13"/>
  <c r="Q192" i="13"/>
  <c r="Q194" i="13"/>
  <c r="Q196" i="13"/>
  <c r="Q207" i="13"/>
  <c r="Q216" i="13"/>
  <c r="Q219" i="13"/>
  <c r="Q226" i="13"/>
  <c r="Q236" i="13"/>
  <c r="Q647" i="13"/>
  <c r="Q239" i="13"/>
  <c r="Q255" i="13"/>
  <c r="Q256" i="13"/>
  <c r="Q264" i="13"/>
  <c r="Q268" i="13"/>
  <c r="Q270" i="13"/>
  <c r="Q274" i="13"/>
  <c r="Q279" i="13"/>
  <c r="Q281" i="13"/>
  <c r="Q283" i="13"/>
  <c r="Q285" i="13"/>
  <c r="Q403" i="13"/>
  <c r="Q407" i="13"/>
  <c r="Q411" i="13"/>
  <c r="Q413" i="13"/>
  <c r="Q415" i="13"/>
  <c r="Q417" i="13"/>
  <c r="Q419" i="13"/>
  <c r="Q421" i="13"/>
  <c r="Q423" i="13"/>
  <c r="Q425" i="13"/>
  <c r="Q427" i="13"/>
  <c r="Q429" i="13"/>
  <c r="Q431" i="13"/>
  <c r="Q433" i="13"/>
  <c r="Q435" i="13"/>
  <c r="Q437" i="13"/>
  <c r="Q439" i="13"/>
  <c r="Q441" i="13"/>
  <c r="Q443" i="13"/>
  <c r="Q445" i="13"/>
  <c r="Q447" i="13"/>
  <c r="Q449" i="13"/>
  <c r="Q451" i="13"/>
  <c r="Q453" i="13"/>
  <c r="Q455" i="13"/>
  <c r="Q457" i="13"/>
  <c r="Q459" i="13"/>
  <c r="Q527" i="13"/>
  <c r="Q540" i="13"/>
  <c r="Q542" i="13"/>
  <c r="Q544" i="13"/>
  <c r="U567" i="13"/>
  <c r="W567" i="13" s="1" a="1"/>
  <c r="W567" i="13" s="1"/>
  <c r="Q600" i="13"/>
  <c r="Q618" i="13"/>
  <c r="Q640" i="13"/>
  <c r="Q642" i="13"/>
  <c r="Q646" i="13"/>
  <c r="Q649" i="13"/>
  <c r="Q659" i="13"/>
  <c r="Q661" i="13"/>
  <c r="Q666" i="13"/>
  <c r="Q670" i="13"/>
  <c r="Q673" i="13"/>
  <c r="Q683" i="13"/>
  <c r="Q685" i="13"/>
  <c r="Q696" i="13"/>
  <c r="Q698" i="13"/>
  <c r="Q705" i="13"/>
  <c r="Q707" i="13"/>
  <c r="Q711" i="13"/>
  <c r="Q718" i="13"/>
  <c r="K759" i="13"/>
  <c r="Q728" i="13"/>
  <c r="Q742" i="13"/>
  <c r="Q746" i="13"/>
  <c r="Q750" i="13"/>
  <c r="Q754" i="13"/>
  <c r="Q250" i="13"/>
  <c r="Q252" i="13"/>
  <c r="Q254" i="13"/>
  <c r="Q269" i="13"/>
  <c r="Q271" i="13"/>
  <c r="Q273" i="13"/>
  <c r="Q307" i="13"/>
  <c r="Q402" i="13"/>
  <c r="Q410" i="13"/>
  <c r="Q498" i="13"/>
  <c r="Q500" i="13"/>
  <c r="Q502" i="13"/>
  <c r="Q504" i="13"/>
  <c r="Q506" i="13"/>
  <c r="Q508" i="13"/>
  <c r="Q549" i="13"/>
  <c r="Q612" i="13"/>
  <c r="Q643" i="13"/>
  <c r="Q645" i="13"/>
  <c r="Q656" i="13"/>
  <c r="Q658" i="13"/>
  <c r="Q669" i="13"/>
  <c r="Q680" i="13"/>
  <c r="Q682" i="13"/>
  <c r="Q689" i="13"/>
  <c r="Q708" i="13"/>
  <c r="T708" i="13" s="1"/>
  <c r="U708" i="13" s="1"/>
  <c r="W708" i="13" s="1" a="1"/>
  <c r="W708" i="13" s="1"/>
  <c r="Q709" i="13"/>
  <c r="T709" i="13" s="1"/>
  <c r="U709" i="13" s="1"/>
  <c r="W709" i="13" s="1" a="1"/>
  <c r="W709" i="13" s="1"/>
  <c r="P553" i="13"/>
  <c r="Q23" i="13"/>
  <c r="Q63" i="13"/>
  <c r="Q65" i="13"/>
  <c r="Q67" i="13"/>
  <c r="Q71" i="13"/>
  <c r="Q77" i="13"/>
  <c r="Q79" i="13"/>
  <c r="Q81" i="13"/>
  <c r="Q83" i="13"/>
  <c r="Q85" i="13"/>
  <c r="Q87" i="13"/>
  <c r="Q93" i="13"/>
  <c r="Q97" i="13"/>
  <c r="Q101" i="13"/>
  <c r="Q308" i="13"/>
  <c r="R218" i="13"/>
  <c r="Q110" i="13"/>
  <c r="Q112" i="13"/>
  <c r="Q114" i="13"/>
  <c r="R201" i="13"/>
  <c r="Q9" i="13"/>
  <c r="Q11" i="13"/>
  <c r="Q13" i="13"/>
  <c r="Q15" i="13"/>
  <c r="Q17" i="13"/>
  <c r="Q19" i="13"/>
  <c r="Q21" i="13"/>
  <c r="Q25" i="13"/>
  <c r="Q27" i="13"/>
  <c r="Q29" i="13"/>
  <c r="Q31" i="13"/>
  <c r="Q33" i="13"/>
  <c r="Q35" i="13"/>
  <c r="Q37" i="13"/>
  <c r="Q39" i="13"/>
  <c r="Q41" i="13"/>
  <c r="Q43" i="13"/>
  <c r="Q45" i="13"/>
  <c r="Q47" i="13"/>
  <c r="Q49" i="13"/>
  <c r="Q51" i="13"/>
  <c r="Q53" i="13"/>
  <c r="Q55" i="13"/>
  <c r="Q57" i="13"/>
  <c r="Q59" i="13"/>
  <c r="Q61" i="13"/>
  <c r="Q69" i="13"/>
  <c r="Q73" i="13"/>
  <c r="Q75" i="13"/>
  <c r="Q89" i="13"/>
  <c r="Q91" i="13"/>
  <c r="Q95" i="13"/>
  <c r="Q99" i="13"/>
  <c r="Q158" i="13"/>
  <c r="Q160" i="13"/>
  <c r="Q162" i="13"/>
  <c r="R177" i="13"/>
  <c r="R205" i="13"/>
  <c r="Q135" i="13"/>
  <c r="Q137" i="13"/>
  <c r="Q144" i="13"/>
  <c r="Q146" i="13"/>
  <c r="Q157" i="13"/>
  <c r="Q212" i="13"/>
  <c r="Q221" i="13"/>
  <c r="R229" i="13"/>
  <c r="Q253" i="13"/>
  <c r="Q286" i="13"/>
  <c r="Q303" i="13"/>
  <c r="Q305" i="13"/>
  <c r="Q597" i="13"/>
  <c r="Q662" i="13"/>
  <c r="Q667" i="13"/>
  <c r="Q102" i="13"/>
  <c r="Q104" i="13"/>
  <c r="Q106" i="13"/>
  <c r="Q120" i="13"/>
  <c r="Q122" i="13"/>
  <c r="Q134" i="13"/>
  <c r="Q136" i="13"/>
  <c r="Q138" i="13"/>
  <c r="Q152" i="13"/>
  <c r="Q154" i="13"/>
  <c r="Q169" i="13"/>
  <c r="Q199" i="13"/>
  <c r="Q201" i="13"/>
  <c r="Q206" i="13"/>
  <c r="Q209" i="13"/>
  <c r="Q210" i="13"/>
  <c r="Q220" i="13"/>
  <c r="Q223" i="13"/>
  <c r="Q227" i="13"/>
  <c r="Q230" i="13"/>
  <c r="Q232" i="13"/>
  <c r="Q251" i="13"/>
  <c r="Q260" i="13"/>
  <c r="Q277" i="13"/>
  <c r="Q282" i="13"/>
  <c r="Q291" i="13"/>
  <c r="Q293" i="13"/>
  <c r="Q295" i="13"/>
  <c r="Q297" i="13"/>
  <c r="Q299" i="13"/>
  <c r="S553" i="13"/>
  <c r="Q541" i="13"/>
  <c r="Q543" i="13"/>
  <c r="Q545" i="13"/>
  <c r="Q546" i="13"/>
  <c r="Q568" i="13"/>
  <c r="Q569" i="13"/>
  <c r="K569" i="13" s="1"/>
  <c r="L569" i="13" s="1"/>
  <c r="Q616" i="13"/>
  <c r="Q620" i="13"/>
  <c r="Q622" i="13"/>
  <c r="Q624" i="13"/>
  <c r="Q626" i="13"/>
  <c r="Q628" i="13"/>
  <c r="Q630" i="13"/>
  <c r="Q632" i="13"/>
  <c r="Q634" i="13"/>
  <c r="Q686" i="13"/>
  <c r="V759" i="13"/>
  <c r="H758" i="13" s="1"/>
  <c r="H759" i="13" s="1"/>
  <c r="Q461" i="13"/>
  <c r="Q463" i="13"/>
  <c r="Q465" i="13"/>
  <c r="Q467" i="13"/>
  <c r="Q469" i="13"/>
  <c r="Q471" i="13"/>
  <c r="Q473" i="13"/>
  <c r="Q475" i="13"/>
  <c r="Q477" i="13"/>
  <c r="Q479" i="13"/>
  <c r="Q481" i="13"/>
  <c r="Q483" i="13"/>
  <c r="Q485" i="13"/>
  <c r="Q487" i="13"/>
  <c r="Q489" i="13"/>
  <c r="Q491" i="13"/>
  <c r="Q493" i="13"/>
  <c r="Q495" i="13"/>
  <c r="Q497" i="13"/>
  <c r="Q501" i="13"/>
  <c r="Q505" i="13"/>
  <c r="Q509" i="13"/>
  <c r="Q548" i="13"/>
  <c r="Q565" i="13"/>
  <c r="U572" i="13"/>
  <c r="W572" i="13" s="1" a="1"/>
  <c r="W572" i="13" s="1"/>
  <c r="Q613" i="13"/>
  <c r="Q710" i="13"/>
  <c r="U568" i="13"/>
  <c r="W568" i="13" s="1" a="1"/>
  <c r="W568" i="13" s="1"/>
  <c r="Q601" i="13"/>
  <c r="Q610" i="13"/>
  <c r="Q715" i="13"/>
  <c r="Q234" i="13"/>
  <c r="Q248" i="13"/>
  <c r="Q287" i="13"/>
  <c r="Q292" i="13"/>
  <c r="Q296" i="13"/>
  <c r="Q300" i="13"/>
  <c r="Q302" i="13"/>
  <c r="Q311" i="13"/>
  <c r="Q315" i="13"/>
  <c r="Q319" i="13"/>
  <c r="Q323" i="13"/>
  <c r="Q327" i="13"/>
  <c r="Q331" i="13"/>
  <c r="Q335" i="13"/>
  <c r="Q339" i="13"/>
  <c r="Q343" i="13"/>
  <c r="Q347" i="13"/>
  <c r="Q351" i="13"/>
  <c r="Q355" i="13"/>
  <c r="Q359" i="13"/>
  <c r="Q363" i="13"/>
  <c r="Q367" i="13"/>
  <c r="Q371" i="13"/>
  <c r="Q375" i="13"/>
  <c r="Q379" i="13"/>
  <c r="Q383" i="13"/>
  <c r="Q387" i="13"/>
  <c r="Q391" i="13"/>
  <c r="Q395" i="13"/>
  <c r="Q399" i="13"/>
  <c r="Q559" i="13"/>
  <c r="Q561" i="13"/>
  <c r="Q563" i="13"/>
  <c r="Q566" i="13"/>
  <c r="Q571" i="13"/>
  <c r="Q598" i="13"/>
  <c r="Q604" i="13"/>
  <c r="Q644" i="13"/>
  <c r="Q652" i="13"/>
  <c r="Q660" i="13"/>
  <c r="Q668" i="13"/>
  <c r="Q676" i="13"/>
  <c r="Q684" i="13"/>
  <c r="Q692" i="13"/>
  <c r="Q753" i="13"/>
  <c r="U399" i="13"/>
  <c r="W399" i="13" s="1" a="1"/>
  <c r="W399" i="13" s="1"/>
  <c r="Q515" i="13"/>
  <c r="Q517" i="13"/>
  <c r="Q519" i="13"/>
  <c r="Q521" i="13"/>
  <c r="Q523" i="13"/>
  <c r="Q530" i="13"/>
  <c r="Q531" i="13"/>
  <c r="Q288" i="13"/>
  <c r="Q306" i="13"/>
  <c r="Q510" i="13"/>
  <c r="Q512" i="13"/>
  <c r="Q532" i="13"/>
  <c r="T532" i="13" s="1"/>
  <c r="U532" i="13" s="1"/>
  <c r="W532" i="13" s="1" a="1"/>
  <c r="W532" i="13" s="1"/>
  <c r="Q514" i="13"/>
  <c r="Q516" i="13"/>
  <c r="Q518" i="13"/>
  <c r="Q520" i="13"/>
  <c r="Q522" i="13"/>
  <c r="Q524" i="13"/>
  <c r="T524" i="13" s="1"/>
  <c r="U524" i="13" s="1"/>
  <c r="W524" i="13" s="1" a="1"/>
  <c r="W524" i="13" s="1"/>
  <c r="Q525" i="13"/>
  <c r="T525" i="13" s="1"/>
  <c r="U525" i="13" s="1"/>
  <c r="W525" i="13" s="1" a="1"/>
  <c r="W525" i="13" s="1"/>
  <c r="Q526" i="13"/>
  <c r="Q528" i="13"/>
  <c r="Q529" i="13"/>
  <c r="Q167" i="13"/>
  <c r="L172" i="13"/>
  <c r="V172" i="13"/>
  <c r="O172" i="13"/>
  <c r="Q108" i="13"/>
  <c r="Q116" i="13"/>
  <c r="Q124" i="13"/>
  <c r="Q132" i="13"/>
  <c r="Q140" i="13"/>
  <c r="Q148" i="13"/>
  <c r="Q156" i="13"/>
  <c r="Q164" i="13"/>
  <c r="Q168" i="13"/>
  <c r="Q10" i="13"/>
  <c r="Q12" i="13"/>
  <c r="Q14" i="13"/>
  <c r="Q16" i="13"/>
  <c r="Q18" i="13"/>
  <c r="Q20" i="13"/>
  <c r="Q22" i="13"/>
  <c r="Q24" i="13"/>
  <c r="Q26" i="13"/>
  <c r="Q28" i="13"/>
  <c r="Q30" i="13"/>
  <c r="Q32" i="13"/>
  <c r="Q34" i="13"/>
  <c r="Q36" i="13"/>
  <c r="Q38" i="13"/>
  <c r="Q40" i="13"/>
  <c r="Q42" i="13"/>
  <c r="Q44" i="13"/>
  <c r="Q46" i="13"/>
  <c r="Q48" i="13"/>
  <c r="Q50" i="13"/>
  <c r="Q52" i="13"/>
  <c r="Q54" i="13"/>
  <c r="Q56" i="13"/>
  <c r="Q58" i="13"/>
  <c r="Q60" i="13"/>
  <c r="Q62" i="13"/>
  <c r="Q64" i="13"/>
  <c r="Q66" i="13"/>
  <c r="Q68" i="13"/>
  <c r="Q70" i="13"/>
  <c r="Q72" i="13"/>
  <c r="Q74" i="13"/>
  <c r="Q76" i="13"/>
  <c r="Q78" i="13"/>
  <c r="Q80" i="13"/>
  <c r="Q82" i="13"/>
  <c r="Q84" i="13"/>
  <c r="Q86" i="13"/>
  <c r="Q88" i="13"/>
  <c r="Q90" i="13"/>
  <c r="Q92" i="13"/>
  <c r="Q94" i="13"/>
  <c r="Q96" i="13"/>
  <c r="Q98" i="13"/>
  <c r="Q100" i="13"/>
  <c r="Q118" i="13"/>
  <c r="Q142" i="13"/>
  <c r="Q150" i="13"/>
  <c r="Q166" i="13"/>
  <c r="R172" i="13"/>
  <c r="U13" i="14"/>
  <c r="W13" i="14" s="1" a="1"/>
  <c r="W13" i="14" s="1"/>
  <c r="W9" i="14" a="1"/>
  <c r="W9" i="14" s="1"/>
  <c r="T91" i="14"/>
  <c r="U91" i="14" s="1"/>
  <c r="W91" i="14" s="1" a="1"/>
  <c r="W91" i="14" s="1"/>
  <c r="T80" i="14"/>
  <c r="U80" i="14" s="1"/>
  <c r="W80" i="14" s="1" a="1"/>
  <c r="W80" i="14" s="1"/>
  <c r="T84" i="14"/>
  <c r="U84" i="14" s="1"/>
  <c r="W84" i="14" s="1" a="1"/>
  <c r="W84" i="14" s="1"/>
  <c r="T88" i="14"/>
  <c r="U88" i="14" s="1"/>
  <c r="W88" i="14" s="1" a="1"/>
  <c r="W88" i="14" s="1"/>
  <c r="T92" i="14"/>
  <c r="U92" i="14" s="1"/>
  <c r="W92" i="14" s="1" a="1"/>
  <c r="W92" i="14" s="1"/>
  <c r="Q124" i="14"/>
  <c r="R124" i="14"/>
  <c r="T93" i="14"/>
  <c r="U93" i="14" s="1"/>
  <c r="W93" i="14" s="1" a="1"/>
  <c r="W93" i="14" s="1"/>
  <c r="T116" i="14"/>
  <c r="U16" i="14"/>
  <c r="S111" i="14"/>
  <c r="S128" i="14" s="1"/>
  <c r="R111" i="14"/>
  <c r="T82" i="14"/>
  <c r="U82" i="14" s="1"/>
  <c r="W82" i="14" s="1" a="1"/>
  <c r="W82" i="14" s="1"/>
  <c r="T90" i="14"/>
  <c r="U90" i="14" s="1"/>
  <c r="W90" i="14" s="1" a="1"/>
  <c r="W90" i="14" s="1"/>
  <c r="R755" i="13"/>
  <c r="R754" i="13"/>
  <c r="R753" i="13"/>
  <c r="R752" i="13"/>
  <c r="R751" i="13"/>
  <c r="R750" i="13"/>
  <c r="R749" i="13"/>
  <c r="R748" i="13"/>
  <c r="R747" i="13"/>
  <c r="R746" i="13"/>
  <c r="R745" i="13"/>
  <c r="R744" i="13"/>
  <c r="R743" i="13"/>
  <c r="R742" i="13"/>
  <c r="R741" i="13"/>
  <c r="R762" i="13"/>
  <c r="R727" i="13"/>
  <c r="R707" i="13"/>
  <c r="R706" i="13"/>
  <c r="R705" i="13"/>
  <c r="R703" i="13"/>
  <c r="R739" i="13"/>
  <c r="R737" i="13"/>
  <c r="R735" i="13"/>
  <c r="R733" i="13"/>
  <c r="R731" i="13"/>
  <c r="R729" i="13"/>
  <c r="R740" i="13"/>
  <c r="R738" i="13"/>
  <c r="R736" i="13"/>
  <c r="R701" i="13"/>
  <c r="R699" i="13"/>
  <c r="R730" i="13"/>
  <c r="R698" i="13"/>
  <c r="R696" i="13"/>
  <c r="R694" i="13"/>
  <c r="R692" i="13"/>
  <c r="R690" i="13"/>
  <c r="R688" i="13"/>
  <c r="R686" i="13"/>
  <c r="R684" i="13"/>
  <c r="R682" i="13"/>
  <c r="R680" i="13"/>
  <c r="R678" i="13"/>
  <c r="R676" i="13"/>
  <c r="R674" i="13"/>
  <c r="R672" i="13"/>
  <c r="R670" i="13"/>
  <c r="R668" i="13"/>
  <c r="R666" i="13"/>
  <c r="R664" i="13"/>
  <c r="R662" i="13"/>
  <c r="R660" i="13"/>
  <c r="R658" i="13"/>
  <c r="R656" i="13"/>
  <c r="R732" i="13"/>
  <c r="R618" i="13"/>
  <c r="R617" i="13"/>
  <c r="R616" i="13"/>
  <c r="R615" i="13"/>
  <c r="R614" i="13"/>
  <c r="R613" i="13"/>
  <c r="R612" i="13"/>
  <c r="R611" i="13"/>
  <c r="R610" i="13"/>
  <c r="R609" i="13"/>
  <c r="R608" i="13"/>
  <c r="R607" i="13"/>
  <c r="R606" i="13"/>
  <c r="R605" i="13"/>
  <c r="R604" i="13"/>
  <c r="R652" i="13"/>
  <c r="R649" i="13"/>
  <c r="R644" i="13"/>
  <c r="R641" i="13"/>
  <c r="R601" i="13"/>
  <c r="R597" i="13"/>
  <c r="R572" i="13"/>
  <c r="R567" i="13"/>
  <c r="R566" i="13"/>
  <c r="R565" i="13"/>
  <c r="R734" i="13"/>
  <c r="R728" i="13"/>
  <c r="R654" i="13"/>
  <c r="R651" i="13"/>
  <c r="R646" i="13"/>
  <c r="R643" i="13"/>
  <c r="R638" i="13"/>
  <c r="R636" i="13"/>
  <c r="R634" i="13"/>
  <c r="R632" i="13"/>
  <c r="R630" i="13"/>
  <c r="R628" i="13"/>
  <c r="R626" i="13"/>
  <c r="R624" i="13"/>
  <c r="R622" i="13"/>
  <c r="R620" i="13"/>
  <c r="R602" i="13"/>
  <c r="R598" i="13"/>
  <c r="R693" i="13"/>
  <c r="R685" i="13"/>
  <c r="R677" i="13"/>
  <c r="R669" i="13"/>
  <c r="R661" i="13"/>
  <c r="R600" i="13"/>
  <c r="R599" i="13"/>
  <c r="R579" i="13"/>
  <c r="R578" i="13"/>
  <c r="R577" i="13"/>
  <c r="R576" i="13"/>
  <c r="R575" i="13"/>
  <c r="R574" i="13"/>
  <c r="R573" i="13"/>
  <c r="R569" i="13"/>
  <c r="R509" i="13"/>
  <c r="R508" i="13"/>
  <c r="R507" i="13"/>
  <c r="R506" i="13"/>
  <c r="R505" i="13"/>
  <c r="R504" i="13"/>
  <c r="R503" i="13"/>
  <c r="R502" i="13"/>
  <c r="R501" i="13"/>
  <c r="R500" i="13"/>
  <c r="R499" i="13"/>
  <c r="R498" i="13"/>
  <c r="R497" i="13"/>
  <c r="R702" i="13"/>
  <c r="R695" i="13"/>
  <c r="R687" i="13"/>
  <c r="R679" i="13"/>
  <c r="R671" i="13"/>
  <c r="R663" i="13"/>
  <c r="R655" i="13"/>
  <c r="R653" i="13"/>
  <c r="R650" i="13"/>
  <c r="R648" i="13"/>
  <c r="R647" i="13"/>
  <c r="R645" i="13"/>
  <c r="R642" i="13"/>
  <c r="R640" i="13"/>
  <c r="R639" i="13"/>
  <c r="R571" i="13"/>
  <c r="R529" i="13"/>
  <c r="R523" i="13"/>
  <c r="R522" i="13"/>
  <c r="R521" i="13"/>
  <c r="R520" i="13"/>
  <c r="R519" i="13"/>
  <c r="R518" i="13"/>
  <c r="R517" i="13"/>
  <c r="R516" i="13"/>
  <c r="R515" i="13"/>
  <c r="R514" i="13"/>
  <c r="R513" i="13"/>
  <c r="R512" i="13"/>
  <c r="R511" i="13"/>
  <c r="R510" i="13"/>
  <c r="R697" i="13"/>
  <c r="R689" i="13"/>
  <c r="R681" i="13"/>
  <c r="R673" i="13"/>
  <c r="R665" i="13"/>
  <c r="R657" i="13"/>
  <c r="R637" i="13"/>
  <c r="R635" i="13"/>
  <c r="R633" i="13"/>
  <c r="R631" i="13"/>
  <c r="R629" i="13"/>
  <c r="R627" i="13"/>
  <c r="R625" i="13"/>
  <c r="R623" i="13"/>
  <c r="R621" i="13"/>
  <c r="R619" i="13"/>
  <c r="R603" i="13"/>
  <c r="R596" i="13"/>
  <c r="R595" i="13"/>
  <c r="R594" i="13"/>
  <c r="R593" i="13"/>
  <c r="R592" i="13"/>
  <c r="R591" i="13"/>
  <c r="R590" i="13"/>
  <c r="R589" i="13"/>
  <c r="R588" i="13"/>
  <c r="R587" i="13"/>
  <c r="R586" i="13"/>
  <c r="R585" i="13"/>
  <c r="R584" i="13"/>
  <c r="R583" i="13"/>
  <c r="R582" i="13"/>
  <c r="R581" i="13"/>
  <c r="R580" i="13"/>
  <c r="R570" i="13"/>
  <c r="R548" i="13"/>
  <c r="R564" i="13"/>
  <c r="R560" i="13"/>
  <c r="R543" i="13"/>
  <c r="R495" i="13"/>
  <c r="R493" i="13"/>
  <c r="R491" i="13"/>
  <c r="R489" i="13"/>
  <c r="R487" i="13"/>
  <c r="R485" i="13"/>
  <c r="R483" i="13"/>
  <c r="R481" i="13"/>
  <c r="R479" i="13"/>
  <c r="R477" i="13"/>
  <c r="R475" i="13"/>
  <c r="R473" i="13"/>
  <c r="R471" i="13"/>
  <c r="R469" i="13"/>
  <c r="R467" i="13"/>
  <c r="R465" i="13"/>
  <c r="R463" i="13"/>
  <c r="R461" i="13"/>
  <c r="R459" i="13"/>
  <c r="R457" i="13"/>
  <c r="R455" i="13"/>
  <c r="R453" i="13"/>
  <c r="R451" i="13"/>
  <c r="R449" i="13"/>
  <c r="R447" i="13"/>
  <c r="R445" i="13"/>
  <c r="R443" i="13"/>
  <c r="R441" i="13"/>
  <c r="R439" i="13"/>
  <c r="R437" i="13"/>
  <c r="R435" i="13"/>
  <c r="R433" i="13"/>
  <c r="R431" i="13"/>
  <c r="R429" i="13"/>
  <c r="R427" i="13"/>
  <c r="R425" i="13"/>
  <c r="R423" i="13"/>
  <c r="R421" i="13"/>
  <c r="R419" i="13"/>
  <c r="R417" i="13"/>
  <c r="R415" i="13"/>
  <c r="R413" i="13"/>
  <c r="R411" i="13"/>
  <c r="R410" i="13"/>
  <c r="R409" i="13"/>
  <c r="R408" i="13"/>
  <c r="R407" i="13"/>
  <c r="R406" i="13"/>
  <c r="R405" i="13"/>
  <c r="R404" i="13"/>
  <c r="R403" i="13"/>
  <c r="R402" i="13"/>
  <c r="R401" i="13"/>
  <c r="R400" i="13"/>
  <c r="R399" i="13"/>
  <c r="R398" i="13"/>
  <c r="R397" i="13"/>
  <c r="R396" i="13"/>
  <c r="R395" i="13"/>
  <c r="R394" i="13"/>
  <c r="R393" i="13"/>
  <c r="R392" i="13"/>
  <c r="R391" i="13"/>
  <c r="R390" i="13"/>
  <c r="R389" i="13"/>
  <c r="R388" i="13"/>
  <c r="R387" i="13"/>
  <c r="R386" i="13"/>
  <c r="R385" i="13"/>
  <c r="R384" i="13"/>
  <c r="R383" i="13"/>
  <c r="R382" i="13"/>
  <c r="R381" i="13"/>
  <c r="R380" i="13"/>
  <c r="R379" i="13"/>
  <c r="R378" i="13"/>
  <c r="R377" i="13"/>
  <c r="R376" i="13"/>
  <c r="R375" i="13"/>
  <c r="R374" i="13"/>
  <c r="R373" i="13"/>
  <c r="R372" i="13"/>
  <c r="R371" i="13"/>
  <c r="R370" i="13"/>
  <c r="R369" i="13"/>
  <c r="R368" i="13"/>
  <c r="R367" i="13"/>
  <c r="R366" i="13"/>
  <c r="R365" i="13"/>
  <c r="R364" i="13"/>
  <c r="R363" i="13"/>
  <c r="R362" i="13"/>
  <c r="R361" i="13"/>
  <c r="R360" i="13"/>
  <c r="R359" i="13"/>
  <c r="R358" i="13"/>
  <c r="R357" i="13"/>
  <c r="R356" i="13"/>
  <c r="R355" i="13"/>
  <c r="R354" i="13"/>
  <c r="R353" i="13"/>
  <c r="R352" i="13"/>
  <c r="R351" i="13"/>
  <c r="R350" i="13"/>
  <c r="R349" i="13"/>
  <c r="R348" i="13"/>
  <c r="R347" i="13"/>
  <c r="R346" i="13"/>
  <c r="R345" i="13"/>
  <c r="R344" i="13"/>
  <c r="R343" i="13"/>
  <c r="R342" i="13"/>
  <c r="R341" i="13"/>
  <c r="R340" i="13"/>
  <c r="R339" i="13"/>
  <c r="R338" i="13"/>
  <c r="R337" i="13"/>
  <c r="R336" i="13"/>
  <c r="R335" i="13"/>
  <c r="R334" i="13"/>
  <c r="R333" i="13"/>
  <c r="R332" i="13"/>
  <c r="R331" i="13"/>
  <c r="R330" i="13"/>
  <c r="R329" i="13"/>
  <c r="R328" i="13"/>
  <c r="R327" i="13"/>
  <c r="R326" i="13"/>
  <c r="R325" i="13"/>
  <c r="R324" i="13"/>
  <c r="R323" i="13"/>
  <c r="R322" i="13"/>
  <c r="R321" i="13"/>
  <c r="R320" i="13"/>
  <c r="R319" i="13"/>
  <c r="R318" i="13"/>
  <c r="R317" i="13"/>
  <c r="R316" i="13"/>
  <c r="R315" i="13"/>
  <c r="R314" i="13"/>
  <c r="R313" i="13"/>
  <c r="R312" i="13"/>
  <c r="R311" i="13"/>
  <c r="R310" i="13"/>
  <c r="R309" i="13"/>
  <c r="R691" i="13"/>
  <c r="R675" i="13"/>
  <c r="R659" i="13"/>
  <c r="R568" i="13"/>
  <c r="R561" i="13"/>
  <c r="R557" i="13"/>
  <c r="R546" i="13"/>
  <c r="R544" i="13"/>
  <c r="R540" i="13"/>
  <c r="R308" i="13"/>
  <c r="R307" i="13"/>
  <c r="R306" i="13"/>
  <c r="R305" i="13"/>
  <c r="R304" i="13"/>
  <c r="R303" i="13"/>
  <c r="R302" i="13"/>
  <c r="R301" i="13"/>
  <c r="R300" i="13"/>
  <c r="R299" i="13"/>
  <c r="R298" i="13"/>
  <c r="R297" i="13"/>
  <c r="R296" i="13"/>
  <c r="R295" i="13"/>
  <c r="R294" i="13"/>
  <c r="R293" i="13"/>
  <c r="R292" i="13"/>
  <c r="R291" i="13"/>
  <c r="R290" i="13"/>
  <c r="R289" i="13"/>
  <c r="R288" i="13"/>
  <c r="R287" i="13"/>
  <c r="R286" i="13"/>
  <c r="R285" i="13"/>
  <c r="R284" i="13"/>
  <c r="R283" i="13"/>
  <c r="R282" i="13"/>
  <c r="R281" i="13"/>
  <c r="R700" i="13"/>
  <c r="R562" i="13"/>
  <c r="R558" i="13"/>
  <c r="R547" i="13"/>
  <c r="R545" i="13"/>
  <c r="R541" i="13"/>
  <c r="R496" i="13"/>
  <c r="R494" i="13"/>
  <c r="R492" i="13"/>
  <c r="R490" i="13"/>
  <c r="R667" i="13"/>
  <c r="R563" i="13"/>
  <c r="R542" i="13"/>
  <c r="R488" i="13"/>
  <c r="R486" i="13"/>
  <c r="R484" i="13"/>
  <c r="R482" i="13"/>
  <c r="R480" i="13"/>
  <c r="R478" i="13"/>
  <c r="R476" i="13"/>
  <c r="R474" i="13"/>
  <c r="R472" i="13"/>
  <c r="R470" i="13"/>
  <c r="R468" i="13"/>
  <c r="R466" i="13"/>
  <c r="R464" i="13"/>
  <c r="R462" i="13"/>
  <c r="R460" i="13"/>
  <c r="R458" i="13"/>
  <c r="R456" i="13"/>
  <c r="R454" i="13"/>
  <c r="R452" i="13"/>
  <c r="R450" i="13"/>
  <c r="R448" i="13"/>
  <c r="R446" i="13"/>
  <c r="R444" i="13"/>
  <c r="R442" i="13"/>
  <c r="R440" i="13"/>
  <c r="R438" i="13"/>
  <c r="R436" i="13"/>
  <c r="R434" i="13"/>
  <c r="R432" i="13"/>
  <c r="R430" i="13"/>
  <c r="R428" i="13"/>
  <c r="R426" i="13"/>
  <c r="R424" i="13"/>
  <c r="R422" i="13"/>
  <c r="R420" i="13"/>
  <c r="R418" i="13"/>
  <c r="R416" i="13"/>
  <c r="R414" i="13"/>
  <c r="R412" i="13"/>
  <c r="S166" i="13"/>
  <c r="S165" i="13"/>
  <c r="S164" i="13"/>
  <c r="S163" i="13"/>
  <c r="S162" i="13"/>
  <c r="S161" i="13"/>
  <c r="S160" i="13"/>
  <c r="S159" i="13"/>
  <c r="S158" i="13"/>
  <c r="S157" i="13"/>
  <c r="S156" i="13"/>
  <c r="S155" i="13"/>
  <c r="S154" i="13"/>
  <c r="S153" i="13"/>
  <c r="S152" i="13"/>
  <c r="S151" i="13"/>
  <c r="S150" i="13"/>
  <c r="S149" i="13"/>
  <c r="S148" i="13"/>
  <c r="S147" i="13"/>
  <c r="S146" i="13"/>
  <c r="S145" i="13"/>
  <c r="S144" i="13"/>
  <c r="S143" i="13"/>
  <c r="S142" i="13"/>
  <c r="S141" i="13"/>
  <c r="S140" i="13"/>
  <c r="S139" i="13"/>
  <c r="S138" i="13"/>
  <c r="S137" i="13"/>
  <c r="S136" i="13"/>
  <c r="S135" i="13"/>
  <c r="S134" i="13"/>
  <c r="S133" i="13"/>
  <c r="S132" i="13"/>
  <c r="S131" i="13"/>
  <c r="S130" i="13"/>
  <c r="S129" i="13"/>
  <c r="S128" i="13"/>
  <c r="S127" i="13"/>
  <c r="S126" i="13"/>
  <c r="S125" i="13"/>
  <c r="S124" i="13"/>
  <c r="S123" i="13"/>
  <c r="S122" i="13"/>
  <c r="S121" i="13"/>
  <c r="S120" i="13"/>
  <c r="S119" i="13"/>
  <c r="S118" i="13"/>
  <c r="S117" i="13"/>
  <c r="S116" i="13"/>
  <c r="S115" i="13"/>
  <c r="S114" i="13"/>
  <c r="S113" i="13"/>
  <c r="S112" i="13"/>
  <c r="S111" i="13"/>
  <c r="S110" i="13"/>
  <c r="S109" i="13"/>
  <c r="S108" i="13"/>
  <c r="S107" i="13"/>
  <c r="S106" i="13"/>
  <c r="S105" i="13"/>
  <c r="S104" i="13"/>
  <c r="S103" i="13"/>
  <c r="R559" i="13"/>
  <c r="S277" i="13"/>
  <c r="S536" i="13" s="1"/>
  <c r="R278" i="13"/>
  <c r="R273" i="13"/>
  <c r="R269" i="13"/>
  <c r="R265" i="13"/>
  <c r="R261" i="13"/>
  <c r="R257" i="13"/>
  <c r="R254" i="13"/>
  <c r="R234" i="13"/>
  <c r="R225" i="13"/>
  <c r="R222" i="13"/>
  <c r="R219" i="13"/>
  <c r="R207" i="13"/>
  <c r="R189" i="13"/>
  <c r="R188" i="13"/>
  <c r="R187" i="13"/>
  <c r="R186" i="13"/>
  <c r="R185" i="13"/>
  <c r="R184" i="13"/>
  <c r="R183" i="13"/>
  <c r="R182" i="13"/>
  <c r="R181" i="13"/>
  <c r="R180" i="13"/>
  <c r="R179" i="13"/>
  <c r="R176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90" i="13"/>
  <c r="S89" i="13"/>
  <c r="S88" i="13"/>
  <c r="S87" i="13"/>
  <c r="S86" i="13"/>
  <c r="S85" i="13"/>
  <c r="S84" i="13"/>
  <c r="S83" i="13"/>
  <c r="S82" i="13"/>
  <c r="S81" i="13"/>
  <c r="S80" i="13"/>
  <c r="S79" i="13"/>
  <c r="S78" i="13"/>
  <c r="S77" i="13"/>
  <c r="S76" i="13"/>
  <c r="S75" i="13"/>
  <c r="S74" i="13"/>
  <c r="S73" i="13"/>
  <c r="S72" i="13"/>
  <c r="S71" i="13"/>
  <c r="S70" i="13"/>
  <c r="S69" i="13"/>
  <c r="S68" i="13"/>
  <c r="S67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50" i="13"/>
  <c r="S49" i="13"/>
  <c r="S48" i="13"/>
  <c r="S47" i="13"/>
  <c r="S46" i="13"/>
  <c r="S45" i="13"/>
  <c r="S44" i="13"/>
  <c r="S43" i="13"/>
  <c r="S42" i="13"/>
  <c r="S41" i="13"/>
  <c r="S40" i="13"/>
  <c r="S39" i="13"/>
  <c r="S38" i="13"/>
  <c r="S37" i="13"/>
  <c r="S36" i="13"/>
  <c r="S35" i="13"/>
  <c r="S34" i="13"/>
  <c r="S33" i="13"/>
  <c r="S32" i="13"/>
  <c r="S31" i="13"/>
  <c r="S30" i="13"/>
  <c r="S29" i="13"/>
  <c r="S28" i="13"/>
  <c r="S27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S10" i="13"/>
  <c r="S9" i="13"/>
  <c r="S8" i="13"/>
  <c r="R280" i="13"/>
  <c r="R267" i="13"/>
  <c r="R263" i="13"/>
  <c r="R259" i="13"/>
  <c r="R249" i="13"/>
  <c r="R241" i="13"/>
  <c r="R236" i="13"/>
  <c r="R227" i="13"/>
  <c r="R217" i="13"/>
  <c r="R215" i="13"/>
  <c r="R212" i="13"/>
  <c r="R210" i="13"/>
  <c r="R196" i="13"/>
  <c r="R194" i="13"/>
  <c r="R192" i="13"/>
  <c r="R190" i="13"/>
  <c r="R274" i="13"/>
  <c r="R266" i="13"/>
  <c r="R248" i="13"/>
  <c r="R246" i="13"/>
  <c r="R239" i="13"/>
  <c r="R276" i="13"/>
  <c r="R272" i="13"/>
  <c r="R268" i="13"/>
  <c r="R264" i="13"/>
  <c r="R260" i="13"/>
  <c r="R256" i="13"/>
  <c r="R253" i="13"/>
  <c r="R250" i="13"/>
  <c r="R235" i="13"/>
  <c r="R223" i="13"/>
  <c r="R221" i="13"/>
  <c r="R220" i="13"/>
  <c r="R209" i="13"/>
  <c r="R208" i="13"/>
  <c r="R683" i="13"/>
  <c r="R275" i="13"/>
  <c r="R271" i="13"/>
  <c r="R252" i="13"/>
  <c r="R242" i="13"/>
  <c r="R226" i="13"/>
  <c r="R244" i="13"/>
  <c r="R240" i="13"/>
  <c r="R237" i="13"/>
  <c r="R232" i="13"/>
  <c r="R243" i="13"/>
  <c r="R216" i="13"/>
  <c r="R213" i="13"/>
  <c r="R197" i="13"/>
  <c r="R195" i="13"/>
  <c r="R193" i="13"/>
  <c r="R191" i="13"/>
  <c r="R178" i="13"/>
  <c r="R279" i="13"/>
  <c r="R270" i="13"/>
  <c r="R262" i="13"/>
  <c r="R258" i="13"/>
  <c r="R255" i="13"/>
  <c r="R251" i="13"/>
  <c r="R247" i="13"/>
  <c r="R245" i="13"/>
  <c r="R238" i="13"/>
  <c r="R233" i="13"/>
  <c r="R231" i="13"/>
  <c r="R204" i="13"/>
  <c r="R228" i="13"/>
  <c r="R199" i="13"/>
  <c r="R203" i="13"/>
  <c r="P172" i="13"/>
  <c r="Q8" i="13"/>
  <c r="R200" i="13"/>
  <c r="R198" i="13"/>
  <c r="R202" i="13"/>
  <c r="R206" i="13"/>
  <c r="R211" i="13"/>
  <c r="R230" i="13"/>
  <c r="K172" i="13"/>
  <c r="V536" i="13"/>
  <c r="Q310" i="13"/>
  <c r="Q318" i="13"/>
  <c r="Q326" i="13"/>
  <c r="Q334" i="13"/>
  <c r="Q342" i="13"/>
  <c r="Q350" i="13"/>
  <c r="Q358" i="13"/>
  <c r="Q366" i="13"/>
  <c r="Q374" i="13"/>
  <c r="Q382" i="13"/>
  <c r="Q390" i="13"/>
  <c r="Q398" i="13"/>
  <c r="Q406" i="13"/>
  <c r="O536" i="13"/>
  <c r="Q312" i="13"/>
  <c r="Q316" i="13"/>
  <c r="Q320" i="13"/>
  <c r="Q324" i="13"/>
  <c r="Q328" i="13"/>
  <c r="Q332" i="13"/>
  <c r="Q336" i="13"/>
  <c r="Q340" i="13"/>
  <c r="Q344" i="13"/>
  <c r="Q348" i="13"/>
  <c r="Q352" i="13"/>
  <c r="Q356" i="13"/>
  <c r="Q360" i="13"/>
  <c r="Q364" i="13"/>
  <c r="Q368" i="13"/>
  <c r="Q372" i="13"/>
  <c r="Q376" i="13"/>
  <c r="Q380" i="13"/>
  <c r="Q384" i="13"/>
  <c r="Q388" i="13"/>
  <c r="Q392" i="13"/>
  <c r="Q396" i="13"/>
  <c r="Q400" i="13"/>
  <c r="Q404" i="13"/>
  <c r="Q408" i="13"/>
  <c r="P536" i="13"/>
  <c r="Q309" i="13"/>
  <c r="Q313" i="13"/>
  <c r="Q317" i="13"/>
  <c r="Q321" i="13"/>
  <c r="Q325" i="13"/>
  <c r="Q329" i="13"/>
  <c r="Q333" i="13"/>
  <c r="Q337" i="13"/>
  <c r="Q341" i="13"/>
  <c r="Q345" i="13"/>
  <c r="Q349" i="13"/>
  <c r="Q353" i="13"/>
  <c r="Q357" i="13"/>
  <c r="Q361" i="13"/>
  <c r="Q365" i="13"/>
  <c r="Q369" i="13"/>
  <c r="Q373" i="13"/>
  <c r="Q377" i="13"/>
  <c r="Q381" i="13"/>
  <c r="Q385" i="13"/>
  <c r="Q389" i="13"/>
  <c r="Q393" i="13"/>
  <c r="Q397" i="13"/>
  <c r="Q401" i="13"/>
  <c r="Q405" i="13"/>
  <c r="Q409" i="13"/>
  <c r="V723" i="13"/>
  <c r="Q412" i="13"/>
  <c r="Q414" i="13"/>
  <c r="Q416" i="13"/>
  <c r="Q418" i="13"/>
  <c r="Q420" i="13"/>
  <c r="Q422" i="13"/>
  <c r="Q424" i="13"/>
  <c r="Q426" i="13"/>
  <c r="Q428" i="13"/>
  <c r="Q430" i="13"/>
  <c r="Q432" i="13"/>
  <c r="Q434" i="13"/>
  <c r="Q436" i="13"/>
  <c r="Q438" i="13"/>
  <c r="Q440" i="13"/>
  <c r="Q442" i="13"/>
  <c r="Q444" i="13"/>
  <c r="Q446" i="13"/>
  <c r="Q448" i="13"/>
  <c r="Q450" i="13"/>
  <c r="Q452" i="13"/>
  <c r="Q454" i="13"/>
  <c r="Q456" i="13"/>
  <c r="Q458" i="13"/>
  <c r="Q460" i="13"/>
  <c r="Q462" i="13"/>
  <c r="Q464" i="13"/>
  <c r="Q466" i="13"/>
  <c r="Q468" i="13"/>
  <c r="Q470" i="13"/>
  <c r="Q472" i="13"/>
  <c r="Q474" i="13"/>
  <c r="Q476" i="13"/>
  <c r="Q478" i="13"/>
  <c r="Q480" i="13"/>
  <c r="Q482" i="13"/>
  <c r="Q484" i="13"/>
  <c r="Q486" i="13"/>
  <c r="Q488" i="13"/>
  <c r="Q490" i="13"/>
  <c r="Q492" i="13"/>
  <c r="Q494" i="13"/>
  <c r="Q496" i="13"/>
  <c r="Q499" i="13"/>
  <c r="Q503" i="13"/>
  <c r="Q507" i="13"/>
  <c r="O723" i="13"/>
  <c r="S723" i="13"/>
  <c r="R716" i="13"/>
  <c r="O553" i="13"/>
  <c r="P723" i="13"/>
  <c r="Q609" i="13"/>
  <c r="Q617" i="13"/>
  <c r="R714" i="13"/>
  <c r="R549" i="13"/>
  <c r="Q557" i="13"/>
  <c r="F723" i="13"/>
  <c r="F768" i="13" s="1"/>
  <c r="S759" i="13"/>
  <c r="S766" i="13" s="1"/>
  <c r="L759" i="13"/>
  <c r="Q703" i="13"/>
  <c r="Q699" i="13"/>
  <c r="O759" i="13"/>
  <c r="O766" i="13" s="1"/>
  <c r="Q727" i="13"/>
  <c r="Q745" i="13"/>
  <c r="Q701" i="13"/>
  <c r="Q700" i="13"/>
  <c r="Q702" i="13"/>
  <c r="Q706" i="13"/>
  <c r="Q716" i="13"/>
  <c r="P759" i="13"/>
  <c r="P766" i="13" s="1"/>
  <c r="U728" i="13"/>
  <c r="W728" i="13" s="1" a="1"/>
  <c r="W728" i="13" s="1"/>
  <c r="Q729" i="13"/>
  <c r="Q731" i="13"/>
  <c r="Q733" i="13"/>
  <c r="Q735" i="13"/>
  <c r="Q737" i="13"/>
  <c r="Q739" i="13"/>
  <c r="Q741" i="13"/>
  <c r="Q749" i="13"/>
  <c r="J723" i="13"/>
  <c r="J768" i="13" s="1"/>
  <c r="Q730" i="13"/>
  <c r="Q732" i="13"/>
  <c r="Q734" i="13"/>
  <c r="Q736" i="13"/>
  <c r="Q738" i="13"/>
  <c r="Q740" i="13"/>
  <c r="Q743" i="13"/>
  <c r="Q747" i="13"/>
  <c r="Q751" i="13"/>
  <c r="Q755" i="13"/>
  <c r="K766" i="13"/>
  <c r="V766" i="13"/>
  <c r="H765" i="13" s="1"/>
  <c r="Q744" i="13"/>
  <c r="Q748" i="13"/>
  <c r="Q752" i="13"/>
  <c r="Q756" i="13"/>
  <c r="L766" i="13"/>
  <c r="X607" i="10"/>
  <c r="J604" i="10"/>
  <c r="U134" i="17" l="1"/>
  <c r="W128" i="17" a="1"/>
  <c r="W128" i="17" s="1"/>
  <c r="U778" i="16"/>
  <c r="W770" i="16" a="1"/>
  <c r="W770" i="16" s="1"/>
  <c r="U108" i="14"/>
  <c r="W108" i="14" s="1" a="1"/>
  <c r="W108" i="14" s="1"/>
  <c r="T111" i="14"/>
  <c r="T717" i="13"/>
  <c r="L130" i="14"/>
  <c r="L131" i="14" s="1"/>
  <c r="U570" i="13"/>
  <c r="W570" i="13" s="1" a="1"/>
  <c r="W570" i="13" s="1"/>
  <c r="U569" i="13"/>
  <c r="W569" i="13" s="1" a="1"/>
  <c r="W569" i="13" s="1"/>
  <c r="T530" i="13"/>
  <c r="U530" i="13" s="1"/>
  <c r="W530" i="13" s="1" a="1"/>
  <c r="W530" i="13" s="1"/>
  <c r="T715" i="13"/>
  <c r="U715" i="13" s="1"/>
  <c r="W715" i="13" s="1" a="1"/>
  <c r="W715" i="13" s="1"/>
  <c r="T528" i="13"/>
  <c r="U528" i="13" s="1"/>
  <c r="W528" i="13" s="1" a="1"/>
  <c r="W528" i="13" s="1"/>
  <c r="T526" i="13"/>
  <c r="U526" i="13" s="1"/>
  <c r="W526" i="13" s="1" a="1"/>
  <c r="W526" i="13" s="1"/>
  <c r="R128" i="14"/>
  <c r="T14" i="13"/>
  <c r="U14" i="13" s="1"/>
  <c r="W14" i="13" s="1" a="1"/>
  <c r="W14" i="13" s="1"/>
  <c r="T22" i="13"/>
  <c r="U22" i="13" s="1"/>
  <c r="W22" i="13" s="1" a="1"/>
  <c r="W22" i="13" s="1"/>
  <c r="T30" i="13"/>
  <c r="U30" i="13" s="1"/>
  <c r="W30" i="13" s="1" a="1"/>
  <c r="W30" i="13" s="1"/>
  <c r="T38" i="13"/>
  <c r="U38" i="13" s="1"/>
  <c r="W38" i="13" s="1" a="1"/>
  <c r="W38" i="13" s="1"/>
  <c r="T46" i="13"/>
  <c r="U46" i="13" s="1"/>
  <c r="W46" i="13" s="1" a="1"/>
  <c r="W46" i="13" s="1"/>
  <c r="T54" i="13"/>
  <c r="U54" i="13" s="1"/>
  <c r="W54" i="13" s="1" a="1"/>
  <c r="W54" i="13" s="1"/>
  <c r="T62" i="13"/>
  <c r="U62" i="13" s="1"/>
  <c r="W62" i="13" s="1" a="1"/>
  <c r="W62" i="13" s="1"/>
  <c r="T70" i="13"/>
  <c r="U70" i="13" s="1"/>
  <c r="W70" i="13" s="1" a="1"/>
  <c r="W70" i="13" s="1"/>
  <c r="T78" i="13"/>
  <c r="U78" i="13" s="1"/>
  <c r="W78" i="13" s="1" a="1"/>
  <c r="W78" i="13" s="1"/>
  <c r="T86" i="13"/>
  <c r="U86" i="13" s="1"/>
  <c r="W86" i="13" s="1" a="1"/>
  <c r="W86" i="13" s="1"/>
  <c r="T94" i="13"/>
  <c r="U94" i="13" s="1"/>
  <c r="W94" i="13" s="1" a="1"/>
  <c r="W94" i="13" s="1"/>
  <c r="T132" i="13"/>
  <c r="U132" i="13" s="1"/>
  <c r="W132" i="13" s="1" a="1"/>
  <c r="W132" i="13" s="1"/>
  <c r="T164" i="13"/>
  <c r="U164" i="13" s="1"/>
  <c r="W164" i="13" s="1" a="1"/>
  <c r="W164" i="13" s="1"/>
  <c r="T712" i="13"/>
  <c r="U712" i="13" s="1"/>
  <c r="W712" i="13" s="1" a="1"/>
  <c r="W712" i="13" s="1"/>
  <c r="T756" i="13"/>
  <c r="U756" i="13" s="1"/>
  <c r="W756" i="13" s="1" a="1"/>
  <c r="W756" i="13" s="1"/>
  <c r="T527" i="13"/>
  <c r="U527" i="13" s="1"/>
  <c r="W527" i="13" s="1" a="1"/>
  <c r="W527" i="13" s="1"/>
  <c r="T719" i="13"/>
  <c r="U719" i="13" s="1"/>
  <c r="W719" i="13" s="1" a="1"/>
  <c r="W719" i="13" s="1"/>
  <c r="T713" i="13"/>
  <c r="U713" i="13" s="1"/>
  <c r="W713" i="13" s="1" a="1"/>
  <c r="W713" i="13" s="1"/>
  <c r="T531" i="13"/>
  <c r="U531" i="13" s="1"/>
  <c r="W531" i="13" s="1" a="1"/>
  <c r="W531" i="13" s="1"/>
  <c r="T718" i="13"/>
  <c r="U718" i="13" s="1"/>
  <c r="W718" i="13" s="1" a="1"/>
  <c r="W718" i="13" s="1"/>
  <c r="T710" i="13"/>
  <c r="U710" i="13" s="1"/>
  <c r="W710" i="13" s="1" a="1"/>
  <c r="W710" i="13" s="1"/>
  <c r="T711" i="13"/>
  <c r="U711" i="13" s="1"/>
  <c r="W711" i="13" s="1" a="1"/>
  <c r="W711" i="13" s="1"/>
  <c r="T150" i="13"/>
  <c r="U150" i="13" s="1"/>
  <c r="W150" i="13" s="1" a="1"/>
  <c r="W150" i="13" s="1"/>
  <c r="T520" i="13"/>
  <c r="U520" i="13" s="1"/>
  <c r="W520" i="13" s="1" a="1"/>
  <c r="W520" i="13" s="1"/>
  <c r="T208" i="13"/>
  <c r="U208" i="13" s="1"/>
  <c r="W208" i="13" s="1" a="1"/>
  <c r="W208" i="13" s="1"/>
  <c r="T301" i="13"/>
  <c r="U301" i="13" s="1"/>
  <c r="W301" i="13" s="1" a="1"/>
  <c r="W301" i="13" s="1"/>
  <c r="T573" i="13"/>
  <c r="U573" i="13" s="1"/>
  <c r="W573" i="13" s="1" a="1"/>
  <c r="W573" i="13" s="1"/>
  <c r="T623" i="13"/>
  <c r="U623" i="13" s="1"/>
  <c r="W623" i="13" s="1" a="1"/>
  <c r="W623" i="13" s="1"/>
  <c r="T631" i="13"/>
  <c r="U631" i="13" s="1"/>
  <c r="W631" i="13" s="1" a="1"/>
  <c r="W631" i="13" s="1"/>
  <c r="T611" i="13"/>
  <c r="U611" i="13" s="1"/>
  <c r="W611" i="13" s="1" a="1"/>
  <c r="W611" i="13" s="1"/>
  <c r="T200" i="13"/>
  <c r="U200" i="13" s="1"/>
  <c r="W200" i="13" s="1" a="1"/>
  <c r="W200" i="13" s="1"/>
  <c r="T691" i="13"/>
  <c r="U691" i="13" s="1"/>
  <c r="W691" i="13" s="1" a="1"/>
  <c r="W691" i="13" s="1"/>
  <c r="T665" i="13"/>
  <c r="U665" i="13" s="1"/>
  <c r="W665" i="13" s="1" a="1"/>
  <c r="W665" i="13" s="1"/>
  <c r="T586" i="13"/>
  <c r="U586" i="13" s="1"/>
  <c r="W586" i="13" s="1" a="1"/>
  <c r="W586" i="13" s="1"/>
  <c r="T594" i="13"/>
  <c r="U594" i="13" s="1"/>
  <c r="W594" i="13" s="1" a="1"/>
  <c r="W594" i="13" s="1"/>
  <c r="T639" i="13"/>
  <c r="U639" i="13" s="1"/>
  <c r="W639" i="13" s="1" a="1"/>
  <c r="W639" i="13" s="1"/>
  <c r="T107" i="13"/>
  <c r="U107" i="13" s="1"/>
  <c r="W107" i="13" s="1" a="1"/>
  <c r="W107" i="13" s="1"/>
  <c r="T115" i="13"/>
  <c r="U115" i="13" s="1"/>
  <c r="W115" i="13" s="1" a="1"/>
  <c r="W115" i="13" s="1"/>
  <c r="T675" i="13"/>
  <c r="U675" i="13" s="1"/>
  <c r="W675" i="13" s="1" a="1"/>
  <c r="W675" i="13" s="1"/>
  <c r="T580" i="13"/>
  <c r="U580" i="13" s="1"/>
  <c r="W580" i="13" s="1" a="1"/>
  <c r="W580" i="13" s="1"/>
  <c r="T588" i="13"/>
  <c r="U588" i="13" s="1"/>
  <c r="W588" i="13" s="1" a="1"/>
  <c r="W588" i="13" s="1"/>
  <c r="T596" i="13"/>
  <c r="U596" i="13" s="1"/>
  <c r="W596" i="13" s="1" a="1"/>
  <c r="W596" i="13" s="1"/>
  <c r="T671" i="13"/>
  <c r="U671" i="13" s="1"/>
  <c r="W671" i="13" s="1" a="1"/>
  <c r="W671" i="13" s="1"/>
  <c r="T693" i="13"/>
  <c r="U693" i="13" s="1"/>
  <c r="W693" i="13" s="1" a="1"/>
  <c r="W693" i="13" s="1"/>
  <c r="T615" i="13"/>
  <c r="U615" i="13" s="1"/>
  <c r="W615" i="13" s="1" a="1"/>
  <c r="W615" i="13" s="1"/>
  <c r="T275" i="13"/>
  <c r="U275" i="13" s="1"/>
  <c r="W275" i="13" s="1" a="1"/>
  <c r="W275" i="13" s="1"/>
  <c r="T587" i="13"/>
  <c r="U587" i="13" s="1"/>
  <c r="W587" i="13" s="1" a="1"/>
  <c r="W587" i="13" s="1"/>
  <c r="U186" i="13"/>
  <c r="W186" i="13" s="1" a="1"/>
  <c r="W186" i="13" s="1"/>
  <c r="T595" i="13"/>
  <c r="U595" i="13" s="1"/>
  <c r="W595" i="13" s="1" a="1"/>
  <c r="W595" i="13" s="1"/>
  <c r="T204" i="13"/>
  <c r="U204" i="13" s="1"/>
  <c r="W204" i="13" s="1" a="1"/>
  <c r="W204" i="13" s="1"/>
  <c r="T247" i="13"/>
  <c r="U247" i="13" s="1"/>
  <c r="W247" i="13" s="1" a="1"/>
  <c r="W247" i="13" s="1"/>
  <c r="T582" i="13"/>
  <c r="U582" i="13" s="1"/>
  <c r="W582" i="13" s="1" a="1"/>
  <c r="W582" i="13" s="1"/>
  <c r="T590" i="13"/>
  <c r="U590" i="13" s="1"/>
  <c r="W590" i="13" s="1" a="1"/>
  <c r="W590" i="13" s="1"/>
  <c r="T619" i="13"/>
  <c r="U619" i="13" s="1"/>
  <c r="W619" i="13" s="1" a="1"/>
  <c r="W619" i="13" s="1"/>
  <c r="T627" i="13"/>
  <c r="U627" i="13" s="1"/>
  <c r="W627" i="13" s="1" a="1"/>
  <c r="W627" i="13" s="1"/>
  <c r="T635" i="13"/>
  <c r="U635" i="13" s="1"/>
  <c r="W635" i="13" s="1" a="1"/>
  <c r="W635" i="13" s="1"/>
  <c r="T695" i="13"/>
  <c r="U695" i="13" s="1"/>
  <c r="W695" i="13" s="1" a="1"/>
  <c r="W695" i="13" s="1"/>
  <c r="T577" i="13"/>
  <c r="U577" i="13" s="1"/>
  <c r="W577" i="13" s="1" a="1"/>
  <c r="W577" i="13" s="1"/>
  <c r="T222" i="13"/>
  <c r="U222" i="13" s="1"/>
  <c r="W222" i="13" s="1" a="1"/>
  <c r="W222" i="13" s="1"/>
  <c r="T245" i="13"/>
  <c r="U245" i="13" s="1"/>
  <c r="W245" i="13" s="1" a="1"/>
  <c r="W245" i="13" s="1"/>
  <c r="T714" i="13"/>
  <c r="U714" i="13" s="1"/>
  <c r="W714" i="13" s="1" a="1"/>
  <c r="W714" i="13" s="1"/>
  <c r="T149" i="13"/>
  <c r="U149" i="13" s="1"/>
  <c r="W149" i="13" s="1" a="1"/>
  <c r="W149" i="13" s="1"/>
  <c r="T235" i="13"/>
  <c r="U235" i="13" s="1"/>
  <c r="W235" i="13" s="1" a="1"/>
  <c r="W235" i="13" s="1"/>
  <c r="T297" i="13"/>
  <c r="U297" i="13" s="1"/>
  <c r="W297" i="13" s="1" a="1"/>
  <c r="W297" i="13" s="1"/>
  <c r="T677" i="13"/>
  <c r="U677" i="13" s="1"/>
  <c r="W677" i="13" s="1" a="1"/>
  <c r="W677" i="13" s="1"/>
  <c r="T602" i="13"/>
  <c r="U602" i="13" s="1"/>
  <c r="W602" i="13" s="1" a="1"/>
  <c r="W602" i="13" s="1"/>
  <c r="T268" i="13"/>
  <c r="U268" i="13" s="1"/>
  <c r="W268" i="13" s="1" a="1"/>
  <c r="W268" i="13" s="1"/>
  <c r="T296" i="13"/>
  <c r="U296" i="13" s="1"/>
  <c r="W296" i="13" s="1" a="1"/>
  <c r="W296" i="13" s="1"/>
  <c r="T315" i="13"/>
  <c r="U315" i="13" s="1"/>
  <c r="W315" i="13" s="1" a="1"/>
  <c r="W315" i="13" s="1"/>
  <c r="T331" i="13"/>
  <c r="U331" i="13" s="1"/>
  <c r="W331" i="13" s="1" a="1"/>
  <c r="W331" i="13" s="1"/>
  <c r="T347" i="13"/>
  <c r="U347" i="13" s="1"/>
  <c r="W347" i="13" s="1" a="1"/>
  <c r="W347" i="13" s="1"/>
  <c r="T363" i="13"/>
  <c r="U363" i="13" s="1"/>
  <c r="W363" i="13" s="1" a="1"/>
  <c r="W363" i="13" s="1"/>
  <c r="T197" i="13"/>
  <c r="U197" i="13" s="1"/>
  <c r="W197" i="13" s="1" a="1"/>
  <c r="W197" i="13" s="1"/>
  <c r="T542" i="13"/>
  <c r="U542" i="13" s="1"/>
  <c r="W542" i="13" s="1" a="1"/>
  <c r="W542" i="13" s="1"/>
  <c r="T407" i="13"/>
  <c r="U407" i="13" s="1"/>
  <c r="W407" i="13" s="1" a="1"/>
  <c r="W407" i="13" s="1"/>
  <c r="T118" i="13"/>
  <c r="U118" i="13" s="1"/>
  <c r="W118" i="13" s="1" a="1"/>
  <c r="W118" i="13" s="1"/>
  <c r="T162" i="13"/>
  <c r="U162" i="13" s="1"/>
  <c r="W162" i="13" s="1" a="1"/>
  <c r="W162" i="13" s="1"/>
  <c r="T263" i="13"/>
  <c r="U263" i="13" s="1"/>
  <c r="W263" i="13" s="1" a="1"/>
  <c r="W263" i="13" s="1"/>
  <c r="U180" i="13"/>
  <c r="W180" i="13" s="1" a="1"/>
  <c r="W180" i="13" s="1"/>
  <c r="T188" i="13"/>
  <c r="U188" i="13" s="1"/>
  <c r="W188" i="13" s="1" a="1"/>
  <c r="W188" i="13" s="1"/>
  <c r="T103" i="13"/>
  <c r="U103" i="13" s="1"/>
  <c r="W103" i="13" s="1" a="1"/>
  <c r="W103" i="13" s="1"/>
  <c r="T111" i="13"/>
  <c r="U111" i="13" s="1"/>
  <c r="W111" i="13" s="1" a="1"/>
  <c r="W111" i="13" s="1"/>
  <c r="T253" i="13"/>
  <c r="U253" i="13" s="1"/>
  <c r="W253" i="13" s="1" a="1"/>
  <c r="W253" i="13" s="1"/>
  <c r="T134" i="13"/>
  <c r="U134" i="13" s="1"/>
  <c r="W134" i="13" s="1" a="1"/>
  <c r="W134" i="13" s="1"/>
  <c r="T154" i="13"/>
  <c r="U154" i="13" s="1"/>
  <c r="W154" i="13" s="1" a="1"/>
  <c r="W154" i="13" s="1"/>
  <c r="T244" i="13"/>
  <c r="U244" i="13" s="1"/>
  <c r="W244" i="13" s="1" a="1"/>
  <c r="W244" i="13" s="1"/>
  <c r="T657" i="13"/>
  <c r="U657" i="13" s="1"/>
  <c r="W657" i="13" s="1" a="1"/>
  <c r="W657" i="13" s="1"/>
  <c r="T678" i="13"/>
  <c r="U678" i="13" s="1"/>
  <c r="W678" i="13" s="1" a="1"/>
  <c r="W678" i="13" s="1"/>
  <c r="T243" i="13"/>
  <c r="U243" i="13" s="1"/>
  <c r="W243" i="13" s="1" a="1"/>
  <c r="W243" i="13" s="1"/>
  <c r="T294" i="13"/>
  <c r="U294" i="13" s="1"/>
  <c r="W294" i="13" s="1" a="1"/>
  <c r="W294" i="13" s="1"/>
  <c r="T599" i="13"/>
  <c r="U599" i="13" s="1"/>
  <c r="W599" i="13" s="1" a="1"/>
  <c r="W599" i="13" s="1"/>
  <c r="T223" i="13"/>
  <c r="U223" i="13" s="1"/>
  <c r="W223" i="13" s="1" a="1"/>
  <c r="W223" i="13" s="1"/>
  <c r="T314" i="13"/>
  <c r="U314" i="13" s="1"/>
  <c r="W314" i="13" s="1" a="1"/>
  <c r="W314" i="13" s="1"/>
  <c r="T346" i="13"/>
  <c r="U346" i="13" s="1"/>
  <c r="W346" i="13" s="1" a="1"/>
  <c r="W346" i="13" s="1"/>
  <c r="T262" i="13"/>
  <c r="U262" i="13" s="1"/>
  <c r="W262" i="13" s="1" a="1"/>
  <c r="W262" i="13" s="1"/>
  <c r="T270" i="13"/>
  <c r="U270" i="13" s="1"/>
  <c r="W270" i="13" s="1" a="1"/>
  <c r="W270" i="13" s="1"/>
  <c r="T212" i="13"/>
  <c r="U212" i="13" s="1"/>
  <c r="W212" i="13" s="1" a="1"/>
  <c r="W212" i="13" s="1"/>
  <c r="T9" i="13"/>
  <c r="U9" i="13" s="1"/>
  <c r="W9" i="13" s="1" a="1"/>
  <c r="W9" i="13" s="1"/>
  <c r="T17" i="13"/>
  <c r="U17" i="13" s="1"/>
  <c r="W17" i="13" s="1" a="1"/>
  <c r="W17" i="13" s="1"/>
  <c r="T105" i="13"/>
  <c r="U105" i="13" s="1"/>
  <c r="W105" i="13" s="1" a="1"/>
  <c r="W105" i="13" s="1"/>
  <c r="T113" i="13"/>
  <c r="U113" i="13" s="1"/>
  <c r="W113" i="13" s="1" a="1"/>
  <c r="W113" i="13" s="1"/>
  <c r="T283" i="13"/>
  <c r="U283" i="13" s="1"/>
  <c r="W283" i="13" s="1" a="1"/>
  <c r="W283" i="13" s="1"/>
  <c r="T378" i="13"/>
  <c r="U378" i="13" s="1"/>
  <c r="W378" i="13" s="1" a="1"/>
  <c r="W378" i="13" s="1"/>
  <c r="T465" i="13"/>
  <c r="U465" i="13" s="1"/>
  <c r="W465" i="13" s="1" a="1"/>
  <c r="W465" i="13" s="1"/>
  <c r="T473" i="13"/>
  <c r="U473" i="13" s="1"/>
  <c r="W473" i="13" s="1" a="1"/>
  <c r="W473" i="13" s="1"/>
  <c r="T481" i="13"/>
  <c r="U481" i="13" s="1"/>
  <c r="W481" i="13" s="1" a="1"/>
  <c r="W481" i="13" s="1"/>
  <c r="T489" i="13"/>
  <c r="U489" i="13" s="1"/>
  <c r="W489" i="13" s="1" a="1"/>
  <c r="W489" i="13" s="1"/>
  <c r="T614" i="13"/>
  <c r="U614" i="13" s="1"/>
  <c r="W614" i="13" s="1" a="1"/>
  <c r="W614" i="13" s="1"/>
  <c r="T13" i="13"/>
  <c r="U13" i="13" s="1"/>
  <c r="W13" i="13" s="1" a="1"/>
  <c r="W13" i="13" s="1"/>
  <c r="T21" i="13"/>
  <c r="U21" i="13" s="1"/>
  <c r="W21" i="13" s="1" a="1"/>
  <c r="W21" i="13" s="1"/>
  <c r="T69" i="13"/>
  <c r="U69" i="13" s="1"/>
  <c r="W69" i="13" s="1" a="1"/>
  <c r="W69" i="13" s="1"/>
  <c r="T159" i="13"/>
  <c r="U159" i="13" s="1"/>
  <c r="W159" i="13" s="1" a="1"/>
  <c r="W159" i="13" s="1"/>
  <c r="T563" i="13"/>
  <c r="U563" i="13" s="1"/>
  <c r="W563" i="13" s="1" a="1"/>
  <c r="W563" i="13" s="1"/>
  <c r="T581" i="13"/>
  <c r="U581" i="13" s="1"/>
  <c r="W581" i="13" s="1" a="1"/>
  <c r="W581" i="13" s="1"/>
  <c r="T589" i="13"/>
  <c r="U589" i="13" s="1"/>
  <c r="W589" i="13" s="1" a="1"/>
  <c r="W589" i="13" s="1"/>
  <c r="T625" i="13"/>
  <c r="U625" i="13" s="1"/>
  <c r="W625" i="13" s="1" a="1"/>
  <c r="W625" i="13" s="1"/>
  <c r="T633" i="13"/>
  <c r="U633" i="13" s="1"/>
  <c r="W633" i="13" s="1" a="1"/>
  <c r="W633" i="13" s="1"/>
  <c r="T513" i="13"/>
  <c r="U513" i="13" s="1"/>
  <c r="W513" i="13" s="1" a="1"/>
  <c r="W513" i="13" s="1"/>
  <c r="T521" i="13"/>
  <c r="U521" i="13" s="1"/>
  <c r="W521" i="13" s="1" a="1"/>
  <c r="W521" i="13" s="1"/>
  <c r="T653" i="13"/>
  <c r="U653" i="13" s="1"/>
  <c r="W653" i="13" s="1" a="1"/>
  <c r="W653" i="13" s="1"/>
  <c r="T497" i="13"/>
  <c r="U497" i="13" s="1"/>
  <c r="W497" i="13" s="1" a="1"/>
  <c r="W497" i="13" s="1"/>
  <c r="T575" i="13"/>
  <c r="U575" i="13" s="1"/>
  <c r="W575" i="13" s="1" a="1"/>
  <c r="W575" i="13" s="1"/>
  <c r="T664" i="13"/>
  <c r="U664" i="13" s="1"/>
  <c r="W664" i="13" s="1" a="1"/>
  <c r="W664" i="13" s="1"/>
  <c r="T210" i="13"/>
  <c r="U210" i="13" s="1"/>
  <c r="W210" i="13" s="1" a="1"/>
  <c r="W210" i="13" s="1"/>
  <c r="T269" i="13"/>
  <c r="U269" i="13" s="1"/>
  <c r="W269" i="13" s="1" a="1"/>
  <c r="W269" i="13" s="1"/>
  <c r="T114" i="13"/>
  <c r="U114" i="13" s="1"/>
  <c r="W114" i="13" s="1" a="1"/>
  <c r="W114" i="13" s="1"/>
  <c r="T122" i="13"/>
  <c r="U122" i="13" s="1"/>
  <c r="W122" i="13" s="1" a="1"/>
  <c r="W122" i="13" s="1"/>
  <c r="T233" i="13"/>
  <c r="U233" i="13" s="1"/>
  <c r="W233" i="13" s="1" a="1"/>
  <c r="W233" i="13" s="1"/>
  <c r="T193" i="13"/>
  <c r="U193" i="13" s="1"/>
  <c r="W193" i="13" s="1" a="1"/>
  <c r="W193" i="13" s="1"/>
  <c r="T272" i="13"/>
  <c r="U272" i="13" s="1"/>
  <c r="W272" i="13" s="1" a="1"/>
  <c r="W272" i="13" s="1"/>
  <c r="T192" i="13"/>
  <c r="U192" i="13" s="1"/>
  <c r="W192" i="13" s="1" a="1"/>
  <c r="W192" i="13" s="1"/>
  <c r="T77" i="13"/>
  <c r="U77" i="13" s="1"/>
  <c r="W77" i="13" s="1" a="1"/>
  <c r="W77" i="13" s="1"/>
  <c r="T85" i="13"/>
  <c r="U85" i="13" s="1"/>
  <c r="W85" i="13" s="1" a="1"/>
  <c r="W85" i="13" s="1"/>
  <c r="T101" i="13"/>
  <c r="U101" i="13" s="1"/>
  <c r="W101" i="13" s="1" a="1"/>
  <c r="W101" i="13" s="1"/>
  <c r="T184" i="13"/>
  <c r="U184" i="13" s="1"/>
  <c r="W184" i="13" s="1" a="1"/>
  <c r="W184" i="13" s="1"/>
  <c r="T151" i="13"/>
  <c r="U151" i="13" s="1"/>
  <c r="W151" i="13" s="1" a="1"/>
  <c r="W151" i="13" s="1"/>
  <c r="T163" i="13"/>
  <c r="U163" i="13" s="1"/>
  <c r="W163" i="13" s="1" a="1"/>
  <c r="W163" i="13" s="1"/>
  <c r="T547" i="13"/>
  <c r="U547" i="13" s="1"/>
  <c r="W547" i="13" s="1" a="1"/>
  <c r="W547" i="13" s="1"/>
  <c r="T669" i="13"/>
  <c r="U669" i="13" s="1"/>
  <c r="W669" i="13" s="1" a="1"/>
  <c r="W669" i="13" s="1"/>
  <c r="T643" i="13"/>
  <c r="U643" i="13" s="1"/>
  <c r="W643" i="13" s="1" a="1"/>
  <c r="W643" i="13" s="1"/>
  <c r="T225" i="13"/>
  <c r="U225" i="13" s="1"/>
  <c r="W225" i="13" s="1" a="1"/>
  <c r="W225" i="13" s="1"/>
  <c r="T258" i="13"/>
  <c r="U258" i="13" s="1"/>
  <c r="W258" i="13" s="1" a="1"/>
  <c r="W258" i="13" s="1"/>
  <c r="T217" i="13"/>
  <c r="U217" i="13" s="1"/>
  <c r="W217" i="13" s="1" a="1"/>
  <c r="W217" i="13" s="1"/>
  <c r="T121" i="13"/>
  <c r="U121" i="13" s="1"/>
  <c r="W121" i="13" s="1" a="1"/>
  <c r="W121" i="13" s="1"/>
  <c r="T129" i="13"/>
  <c r="U129" i="13" s="1"/>
  <c r="W129" i="13" s="1" a="1"/>
  <c r="W129" i="13" s="1"/>
  <c r="T338" i="13"/>
  <c r="U338" i="13" s="1"/>
  <c r="W338" i="13" s="1" a="1"/>
  <c r="W338" i="13" s="1"/>
  <c r="T370" i="13"/>
  <c r="U370" i="13" s="1"/>
  <c r="W370" i="13" s="1" a="1"/>
  <c r="W370" i="13" s="1"/>
  <c r="U203" i="13"/>
  <c r="W203" i="13" s="1" a="1"/>
  <c r="W203" i="13" s="1"/>
  <c r="T126" i="13"/>
  <c r="U126" i="13" s="1"/>
  <c r="W126" i="13" s="1" a="1"/>
  <c r="W126" i="13" s="1"/>
  <c r="T213" i="13"/>
  <c r="U213" i="13" s="1"/>
  <c r="W213" i="13" s="1" a="1"/>
  <c r="W213" i="13" s="1"/>
  <c r="T242" i="13"/>
  <c r="U242" i="13" s="1"/>
  <c r="W242" i="13" s="1" a="1"/>
  <c r="W242" i="13" s="1"/>
  <c r="T259" i="13"/>
  <c r="U259" i="13" s="1"/>
  <c r="W259" i="13" s="1" a="1"/>
  <c r="W259" i="13" s="1"/>
  <c r="T292" i="13"/>
  <c r="U292" i="13" s="1"/>
  <c r="W292" i="13" s="1" a="1"/>
  <c r="W292" i="13" s="1"/>
  <c r="T308" i="13"/>
  <c r="U308" i="13" s="1"/>
  <c r="W308" i="13" s="1" a="1"/>
  <c r="W308" i="13" s="1"/>
  <c r="T311" i="13"/>
  <c r="U311" i="13" s="1"/>
  <c r="W311" i="13" s="1" a="1"/>
  <c r="W311" i="13" s="1"/>
  <c r="T327" i="13"/>
  <c r="U327" i="13" s="1"/>
  <c r="W327" i="13" s="1" a="1"/>
  <c r="W327" i="13" s="1"/>
  <c r="T403" i="13"/>
  <c r="U403" i="13" s="1"/>
  <c r="W403" i="13" s="1" a="1"/>
  <c r="W403" i="13" s="1"/>
  <c r="T411" i="13"/>
  <c r="U411" i="13" s="1"/>
  <c r="W411" i="13" s="1" a="1"/>
  <c r="W411" i="13" s="1"/>
  <c r="T419" i="13"/>
  <c r="U419" i="13" s="1"/>
  <c r="W419" i="13" s="1" a="1"/>
  <c r="W419" i="13" s="1"/>
  <c r="T427" i="13"/>
  <c r="U427" i="13" s="1"/>
  <c r="W427" i="13" s="1" a="1"/>
  <c r="W427" i="13" s="1"/>
  <c r="T435" i="13"/>
  <c r="U435" i="13" s="1"/>
  <c r="W435" i="13" s="1" a="1"/>
  <c r="W435" i="13" s="1"/>
  <c r="T443" i="13"/>
  <c r="U443" i="13" s="1"/>
  <c r="W443" i="13" s="1" a="1"/>
  <c r="W443" i="13" s="1"/>
  <c r="T451" i="13"/>
  <c r="U451" i="13" s="1"/>
  <c r="W451" i="13" s="1" a="1"/>
  <c r="W451" i="13" s="1"/>
  <c r="T459" i="13"/>
  <c r="U459" i="13" s="1"/>
  <c r="W459" i="13" s="1" a="1"/>
  <c r="W459" i="13" s="1"/>
  <c r="T560" i="13"/>
  <c r="U560" i="13" s="1"/>
  <c r="W560" i="13" s="1" a="1"/>
  <c r="W560" i="13" s="1"/>
  <c r="T679" i="13"/>
  <c r="U679" i="13" s="1"/>
  <c r="W679" i="13" s="1" a="1"/>
  <c r="W679" i="13" s="1"/>
  <c r="T579" i="13"/>
  <c r="U579" i="13" s="1"/>
  <c r="W579" i="13" s="1" a="1"/>
  <c r="W579" i="13" s="1"/>
  <c r="T672" i="13"/>
  <c r="U672" i="13" s="1"/>
  <c r="W672" i="13" s="1" a="1"/>
  <c r="W672" i="13" s="1"/>
  <c r="T564" i="13"/>
  <c r="U564" i="13" s="1"/>
  <c r="W564" i="13" s="1" a="1"/>
  <c r="W564" i="13" s="1"/>
  <c r="T585" i="13"/>
  <c r="U585" i="13" s="1"/>
  <c r="W585" i="13" s="1" a="1"/>
  <c r="W585" i="13" s="1"/>
  <c r="T593" i="13"/>
  <c r="U593" i="13" s="1"/>
  <c r="W593" i="13" s="1" a="1"/>
  <c r="W593" i="13" s="1"/>
  <c r="T697" i="13"/>
  <c r="U697" i="13" s="1"/>
  <c r="W697" i="13" s="1" a="1"/>
  <c r="W697" i="13" s="1"/>
  <c r="T267" i="13"/>
  <c r="U267" i="13" s="1"/>
  <c r="W267" i="13" s="1" a="1"/>
  <c r="W267" i="13" s="1"/>
  <c r="T249" i="13"/>
  <c r="U249" i="13" s="1"/>
  <c r="W249" i="13" s="1" a="1"/>
  <c r="W249" i="13" s="1"/>
  <c r="T31" i="13"/>
  <c r="U31" i="13" s="1"/>
  <c r="W31" i="13" s="1" a="1"/>
  <c r="W31" i="13" s="1"/>
  <c r="T39" i="13"/>
  <c r="U39" i="13" s="1"/>
  <c r="W39" i="13" s="1" a="1"/>
  <c r="W39" i="13" s="1"/>
  <c r="T47" i="13"/>
  <c r="U47" i="13" s="1"/>
  <c r="W47" i="13" s="1" a="1"/>
  <c r="W47" i="13" s="1"/>
  <c r="T55" i="13"/>
  <c r="U55" i="13" s="1"/>
  <c r="W55" i="13" s="1" a="1"/>
  <c r="W55" i="13" s="1"/>
  <c r="T91" i="13"/>
  <c r="U91" i="13" s="1"/>
  <c r="W91" i="13" s="1" a="1"/>
  <c r="W91" i="13" s="1"/>
  <c r="T117" i="13"/>
  <c r="U117" i="13" s="1"/>
  <c r="W117" i="13" s="1" a="1"/>
  <c r="W117" i="13" s="1"/>
  <c r="T330" i="13"/>
  <c r="U330" i="13" s="1"/>
  <c r="W330" i="13" s="1" a="1"/>
  <c r="W330" i="13" s="1"/>
  <c r="T362" i="13"/>
  <c r="U362" i="13" s="1"/>
  <c r="W362" i="13" s="1" a="1"/>
  <c r="W362" i="13" s="1"/>
  <c r="T394" i="13"/>
  <c r="U394" i="13" s="1"/>
  <c r="W394" i="13" s="1" a="1"/>
  <c r="W394" i="13" s="1"/>
  <c r="T650" i="13"/>
  <c r="U650" i="13" s="1"/>
  <c r="W650" i="13" s="1" a="1"/>
  <c r="W650" i="13" s="1"/>
  <c r="T302" i="13"/>
  <c r="U302" i="13" s="1"/>
  <c r="W302" i="13" s="1" a="1"/>
  <c r="W302" i="13" s="1"/>
  <c r="T605" i="13"/>
  <c r="U605" i="13" s="1"/>
  <c r="W605" i="13" s="1" a="1"/>
  <c r="W605" i="13" s="1"/>
  <c r="T232" i="13"/>
  <c r="U232" i="13" s="1"/>
  <c r="W232" i="13" s="1" a="1"/>
  <c r="W232" i="13" s="1"/>
  <c r="T196" i="13"/>
  <c r="U196" i="13" s="1"/>
  <c r="W196" i="13" s="1" a="1"/>
  <c r="W196" i="13" s="1"/>
  <c r="T27" i="13"/>
  <c r="U27" i="13" s="1"/>
  <c r="W27" i="13" s="1" a="1"/>
  <c r="W27" i="13" s="1"/>
  <c r="T35" i="13"/>
  <c r="U35" i="13" s="1"/>
  <c r="W35" i="13" s="1" a="1"/>
  <c r="W35" i="13" s="1"/>
  <c r="T43" i="13"/>
  <c r="U43" i="13" s="1"/>
  <c r="W43" i="13" s="1" a="1"/>
  <c r="W43" i="13" s="1"/>
  <c r="T51" i="13"/>
  <c r="U51" i="13" s="1"/>
  <c r="W51" i="13" s="1" a="1"/>
  <c r="W51" i="13" s="1"/>
  <c r="T59" i="13"/>
  <c r="U59" i="13" s="1"/>
  <c r="W59" i="13" s="1" a="1"/>
  <c r="W59" i="13" s="1"/>
  <c r="T63" i="13"/>
  <c r="U63" i="13" s="1"/>
  <c r="W63" i="13" s="1" a="1"/>
  <c r="W63" i="13" s="1"/>
  <c r="T75" i="13"/>
  <c r="U75" i="13" s="1"/>
  <c r="W75" i="13" s="1" a="1"/>
  <c r="W75" i="13" s="1"/>
  <c r="T99" i="13"/>
  <c r="U99" i="13" s="1"/>
  <c r="W99" i="13" s="1" a="1"/>
  <c r="W99" i="13" s="1"/>
  <c r="T125" i="13"/>
  <c r="U125" i="13" s="1"/>
  <c r="W125" i="13" s="1" a="1"/>
  <c r="W125" i="13" s="1"/>
  <c r="T145" i="13"/>
  <c r="U145" i="13" s="1"/>
  <c r="W145" i="13" s="1" a="1"/>
  <c r="W145" i="13" s="1"/>
  <c r="T165" i="13"/>
  <c r="U165" i="13" s="1"/>
  <c r="W165" i="13" s="1" a="1"/>
  <c r="W165" i="13" s="1"/>
  <c r="T287" i="13"/>
  <c r="U287" i="13" s="1"/>
  <c r="W287" i="13" s="1" a="1"/>
  <c r="W287" i="13" s="1"/>
  <c r="T621" i="13"/>
  <c r="U621" i="13" s="1"/>
  <c r="W621" i="13" s="1" a="1"/>
  <c r="W621" i="13" s="1"/>
  <c r="T629" i="13"/>
  <c r="U629" i="13" s="1"/>
  <c r="W629" i="13" s="1" a="1"/>
  <c r="W629" i="13" s="1"/>
  <c r="T637" i="13"/>
  <c r="U637" i="13" s="1"/>
  <c r="W637" i="13" s="1" a="1"/>
  <c r="W637" i="13" s="1"/>
  <c r="T237" i="13"/>
  <c r="U237" i="13" s="1"/>
  <c r="W237" i="13" s="1" a="1"/>
  <c r="W237" i="13" s="1"/>
  <c r="T221" i="13"/>
  <c r="U221" i="13" s="1"/>
  <c r="W221" i="13" s="1" a="1"/>
  <c r="W221" i="13" s="1"/>
  <c r="T183" i="13"/>
  <c r="U183" i="13" s="1"/>
  <c r="W183" i="13" s="1" a="1"/>
  <c r="W183" i="13" s="1"/>
  <c r="T219" i="13"/>
  <c r="U219" i="13" s="1"/>
  <c r="W219" i="13" s="1" a="1"/>
  <c r="W219" i="13" s="1"/>
  <c r="T254" i="13"/>
  <c r="U254" i="13" s="1"/>
  <c r="W254" i="13" s="1" a="1"/>
  <c r="W254" i="13" s="1"/>
  <c r="T559" i="13"/>
  <c r="U559" i="13" s="1"/>
  <c r="W559" i="13" s="1" a="1"/>
  <c r="W559" i="13" s="1"/>
  <c r="T110" i="13"/>
  <c r="U110" i="13" s="1"/>
  <c r="W110" i="13" s="1" a="1"/>
  <c r="W110" i="13" s="1"/>
  <c r="T130" i="13"/>
  <c r="U130" i="13" s="1"/>
  <c r="W130" i="13" s="1" a="1"/>
  <c r="W130" i="13" s="1"/>
  <c r="T304" i="13"/>
  <c r="U304" i="13" s="1"/>
  <c r="W304" i="13" s="1" a="1"/>
  <c r="W304" i="13" s="1"/>
  <c r="T323" i="13"/>
  <c r="U323" i="13" s="1"/>
  <c r="W323" i="13" s="1" a="1"/>
  <c r="W323" i="13" s="1"/>
  <c r="T339" i="13"/>
  <c r="U339" i="13" s="1"/>
  <c r="W339" i="13" s="1" a="1"/>
  <c r="W339" i="13" s="1"/>
  <c r="T355" i="13"/>
  <c r="U355" i="13" s="1"/>
  <c r="W355" i="13" s="1" a="1"/>
  <c r="W355" i="13" s="1"/>
  <c r="T371" i="13"/>
  <c r="U371" i="13" s="1"/>
  <c r="W371" i="13" s="1" a="1"/>
  <c r="W371" i="13" s="1"/>
  <c r="T387" i="13"/>
  <c r="U387" i="13" s="1"/>
  <c r="W387" i="13" s="1" a="1"/>
  <c r="W387" i="13" s="1"/>
  <c r="T584" i="13"/>
  <c r="U584" i="13" s="1"/>
  <c r="W584" i="13" s="1" a="1"/>
  <c r="W584" i="13" s="1"/>
  <c r="T592" i="13"/>
  <c r="U592" i="13" s="1"/>
  <c r="W592" i="13" s="1" a="1"/>
  <c r="W592" i="13" s="1"/>
  <c r="T218" i="13"/>
  <c r="U218" i="13" s="1"/>
  <c r="W218" i="13" s="1" a="1"/>
  <c r="W218" i="13" s="1"/>
  <c r="U202" i="13"/>
  <c r="W202" i="13" s="1" a="1"/>
  <c r="W202" i="13" s="1"/>
  <c r="T109" i="13"/>
  <c r="U109" i="13" s="1"/>
  <c r="W109" i="13" s="1" a="1"/>
  <c r="W109" i="13" s="1"/>
  <c r="T133" i="13"/>
  <c r="U133" i="13" s="1"/>
  <c r="W133" i="13" s="1" a="1"/>
  <c r="W133" i="13" s="1"/>
  <c r="T291" i="13"/>
  <c r="U291" i="13" s="1"/>
  <c r="W291" i="13" s="1" a="1"/>
  <c r="W291" i="13" s="1"/>
  <c r="T659" i="13"/>
  <c r="U659" i="13" s="1"/>
  <c r="W659" i="13" s="1" a="1"/>
  <c r="W659" i="13" s="1"/>
  <c r="U198" i="13"/>
  <c r="W198" i="13" s="1" a="1"/>
  <c r="W198" i="13" s="1"/>
  <c r="T231" i="13"/>
  <c r="U231" i="13" s="1"/>
  <c r="W231" i="13" s="1" a="1"/>
  <c r="W231" i="13" s="1"/>
  <c r="T190" i="13"/>
  <c r="U190" i="13" s="1"/>
  <c r="W190" i="13" s="1" a="1"/>
  <c r="W190" i="13" s="1"/>
  <c r="T227" i="13"/>
  <c r="U227" i="13" s="1"/>
  <c r="W227" i="13" s="1" a="1"/>
  <c r="W227" i="13" s="1"/>
  <c r="T12" i="13"/>
  <c r="U12" i="13" s="1"/>
  <c r="W12" i="13" s="1" a="1"/>
  <c r="W12" i="13" s="1"/>
  <c r="T20" i="13"/>
  <c r="U20" i="13" s="1"/>
  <c r="W20" i="13" s="1" a="1"/>
  <c r="W20" i="13" s="1"/>
  <c r="T28" i="13"/>
  <c r="U28" i="13" s="1"/>
  <c r="W28" i="13" s="1" a="1"/>
  <c r="W28" i="13" s="1"/>
  <c r="T36" i="13"/>
  <c r="U36" i="13" s="1"/>
  <c r="W36" i="13" s="1" a="1"/>
  <c r="W36" i="13" s="1"/>
  <c r="T44" i="13"/>
  <c r="U44" i="13" s="1"/>
  <c r="W44" i="13" s="1" a="1"/>
  <c r="W44" i="13" s="1"/>
  <c r="T52" i="13"/>
  <c r="U52" i="13" s="1"/>
  <c r="W52" i="13" s="1" a="1"/>
  <c r="W52" i="13" s="1"/>
  <c r="T60" i="13"/>
  <c r="U60" i="13" s="1"/>
  <c r="W60" i="13" s="1" a="1"/>
  <c r="W60" i="13" s="1"/>
  <c r="T68" i="13"/>
  <c r="U68" i="13" s="1"/>
  <c r="W68" i="13" s="1" a="1"/>
  <c r="W68" i="13" s="1"/>
  <c r="T76" i="13"/>
  <c r="U76" i="13" s="1"/>
  <c r="W76" i="13" s="1" a="1"/>
  <c r="W76" i="13" s="1"/>
  <c r="T84" i="13"/>
  <c r="U84" i="13" s="1"/>
  <c r="W84" i="13" s="1" a="1"/>
  <c r="W84" i="13" s="1"/>
  <c r="T92" i="13"/>
  <c r="U92" i="13" s="1"/>
  <c r="W92" i="13" s="1" a="1"/>
  <c r="W92" i="13" s="1"/>
  <c r="T100" i="13"/>
  <c r="U100" i="13" s="1"/>
  <c r="W100" i="13" s="1" a="1"/>
  <c r="W100" i="13" s="1"/>
  <c r="T138" i="13"/>
  <c r="U138" i="13" s="1"/>
  <c r="W138" i="13" s="1" a="1"/>
  <c r="W138" i="13" s="1"/>
  <c r="T166" i="13"/>
  <c r="U166" i="13" s="1"/>
  <c r="W166" i="13" s="1" a="1"/>
  <c r="W166" i="13" s="1"/>
  <c r="T545" i="13"/>
  <c r="U545" i="13" s="1"/>
  <c r="W545" i="13" s="1" a="1"/>
  <c r="W545" i="13" s="1"/>
  <c r="T343" i="13"/>
  <c r="U343" i="13" s="1"/>
  <c r="W343" i="13" s="1" a="1"/>
  <c r="W343" i="13" s="1"/>
  <c r="T359" i="13"/>
  <c r="U359" i="13" s="1"/>
  <c r="W359" i="13" s="1" a="1"/>
  <c r="W359" i="13" s="1"/>
  <c r="T375" i="13"/>
  <c r="U375" i="13" s="1"/>
  <c r="W375" i="13" s="1" a="1"/>
  <c r="W375" i="13" s="1"/>
  <c r="T391" i="13"/>
  <c r="U391" i="13" s="1"/>
  <c r="W391" i="13" s="1" a="1"/>
  <c r="W391" i="13" s="1"/>
  <c r="T467" i="13"/>
  <c r="U467" i="13" s="1"/>
  <c r="W467" i="13" s="1" a="1"/>
  <c r="W467" i="13" s="1"/>
  <c r="T475" i="13"/>
  <c r="U475" i="13" s="1"/>
  <c r="W475" i="13" s="1" a="1"/>
  <c r="W475" i="13" s="1"/>
  <c r="T483" i="13"/>
  <c r="U483" i="13" s="1"/>
  <c r="W483" i="13" s="1" a="1"/>
  <c r="W483" i="13" s="1"/>
  <c r="T491" i="13"/>
  <c r="U491" i="13" s="1"/>
  <c r="W491" i="13" s="1" a="1"/>
  <c r="W491" i="13" s="1"/>
  <c r="T689" i="13"/>
  <c r="U689" i="13" s="1"/>
  <c r="W689" i="13" s="1" a="1"/>
  <c r="W689" i="13" s="1"/>
  <c r="T500" i="13"/>
  <c r="U500" i="13" s="1"/>
  <c r="W500" i="13" s="1" a="1"/>
  <c r="W500" i="13" s="1"/>
  <c r="T508" i="13"/>
  <c r="U508" i="13" s="1"/>
  <c r="W508" i="13" s="1" a="1"/>
  <c r="W508" i="13" s="1"/>
  <c r="U574" i="13"/>
  <c r="W574" i="13" s="1" a="1"/>
  <c r="W574" i="13" s="1"/>
  <c r="T578" i="13"/>
  <c r="U578" i="13" s="1"/>
  <c r="W578" i="13" s="1" a="1"/>
  <c r="W578" i="13" s="1"/>
  <c r="T654" i="13"/>
  <c r="U654" i="13" s="1"/>
  <c r="W654" i="13" s="1" a="1"/>
  <c r="W654" i="13" s="1"/>
  <c r="T607" i="13"/>
  <c r="U607" i="13" s="1"/>
  <c r="W607" i="13" s="1" a="1"/>
  <c r="W607" i="13" s="1"/>
  <c r="T670" i="13"/>
  <c r="U670" i="13" s="1"/>
  <c r="W670" i="13" s="1" a="1"/>
  <c r="W670" i="13" s="1"/>
  <c r="T694" i="13"/>
  <c r="U694" i="13" s="1"/>
  <c r="W694" i="13" s="1" a="1"/>
  <c r="W694" i="13" s="1"/>
  <c r="T177" i="13"/>
  <c r="U177" i="13" s="1"/>
  <c r="W177" i="13" s="1" a="1"/>
  <c r="W177" i="13" s="1"/>
  <c r="T199" i="13"/>
  <c r="U199" i="13" s="1"/>
  <c r="W199" i="13" s="1" a="1"/>
  <c r="W199" i="13" s="1"/>
  <c r="T240" i="13"/>
  <c r="U240" i="13" s="1"/>
  <c r="W240" i="13" s="1" a="1"/>
  <c r="W240" i="13" s="1"/>
  <c r="T256" i="13"/>
  <c r="U256" i="13" s="1"/>
  <c r="W256" i="13" s="1" a="1"/>
  <c r="W256" i="13" s="1"/>
  <c r="T65" i="13"/>
  <c r="U65" i="13" s="1"/>
  <c r="W65" i="13" s="1" a="1"/>
  <c r="W65" i="13" s="1"/>
  <c r="T147" i="13"/>
  <c r="U147" i="13" s="1"/>
  <c r="W147" i="13" s="1" a="1"/>
  <c r="W147" i="13" s="1"/>
  <c r="T289" i="13"/>
  <c r="U289" i="13" s="1"/>
  <c r="W289" i="13" s="1" a="1"/>
  <c r="W289" i="13" s="1"/>
  <c r="T413" i="13"/>
  <c r="U413" i="13" s="1"/>
  <c r="W413" i="13" s="1" a="1"/>
  <c r="W413" i="13" s="1"/>
  <c r="T429" i="13"/>
  <c r="U429" i="13" s="1"/>
  <c r="W429" i="13" s="1" a="1"/>
  <c r="W429" i="13" s="1"/>
  <c r="T445" i="13"/>
  <c r="U445" i="13" s="1"/>
  <c r="W445" i="13" s="1" a="1"/>
  <c r="W445" i="13" s="1"/>
  <c r="T645" i="13"/>
  <c r="U645" i="13" s="1"/>
  <c r="W645" i="13" s="1" a="1"/>
  <c r="W645" i="13" s="1"/>
  <c r="T501" i="13"/>
  <c r="U501" i="13" s="1"/>
  <c r="W501" i="13" s="1" a="1"/>
  <c r="W501" i="13" s="1"/>
  <c r="T598" i="13"/>
  <c r="U598" i="13" s="1"/>
  <c r="W598" i="13" s="1" a="1"/>
  <c r="W598" i="13" s="1"/>
  <c r="T641" i="13"/>
  <c r="U641" i="13" s="1"/>
  <c r="W641" i="13" s="1" a="1"/>
  <c r="W641" i="13" s="1"/>
  <c r="T608" i="13"/>
  <c r="U608" i="13" s="1"/>
  <c r="W608" i="13" s="1" a="1"/>
  <c r="W608" i="13" s="1"/>
  <c r="T616" i="13"/>
  <c r="U616" i="13" s="1"/>
  <c r="W616" i="13" s="1" a="1"/>
  <c r="W616" i="13" s="1"/>
  <c r="T680" i="13"/>
  <c r="U680" i="13" s="1"/>
  <c r="W680" i="13" s="1" a="1"/>
  <c r="W680" i="13" s="1"/>
  <c r="T705" i="13"/>
  <c r="U705" i="13" s="1"/>
  <c r="W705" i="13" s="1" a="1"/>
  <c r="W705" i="13" s="1"/>
  <c r="T251" i="13"/>
  <c r="U251" i="13" s="1"/>
  <c r="W251" i="13" s="1" a="1"/>
  <c r="W251" i="13" s="1"/>
  <c r="T139" i="13"/>
  <c r="U139" i="13" s="1"/>
  <c r="W139" i="13" s="1" a="1"/>
  <c r="W139" i="13" s="1"/>
  <c r="T155" i="13"/>
  <c r="U155" i="13" s="1"/>
  <c r="W155" i="13" s="1" a="1"/>
  <c r="W155" i="13" s="1"/>
  <c r="T285" i="13"/>
  <c r="U285" i="13" s="1"/>
  <c r="W285" i="13" s="1" a="1"/>
  <c r="W285" i="13" s="1"/>
  <c r="T421" i="13"/>
  <c r="U421" i="13" s="1"/>
  <c r="W421" i="13" s="1" a="1"/>
  <c r="W421" i="13" s="1"/>
  <c r="T437" i="13"/>
  <c r="U437" i="13" s="1"/>
  <c r="W437" i="13" s="1" a="1"/>
  <c r="W437" i="13" s="1"/>
  <c r="T453" i="13"/>
  <c r="U453" i="13" s="1"/>
  <c r="W453" i="13" s="1" a="1"/>
  <c r="W453" i="13" s="1"/>
  <c r="T241" i="13"/>
  <c r="U241" i="13" s="1"/>
  <c r="W241" i="13" s="1" a="1"/>
  <c r="W241" i="13" s="1"/>
  <c r="T261" i="13"/>
  <c r="U261" i="13" s="1"/>
  <c r="W261" i="13" s="1" a="1"/>
  <c r="W261" i="13" s="1"/>
  <c r="T124" i="13"/>
  <c r="U124" i="13" s="1"/>
  <c r="W124" i="13" s="1" a="1"/>
  <c r="W124" i="13" s="1"/>
  <c r="T156" i="13"/>
  <c r="U156" i="13" s="1"/>
  <c r="W156" i="13" s="1" a="1"/>
  <c r="W156" i="13" s="1"/>
  <c r="T290" i="13"/>
  <c r="U290" i="13" s="1"/>
  <c r="W290" i="13" s="1" a="1"/>
  <c r="W290" i="13" s="1"/>
  <c r="T514" i="13"/>
  <c r="U514" i="13" s="1"/>
  <c r="W514" i="13" s="1" a="1"/>
  <c r="W514" i="13" s="1"/>
  <c r="T522" i="13"/>
  <c r="U522" i="13" s="1"/>
  <c r="W522" i="13" s="1" a="1"/>
  <c r="W522" i="13" s="1"/>
  <c r="T655" i="13"/>
  <c r="U655" i="13" s="1"/>
  <c r="W655" i="13" s="1" a="1"/>
  <c r="W655" i="13" s="1"/>
  <c r="T626" i="13"/>
  <c r="U626" i="13" s="1"/>
  <c r="W626" i="13" s="1" a="1"/>
  <c r="W626" i="13" s="1"/>
  <c r="T634" i="13"/>
  <c r="U634" i="13" s="1"/>
  <c r="W634" i="13" s="1" a="1"/>
  <c r="W634" i="13" s="1"/>
  <c r="T674" i="13"/>
  <c r="U674" i="13" s="1"/>
  <c r="W674" i="13" s="1" a="1"/>
  <c r="W674" i="13" s="1"/>
  <c r="T216" i="13"/>
  <c r="U216" i="13" s="1"/>
  <c r="W216" i="13" s="1" a="1"/>
  <c r="W216" i="13" s="1"/>
  <c r="T248" i="13"/>
  <c r="U248" i="13" s="1"/>
  <c r="W248" i="13" s="1" a="1"/>
  <c r="W248" i="13" s="1"/>
  <c r="T25" i="13"/>
  <c r="U25" i="13" s="1"/>
  <c r="W25" i="13" s="1" a="1"/>
  <c r="W25" i="13" s="1"/>
  <c r="T33" i="13"/>
  <c r="U33" i="13" s="1"/>
  <c r="W33" i="13" s="1" a="1"/>
  <c r="W33" i="13" s="1"/>
  <c r="T41" i="13"/>
  <c r="U41" i="13" s="1"/>
  <c r="W41" i="13" s="1" a="1"/>
  <c r="W41" i="13" s="1"/>
  <c r="T49" i="13"/>
  <c r="U49" i="13" s="1"/>
  <c r="W49" i="13" s="1" a="1"/>
  <c r="W49" i="13" s="1"/>
  <c r="T97" i="13"/>
  <c r="U97" i="13" s="1"/>
  <c r="W97" i="13" s="1" a="1"/>
  <c r="W97" i="13" s="1"/>
  <c r="T257" i="13"/>
  <c r="U257" i="13" s="1"/>
  <c r="W257" i="13" s="1" a="1"/>
  <c r="W257" i="13" s="1"/>
  <c r="T123" i="13"/>
  <c r="U123" i="13" s="1"/>
  <c r="W123" i="13" s="1" a="1"/>
  <c r="W123" i="13" s="1"/>
  <c r="T131" i="13"/>
  <c r="U131" i="13" s="1"/>
  <c r="W131" i="13" s="1" a="1"/>
  <c r="W131" i="13" s="1"/>
  <c r="T281" i="13"/>
  <c r="U281" i="13" s="1"/>
  <c r="W281" i="13" s="1" a="1"/>
  <c r="W281" i="13" s="1"/>
  <c r="T461" i="13"/>
  <c r="U461" i="13" s="1"/>
  <c r="W461" i="13" s="1" a="1"/>
  <c r="W461" i="13" s="1"/>
  <c r="T469" i="13"/>
  <c r="U469" i="13" s="1"/>
  <c r="W469" i="13" s="1" a="1"/>
  <c r="W469" i="13" s="1"/>
  <c r="T477" i="13"/>
  <c r="U477" i="13" s="1"/>
  <c r="W477" i="13" s="1" a="1"/>
  <c r="W477" i="13" s="1"/>
  <c r="T485" i="13"/>
  <c r="U485" i="13" s="1"/>
  <c r="W485" i="13" s="1" a="1"/>
  <c r="W485" i="13" s="1"/>
  <c r="T493" i="13"/>
  <c r="U493" i="13" s="1"/>
  <c r="W493" i="13" s="1" a="1"/>
  <c r="W493" i="13" s="1"/>
  <c r="T603" i="13"/>
  <c r="U603" i="13" s="1"/>
  <c r="W603" i="13" s="1" a="1"/>
  <c r="W603" i="13" s="1"/>
  <c r="T505" i="13"/>
  <c r="U505" i="13" s="1"/>
  <c r="W505" i="13" s="1" a="1"/>
  <c r="W505" i="13" s="1"/>
  <c r="T612" i="13"/>
  <c r="U612" i="13" s="1"/>
  <c r="W612" i="13" s="1" a="1"/>
  <c r="W612" i="13" s="1"/>
  <c r="T688" i="13"/>
  <c r="U688" i="13" s="1"/>
  <c r="W688" i="13" s="1" a="1"/>
  <c r="W688" i="13" s="1"/>
  <c r="T696" i="13"/>
  <c r="U696" i="13" s="1"/>
  <c r="W696" i="13" s="1" a="1"/>
  <c r="W696" i="13" s="1"/>
  <c r="T762" i="13"/>
  <c r="U762" i="13" s="1"/>
  <c r="T206" i="13"/>
  <c r="U206" i="13" s="1"/>
  <c r="W206" i="13" s="1" a="1"/>
  <c r="W206" i="13" s="1"/>
  <c r="T298" i="13"/>
  <c r="U298" i="13" s="1"/>
  <c r="W298" i="13" s="1" a="1"/>
  <c r="W298" i="13" s="1"/>
  <c r="T658" i="13"/>
  <c r="U658" i="13" s="1"/>
  <c r="W658" i="13" s="1" a="1"/>
  <c r="W658" i="13" s="1"/>
  <c r="T205" i="13"/>
  <c r="U205" i="13" s="1"/>
  <c r="W205" i="13" s="1" a="1"/>
  <c r="W205" i="13" s="1"/>
  <c r="T15" i="13"/>
  <c r="U15" i="13" s="1"/>
  <c r="W15" i="13" s="1" a="1"/>
  <c r="W15" i="13" s="1"/>
  <c r="T23" i="13"/>
  <c r="U23" i="13" s="1"/>
  <c r="W23" i="13" s="1" a="1"/>
  <c r="W23" i="13" s="1"/>
  <c r="T71" i="13"/>
  <c r="U71" i="13" s="1"/>
  <c r="W71" i="13" s="1" a="1"/>
  <c r="W71" i="13" s="1"/>
  <c r="T83" i="13"/>
  <c r="U83" i="13" s="1"/>
  <c r="W83" i="13" s="1" a="1"/>
  <c r="W83" i="13" s="1"/>
  <c r="T265" i="13"/>
  <c r="U265" i="13" s="1"/>
  <c r="W265" i="13" s="1" a="1"/>
  <c r="W265" i="13" s="1"/>
  <c r="T137" i="13"/>
  <c r="U137" i="13" s="1"/>
  <c r="W137" i="13" s="1" a="1"/>
  <c r="W137" i="13" s="1"/>
  <c r="T307" i="13"/>
  <c r="U307" i="13" s="1"/>
  <c r="W307" i="13" s="1" a="1"/>
  <c r="W307" i="13" s="1"/>
  <c r="T386" i="13"/>
  <c r="U386" i="13" s="1"/>
  <c r="W386" i="13" s="1" a="1"/>
  <c r="W386" i="13" s="1"/>
  <c r="T417" i="13"/>
  <c r="U417" i="13" s="1"/>
  <c r="W417" i="13" s="1" a="1"/>
  <c r="W417" i="13" s="1"/>
  <c r="T425" i="13"/>
  <c r="U425" i="13" s="1"/>
  <c r="W425" i="13" s="1" a="1"/>
  <c r="W425" i="13" s="1"/>
  <c r="T433" i="13"/>
  <c r="U433" i="13" s="1"/>
  <c r="W433" i="13" s="1" a="1"/>
  <c r="W433" i="13" s="1"/>
  <c r="T441" i="13"/>
  <c r="U441" i="13" s="1"/>
  <c r="W441" i="13" s="1" a="1"/>
  <c r="W441" i="13" s="1"/>
  <c r="T449" i="13"/>
  <c r="U449" i="13" s="1"/>
  <c r="W449" i="13" s="1" a="1"/>
  <c r="W449" i="13" s="1"/>
  <c r="T457" i="13"/>
  <c r="U457" i="13" s="1"/>
  <c r="W457" i="13" s="1" a="1"/>
  <c r="W457" i="13" s="1"/>
  <c r="T583" i="13"/>
  <c r="U583" i="13" s="1"/>
  <c r="W583" i="13" s="1" a="1"/>
  <c r="W583" i="13" s="1"/>
  <c r="T591" i="13"/>
  <c r="U591" i="13" s="1"/>
  <c r="W591" i="13" s="1" a="1"/>
  <c r="W591" i="13" s="1"/>
  <c r="T663" i="13"/>
  <c r="U663" i="13" s="1"/>
  <c r="W663" i="13" s="1" a="1"/>
  <c r="W663" i="13" s="1"/>
  <c r="T636" i="13"/>
  <c r="U636" i="13" s="1"/>
  <c r="W636" i="13" s="1" a="1"/>
  <c r="W636" i="13" s="1"/>
  <c r="T649" i="13"/>
  <c r="U649" i="13" s="1"/>
  <c r="W649" i="13" s="1" a="1"/>
  <c r="W649" i="13" s="1"/>
  <c r="T742" i="13"/>
  <c r="U742" i="13" s="1"/>
  <c r="W742" i="13" s="1" a="1"/>
  <c r="W742" i="13" s="1"/>
  <c r="T266" i="13"/>
  <c r="U266" i="13" s="1"/>
  <c r="W266" i="13" s="1" a="1"/>
  <c r="W266" i="13" s="1"/>
  <c r="T576" i="13"/>
  <c r="U576" i="13" s="1"/>
  <c r="W576" i="13" s="1" a="1"/>
  <c r="W576" i="13" s="1"/>
  <c r="T690" i="13"/>
  <c r="U690" i="13" s="1"/>
  <c r="W690" i="13" s="1" a="1"/>
  <c r="W690" i="13" s="1"/>
  <c r="T215" i="13"/>
  <c r="U215" i="13" s="1"/>
  <c r="W215" i="13" s="1" a="1"/>
  <c r="W215" i="13" s="1"/>
  <c r="T226" i="13"/>
  <c r="U226" i="13" s="1"/>
  <c r="W226" i="13" s="1" a="1"/>
  <c r="W226" i="13" s="1"/>
  <c r="T250" i="13"/>
  <c r="U250" i="13" s="1"/>
  <c r="W250" i="13" s="1" a="1"/>
  <c r="W250" i="13" s="1"/>
  <c r="T239" i="13"/>
  <c r="U239" i="13" s="1"/>
  <c r="W239" i="13" s="1" a="1"/>
  <c r="W239" i="13" s="1"/>
  <c r="T274" i="13"/>
  <c r="U274" i="13" s="1"/>
  <c r="W274" i="13" s="1" a="1"/>
  <c r="W274" i="13" s="1"/>
  <c r="T280" i="13"/>
  <c r="U280" i="13" s="1"/>
  <c r="W280" i="13" s="1" a="1"/>
  <c r="W280" i="13" s="1"/>
  <c r="T79" i="13"/>
  <c r="U79" i="13" s="1"/>
  <c r="W79" i="13" s="1" a="1"/>
  <c r="W79" i="13" s="1"/>
  <c r="T87" i="13"/>
  <c r="U87" i="13" s="1"/>
  <c r="W87" i="13" s="1" a="1"/>
  <c r="W87" i="13" s="1"/>
  <c r="U182" i="13"/>
  <c r="W182" i="13" s="1" a="1"/>
  <c r="W182" i="13" s="1"/>
  <c r="T207" i="13"/>
  <c r="U207" i="13" s="1"/>
  <c r="W207" i="13" s="1" a="1"/>
  <c r="W207" i="13" s="1"/>
  <c r="T277" i="13"/>
  <c r="U277" i="13" s="1"/>
  <c r="W277" i="13" s="1" a="1"/>
  <c r="W277" i="13" s="1"/>
  <c r="T141" i="13"/>
  <c r="U141" i="13" s="1"/>
  <c r="W141" i="13" s="1" a="1"/>
  <c r="W141" i="13" s="1"/>
  <c r="T161" i="13"/>
  <c r="U161" i="13" s="1"/>
  <c r="W161" i="13" s="1" a="1"/>
  <c r="W161" i="13" s="1"/>
  <c r="T541" i="13"/>
  <c r="U541" i="13" s="1"/>
  <c r="W541" i="13" s="1" a="1"/>
  <c r="W541" i="13" s="1"/>
  <c r="T562" i="13"/>
  <c r="U562" i="13" s="1"/>
  <c r="W562" i="13" s="1" a="1"/>
  <c r="W562" i="13" s="1"/>
  <c r="T295" i="13"/>
  <c r="U295" i="13" s="1"/>
  <c r="W295" i="13" s="1" a="1"/>
  <c r="W295" i="13" s="1"/>
  <c r="T303" i="13"/>
  <c r="U303" i="13" s="1"/>
  <c r="W303" i="13" s="1" a="1"/>
  <c r="W303" i="13" s="1"/>
  <c r="T546" i="13"/>
  <c r="U546" i="13" s="1"/>
  <c r="W546" i="13" s="1" a="1"/>
  <c r="W546" i="13" s="1"/>
  <c r="T322" i="13"/>
  <c r="U322" i="13" s="1"/>
  <c r="W322" i="13" s="1" a="1"/>
  <c r="W322" i="13" s="1"/>
  <c r="T354" i="13"/>
  <c r="U354" i="13" s="1"/>
  <c r="W354" i="13" s="1" a="1"/>
  <c r="W354" i="13" s="1"/>
  <c r="T402" i="13"/>
  <c r="U402" i="13" s="1"/>
  <c r="W402" i="13" s="1" a="1"/>
  <c r="W402" i="13" s="1"/>
  <c r="T410" i="13"/>
  <c r="U410" i="13" s="1"/>
  <c r="W410" i="13" s="1" a="1"/>
  <c r="W410" i="13" s="1"/>
  <c r="T681" i="13"/>
  <c r="U681" i="13" s="1"/>
  <c r="W681" i="13" s="1" a="1"/>
  <c r="W681" i="13" s="1"/>
  <c r="T648" i="13"/>
  <c r="U648" i="13" s="1"/>
  <c r="W648" i="13" s="1" a="1"/>
  <c r="W648" i="13" s="1"/>
  <c r="T620" i="13"/>
  <c r="U620" i="13" s="1"/>
  <c r="W620" i="13" s="1" a="1"/>
  <c r="W620" i="13" s="1"/>
  <c r="T628" i="13"/>
  <c r="U628" i="13" s="1"/>
  <c r="W628" i="13" s="1" a="1"/>
  <c r="W628" i="13" s="1"/>
  <c r="T606" i="13"/>
  <c r="U606" i="13" s="1"/>
  <c r="W606" i="13" s="1" a="1"/>
  <c r="W606" i="13" s="1"/>
  <c r="T230" i="13"/>
  <c r="U230" i="13" s="1"/>
  <c r="W230" i="13" s="1" a="1"/>
  <c r="W230" i="13" s="1"/>
  <c r="T191" i="13"/>
  <c r="U191" i="13" s="1"/>
  <c r="W191" i="13" s="1" a="1"/>
  <c r="W191" i="13" s="1"/>
  <c r="T683" i="13"/>
  <c r="U683" i="13" s="1"/>
  <c r="W683" i="13" s="1" a="1"/>
  <c r="W683" i="13" s="1"/>
  <c r="T246" i="13"/>
  <c r="U246" i="13" s="1"/>
  <c r="W246" i="13" s="1" a="1"/>
  <c r="W246" i="13" s="1"/>
  <c r="T16" i="13"/>
  <c r="U16" i="13" s="1"/>
  <c r="W16" i="13" s="1" a="1"/>
  <c r="W16" i="13" s="1"/>
  <c r="T24" i="13"/>
  <c r="U24" i="13" s="1"/>
  <c r="W24" i="13" s="1" a="1"/>
  <c r="W24" i="13" s="1"/>
  <c r="T32" i="13"/>
  <c r="U32" i="13" s="1"/>
  <c r="W32" i="13" s="1" a="1"/>
  <c r="W32" i="13" s="1"/>
  <c r="T40" i="13"/>
  <c r="U40" i="13" s="1"/>
  <c r="W40" i="13" s="1" a="1"/>
  <c r="W40" i="13" s="1"/>
  <c r="T48" i="13"/>
  <c r="U48" i="13" s="1"/>
  <c r="W48" i="13" s="1" a="1"/>
  <c r="W48" i="13" s="1"/>
  <c r="T56" i="13"/>
  <c r="U56" i="13" s="1"/>
  <c r="W56" i="13" s="1" a="1"/>
  <c r="W56" i="13" s="1"/>
  <c r="T64" i="13"/>
  <c r="U64" i="13" s="1"/>
  <c r="W64" i="13" s="1" a="1"/>
  <c r="W64" i="13" s="1"/>
  <c r="T72" i="13"/>
  <c r="U72" i="13" s="1"/>
  <c r="W72" i="13" s="1" a="1"/>
  <c r="W72" i="13" s="1"/>
  <c r="T80" i="13"/>
  <c r="U80" i="13" s="1"/>
  <c r="W80" i="13" s="1" a="1"/>
  <c r="W80" i="13" s="1"/>
  <c r="T88" i="13"/>
  <c r="U88" i="13" s="1"/>
  <c r="W88" i="13" s="1" a="1"/>
  <c r="W88" i="13" s="1"/>
  <c r="T96" i="13"/>
  <c r="U96" i="13" s="1"/>
  <c r="W96" i="13" s="1" a="1"/>
  <c r="W96" i="13" s="1"/>
  <c r="U179" i="13"/>
  <c r="W179" i="13" s="1" a="1"/>
  <c r="W179" i="13" s="1"/>
  <c r="T187" i="13"/>
  <c r="U187" i="13" s="1"/>
  <c r="W187" i="13" s="1" a="1"/>
  <c r="W187" i="13" s="1"/>
  <c r="T106" i="13"/>
  <c r="U106" i="13" s="1"/>
  <c r="W106" i="13" s="1" a="1"/>
  <c r="W106" i="13" s="1"/>
  <c r="T142" i="13"/>
  <c r="U142" i="13" s="1"/>
  <c r="W142" i="13" s="1" a="1"/>
  <c r="W142" i="13" s="1"/>
  <c r="T146" i="13"/>
  <c r="U146" i="13" s="1"/>
  <c r="W146" i="13" s="1" a="1"/>
  <c r="W146" i="13" s="1"/>
  <c r="T158" i="13"/>
  <c r="U158" i="13" s="1"/>
  <c r="W158" i="13" s="1" a="1"/>
  <c r="W158" i="13" s="1"/>
  <c r="T284" i="13"/>
  <c r="U284" i="13" s="1"/>
  <c r="W284" i="13" s="1" a="1"/>
  <c r="W284" i="13" s="1"/>
  <c r="T300" i="13"/>
  <c r="U300" i="13" s="1"/>
  <c r="W300" i="13" s="1" a="1"/>
  <c r="W300" i="13" s="1"/>
  <c r="T319" i="13"/>
  <c r="U319" i="13" s="1"/>
  <c r="W319" i="13" s="1" a="1"/>
  <c r="W319" i="13" s="1"/>
  <c r="T335" i="13"/>
  <c r="U335" i="13" s="1"/>
  <c r="W335" i="13" s="1" a="1"/>
  <c r="W335" i="13" s="1"/>
  <c r="T351" i="13"/>
  <c r="U351" i="13" s="1"/>
  <c r="W351" i="13" s="1" a="1"/>
  <c r="W351" i="13" s="1"/>
  <c r="T367" i="13"/>
  <c r="U367" i="13" s="1"/>
  <c r="W367" i="13" s="1" a="1"/>
  <c r="W367" i="13" s="1"/>
  <c r="T379" i="13"/>
  <c r="U379" i="13" s="1"/>
  <c r="W379" i="13" s="1" a="1"/>
  <c r="W379" i="13" s="1"/>
  <c r="T383" i="13"/>
  <c r="U383" i="13" s="1"/>
  <c r="W383" i="13" s="1" a="1"/>
  <c r="W383" i="13" s="1"/>
  <c r="T395" i="13"/>
  <c r="U395" i="13" s="1"/>
  <c r="W395" i="13" s="1" a="1"/>
  <c r="W395" i="13" s="1"/>
  <c r="T512" i="13"/>
  <c r="U512" i="13" s="1"/>
  <c r="W512" i="13" s="1" a="1"/>
  <c r="W512" i="13" s="1"/>
  <c r="T642" i="13"/>
  <c r="U642" i="13" s="1"/>
  <c r="W642" i="13" s="1" a="1"/>
  <c r="W642" i="13" s="1"/>
  <c r="T504" i="13"/>
  <c r="U504" i="13" s="1"/>
  <c r="W504" i="13" s="1" a="1"/>
  <c r="W504" i="13" s="1"/>
  <c r="T661" i="13"/>
  <c r="U661" i="13" s="1"/>
  <c r="W661" i="13" s="1" a="1"/>
  <c r="W661" i="13" s="1"/>
  <c r="T622" i="13"/>
  <c r="U622" i="13" s="1"/>
  <c r="W622" i="13" s="1" a="1"/>
  <c r="W622" i="13" s="1"/>
  <c r="T630" i="13"/>
  <c r="U630" i="13" s="1"/>
  <c r="W630" i="13" s="1" a="1"/>
  <c r="W630" i="13" s="1"/>
  <c r="T638" i="13"/>
  <c r="U638" i="13" s="1"/>
  <c r="W638" i="13" s="1" a="1"/>
  <c r="W638" i="13" s="1"/>
  <c r="T566" i="13"/>
  <c r="U566" i="13" s="1"/>
  <c r="W566" i="13" s="1" a="1"/>
  <c r="W566" i="13" s="1"/>
  <c r="T601" i="13"/>
  <c r="U601" i="13" s="1"/>
  <c r="W601" i="13" s="1" a="1"/>
  <c r="W601" i="13" s="1"/>
  <c r="T652" i="13"/>
  <c r="U652" i="13" s="1"/>
  <c r="W652" i="13" s="1" a="1"/>
  <c r="W652" i="13" s="1"/>
  <c r="T662" i="13"/>
  <c r="U662" i="13" s="1"/>
  <c r="W662" i="13" s="1" a="1"/>
  <c r="W662" i="13" s="1"/>
  <c r="T686" i="13"/>
  <c r="U686" i="13" s="1"/>
  <c r="W686" i="13" s="1" a="1"/>
  <c r="W686" i="13" s="1"/>
  <c r="T549" i="13"/>
  <c r="U549" i="13" s="1"/>
  <c r="W549" i="13" s="1" a="1"/>
  <c r="W549" i="13" s="1"/>
  <c r="T228" i="13"/>
  <c r="U228" i="13" s="1"/>
  <c r="W228" i="13" s="1" a="1"/>
  <c r="W228" i="13" s="1"/>
  <c r="T238" i="13"/>
  <c r="U238" i="13" s="1"/>
  <c r="W238" i="13" s="1" a="1"/>
  <c r="W238" i="13" s="1"/>
  <c r="T255" i="13"/>
  <c r="U255" i="13" s="1"/>
  <c r="W255" i="13" s="1" a="1"/>
  <c r="W255" i="13" s="1"/>
  <c r="T195" i="13"/>
  <c r="U195" i="13" s="1"/>
  <c r="W195" i="13" s="1" a="1"/>
  <c r="W195" i="13" s="1"/>
  <c r="T271" i="13"/>
  <c r="U271" i="13" s="1"/>
  <c r="W271" i="13" s="1" a="1"/>
  <c r="W271" i="13" s="1"/>
  <c r="T209" i="13"/>
  <c r="U209" i="13" s="1"/>
  <c r="W209" i="13" s="1" a="1"/>
  <c r="W209" i="13" s="1"/>
  <c r="T276" i="13"/>
  <c r="U276" i="13" s="1"/>
  <c r="W276" i="13" s="1" a="1"/>
  <c r="W276" i="13" s="1"/>
  <c r="T102" i="13"/>
  <c r="U102" i="13" s="1"/>
  <c r="W102" i="13" s="1" a="1"/>
  <c r="W102" i="13" s="1"/>
  <c r="T185" i="13"/>
  <c r="U185" i="13" s="1"/>
  <c r="W185" i="13" s="1" a="1"/>
  <c r="W185" i="13" s="1"/>
  <c r="T278" i="13"/>
  <c r="U278" i="13" s="1"/>
  <c r="W278" i="13" s="1" a="1"/>
  <c r="W278" i="13" s="1"/>
  <c r="T120" i="13"/>
  <c r="U120" i="13" s="1"/>
  <c r="W120" i="13" s="1" a="1"/>
  <c r="W120" i="13" s="1"/>
  <c r="T128" i="13"/>
  <c r="U128" i="13" s="1"/>
  <c r="W128" i="13" s="1" a="1"/>
  <c r="W128" i="13" s="1"/>
  <c r="T144" i="13"/>
  <c r="U144" i="13" s="1"/>
  <c r="W144" i="13" s="1" a="1"/>
  <c r="W144" i="13" s="1"/>
  <c r="T152" i="13"/>
  <c r="U152" i="13" s="1"/>
  <c r="W152" i="13" s="1" a="1"/>
  <c r="W152" i="13" s="1"/>
  <c r="T667" i="13"/>
  <c r="U667" i="13" s="1"/>
  <c r="W667" i="13" s="1" a="1"/>
  <c r="W667" i="13" s="1"/>
  <c r="T558" i="13"/>
  <c r="U558" i="13" s="1"/>
  <c r="W558" i="13" s="1" a="1"/>
  <c r="W558" i="13" s="1"/>
  <c r="T282" i="13"/>
  <c r="U282" i="13" s="1"/>
  <c r="W282" i="13" s="1" a="1"/>
  <c r="W282" i="13" s="1"/>
  <c r="T286" i="13"/>
  <c r="U286" i="13" s="1"/>
  <c r="W286" i="13" s="1" a="1"/>
  <c r="W286" i="13" s="1"/>
  <c r="T544" i="13"/>
  <c r="U544" i="13" s="1"/>
  <c r="W544" i="13" s="1" a="1"/>
  <c r="W544" i="13" s="1"/>
  <c r="T673" i="13"/>
  <c r="U673" i="13" s="1"/>
  <c r="W673" i="13" s="1" a="1"/>
  <c r="W673" i="13" s="1"/>
  <c r="T647" i="13"/>
  <c r="U647" i="13" s="1"/>
  <c r="W647" i="13" s="1" a="1"/>
  <c r="W647" i="13" s="1"/>
  <c r="T687" i="13"/>
  <c r="U687" i="13" s="1"/>
  <c r="W687" i="13" s="1" a="1"/>
  <c r="W687" i="13" s="1"/>
  <c r="T502" i="13"/>
  <c r="U502" i="13" s="1"/>
  <c r="W502" i="13" s="1" a="1"/>
  <c r="W502" i="13" s="1"/>
  <c r="T644" i="13"/>
  <c r="U644" i="13" s="1"/>
  <c r="W644" i="13" s="1" a="1"/>
  <c r="W644" i="13" s="1"/>
  <c r="T698" i="13"/>
  <c r="U698" i="13" s="1"/>
  <c r="W698" i="13" s="1" a="1"/>
  <c r="W698" i="13" s="1"/>
  <c r="T753" i="13"/>
  <c r="U753" i="13" s="1"/>
  <c r="W753" i="13" s="1" a="1"/>
  <c r="W753" i="13" s="1"/>
  <c r="T511" i="13"/>
  <c r="U511" i="13" s="1"/>
  <c r="W511" i="13" s="1" a="1"/>
  <c r="W511" i="13" s="1"/>
  <c r="T640" i="13"/>
  <c r="U640" i="13" s="1"/>
  <c r="W640" i="13" s="1" a="1"/>
  <c r="W640" i="13" s="1"/>
  <c r="T600" i="13"/>
  <c r="U600" i="13" s="1"/>
  <c r="W600" i="13" s="1" a="1"/>
  <c r="W600" i="13" s="1"/>
  <c r="T651" i="13"/>
  <c r="U651" i="13" s="1"/>
  <c r="W651" i="13" s="1" a="1"/>
  <c r="W651" i="13" s="1"/>
  <c r="T565" i="13"/>
  <c r="U565" i="13" s="1"/>
  <c r="W565" i="13" s="1" a="1"/>
  <c r="W565" i="13" s="1"/>
  <c r="T610" i="13"/>
  <c r="U610" i="13" s="1"/>
  <c r="W610" i="13" s="1" a="1"/>
  <c r="W610" i="13" s="1"/>
  <c r="T676" i="13"/>
  <c r="U676" i="13" s="1"/>
  <c r="W676" i="13" s="1" a="1"/>
  <c r="W676" i="13" s="1"/>
  <c r="T684" i="13"/>
  <c r="U684" i="13" s="1"/>
  <c r="W684" i="13" s="1" a="1"/>
  <c r="W684" i="13" s="1"/>
  <c r="T746" i="13"/>
  <c r="U746" i="13" s="1"/>
  <c r="W746" i="13" s="1" a="1"/>
  <c r="W746" i="13" s="1"/>
  <c r="T750" i="13"/>
  <c r="U750" i="13" s="1"/>
  <c r="W750" i="13" s="1" a="1"/>
  <c r="W750" i="13" s="1"/>
  <c r="V768" i="13"/>
  <c r="T211" i="13"/>
  <c r="U211" i="13" s="1"/>
  <c r="W211" i="13" s="1" a="1"/>
  <c r="W211" i="13" s="1"/>
  <c r="T252" i="13"/>
  <c r="U252" i="13" s="1"/>
  <c r="W252" i="13" s="1" a="1"/>
  <c r="W252" i="13" s="1"/>
  <c r="T236" i="13"/>
  <c r="U236" i="13" s="1"/>
  <c r="W236" i="13" s="1" a="1"/>
  <c r="W236" i="13" s="1"/>
  <c r="T29" i="13"/>
  <c r="U29" i="13" s="1"/>
  <c r="W29" i="13" s="1" a="1"/>
  <c r="W29" i="13" s="1"/>
  <c r="T37" i="13"/>
  <c r="U37" i="13" s="1"/>
  <c r="W37" i="13" s="1" a="1"/>
  <c r="W37" i="13" s="1"/>
  <c r="T45" i="13"/>
  <c r="U45" i="13" s="1"/>
  <c r="W45" i="13" s="1" a="1"/>
  <c r="W45" i="13" s="1"/>
  <c r="T53" i="13"/>
  <c r="U53" i="13" s="1"/>
  <c r="W53" i="13" s="1" a="1"/>
  <c r="W53" i="13" s="1"/>
  <c r="T61" i="13"/>
  <c r="U61" i="13" s="1"/>
  <c r="W61" i="13" s="1" a="1"/>
  <c r="W61" i="13" s="1"/>
  <c r="T81" i="13"/>
  <c r="U81" i="13" s="1"/>
  <c r="W81" i="13" s="1" a="1"/>
  <c r="W81" i="13" s="1"/>
  <c r="T89" i="13"/>
  <c r="U89" i="13" s="1"/>
  <c r="W89" i="13" s="1" a="1"/>
  <c r="W89" i="13" s="1"/>
  <c r="T93" i="13"/>
  <c r="U93" i="13" s="1"/>
  <c r="W93" i="13" s="1" a="1"/>
  <c r="W93" i="13" s="1"/>
  <c r="T273" i="13"/>
  <c r="U273" i="13" s="1"/>
  <c r="W273" i="13" s="1" a="1"/>
  <c r="W273" i="13" s="1"/>
  <c r="T119" i="13"/>
  <c r="U119" i="13" s="1"/>
  <c r="W119" i="13" s="1" a="1"/>
  <c r="W119" i="13" s="1"/>
  <c r="T127" i="13"/>
  <c r="U127" i="13" s="1"/>
  <c r="W127" i="13" s="1" a="1"/>
  <c r="W127" i="13" s="1"/>
  <c r="T143" i="13"/>
  <c r="U143" i="13" s="1"/>
  <c r="W143" i="13" s="1" a="1"/>
  <c r="W143" i="13" s="1"/>
  <c r="T517" i="13"/>
  <c r="U517" i="13" s="1"/>
  <c r="W517" i="13" s="1" a="1"/>
  <c r="W517" i="13" s="1"/>
  <c r="T656" i="13"/>
  <c r="U656" i="13" s="1"/>
  <c r="W656" i="13" s="1" a="1"/>
  <c r="W656" i="13" s="1"/>
  <c r="T229" i="13"/>
  <c r="U229" i="13" s="1"/>
  <c r="W229" i="13" s="1" a="1"/>
  <c r="W229" i="13" s="1"/>
  <c r="T279" i="13"/>
  <c r="U279" i="13" s="1"/>
  <c r="W279" i="13" s="1" a="1"/>
  <c r="W279" i="13" s="1"/>
  <c r="T194" i="13"/>
  <c r="U194" i="13" s="1"/>
  <c r="W194" i="13" s="1" a="1"/>
  <c r="W194" i="13" s="1"/>
  <c r="T181" i="13"/>
  <c r="U181" i="13" s="1"/>
  <c r="W181" i="13" s="1" a="1"/>
  <c r="W181" i="13" s="1"/>
  <c r="T189" i="13"/>
  <c r="U189" i="13" s="1"/>
  <c r="W189" i="13" s="1" a="1"/>
  <c r="W189" i="13" s="1"/>
  <c r="T112" i="13"/>
  <c r="U112" i="13" s="1"/>
  <c r="W112" i="13" s="1" a="1"/>
  <c r="W112" i="13" s="1"/>
  <c r="T415" i="13"/>
  <c r="U415" i="13" s="1"/>
  <c r="W415" i="13" s="1" a="1"/>
  <c r="W415" i="13" s="1"/>
  <c r="T423" i="13"/>
  <c r="U423" i="13" s="1"/>
  <c r="W423" i="13" s="1" a="1"/>
  <c r="W423" i="13" s="1"/>
  <c r="T431" i="13"/>
  <c r="U431" i="13" s="1"/>
  <c r="W431" i="13" s="1" a="1"/>
  <c r="W431" i="13" s="1"/>
  <c r="T439" i="13"/>
  <c r="U439" i="13" s="1"/>
  <c r="W439" i="13" s="1" a="1"/>
  <c r="W439" i="13" s="1"/>
  <c r="T447" i="13"/>
  <c r="U447" i="13" s="1"/>
  <c r="W447" i="13" s="1" a="1"/>
  <c r="W447" i="13" s="1"/>
  <c r="T455" i="13"/>
  <c r="U455" i="13" s="1"/>
  <c r="W455" i="13" s="1" a="1"/>
  <c r="W455" i="13" s="1"/>
  <c r="T498" i="13"/>
  <c r="U498" i="13" s="1"/>
  <c r="W498" i="13" s="1" a="1"/>
  <c r="W498" i="13" s="1"/>
  <c r="T506" i="13"/>
  <c r="U506" i="13" s="1"/>
  <c r="W506" i="13" s="1" a="1"/>
  <c r="W506" i="13" s="1"/>
  <c r="T646" i="13"/>
  <c r="U646" i="13" s="1"/>
  <c r="W646" i="13" s="1" a="1"/>
  <c r="W646" i="13" s="1"/>
  <c r="T666" i="13"/>
  <c r="U666" i="13" s="1"/>
  <c r="W666" i="13" s="1" a="1"/>
  <c r="W666" i="13" s="1"/>
  <c r="T682" i="13"/>
  <c r="U682" i="13" s="1"/>
  <c r="W682" i="13" s="1" a="1"/>
  <c r="W682" i="13" s="1"/>
  <c r="T201" i="13"/>
  <c r="U201" i="13" s="1"/>
  <c r="W201" i="13" s="1" a="1"/>
  <c r="W201" i="13" s="1"/>
  <c r="T264" i="13"/>
  <c r="U264" i="13" s="1"/>
  <c r="W264" i="13" s="1" a="1"/>
  <c r="W264" i="13" s="1"/>
  <c r="T11" i="13"/>
  <c r="U11" i="13" s="1"/>
  <c r="W11" i="13" s="1" a="1"/>
  <c r="W11" i="13" s="1"/>
  <c r="T19" i="13"/>
  <c r="U19" i="13" s="1"/>
  <c r="W19" i="13" s="1" a="1"/>
  <c r="W19" i="13" s="1"/>
  <c r="T67" i="13"/>
  <c r="U67" i="13" s="1"/>
  <c r="W67" i="13" s="1" a="1"/>
  <c r="W67" i="13" s="1"/>
  <c r="T153" i="13"/>
  <c r="U153" i="13" s="1"/>
  <c r="W153" i="13" s="1" a="1"/>
  <c r="W153" i="13" s="1"/>
  <c r="T685" i="13"/>
  <c r="U685" i="13" s="1"/>
  <c r="W685" i="13" s="1" a="1"/>
  <c r="W685" i="13" s="1"/>
  <c r="T618" i="13"/>
  <c r="U618" i="13" s="1"/>
  <c r="W618" i="13" s="1" a="1"/>
  <c r="W618" i="13" s="1"/>
  <c r="T707" i="13"/>
  <c r="U707" i="13" s="1"/>
  <c r="W707" i="13" s="1" a="1"/>
  <c r="W707" i="13" s="1"/>
  <c r="T754" i="13"/>
  <c r="U754" i="13" s="1"/>
  <c r="W754" i="13" s="1" a="1"/>
  <c r="W754" i="13" s="1"/>
  <c r="T57" i="13"/>
  <c r="U57" i="13" s="1"/>
  <c r="W57" i="13" s="1" a="1"/>
  <c r="W57" i="13" s="1"/>
  <c r="T73" i="13"/>
  <c r="U73" i="13" s="1"/>
  <c r="W73" i="13" s="1" a="1"/>
  <c r="W73" i="13" s="1"/>
  <c r="T135" i="13"/>
  <c r="U135" i="13" s="1"/>
  <c r="W135" i="13" s="1" a="1"/>
  <c r="W135" i="13" s="1"/>
  <c r="T293" i="13"/>
  <c r="U293" i="13" s="1"/>
  <c r="W293" i="13" s="1" a="1"/>
  <c r="W293" i="13" s="1"/>
  <c r="T305" i="13"/>
  <c r="U305" i="13" s="1"/>
  <c r="W305" i="13" s="1" a="1"/>
  <c r="W305" i="13" s="1"/>
  <c r="T561" i="13"/>
  <c r="U561" i="13" s="1"/>
  <c r="W561" i="13" s="1" a="1"/>
  <c r="W561" i="13" s="1"/>
  <c r="T509" i="13"/>
  <c r="U509" i="13" s="1"/>
  <c r="W509" i="13" s="1" a="1"/>
  <c r="W509" i="13" s="1"/>
  <c r="T624" i="13"/>
  <c r="U624" i="13" s="1"/>
  <c r="W624" i="13" s="1" a="1"/>
  <c r="W624" i="13" s="1"/>
  <c r="T632" i="13"/>
  <c r="U632" i="13" s="1"/>
  <c r="W632" i="13" s="1" a="1"/>
  <c r="W632" i="13" s="1"/>
  <c r="T604" i="13"/>
  <c r="U604" i="13" s="1"/>
  <c r="W604" i="13" s="1" a="1"/>
  <c r="W604" i="13" s="1"/>
  <c r="T260" i="13"/>
  <c r="U260" i="13" s="1"/>
  <c r="W260" i="13" s="1" a="1"/>
  <c r="W260" i="13" s="1"/>
  <c r="T10" i="13"/>
  <c r="U10" i="13" s="1"/>
  <c r="W10" i="13" s="1" a="1"/>
  <c r="W10" i="13" s="1"/>
  <c r="T18" i="13"/>
  <c r="U18" i="13" s="1"/>
  <c r="W18" i="13" s="1" a="1"/>
  <c r="W18" i="13" s="1"/>
  <c r="T26" i="13"/>
  <c r="U26" i="13" s="1"/>
  <c r="W26" i="13" s="1" a="1"/>
  <c r="W26" i="13" s="1"/>
  <c r="T34" i="13"/>
  <c r="U34" i="13" s="1"/>
  <c r="W34" i="13" s="1" a="1"/>
  <c r="W34" i="13" s="1"/>
  <c r="T42" i="13"/>
  <c r="U42" i="13" s="1"/>
  <c r="W42" i="13" s="1" a="1"/>
  <c r="W42" i="13" s="1"/>
  <c r="T50" i="13"/>
  <c r="U50" i="13" s="1"/>
  <c r="W50" i="13" s="1" a="1"/>
  <c r="W50" i="13" s="1"/>
  <c r="T58" i="13"/>
  <c r="U58" i="13" s="1"/>
  <c r="W58" i="13" s="1" a="1"/>
  <c r="W58" i="13" s="1"/>
  <c r="T66" i="13"/>
  <c r="U66" i="13" s="1"/>
  <c r="W66" i="13" s="1" a="1"/>
  <c r="W66" i="13" s="1"/>
  <c r="T74" i="13"/>
  <c r="U74" i="13" s="1"/>
  <c r="W74" i="13" s="1" a="1"/>
  <c r="W74" i="13" s="1"/>
  <c r="T82" i="13"/>
  <c r="U82" i="13" s="1"/>
  <c r="W82" i="13" s="1" a="1"/>
  <c r="W82" i="13" s="1"/>
  <c r="T90" i="13"/>
  <c r="U90" i="13" s="1"/>
  <c r="W90" i="13" s="1" a="1"/>
  <c r="W90" i="13" s="1"/>
  <c r="T98" i="13"/>
  <c r="U98" i="13" s="1"/>
  <c r="W98" i="13" s="1" a="1"/>
  <c r="W98" i="13" s="1"/>
  <c r="T104" i="13"/>
  <c r="U104" i="13" s="1"/>
  <c r="W104" i="13" s="1" a="1"/>
  <c r="W104" i="13" s="1"/>
  <c r="T108" i="13"/>
  <c r="U108" i="13" s="1"/>
  <c r="W108" i="13" s="1" a="1"/>
  <c r="W108" i="13" s="1"/>
  <c r="T116" i="13"/>
  <c r="U116" i="13" s="1"/>
  <c r="W116" i="13" s="1" a="1"/>
  <c r="W116" i="13" s="1"/>
  <c r="T136" i="13"/>
  <c r="U136" i="13" s="1"/>
  <c r="W136" i="13" s="1" a="1"/>
  <c r="W136" i="13" s="1"/>
  <c r="T140" i="13"/>
  <c r="U140" i="13" s="1"/>
  <c r="W140" i="13" s="1" a="1"/>
  <c r="W140" i="13" s="1"/>
  <c r="T148" i="13"/>
  <c r="U148" i="13" s="1"/>
  <c r="W148" i="13" s="1" a="1"/>
  <c r="W148" i="13" s="1"/>
  <c r="T160" i="13"/>
  <c r="U160" i="13" s="1"/>
  <c r="W160" i="13" s="1" a="1"/>
  <c r="W160" i="13" s="1"/>
  <c r="T306" i="13"/>
  <c r="U306" i="13" s="1"/>
  <c r="W306" i="13" s="1" a="1"/>
  <c r="W306" i="13" s="1"/>
  <c r="T463" i="13"/>
  <c r="U463" i="13" s="1"/>
  <c r="W463" i="13" s="1" a="1"/>
  <c r="W463" i="13" s="1"/>
  <c r="T471" i="13"/>
  <c r="U471" i="13" s="1"/>
  <c r="W471" i="13" s="1" a="1"/>
  <c r="W471" i="13" s="1"/>
  <c r="T479" i="13"/>
  <c r="U479" i="13" s="1"/>
  <c r="W479" i="13" s="1" a="1"/>
  <c r="W479" i="13" s="1"/>
  <c r="T487" i="13"/>
  <c r="U487" i="13" s="1"/>
  <c r="W487" i="13" s="1" a="1"/>
  <c r="W487" i="13" s="1"/>
  <c r="T495" i="13"/>
  <c r="U495" i="13" s="1"/>
  <c r="W495" i="13" s="1" a="1"/>
  <c r="W495" i="13" s="1"/>
  <c r="T548" i="13"/>
  <c r="U548" i="13" s="1"/>
  <c r="W548" i="13" s="1" a="1"/>
  <c r="W548" i="13" s="1"/>
  <c r="T510" i="13"/>
  <c r="U510" i="13" s="1"/>
  <c r="W510" i="13" s="1" a="1"/>
  <c r="W510" i="13" s="1"/>
  <c r="T518" i="13"/>
  <c r="U518" i="13" s="1"/>
  <c r="W518" i="13" s="1" a="1"/>
  <c r="W518" i="13" s="1"/>
  <c r="T613" i="13"/>
  <c r="U613" i="13" s="1"/>
  <c r="W613" i="13" s="1" a="1"/>
  <c r="W613" i="13" s="1"/>
  <c r="K553" i="13"/>
  <c r="L553" i="13"/>
  <c r="O768" i="13"/>
  <c r="T220" i="13"/>
  <c r="U220" i="13" s="1"/>
  <c r="W220" i="13" s="1" a="1"/>
  <c r="W220" i="13" s="1"/>
  <c r="T95" i="13"/>
  <c r="U95" i="13" s="1"/>
  <c r="W95" i="13" s="1" a="1"/>
  <c r="W95" i="13" s="1"/>
  <c r="T234" i="13"/>
  <c r="U234" i="13" s="1"/>
  <c r="W234" i="13" s="1" a="1"/>
  <c r="W234" i="13" s="1"/>
  <c r="T157" i="13"/>
  <c r="U157" i="13" s="1"/>
  <c r="W157" i="13" s="1" a="1"/>
  <c r="W157" i="13" s="1"/>
  <c r="T299" i="13"/>
  <c r="U299" i="13" s="1"/>
  <c r="W299" i="13" s="1" a="1"/>
  <c r="W299" i="13" s="1"/>
  <c r="T543" i="13"/>
  <c r="U543" i="13" s="1"/>
  <c r="W543" i="13" s="1" a="1"/>
  <c r="W543" i="13" s="1"/>
  <c r="T519" i="13"/>
  <c r="U519" i="13" s="1"/>
  <c r="W519" i="13" s="1" a="1"/>
  <c r="W519" i="13" s="1"/>
  <c r="T597" i="13"/>
  <c r="U597" i="13" s="1"/>
  <c r="W597" i="13" s="1" a="1"/>
  <c r="W597" i="13" s="1"/>
  <c r="T660" i="13"/>
  <c r="U660" i="13" s="1"/>
  <c r="W660" i="13" s="1" a="1"/>
  <c r="W660" i="13" s="1"/>
  <c r="T668" i="13"/>
  <c r="U668" i="13" s="1"/>
  <c r="W668" i="13" s="1" a="1"/>
  <c r="W668" i="13" s="1"/>
  <c r="T692" i="13"/>
  <c r="U692" i="13" s="1"/>
  <c r="W692" i="13" s="1" a="1"/>
  <c r="W692" i="13" s="1"/>
  <c r="T167" i="13"/>
  <c r="U167" i="13" s="1"/>
  <c r="W167" i="13" s="1" a="1"/>
  <c r="W167" i="13" s="1"/>
  <c r="T168" i="13"/>
  <c r="U168" i="13" s="1"/>
  <c r="W168" i="13" s="1" a="1"/>
  <c r="W168" i="13" s="1"/>
  <c r="T169" i="13"/>
  <c r="U169" i="13" s="1"/>
  <c r="W169" i="13" s="1" a="1"/>
  <c r="W169" i="13" s="1"/>
  <c r="T515" i="13"/>
  <c r="U515" i="13" s="1"/>
  <c r="W515" i="13" s="1" a="1"/>
  <c r="W515" i="13" s="1"/>
  <c r="T523" i="13"/>
  <c r="U523" i="13" s="1"/>
  <c r="W523" i="13" s="1" a="1"/>
  <c r="W523" i="13" s="1"/>
  <c r="Q536" i="13"/>
  <c r="T288" i="13"/>
  <c r="U288" i="13" s="1"/>
  <c r="W288" i="13" s="1" a="1"/>
  <c r="W288" i="13" s="1"/>
  <c r="T516" i="13"/>
  <c r="U516" i="13" s="1"/>
  <c r="W516" i="13" s="1" a="1"/>
  <c r="W516" i="13" s="1"/>
  <c r="T529" i="13"/>
  <c r="U529" i="13" s="1"/>
  <c r="W529" i="13" s="1" a="1"/>
  <c r="W529" i="13" s="1"/>
  <c r="L536" i="13"/>
  <c r="T412" i="13"/>
  <c r="U412" i="13" s="1"/>
  <c r="W412" i="13" s="1" a="1"/>
  <c r="W412" i="13" s="1"/>
  <c r="T420" i="13"/>
  <c r="U420" i="13" s="1"/>
  <c r="W420" i="13" s="1" a="1"/>
  <c r="W420" i="13" s="1"/>
  <c r="T428" i="13"/>
  <c r="U428" i="13" s="1"/>
  <c r="W428" i="13" s="1" a="1"/>
  <c r="W428" i="13" s="1"/>
  <c r="T436" i="13"/>
  <c r="U436" i="13" s="1"/>
  <c r="W436" i="13" s="1" a="1"/>
  <c r="W436" i="13" s="1"/>
  <c r="T444" i="13"/>
  <c r="U444" i="13" s="1"/>
  <c r="W444" i="13" s="1" a="1"/>
  <c r="W444" i="13" s="1"/>
  <c r="T452" i="13"/>
  <c r="U452" i="13" s="1"/>
  <c r="W452" i="13" s="1" a="1"/>
  <c r="W452" i="13" s="1"/>
  <c r="T460" i="13"/>
  <c r="U460" i="13" s="1"/>
  <c r="W460" i="13" s="1" a="1"/>
  <c r="W460" i="13" s="1"/>
  <c r="T468" i="13"/>
  <c r="U468" i="13" s="1"/>
  <c r="W468" i="13" s="1" a="1"/>
  <c r="W468" i="13" s="1"/>
  <c r="T476" i="13"/>
  <c r="U476" i="13" s="1"/>
  <c r="W476" i="13" s="1" a="1"/>
  <c r="W476" i="13" s="1"/>
  <c r="T484" i="13"/>
  <c r="U484" i="13" s="1"/>
  <c r="W484" i="13" s="1" a="1"/>
  <c r="W484" i="13" s="1"/>
  <c r="T494" i="13"/>
  <c r="U494" i="13" s="1"/>
  <c r="W494" i="13" s="1" a="1"/>
  <c r="W494" i="13" s="1"/>
  <c r="T316" i="13"/>
  <c r="U316" i="13" s="1"/>
  <c r="W316" i="13" s="1" a="1"/>
  <c r="W316" i="13" s="1"/>
  <c r="T320" i="13"/>
  <c r="U320" i="13" s="1"/>
  <c r="W320" i="13" s="1" a="1"/>
  <c r="W320" i="13" s="1"/>
  <c r="T324" i="13"/>
  <c r="U324" i="13" s="1"/>
  <c r="W324" i="13" s="1" a="1"/>
  <c r="W324" i="13" s="1"/>
  <c r="T332" i="13"/>
  <c r="U332" i="13" s="1"/>
  <c r="W332" i="13" s="1" a="1"/>
  <c r="W332" i="13" s="1"/>
  <c r="T336" i="13"/>
  <c r="U336" i="13" s="1"/>
  <c r="W336" i="13" s="1" a="1"/>
  <c r="W336" i="13" s="1"/>
  <c r="T340" i="13"/>
  <c r="U340" i="13" s="1"/>
  <c r="W340" i="13" s="1" a="1"/>
  <c r="W340" i="13" s="1"/>
  <c r="T348" i="13"/>
  <c r="U348" i="13" s="1"/>
  <c r="W348" i="13" s="1" a="1"/>
  <c r="W348" i="13" s="1"/>
  <c r="T352" i="13"/>
  <c r="U352" i="13" s="1"/>
  <c r="W352" i="13" s="1" a="1"/>
  <c r="W352" i="13" s="1"/>
  <c r="T356" i="13"/>
  <c r="U356" i="13" s="1"/>
  <c r="W356" i="13" s="1" a="1"/>
  <c r="W356" i="13" s="1"/>
  <c r="T364" i="13"/>
  <c r="U364" i="13" s="1"/>
  <c r="W364" i="13" s="1" a="1"/>
  <c r="W364" i="13" s="1"/>
  <c r="T368" i="13"/>
  <c r="U368" i="13" s="1"/>
  <c r="W368" i="13" s="1" a="1"/>
  <c r="W368" i="13" s="1"/>
  <c r="T372" i="13"/>
  <c r="U372" i="13" s="1"/>
  <c r="W372" i="13" s="1" a="1"/>
  <c r="W372" i="13" s="1"/>
  <c r="T380" i="13"/>
  <c r="U380" i="13" s="1"/>
  <c r="W380" i="13" s="1" a="1"/>
  <c r="W380" i="13" s="1"/>
  <c r="T384" i="13"/>
  <c r="U384" i="13" s="1"/>
  <c r="W384" i="13" s="1" a="1"/>
  <c r="W384" i="13" s="1"/>
  <c r="T388" i="13"/>
  <c r="U388" i="13" s="1"/>
  <c r="W388" i="13" s="1" a="1"/>
  <c r="W388" i="13" s="1"/>
  <c r="T396" i="13"/>
  <c r="U396" i="13" s="1"/>
  <c r="W396" i="13" s="1" a="1"/>
  <c r="W396" i="13" s="1"/>
  <c r="T400" i="13"/>
  <c r="U400" i="13" s="1"/>
  <c r="W400" i="13" s="1" a="1"/>
  <c r="W400" i="13" s="1"/>
  <c r="T404" i="13"/>
  <c r="U404" i="13" s="1"/>
  <c r="W404" i="13" s="1" a="1"/>
  <c r="W404" i="13" s="1"/>
  <c r="T124" i="14"/>
  <c r="U116" i="14"/>
  <c r="U111" i="14"/>
  <c r="W16" i="14" a="1"/>
  <c r="W16" i="14" s="1"/>
  <c r="T128" i="14"/>
  <c r="T344" i="13"/>
  <c r="U344" i="13" s="1"/>
  <c r="W344" i="13" s="1" a="1"/>
  <c r="W344" i="13" s="1"/>
  <c r="T392" i="13"/>
  <c r="U392" i="13" s="1"/>
  <c r="W392" i="13" s="1" a="1"/>
  <c r="W392" i="13" s="1"/>
  <c r="T701" i="13"/>
  <c r="U701" i="13" s="1"/>
  <c r="W701" i="13" s="1" a="1"/>
  <c r="W701" i="13" s="1"/>
  <c r="T740" i="13"/>
  <c r="U740" i="13" s="1"/>
  <c r="W740" i="13" s="1" a="1"/>
  <c r="W740" i="13" s="1"/>
  <c r="T735" i="13"/>
  <c r="U735" i="13" s="1"/>
  <c r="W735" i="13" s="1" a="1"/>
  <c r="W735" i="13" s="1"/>
  <c r="T744" i="13"/>
  <c r="U744" i="13" s="1"/>
  <c r="W744" i="13" s="1" a="1"/>
  <c r="W744" i="13" s="1"/>
  <c r="T748" i="13"/>
  <c r="U748" i="13" s="1"/>
  <c r="W748" i="13" s="1" a="1"/>
  <c r="W748" i="13" s="1"/>
  <c r="T752" i="13"/>
  <c r="U752" i="13" s="1"/>
  <c r="W752" i="13" s="1" a="1"/>
  <c r="W752" i="13" s="1"/>
  <c r="T540" i="13"/>
  <c r="R553" i="13"/>
  <c r="T360" i="13"/>
  <c r="U360" i="13" s="1"/>
  <c r="W360" i="13" s="1" a="1"/>
  <c r="W360" i="13" s="1"/>
  <c r="T414" i="13"/>
  <c r="U414" i="13" s="1"/>
  <c r="W414" i="13" s="1" a="1"/>
  <c r="W414" i="13" s="1"/>
  <c r="T422" i="13"/>
  <c r="U422" i="13" s="1"/>
  <c r="W422" i="13" s="1" a="1"/>
  <c r="W422" i="13" s="1"/>
  <c r="T430" i="13"/>
  <c r="U430" i="13" s="1"/>
  <c r="W430" i="13" s="1" a="1"/>
  <c r="W430" i="13" s="1"/>
  <c r="T438" i="13"/>
  <c r="U438" i="13" s="1"/>
  <c r="W438" i="13" s="1" a="1"/>
  <c r="W438" i="13" s="1"/>
  <c r="T446" i="13"/>
  <c r="U446" i="13" s="1"/>
  <c r="W446" i="13" s="1" a="1"/>
  <c r="W446" i="13" s="1"/>
  <c r="T454" i="13"/>
  <c r="U454" i="13" s="1"/>
  <c r="W454" i="13" s="1" a="1"/>
  <c r="W454" i="13" s="1"/>
  <c r="T462" i="13"/>
  <c r="U462" i="13" s="1"/>
  <c r="W462" i="13" s="1" a="1"/>
  <c r="W462" i="13" s="1"/>
  <c r="T470" i="13"/>
  <c r="U470" i="13" s="1"/>
  <c r="W470" i="13" s="1" a="1"/>
  <c r="W470" i="13" s="1"/>
  <c r="T478" i="13"/>
  <c r="U478" i="13" s="1"/>
  <c r="W478" i="13" s="1" a="1"/>
  <c r="W478" i="13" s="1"/>
  <c r="T486" i="13"/>
  <c r="U486" i="13" s="1"/>
  <c r="W486" i="13" s="1" a="1"/>
  <c r="W486" i="13" s="1"/>
  <c r="T496" i="13"/>
  <c r="U496" i="13" s="1"/>
  <c r="W496" i="13" s="1" a="1"/>
  <c r="W496" i="13" s="1"/>
  <c r="T309" i="13"/>
  <c r="U309" i="13" s="1"/>
  <c r="W309" i="13" s="1" a="1"/>
  <c r="W309" i="13" s="1"/>
  <c r="T313" i="13"/>
  <c r="U313" i="13" s="1"/>
  <c r="W313" i="13" s="1" a="1"/>
  <c r="W313" i="13" s="1"/>
  <c r="T317" i="13"/>
  <c r="U317" i="13" s="1"/>
  <c r="W317" i="13" s="1" a="1"/>
  <c r="W317" i="13" s="1"/>
  <c r="T321" i="13"/>
  <c r="U321" i="13" s="1"/>
  <c r="W321" i="13" s="1" a="1"/>
  <c r="W321" i="13" s="1"/>
  <c r="T325" i="13"/>
  <c r="U325" i="13" s="1"/>
  <c r="W325" i="13" s="1" a="1"/>
  <c r="W325" i="13" s="1"/>
  <c r="T329" i="13"/>
  <c r="U329" i="13" s="1"/>
  <c r="W329" i="13" s="1" a="1"/>
  <c r="W329" i="13" s="1"/>
  <c r="T333" i="13"/>
  <c r="U333" i="13" s="1"/>
  <c r="W333" i="13" s="1" a="1"/>
  <c r="W333" i="13" s="1"/>
  <c r="T337" i="13"/>
  <c r="U337" i="13" s="1"/>
  <c r="W337" i="13" s="1" a="1"/>
  <c r="W337" i="13" s="1"/>
  <c r="T341" i="13"/>
  <c r="U341" i="13" s="1"/>
  <c r="W341" i="13" s="1" a="1"/>
  <c r="W341" i="13" s="1"/>
  <c r="T345" i="13"/>
  <c r="U345" i="13" s="1"/>
  <c r="W345" i="13" s="1" a="1"/>
  <c r="W345" i="13" s="1"/>
  <c r="T349" i="13"/>
  <c r="U349" i="13" s="1"/>
  <c r="W349" i="13" s="1" a="1"/>
  <c r="W349" i="13" s="1"/>
  <c r="T353" i="13"/>
  <c r="U353" i="13" s="1"/>
  <c r="W353" i="13" s="1" a="1"/>
  <c r="W353" i="13" s="1"/>
  <c r="T357" i="13"/>
  <c r="U357" i="13" s="1"/>
  <c r="W357" i="13" s="1" a="1"/>
  <c r="W357" i="13" s="1"/>
  <c r="T361" i="13"/>
  <c r="U361" i="13" s="1"/>
  <c r="W361" i="13" s="1" a="1"/>
  <c r="W361" i="13" s="1"/>
  <c r="T365" i="13"/>
  <c r="U365" i="13" s="1"/>
  <c r="W365" i="13" s="1" a="1"/>
  <c r="W365" i="13" s="1"/>
  <c r="T369" i="13"/>
  <c r="U369" i="13" s="1"/>
  <c r="W369" i="13" s="1" a="1"/>
  <c r="W369" i="13" s="1"/>
  <c r="T373" i="13"/>
  <c r="U373" i="13" s="1"/>
  <c r="W373" i="13" s="1" a="1"/>
  <c r="W373" i="13" s="1"/>
  <c r="T377" i="13"/>
  <c r="U377" i="13" s="1"/>
  <c r="W377" i="13" s="1" a="1"/>
  <c r="W377" i="13" s="1"/>
  <c r="T381" i="13"/>
  <c r="U381" i="13" s="1"/>
  <c r="W381" i="13" s="1" a="1"/>
  <c r="W381" i="13" s="1"/>
  <c r="T385" i="13"/>
  <c r="U385" i="13" s="1"/>
  <c r="W385" i="13" s="1" a="1"/>
  <c r="W385" i="13" s="1"/>
  <c r="T389" i="13"/>
  <c r="U389" i="13" s="1"/>
  <c r="W389" i="13" s="1" a="1"/>
  <c r="W389" i="13" s="1"/>
  <c r="T393" i="13"/>
  <c r="U393" i="13" s="1"/>
  <c r="W393" i="13" s="1" a="1"/>
  <c r="W393" i="13" s="1"/>
  <c r="T397" i="13"/>
  <c r="U397" i="13" s="1"/>
  <c r="W397" i="13" s="1" a="1"/>
  <c r="W397" i="13" s="1"/>
  <c r="T401" i="13"/>
  <c r="U401" i="13" s="1"/>
  <c r="W401" i="13" s="1" a="1"/>
  <c r="W401" i="13" s="1"/>
  <c r="T405" i="13"/>
  <c r="U405" i="13" s="1"/>
  <c r="W405" i="13" s="1" a="1"/>
  <c r="W405" i="13" s="1"/>
  <c r="T409" i="13"/>
  <c r="U409" i="13" s="1"/>
  <c r="W409" i="13" s="1" a="1"/>
  <c r="W409" i="13" s="1"/>
  <c r="T734" i="13"/>
  <c r="U734" i="13" s="1"/>
  <c r="W734" i="13" s="1" a="1"/>
  <c r="W734" i="13" s="1"/>
  <c r="T609" i="13"/>
  <c r="U609" i="13" s="1"/>
  <c r="W609" i="13" s="1" a="1"/>
  <c r="W609" i="13" s="1"/>
  <c r="T617" i="13"/>
  <c r="U617" i="13" s="1"/>
  <c r="W617" i="13" s="1" a="1"/>
  <c r="W617" i="13" s="1"/>
  <c r="T729" i="13"/>
  <c r="U729" i="13" s="1"/>
  <c r="W729" i="13" s="1" a="1"/>
  <c r="W729" i="13" s="1"/>
  <c r="T737" i="13"/>
  <c r="U737" i="13" s="1"/>
  <c r="W737" i="13" s="1" a="1"/>
  <c r="W737" i="13" s="1"/>
  <c r="T706" i="13"/>
  <c r="U706" i="13" s="1"/>
  <c r="W706" i="13" s="1" a="1"/>
  <c r="W706" i="13" s="1"/>
  <c r="T741" i="13"/>
  <c r="U741" i="13" s="1"/>
  <c r="W741" i="13" s="1" a="1"/>
  <c r="W741" i="13" s="1"/>
  <c r="T745" i="13"/>
  <c r="U745" i="13" s="1"/>
  <c r="W745" i="13" s="1" a="1"/>
  <c r="W745" i="13" s="1"/>
  <c r="T749" i="13"/>
  <c r="U749" i="13" s="1"/>
  <c r="W749" i="13" s="1" a="1"/>
  <c r="W749" i="13" s="1"/>
  <c r="T328" i="13"/>
  <c r="U328" i="13" s="1"/>
  <c r="W328" i="13" s="1" a="1"/>
  <c r="W328" i="13" s="1"/>
  <c r="H722" i="13"/>
  <c r="T716" i="13"/>
  <c r="U716" i="13" s="1"/>
  <c r="W716" i="13" s="1" a="1"/>
  <c r="W716" i="13" s="1"/>
  <c r="R536" i="13"/>
  <c r="T176" i="13"/>
  <c r="T416" i="13"/>
  <c r="U416" i="13" s="1"/>
  <c r="W416" i="13" s="1" a="1"/>
  <c r="W416" i="13" s="1"/>
  <c r="T424" i="13"/>
  <c r="U424" i="13" s="1"/>
  <c r="W424" i="13" s="1" a="1"/>
  <c r="W424" i="13" s="1"/>
  <c r="T432" i="13"/>
  <c r="U432" i="13" s="1"/>
  <c r="W432" i="13" s="1" a="1"/>
  <c r="W432" i="13" s="1"/>
  <c r="T440" i="13"/>
  <c r="U440" i="13" s="1"/>
  <c r="W440" i="13" s="1" a="1"/>
  <c r="W440" i="13" s="1"/>
  <c r="T448" i="13"/>
  <c r="U448" i="13" s="1"/>
  <c r="W448" i="13" s="1" a="1"/>
  <c r="W448" i="13" s="1"/>
  <c r="T456" i="13"/>
  <c r="U456" i="13" s="1"/>
  <c r="W456" i="13" s="1" a="1"/>
  <c r="W456" i="13" s="1"/>
  <c r="T464" i="13"/>
  <c r="U464" i="13" s="1"/>
  <c r="W464" i="13" s="1" a="1"/>
  <c r="W464" i="13" s="1"/>
  <c r="T472" i="13"/>
  <c r="U472" i="13" s="1"/>
  <c r="W472" i="13" s="1" a="1"/>
  <c r="W472" i="13" s="1"/>
  <c r="T480" i="13"/>
  <c r="U480" i="13" s="1"/>
  <c r="W480" i="13" s="1" a="1"/>
  <c r="W480" i="13" s="1"/>
  <c r="T488" i="13"/>
  <c r="U488" i="13" s="1"/>
  <c r="W488" i="13" s="1" a="1"/>
  <c r="W488" i="13" s="1"/>
  <c r="T490" i="13"/>
  <c r="U490" i="13" s="1"/>
  <c r="W490" i="13" s="1" a="1"/>
  <c r="W490" i="13" s="1"/>
  <c r="T310" i="13"/>
  <c r="U310" i="13" s="1"/>
  <c r="W310" i="13" s="1" a="1"/>
  <c r="W310" i="13" s="1"/>
  <c r="T318" i="13"/>
  <c r="U318" i="13" s="1"/>
  <c r="W318" i="13" s="1" a="1"/>
  <c r="W318" i="13" s="1"/>
  <c r="T326" i="13"/>
  <c r="U326" i="13" s="1"/>
  <c r="W326" i="13" s="1" a="1"/>
  <c r="W326" i="13" s="1"/>
  <c r="T334" i="13"/>
  <c r="U334" i="13" s="1"/>
  <c r="W334" i="13" s="1" a="1"/>
  <c r="W334" i="13" s="1"/>
  <c r="T342" i="13"/>
  <c r="U342" i="13" s="1"/>
  <c r="W342" i="13" s="1" a="1"/>
  <c r="W342" i="13" s="1"/>
  <c r="T350" i="13"/>
  <c r="U350" i="13" s="1"/>
  <c r="W350" i="13" s="1" a="1"/>
  <c r="W350" i="13" s="1"/>
  <c r="T358" i="13"/>
  <c r="U358" i="13" s="1"/>
  <c r="W358" i="13" s="1" a="1"/>
  <c r="W358" i="13" s="1"/>
  <c r="T366" i="13"/>
  <c r="U366" i="13" s="1"/>
  <c r="W366" i="13" s="1" a="1"/>
  <c r="W366" i="13" s="1"/>
  <c r="T374" i="13"/>
  <c r="U374" i="13" s="1"/>
  <c r="W374" i="13" s="1" a="1"/>
  <c r="W374" i="13" s="1"/>
  <c r="T382" i="13"/>
  <c r="U382" i="13" s="1"/>
  <c r="W382" i="13" s="1" a="1"/>
  <c r="W382" i="13" s="1"/>
  <c r="T390" i="13"/>
  <c r="U390" i="13" s="1"/>
  <c r="W390" i="13" s="1" a="1"/>
  <c r="W390" i="13" s="1"/>
  <c r="T398" i="13"/>
  <c r="U398" i="13" s="1"/>
  <c r="W398" i="13" s="1" a="1"/>
  <c r="W398" i="13" s="1"/>
  <c r="T406" i="13"/>
  <c r="U406" i="13" s="1"/>
  <c r="W406" i="13" s="1" a="1"/>
  <c r="W406" i="13" s="1"/>
  <c r="T499" i="13"/>
  <c r="U499" i="13" s="1"/>
  <c r="W499" i="13" s="1" a="1"/>
  <c r="W499" i="13" s="1"/>
  <c r="T503" i="13"/>
  <c r="U503" i="13" s="1"/>
  <c r="W503" i="13" s="1" a="1"/>
  <c r="W503" i="13" s="1"/>
  <c r="T507" i="13"/>
  <c r="U507" i="13" s="1"/>
  <c r="W507" i="13" s="1" a="1"/>
  <c r="W507" i="13" s="1"/>
  <c r="T730" i="13"/>
  <c r="U730" i="13" s="1"/>
  <c r="W730" i="13" s="1" a="1"/>
  <c r="W730" i="13" s="1"/>
  <c r="T736" i="13"/>
  <c r="U736" i="13" s="1"/>
  <c r="W736" i="13" s="1" a="1"/>
  <c r="W736" i="13" s="1"/>
  <c r="T731" i="13"/>
  <c r="U731" i="13" s="1"/>
  <c r="W731" i="13" s="1" a="1"/>
  <c r="W731" i="13" s="1"/>
  <c r="T739" i="13"/>
  <c r="U739" i="13" s="1"/>
  <c r="W739" i="13" s="1" a="1"/>
  <c r="W739" i="13" s="1"/>
  <c r="T312" i="13"/>
  <c r="U312" i="13" s="1"/>
  <c r="W312" i="13" s="1" a="1"/>
  <c r="W312" i="13" s="1"/>
  <c r="T376" i="13"/>
  <c r="U376" i="13" s="1"/>
  <c r="W376" i="13" s="1" a="1"/>
  <c r="W376" i="13" s="1"/>
  <c r="T408" i="13"/>
  <c r="U408" i="13" s="1"/>
  <c r="W408" i="13" s="1" a="1"/>
  <c r="W408" i="13" s="1"/>
  <c r="H535" i="13"/>
  <c r="H536" i="13" s="1"/>
  <c r="K536" i="13"/>
  <c r="P768" i="13"/>
  <c r="T8" i="13"/>
  <c r="S172" i="13"/>
  <c r="S768" i="13" s="1"/>
  <c r="T418" i="13"/>
  <c r="U418" i="13" s="1"/>
  <c r="W418" i="13" s="1" a="1"/>
  <c r="W418" i="13" s="1"/>
  <c r="T426" i="13"/>
  <c r="U426" i="13" s="1"/>
  <c r="W426" i="13" s="1" a="1"/>
  <c r="W426" i="13" s="1"/>
  <c r="T434" i="13"/>
  <c r="U434" i="13" s="1"/>
  <c r="W434" i="13" s="1" a="1"/>
  <c r="W434" i="13" s="1"/>
  <c r="T442" i="13"/>
  <c r="U442" i="13" s="1"/>
  <c r="W442" i="13" s="1" a="1"/>
  <c r="W442" i="13" s="1"/>
  <c r="T450" i="13"/>
  <c r="U450" i="13" s="1"/>
  <c r="W450" i="13" s="1" a="1"/>
  <c r="W450" i="13" s="1"/>
  <c r="T458" i="13"/>
  <c r="U458" i="13" s="1"/>
  <c r="W458" i="13" s="1" a="1"/>
  <c r="W458" i="13" s="1"/>
  <c r="T466" i="13"/>
  <c r="U466" i="13" s="1"/>
  <c r="W466" i="13" s="1" a="1"/>
  <c r="W466" i="13" s="1"/>
  <c r="T474" i="13"/>
  <c r="U474" i="13" s="1"/>
  <c r="W474" i="13" s="1" a="1"/>
  <c r="W474" i="13" s="1"/>
  <c r="T482" i="13"/>
  <c r="U482" i="13" s="1"/>
  <c r="W482" i="13" s="1" a="1"/>
  <c r="W482" i="13" s="1"/>
  <c r="T492" i="13"/>
  <c r="U492" i="13" s="1"/>
  <c r="W492" i="13" s="1" a="1"/>
  <c r="W492" i="13" s="1"/>
  <c r="T700" i="13"/>
  <c r="U700" i="13" s="1"/>
  <c r="W700" i="13" s="1" a="1"/>
  <c r="W700" i="13" s="1"/>
  <c r="R723" i="13"/>
  <c r="T557" i="13"/>
  <c r="T702" i="13"/>
  <c r="U702" i="13" s="1"/>
  <c r="W702" i="13" s="1" a="1"/>
  <c r="W702" i="13" s="1"/>
  <c r="T732" i="13"/>
  <c r="U732" i="13" s="1"/>
  <c r="W732" i="13" s="1" a="1"/>
  <c r="W732" i="13" s="1"/>
  <c r="T699" i="13"/>
  <c r="U699" i="13" s="1"/>
  <c r="W699" i="13" s="1" a="1"/>
  <c r="W699" i="13" s="1"/>
  <c r="T738" i="13"/>
  <c r="U738" i="13" s="1"/>
  <c r="W738" i="13" s="1" a="1"/>
  <c r="W738" i="13" s="1"/>
  <c r="T733" i="13"/>
  <c r="U733" i="13" s="1"/>
  <c r="W733" i="13" s="1" a="1"/>
  <c r="W733" i="13" s="1"/>
  <c r="T703" i="13"/>
  <c r="U703" i="13" s="1"/>
  <c r="W703" i="13" s="1" a="1"/>
  <c r="W703" i="13" s="1"/>
  <c r="T727" i="13"/>
  <c r="R759" i="13"/>
  <c r="R766" i="13" s="1"/>
  <c r="T743" i="13"/>
  <c r="U743" i="13" s="1"/>
  <c r="W743" i="13" s="1" a="1"/>
  <c r="W743" i="13" s="1"/>
  <c r="T747" i="13"/>
  <c r="U747" i="13" s="1"/>
  <c r="W747" i="13" s="1" a="1"/>
  <c r="W747" i="13" s="1"/>
  <c r="T751" i="13"/>
  <c r="U751" i="13" s="1"/>
  <c r="W751" i="13" s="1" a="1"/>
  <c r="W751" i="13" s="1"/>
  <c r="T755" i="13"/>
  <c r="U755" i="13" s="1"/>
  <c r="W755" i="13" s="1" a="1"/>
  <c r="W755" i="13" s="1"/>
  <c r="W9" i="11" a="1"/>
  <c r="W9" i="11" s="1"/>
  <c r="W10" i="11" a="1"/>
  <c r="W10" i="11"/>
  <c r="W11" i="11" a="1"/>
  <c r="W11" i="11" s="1"/>
  <c r="W12" i="11" a="1"/>
  <c r="W12" i="11"/>
  <c r="W13" i="11" a="1"/>
  <c r="W13" i="11" s="1"/>
  <c r="W14" i="11" a="1"/>
  <c r="W14" i="11"/>
  <c r="W15" i="11" a="1"/>
  <c r="W15" i="11" s="1"/>
  <c r="W16" i="11" a="1"/>
  <c r="W16" i="11"/>
  <c r="W17" i="11" a="1"/>
  <c r="W17" i="11" s="1"/>
  <c r="W18" i="11" a="1"/>
  <c r="W18" i="11"/>
  <c r="W19" i="11" a="1"/>
  <c r="W19" i="11" s="1"/>
  <c r="W20" i="11" a="1"/>
  <c r="W20" i="11"/>
  <c r="W21" i="11" a="1"/>
  <c r="W21" i="11" s="1"/>
  <c r="W22" i="11" a="1"/>
  <c r="W22" i="11"/>
  <c r="W23" i="11" a="1"/>
  <c r="W23" i="11" s="1"/>
  <c r="W24" i="11" a="1"/>
  <c r="W24" i="11"/>
  <c r="W25" i="11" a="1"/>
  <c r="W25" i="11" s="1"/>
  <c r="W26" i="11" a="1"/>
  <c r="W26" i="11"/>
  <c r="W28" i="11" a="1"/>
  <c r="W28" i="11"/>
  <c r="W29" i="11" a="1"/>
  <c r="W29" i="11" s="1"/>
  <c r="W30" i="11" a="1"/>
  <c r="W30" i="11"/>
  <c r="W31" i="11" a="1"/>
  <c r="W31" i="11" s="1"/>
  <c r="W32" i="11" a="1"/>
  <c r="W32" i="11"/>
  <c r="W33" i="11" a="1"/>
  <c r="W33" i="11" s="1"/>
  <c r="W34" i="11" a="1"/>
  <c r="W34" i="11"/>
  <c r="W35" i="11" a="1"/>
  <c r="W35" i="11" s="1"/>
  <c r="W36" i="11" a="1"/>
  <c r="W36" i="11"/>
  <c r="W37" i="11" a="1"/>
  <c r="W37" i="11" s="1"/>
  <c r="W38" i="11" a="1"/>
  <c r="W38" i="11"/>
  <c r="W39" i="11" a="1"/>
  <c r="W39" i="11" s="1"/>
  <c r="W40" i="11" a="1"/>
  <c r="W40" i="11"/>
  <c r="W41" i="11" a="1"/>
  <c r="W41" i="11" s="1"/>
  <c r="W42" i="11" a="1"/>
  <c r="W42" i="11"/>
  <c r="W43" i="11" a="1"/>
  <c r="W43" i="11" s="1"/>
  <c r="W44" i="11" a="1"/>
  <c r="W44" i="11"/>
  <c r="W45" i="11" a="1"/>
  <c r="W45" i="11" s="1"/>
  <c r="W46" i="11" a="1"/>
  <c r="W46" i="11"/>
  <c r="W47" i="11" a="1"/>
  <c r="W47" i="11" s="1"/>
  <c r="W48" i="11" a="1"/>
  <c r="W48" i="11"/>
  <c r="W49" i="11" a="1"/>
  <c r="W49" i="11" s="1"/>
  <c r="W50" i="11" a="1"/>
  <c r="W50" i="11"/>
  <c r="W51" i="11" a="1"/>
  <c r="W51" i="11" s="1"/>
  <c r="W52" i="11" a="1"/>
  <c r="W52" i="11"/>
  <c r="W53" i="11" a="1"/>
  <c r="W53" i="11" s="1"/>
  <c r="W54" i="11" a="1"/>
  <c r="W54" i="11"/>
  <c r="W55" i="11" a="1"/>
  <c r="W55" i="11" s="1"/>
  <c r="W56" i="11" a="1"/>
  <c r="W56" i="11"/>
  <c r="W57" i="11" a="1"/>
  <c r="W57" i="11" s="1"/>
  <c r="W58" i="11" a="1"/>
  <c r="W58" i="11"/>
  <c r="W59" i="11" a="1"/>
  <c r="W59" i="11" s="1"/>
  <c r="W60" i="11" a="1"/>
  <c r="W60" i="11"/>
  <c r="W61" i="11" a="1"/>
  <c r="W61" i="11" s="1"/>
  <c r="W62" i="11" a="1"/>
  <c r="W62" i="11"/>
  <c r="W63" i="11" a="1"/>
  <c r="W63" i="11" s="1"/>
  <c r="W64" i="11" a="1"/>
  <c r="W64" i="11"/>
  <c r="W65" i="11" a="1"/>
  <c r="W65" i="11" s="1"/>
  <c r="W66" i="11" a="1"/>
  <c r="W66" i="11"/>
  <c r="W67" i="11" a="1"/>
  <c r="W67" i="11" s="1"/>
  <c r="W68" i="11" a="1"/>
  <c r="W68" i="11"/>
  <c r="W69" i="11" a="1"/>
  <c r="W69" i="11" s="1"/>
  <c r="W70" i="11" a="1"/>
  <c r="W70" i="11"/>
  <c r="W71" i="11" a="1"/>
  <c r="W71" i="11" s="1"/>
  <c r="W72" i="11" a="1"/>
  <c r="W72" i="11"/>
  <c r="W73" i="11" a="1"/>
  <c r="W73" i="11" s="1"/>
  <c r="W74" i="11" a="1"/>
  <c r="W74" i="11"/>
  <c r="W75" i="11" a="1"/>
  <c r="W75" i="11" s="1"/>
  <c r="W76" i="11" a="1"/>
  <c r="W76" i="11"/>
  <c r="W77" i="11" a="1"/>
  <c r="W77" i="11" s="1"/>
  <c r="W78" i="11" a="1"/>
  <c r="W78" i="11"/>
  <c r="W79" i="11" a="1"/>
  <c r="W79" i="11" s="1"/>
  <c r="W80" i="11" a="1"/>
  <c r="W80" i="11"/>
  <c r="W81" i="11" a="1"/>
  <c r="W81" i="11" s="1"/>
  <c r="W82" i="11" a="1"/>
  <c r="W82" i="11"/>
  <c r="W83" i="11" a="1"/>
  <c r="W83" i="11" s="1"/>
  <c r="W84" i="11" a="1"/>
  <c r="W84" i="11"/>
  <c r="W85" i="11" a="1"/>
  <c r="W85" i="11" s="1"/>
  <c r="W86" i="11" a="1"/>
  <c r="W86" i="11"/>
  <c r="W87" i="11" a="1"/>
  <c r="W87" i="11" s="1"/>
  <c r="W88" i="11" a="1"/>
  <c r="W88" i="11"/>
  <c r="W89" i="11" a="1"/>
  <c r="W89" i="11" s="1"/>
  <c r="W90" i="11" a="1"/>
  <c r="W90" i="11"/>
  <c r="W91" i="11" a="1"/>
  <c r="W91" i="11" s="1"/>
  <c r="W92" i="11" a="1"/>
  <c r="W92" i="11"/>
  <c r="W93" i="11" a="1"/>
  <c r="W93" i="11" s="1"/>
  <c r="W94" i="11" a="1"/>
  <c r="W94" i="11"/>
  <c r="W95" i="11" a="1"/>
  <c r="W95" i="11" s="1"/>
  <c r="W96" i="11" a="1"/>
  <c r="W96" i="11"/>
  <c r="W97" i="11" a="1"/>
  <c r="W97" i="11" s="1"/>
  <c r="W98" i="11" a="1"/>
  <c r="W98" i="11"/>
  <c r="W99" i="11" a="1"/>
  <c r="W99" i="11" s="1"/>
  <c r="W100" i="11" a="1"/>
  <c r="W100" i="11"/>
  <c r="W101" i="11" a="1"/>
  <c r="W101" i="11" s="1"/>
  <c r="W102" i="11" a="1"/>
  <c r="W102" i="11"/>
  <c r="W103" i="11" a="1"/>
  <c r="W103" i="11" s="1"/>
  <c r="W104" i="11" a="1"/>
  <c r="W104" i="11"/>
  <c r="W105" i="11" a="1"/>
  <c r="W105" i="11" s="1"/>
  <c r="W106" i="11" a="1"/>
  <c r="W106" i="11"/>
  <c r="W107" i="11" a="1"/>
  <c r="W107" i="11" s="1"/>
  <c r="W108" i="11" a="1"/>
  <c r="W108" i="11"/>
  <c r="W109" i="11" a="1"/>
  <c r="W109" i="11" s="1"/>
  <c r="W111" i="11" a="1"/>
  <c r="W111" i="11" s="1"/>
  <c r="W112" i="11" a="1"/>
  <c r="W112" i="11"/>
  <c r="W113" i="11" a="1"/>
  <c r="W113" i="11" s="1"/>
  <c r="W115" i="11" a="1"/>
  <c r="W115" i="11" s="1"/>
  <c r="W116" i="11" a="1"/>
  <c r="W116" i="11"/>
  <c r="W117" i="11" a="1"/>
  <c r="W117" i="11" s="1"/>
  <c r="W118" i="11" a="1"/>
  <c r="W118" i="11"/>
  <c r="W119" i="11" a="1"/>
  <c r="W119" i="11" s="1"/>
  <c r="W120" i="11" a="1"/>
  <c r="W120" i="11"/>
  <c r="W121" i="11" a="1"/>
  <c r="W121" i="11" s="1"/>
  <c r="W122" i="11" a="1"/>
  <c r="W122" i="11"/>
  <c r="W124" i="11" a="1"/>
  <c r="W124" i="11"/>
  <c r="W125" i="11" a="1"/>
  <c r="W125" i="11" s="1"/>
  <c r="W126" i="11" a="1"/>
  <c r="W126" i="11"/>
  <c r="W8" i="11" a="1"/>
  <c r="W8" i="11" s="1"/>
  <c r="T627" i="10"/>
  <c r="W9" i="10" a="1"/>
  <c r="W9" i="10" s="1"/>
  <c r="W10" i="10" a="1"/>
  <c r="W10" i="10"/>
  <c r="W11" i="10" a="1"/>
  <c r="W11" i="10" s="1"/>
  <c r="W12" i="10" a="1"/>
  <c r="W12" i="10"/>
  <c r="W13" i="10" a="1"/>
  <c r="W13" i="10" s="1"/>
  <c r="W14" i="10" a="1"/>
  <c r="W14" i="10" s="1"/>
  <c r="W15" i="10" a="1"/>
  <c r="W15" i="10" s="1"/>
  <c r="W16" i="10" a="1"/>
  <c r="W16" i="10" s="1"/>
  <c r="W17" i="10" a="1"/>
  <c r="W17" i="10" s="1"/>
  <c r="W18" i="10" a="1"/>
  <c r="W18" i="10" s="1"/>
  <c r="W19" i="10" a="1"/>
  <c r="W19" i="10" s="1"/>
  <c r="W20" i="10" a="1"/>
  <c r="W20" i="10"/>
  <c r="W21" i="10" a="1"/>
  <c r="W21" i="10" s="1"/>
  <c r="W22" i="10" a="1"/>
  <c r="W22" i="10" s="1"/>
  <c r="W23" i="10" a="1"/>
  <c r="W23" i="10" s="1"/>
  <c r="W24" i="10" a="1"/>
  <c r="W24" i="10"/>
  <c r="W25" i="10" a="1"/>
  <c r="W25" i="10" s="1"/>
  <c r="W26" i="10" a="1"/>
  <c r="W26" i="10" s="1"/>
  <c r="W27" i="10" a="1"/>
  <c r="W27" i="10" s="1"/>
  <c r="W28" i="10" a="1"/>
  <c r="W28" i="10"/>
  <c r="W29" i="10" a="1"/>
  <c r="W29" i="10" s="1"/>
  <c r="W30" i="10" a="1"/>
  <c r="W30" i="10" s="1"/>
  <c r="W31" i="10" a="1"/>
  <c r="W31" i="10" s="1"/>
  <c r="W32" i="10" a="1"/>
  <c r="W32" i="10"/>
  <c r="W33" i="10" a="1"/>
  <c r="W33" i="10" s="1"/>
  <c r="W34" i="10" a="1"/>
  <c r="W34" i="10" s="1"/>
  <c r="W35" i="10" a="1"/>
  <c r="W35" i="10" s="1"/>
  <c r="W36" i="10" a="1"/>
  <c r="W36" i="10"/>
  <c r="W37" i="10" a="1"/>
  <c r="W37" i="10" s="1"/>
  <c r="W38" i="10" a="1"/>
  <c r="W38" i="10" s="1"/>
  <c r="W39" i="10" a="1"/>
  <c r="W39" i="10" s="1"/>
  <c r="W40" i="10" a="1"/>
  <c r="W40" i="10"/>
  <c r="W41" i="10" a="1"/>
  <c r="W41" i="10" s="1"/>
  <c r="W42" i="10" a="1"/>
  <c r="W42" i="10" s="1"/>
  <c r="W43" i="10" a="1"/>
  <c r="W43" i="10" s="1"/>
  <c r="W44" i="10" a="1"/>
  <c r="W44" i="10"/>
  <c r="W45" i="10" a="1"/>
  <c r="W45" i="10" s="1"/>
  <c r="W46" i="10" a="1"/>
  <c r="W46" i="10" s="1"/>
  <c r="W47" i="10" a="1"/>
  <c r="W47" i="10" s="1"/>
  <c r="W48" i="10" a="1"/>
  <c r="W48" i="10"/>
  <c r="W49" i="10" a="1"/>
  <c r="W49" i="10" s="1"/>
  <c r="W50" i="10" a="1"/>
  <c r="W50" i="10" s="1"/>
  <c r="W51" i="10" a="1"/>
  <c r="W51" i="10" s="1"/>
  <c r="W52" i="10" a="1"/>
  <c r="W52" i="10"/>
  <c r="W53" i="10" a="1"/>
  <c r="W53" i="10" s="1"/>
  <c r="W54" i="10" a="1"/>
  <c r="W54" i="10" s="1"/>
  <c r="W55" i="10" a="1"/>
  <c r="W55" i="10" s="1"/>
  <c r="W56" i="10" a="1"/>
  <c r="W56" i="10"/>
  <c r="W57" i="10" a="1"/>
  <c r="W57" i="10" s="1"/>
  <c r="W58" i="10" a="1"/>
  <c r="W58" i="10" s="1"/>
  <c r="W59" i="10" a="1"/>
  <c r="W59" i="10" s="1"/>
  <c r="W60" i="10" a="1"/>
  <c r="W60" i="10"/>
  <c r="W61" i="10" a="1"/>
  <c r="W61" i="10" s="1"/>
  <c r="W62" i="10" a="1"/>
  <c r="W62" i="10" s="1"/>
  <c r="W63" i="10" a="1"/>
  <c r="W63" i="10" s="1"/>
  <c r="W64" i="10" a="1"/>
  <c r="W64" i="10"/>
  <c r="W65" i="10" a="1"/>
  <c r="W65" i="10" s="1"/>
  <c r="W66" i="10" a="1"/>
  <c r="W66" i="10" s="1"/>
  <c r="W67" i="10" a="1"/>
  <c r="W67" i="10" s="1"/>
  <c r="W68" i="10" a="1"/>
  <c r="W68" i="10"/>
  <c r="W69" i="10" a="1"/>
  <c r="W69" i="10" s="1"/>
  <c r="W70" i="10" a="1"/>
  <c r="W70" i="10" s="1"/>
  <c r="W71" i="10" a="1"/>
  <c r="W71" i="10" s="1"/>
  <c r="W72" i="10" a="1"/>
  <c r="W72" i="10"/>
  <c r="W73" i="10" a="1"/>
  <c r="W73" i="10" s="1"/>
  <c r="W74" i="10" a="1"/>
  <c r="W74" i="10" s="1"/>
  <c r="W75" i="10" a="1"/>
  <c r="W75" i="10" s="1"/>
  <c r="W76" i="10" a="1"/>
  <c r="W76" i="10"/>
  <c r="W77" i="10" a="1"/>
  <c r="W77" i="10" s="1"/>
  <c r="W78" i="10" a="1"/>
  <c r="W78" i="10" s="1"/>
  <c r="W79" i="10" a="1"/>
  <c r="W79" i="10" s="1"/>
  <c r="W80" i="10" a="1"/>
  <c r="W80" i="10"/>
  <c r="W81" i="10" a="1"/>
  <c r="W81" i="10" s="1"/>
  <c r="W82" i="10" a="1"/>
  <c r="W82" i="10" s="1"/>
  <c r="W83" i="10" a="1"/>
  <c r="W83" i="10" s="1"/>
  <c r="W84" i="10" a="1"/>
  <c r="W84" i="10"/>
  <c r="W85" i="10" a="1"/>
  <c r="W85" i="10" s="1"/>
  <c r="W86" i="10" a="1"/>
  <c r="W86" i="10" s="1"/>
  <c r="W87" i="10" a="1"/>
  <c r="W87" i="10" s="1"/>
  <c r="W88" i="10" a="1"/>
  <c r="W88" i="10"/>
  <c r="W89" i="10" a="1"/>
  <c r="W89" i="10" s="1"/>
  <c r="W90" i="10" a="1"/>
  <c r="W90" i="10" s="1"/>
  <c r="W91" i="10" a="1"/>
  <c r="W91" i="10" s="1"/>
  <c r="W92" i="10" a="1"/>
  <c r="W92" i="10"/>
  <c r="W93" i="10" a="1"/>
  <c r="W93" i="10" s="1"/>
  <c r="W94" i="10" a="1"/>
  <c r="W94" i="10" s="1"/>
  <c r="W95" i="10" a="1"/>
  <c r="W95" i="10" s="1"/>
  <c r="W96" i="10" a="1"/>
  <c r="W96" i="10"/>
  <c r="W97" i="10" a="1"/>
  <c r="W97" i="10" s="1"/>
  <c r="W98" i="10" a="1"/>
  <c r="W98" i="10" s="1"/>
  <c r="W99" i="10" a="1"/>
  <c r="W99" i="10" s="1"/>
  <c r="W100" i="10" a="1"/>
  <c r="W100" i="10"/>
  <c r="W101" i="10" a="1"/>
  <c r="W101" i="10" s="1"/>
  <c r="W102" i="10" a="1"/>
  <c r="W102" i="10" s="1"/>
  <c r="W103" i="10" a="1"/>
  <c r="W103" i="10" s="1"/>
  <c r="W104" i="10" a="1"/>
  <c r="W104" i="10"/>
  <c r="W105" i="10" a="1"/>
  <c r="W105" i="10" s="1"/>
  <c r="W106" i="10" a="1"/>
  <c r="W106" i="10" s="1"/>
  <c r="W107" i="10" a="1"/>
  <c r="W107" i="10" s="1"/>
  <c r="W108" i="10" a="1"/>
  <c r="W108" i="10"/>
  <c r="W109" i="10" a="1"/>
  <c r="W109" i="10" s="1"/>
  <c r="W110" i="10" a="1"/>
  <c r="W110" i="10" s="1"/>
  <c r="W111" i="10" a="1"/>
  <c r="W111" i="10" s="1"/>
  <c r="W112" i="10" a="1"/>
  <c r="W112" i="10"/>
  <c r="W113" i="10" a="1"/>
  <c r="W113" i="10" s="1"/>
  <c r="W114" i="10" a="1"/>
  <c r="W114" i="10" s="1"/>
  <c r="W115" i="10" a="1"/>
  <c r="W115" i="10" s="1"/>
  <c r="W116" i="10" a="1"/>
  <c r="W116" i="10"/>
  <c r="W117" i="10" a="1"/>
  <c r="W117" i="10" s="1"/>
  <c r="W118" i="10" a="1"/>
  <c r="W118" i="10" s="1"/>
  <c r="W119" i="10" a="1"/>
  <c r="W119" i="10" s="1"/>
  <c r="W120" i="10" a="1"/>
  <c r="W120" i="10"/>
  <c r="W121" i="10" a="1"/>
  <c r="W121" i="10" s="1"/>
  <c r="W122" i="10" a="1"/>
  <c r="W122" i="10" s="1"/>
  <c r="W123" i="10" a="1"/>
  <c r="W123" i="10" s="1"/>
  <c r="W124" i="10" a="1"/>
  <c r="W124" i="10"/>
  <c r="W125" i="10" a="1"/>
  <c r="W125" i="10" s="1"/>
  <c r="W126" i="10" a="1"/>
  <c r="W126" i="10" s="1"/>
  <c r="W127" i="10" a="1"/>
  <c r="W127" i="10" s="1"/>
  <c r="W128" i="10" a="1"/>
  <c r="W128" i="10"/>
  <c r="W129" i="10" a="1"/>
  <c r="W129" i="10" s="1"/>
  <c r="W130" i="10" a="1"/>
  <c r="W130" i="10" s="1"/>
  <c r="W131" i="10" a="1"/>
  <c r="W131" i="10" s="1"/>
  <c r="W132" i="10" a="1"/>
  <c r="W132" i="10"/>
  <c r="W133" i="10" a="1"/>
  <c r="W133" i="10" s="1"/>
  <c r="W134" i="10" a="1"/>
  <c r="W134" i="10" s="1"/>
  <c r="W135" i="10" a="1"/>
  <c r="W135" i="10" s="1"/>
  <c r="W136" i="10" a="1"/>
  <c r="W136" i="10"/>
  <c r="W137" i="10" a="1"/>
  <c r="W137" i="10" s="1"/>
  <c r="W138" i="10" a="1"/>
  <c r="W138" i="10" s="1"/>
  <c r="W139" i="10" a="1"/>
  <c r="W139" i="10" s="1"/>
  <c r="W140" i="10" a="1"/>
  <c r="W140" i="10"/>
  <c r="W141" i="10" a="1"/>
  <c r="W141" i="10" s="1"/>
  <c r="W142" i="10" a="1"/>
  <c r="W142" i="10" s="1"/>
  <c r="W143" i="10" a="1"/>
  <c r="W143" i="10" s="1"/>
  <c r="W144" i="10" a="1"/>
  <c r="W144" i="10"/>
  <c r="W145" i="10" a="1"/>
  <c r="W145" i="10" s="1"/>
  <c r="W146" i="10" a="1"/>
  <c r="W146" i="10" s="1"/>
  <c r="W147" i="10" a="1"/>
  <c r="W147" i="10" s="1"/>
  <c r="W148" i="10" a="1"/>
  <c r="W148" i="10"/>
  <c r="W149" i="10" a="1"/>
  <c r="W149" i="10" s="1"/>
  <c r="W150" i="10" a="1"/>
  <c r="W150" i="10" s="1"/>
  <c r="W151" i="10" a="1"/>
  <c r="W151" i="10" s="1"/>
  <c r="W152" i="10" a="1"/>
  <c r="W152" i="10"/>
  <c r="W153" i="10" a="1"/>
  <c r="W153" i="10" s="1"/>
  <c r="W154" i="10" a="1"/>
  <c r="W154" i="10" s="1"/>
  <c r="W155" i="10" a="1"/>
  <c r="W155" i="10" s="1"/>
  <c r="W156" i="10" a="1"/>
  <c r="W156" i="10"/>
  <c r="W157" i="10" a="1"/>
  <c r="W157" i="10" s="1"/>
  <c r="W158" i="10" a="1"/>
  <c r="W158" i="10" s="1"/>
  <c r="W159" i="10" a="1"/>
  <c r="W159" i="10" s="1"/>
  <c r="W160" i="10" a="1"/>
  <c r="W160" i="10"/>
  <c r="W161" i="10" a="1"/>
  <c r="W161" i="10" s="1"/>
  <c r="W162" i="10" a="1"/>
  <c r="W162" i="10" s="1"/>
  <c r="W163" i="10" a="1"/>
  <c r="W163" i="10" s="1"/>
  <c r="W164" i="10" a="1"/>
  <c r="W164" i="10"/>
  <c r="W165" i="10" a="1"/>
  <c r="W165" i="10" s="1"/>
  <c r="W166" i="10" a="1"/>
  <c r="W166" i="10" s="1"/>
  <c r="W167" i="10" a="1"/>
  <c r="W167" i="10" s="1"/>
  <c r="W168" i="10" a="1"/>
  <c r="W168" i="10"/>
  <c r="W169" i="10" a="1"/>
  <c r="W169" i="10" s="1"/>
  <c r="W170" i="10" a="1"/>
  <c r="W170" i="10" s="1"/>
  <c r="W171" i="10" a="1"/>
  <c r="W171" i="10" s="1"/>
  <c r="W172" i="10" a="1"/>
  <c r="W172" i="10"/>
  <c r="W173" i="10" a="1"/>
  <c r="W173" i="10" s="1"/>
  <c r="W174" i="10" a="1"/>
  <c r="W174" i="10" s="1"/>
  <c r="W175" i="10" a="1"/>
  <c r="W175" i="10" s="1"/>
  <c r="W176" i="10" a="1"/>
  <c r="W176" i="10"/>
  <c r="W177" i="10" a="1"/>
  <c r="W177" i="10" s="1"/>
  <c r="W178" i="10" a="1"/>
  <c r="W178" i="10" s="1"/>
  <c r="W179" i="10" a="1"/>
  <c r="W179" i="10" s="1"/>
  <c r="W180" i="10" a="1"/>
  <c r="W180" i="10"/>
  <c r="W181" i="10" a="1"/>
  <c r="W181" i="10" s="1"/>
  <c r="W182" i="10" a="1"/>
  <c r="W182" i="10" s="1"/>
  <c r="W183" i="10" a="1"/>
  <c r="W183" i="10" s="1"/>
  <c r="W184" i="10" a="1"/>
  <c r="W184" i="10"/>
  <c r="W185" i="10" a="1"/>
  <c r="W185" i="10" s="1"/>
  <c r="W186" i="10" a="1"/>
  <c r="W186" i="10" s="1"/>
  <c r="W187" i="10" a="1"/>
  <c r="W187" i="10" s="1"/>
  <c r="W188" i="10" a="1"/>
  <c r="W188" i="10"/>
  <c r="W189" i="10" a="1"/>
  <c r="W189" i="10" s="1"/>
  <c r="W190" i="10" a="1"/>
  <c r="W190" i="10" s="1"/>
  <c r="W191" i="10" a="1"/>
  <c r="W191" i="10" s="1"/>
  <c r="W192" i="10" a="1"/>
  <c r="W192" i="10"/>
  <c r="W193" i="10" a="1"/>
  <c r="W193" i="10" s="1"/>
  <c r="W194" i="10" a="1"/>
  <c r="W194" i="10" s="1"/>
  <c r="W195" i="10" a="1"/>
  <c r="W195" i="10" s="1"/>
  <c r="W196" i="10" a="1"/>
  <c r="W196" i="10"/>
  <c r="W197" i="10" a="1"/>
  <c r="W197" i="10" s="1"/>
  <c r="W198" i="10" a="1"/>
  <c r="W198" i="10" s="1"/>
  <c r="W199" i="10" a="1"/>
  <c r="W199" i="10" s="1"/>
  <c r="W200" i="10" a="1"/>
  <c r="W200" i="10"/>
  <c r="W201" i="10" a="1"/>
  <c r="W201" i="10" s="1"/>
  <c r="W202" i="10" a="1"/>
  <c r="W202" i="10" s="1"/>
  <c r="W203" i="10" a="1"/>
  <c r="W203" i="10" s="1"/>
  <c r="W204" i="10" a="1"/>
  <c r="W204" i="10"/>
  <c r="W205" i="10" a="1"/>
  <c r="W205" i="10" s="1"/>
  <c r="W206" i="10" a="1"/>
  <c r="W206" i="10" s="1"/>
  <c r="W207" i="10" a="1"/>
  <c r="W207" i="10" s="1"/>
  <c r="W208" i="10" a="1"/>
  <c r="W208" i="10"/>
  <c r="W209" i="10" a="1"/>
  <c r="W209" i="10" s="1"/>
  <c r="W210" i="10" a="1"/>
  <c r="W210" i="10" s="1"/>
  <c r="W211" i="10" a="1"/>
  <c r="W211" i="10" s="1"/>
  <c r="W212" i="10" a="1"/>
  <c r="W212" i="10"/>
  <c r="W213" i="10" a="1"/>
  <c r="W213" i="10" s="1"/>
  <c r="W214" i="10" a="1"/>
  <c r="W214" i="10" s="1"/>
  <c r="W215" i="10" a="1"/>
  <c r="W215" i="10" s="1"/>
  <c r="W216" i="10" a="1"/>
  <c r="W216" i="10"/>
  <c r="W217" i="10" a="1"/>
  <c r="W217" i="10" s="1"/>
  <c r="W218" i="10" a="1"/>
  <c r="W218" i="10" s="1"/>
  <c r="W219" i="10" a="1"/>
  <c r="W219" i="10" s="1"/>
  <c r="W220" i="10" a="1"/>
  <c r="W220" i="10"/>
  <c r="W221" i="10" a="1"/>
  <c r="W221" i="10" s="1"/>
  <c r="W222" i="10" a="1"/>
  <c r="W222" i="10" s="1"/>
  <c r="W223" i="10" a="1"/>
  <c r="W223" i="10" s="1"/>
  <c r="W224" i="10" a="1"/>
  <c r="W224" i="10"/>
  <c r="W225" i="10" a="1"/>
  <c r="W225" i="10" s="1"/>
  <c r="W226" i="10" a="1"/>
  <c r="W226" i="10" s="1"/>
  <c r="W227" i="10" a="1"/>
  <c r="W227" i="10" s="1"/>
  <c r="W228" i="10" a="1"/>
  <c r="W228" i="10"/>
  <c r="W229" i="10" a="1"/>
  <c r="W229" i="10" s="1"/>
  <c r="W230" i="10" a="1"/>
  <c r="W230" i="10" s="1"/>
  <c r="W231" i="10" a="1"/>
  <c r="W231" i="10" s="1"/>
  <c r="W232" i="10" a="1"/>
  <c r="W232" i="10"/>
  <c r="W233" i="10" a="1"/>
  <c r="W233" i="10" s="1"/>
  <c r="W234" i="10" a="1"/>
  <c r="W234" i="10" s="1"/>
  <c r="W235" i="10" a="1"/>
  <c r="W235" i="10" s="1"/>
  <c r="W236" i="10" a="1"/>
  <c r="W236" i="10"/>
  <c r="W237" i="10" a="1"/>
  <c r="W237" i="10" s="1"/>
  <c r="W238" i="10" a="1"/>
  <c r="W238" i="10" s="1"/>
  <c r="W239" i="10" a="1"/>
  <c r="W239" i="10" s="1"/>
  <c r="W240" i="10" a="1"/>
  <c r="W240" i="10"/>
  <c r="W241" i="10" a="1"/>
  <c r="W241" i="10" s="1"/>
  <c r="W242" i="10" a="1"/>
  <c r="W242" i="10" s="1"/>
  <c r="W243" i="10" a="1"/>
  <c r="W243" i="10" s="1"/>
  <c r="W244" i="10" a="1"/>
  <c r="W244" i="10"/>
  <c r="W245" i="10" a="1"/>
  <c r="W245" i="10" s="1"/>
  <c r="W246" i="10" a="1"/>
  <c r="W246" i="10" s="1"/>
  <c r="W247" i="10" a="1"/>
  <c r="W247" i="10" s="1"/>
  <c r="W248" i="10" a="1"/>
  <c r="W248" i="10"/>
  <c r="W249" i="10" a="1"/>
  <c r="W249" i="10" s="1"/>
  <c r="W250" i="10" a="1"/>
  <c r="W250" i="10" s="1"/>
  <c r="W251" i="10" a="1"/>
  <c r="W251" i="10" s="1"/>
  <c r="W252" i="10" a="1"/>
  <c r="W252" i="10"/>
  <c r="W253" i="10" a="1"/>
  <c r="W253" i="10" s="1"/>
  <c r="W254" i="10" a="1"/>
  <c r="W254" i="10" s="1"/>
  <c r="W255" i="10" a="1"/>
  <c r="W255" i="10" s="1"/>
  <c r="W256" i="10" a="1"/>
  <c r="W256" i="10"/>
  <c r="W257" i="10" a="1"/>
  <c r="W257" i="10" s="1"/>
  <c r="W258" i="10" a="1"/>
  <c r="W258" i="10" s="1"/>
  <c r="W259" i="10" a="1"/>
  <c r="W259" i="10" s="1"/>
  <c r="W260" i="10" a="1"/>
  <c r="W260" i="10"/>
  <c r="W261" i="10" a="1"/>
  <c r="W261" i="10" s="1"/>
  <c r="W262" i="10" a="1"/>
  <c r="W262" i="10" s="1"/>
  <c r="W263" i="10" a="1"/>
  <c r="W263" i="10" s="1"/>
  <c r="W264" i="10" a="1"/>
  <c r="W264" i="10"/>
  <c r="W265" i="10" a="1"/>
  <c r="W265" i="10" s="1"/>
  <c r="W266" i="10" a="1"/>
  <c r="W266" i="10" s="1"/>
  <c r="W267" i="10" a="1"/>
  <c r="W267" i="10" s="1"/>
  <c r="W268" i="10" a="1"/>
  <c r="W268" i="10"/>
  <c r="W269" i="10" a="1"/>
  <c r="W269" i="10" s="1"/>
  <c r="W270" i="10" a="1"/>
  <c r="W270" i="10" s="1"/>
  <c r="W271" i="10" a="1"/>
  <c r="W271" i="10" s="1"/>
  <c r="W272" i="10" a="1"/>
  <c r="W272" i="10"/>
  <c r="W273" i="10" a="1"/>
  <c r="W273" i="10" s="1"/>
  <c r="W274" i="10" a="1"/>
  <c r="W274" i="10" s="1"/>
  <c r="W275" i="10" a="1"/>
  <c r="W275" i="10" s="1"/>
  <c r="W276" i="10" a="1"/>
  <c r="W276" i="10"/>
  <c r="W277" i="10" a="1"/>
  <c r="W277" i="10" s="1"/>
  <c r="W278" i="10" a="1"/>
  <c r="W278" i="10" s="1"/>
  <c r="W279" i="10" a="1"/>
  <c r="W279" i="10" s="1"/>
  <c r="W280" i="10" a="1"/>
  <c r="W280" i="10"/>
  <c r="W281" i="10" a="1"/>
  <c r="W281" i="10" s="1"/>
  <c r="W282" i="10" a="1"/>
  <c r="W282" i="10" s="1"/>
  <c r="W283" i="10" a="1"/>
  <c r="W283" i="10" s="1"/>
  <c r="W284" i="10" a="1"/>
  <c r="W284" i="10"/>
  <c r="W285" i="10" a="1"/>
  <c r="W285" i="10" s="1"/>
  <c r="W286" i="10" a="1"/>
  <c r="W286" i="10" s="1"/>
  <c r="W287" i="10" a="1"/>
  <c r="W287" i="10" s="1"/>
  <c r="W288" i="10" a="1"/>
  <c r="W288" i="10"/>
  <c r="W289" i="10" a="1"/>
  <c r="W289" i="10" s="1"/>
  <c r="W290" i="10" a="1"/>
  <c r="W290" i="10" s="1"/>
  <c r="W291" i="10" a="1"/>
  <c r="W291" i="10" s="1"/>
  <c r="W292" i="10" a="1"/>
  <c r="W292" i="10"/>
  <c r="W293" i="10" a="1"/>
  <c r="W293" i="10" s="1"/>
  <c r="W294" i="10" a="1"/>
  <c r="W294" i="10" s="1"/>
  <c r="W295" i="10" a="1"/>
  <c r="W295" i="10" s="1"/>
  <c r="W296" i="10" a="1"/>
  <c r="W296" i="10"/>
  <c r="W297" i="10" a="1"/>
  <c r="W297" i="10" s="1"/>
  <c r="W298" i="10" a="1"/>
  <c r="W298" i="10" s="1"/>
  <c r="W299" i="10" a="1"/>
  <c r="W299" i="10" s="1"/>
  <c r="W300" i="10" a="1"/>
  <c r="W300" i="10"/>
  <c r="W301" i="10" a="1"/>
  <c r="W301" i="10" s="1"/>
  <c r="W302" i="10" a="1"/>
  <c r="W302" i="10" s="1"/>
  <c r="W303" i="10" a="1"/>
  <c r="W303" i="10" s="1"/>
  <c r="W304" i="10" a="1"/>
  <c r="W304" i="10"/>
  <c r="W305" i="10" a="1"/>
  <c r="W305" i="10" s="1"/>
  <c r="W306" i="10" a="1"/>
  <c r="W306" i="10" s="1"/>
  <c r="W307" i="10" a="1"/>
  <c r="W307" i="10" s="1"/>
  <c r="W308" i="10" a="1"/>
  <c r="W308" i="10" s="1"/>
  <c r="W309" i="10" a="1"/>
  <c r="W309" i="10" s="1"/>
  <c r="W310" i="10" a="1"/>
  <c r="W310" i="10" s="1"/>
  <c r="W311" i="10" a="1"/>
  <c r="W311" i="10" s="1"/>
  <c r="W312" i="10" a="1"/>
  <c r="W312" i="10" s="1"/>
  <c r="W313" i="10" a="1"/>
  <c r="W313" i="10" s="1"/>
  <c r="W314" i="10" a="1"/>
  <c r="W314" i="10" s="1"/>
  <c r="W315" i="10" a="1"/>
  <c r="W315" i="10" s="1"/>
  <c r="W316" i="10" a="1"/>
  <c r="W316" i="10" s="1"/>
  <c r="W317" i="10" a="1"/>
  <c r="W317" i="10" s="1"/>
  <c r="W318" i="10" a="1"/>
  <c r="W318" i="10" s="1"/>
  <c r="W319" i="10" a="1"/>
  <c r="W319" i="10" s="1"/>
  <c r="W320" i="10" a="1"/>
  <c r="W320" i="10" s="1"/>
  <c r="W321" i="10" a="1"/>
  <c r="W321" i="10" s="1"/>
  <c r="W322" i="10" a="1"/>
  <c r="W322" i="10" s="1"/>
  <c r="W323" i="10" a="1"/>
  <c r="W323" i="10" s="1"/>
  <c r="W324" i="10" a="1"/>
  <c r="W324" i="10" s="1"/>
  <c r="W325" i="10" a="1"/>
  <c r="W325" i="10" s="1"/>
  <c r="W326" i="10" a="1"/>
  <c r="W326" i="10" s="1"/>
  <c r="W327" i="10" a="1"/>
  <c r="W327" i="10" s="1"/>
  <c r="W328" i="10" a="1"/>
  <c r="W328" i="10" s="1"/>
  <c r="W329" i="10" a="1"/>
  <c r="W329" i="10" s="1"/>
  <c r="W330" i="10" a="1"/>
  <c r="W330" i="10" s="1"/>
  <c r="W331" i="10" a="1"/>
  <c r="W331" i="10" s="1"/>
  <c r="W332" i="10" a="1"/>
  <c r="W332" i="10" s="1"/>
  <c r="W333" i="10" a="1"/>
  <c r="W333" i="10" s="1"/>
  <c r="W334" i="10" a="1"/>
  <c r="W334" i="10" s="1"/>
  <c r="W335" i="10" a="1"/>
  <c r="W335" i="10" s="1"/>
  <c r="W336" i="10" a="1"/>
  <c r="W336" i="10" s="1"/>
  <c r="W337" i="10" a="1"/>
  <c r="W337" i="10" s="1"/>
  <c r="W338" i="10" a="1"/>
  <c r="W338" i="10" s="1"/>
  <c r="W339" i="10" a="1"/>
  <c r="W339" i="10" s="1"/>
  <c r="W340" i="10" a="1"/>
  <c r="W340" i="10" s="1"/>
  <c r="W341" i="10" a="1"/>
  <c r="W341" i="10" s="1"/>
  <c r="W342" i="10" a="1"/>
  <c r="W342" i="10" s="1"/>
  <c r="W343" i="10" a="1"/>
  <c r="W343" i="10" s="1"/>
  <c r="W344" i="10" a="1"/>
  <c r="W344" i="10" s="1"/>
  <c r="W345" i="10" a="1"/>
  <c r="W345" i="10" s="1"/>
  <c r="W346" i="10" a="1"/>
  <c r="W346" i="10" s="1"/>
  <c r="W347" i="10" a="1"/>
  <c r="W347" i="10" s="1"/>
  <c r="W348" i="10" a="1"/>
  <c r="W348" i="10" s="1"/>
  <c r="W349" i="10" a="1"/>
  <c r="W349" i="10" s="1"/>
  <c r="W350" i="10" a="1"/>
  <c r="W350" i="10" s="1"/>
  <c r="W351" i="10" a="1"/>
  <c r="W351" i="10" s="1"/>
  <c r="W352" i="10" a="1"/>
  <c r="W352" i="10" s="1"/>
  <c r="W353" i="10" a="1"/>
  <c r="W353" i="10" s="1"/>
  <c r="W354" i="10" a="1"/>
  <c r="W354" i="10" s="1"/>
  <c r="W355" i="10" a="1"/>
  <c r="W355" i="10" s="1"/>
  <c r="W356" i="10" a="1"/>
  <c r="W356" i="10" s="1"/>
  <c r="W357" i="10" a="1"/>
  <c r="W357" i="10" s="1"/>
  <c r="W358" i="10" a="1"/>
  <c r="W358" i="10" s="1"/>
  <c r="W359" i="10" a="1"/>
  <c r="W359" i="10" s="1"/>
  <c r="W360" i="10" a="1"/>
  <c r="W360" i="10" s="1"/>
  <c r="W361" i="10" a="1"/>
  <c r="W361" i="10" s="1"/>
  <c r="W362" i="10" a="1"/>
  <c r="W362" i="10" s="1"/>
  <c r="W363" i="10" a="1"/>
  <c r="W363" i="10" s="1"/>
  <c r="W364" i="10" a="1"/>
  <c r="W364" i="10" s="1"/>
  <c r="W365" i="10" a="1"/>
  <c r="W365" i="10" s="1"/>
  <c r="W366" i="10" a="1"/>
  <c r="W366" i="10" s="1"/>
  <c r="W367" i="10" a="1"/>
  <c r="W367" i="10" s="1"/>
  <c r="W368" i="10" a="1"/>
  <c r="W368" i="10" s="1"/>
  <c r="W369" i="10" a="1"/>
  <c r="W369" i="10" s="1"/>
  <c r="W370" i="10" a="1"/>
  <c r="W370" i="10" s="1"/>
  <c r="W371" i="10" a="1"/>
  <c r="W371" i="10" s="1"/>
  <c r="W372" i="10" a="1"/>
  <c r="W372" i="10" s="1"/>
  <c r="W373" i="10" a="1"/>
  <c r="W373" i="10" s="1"/>
  <c r="W374" i="10" a="1"/>
  <c r="W374" i="10" s="1"/>
  <c r="W375" i="10" a="1"/>
  <c r="W375" i="10" s="1"/>
  <c r="W376" i="10" a="1"/>
  <c r="W376" i="10" s="1"/>
  <c r="W377" i="10" a="1"/>
  <c r="W377" i="10" s="1"/>
  <c r="W378" i="10" a="1"/>
  <c r="W378" i="10" s="1"/>
  <c r="W379" i="10" a="1"/>
  <c r="W379" i="10" s="1"/>
  <c r="W380" i="10" a="1"/>
  <c r="W380" i="10" s="1"/>
  <c r="W381" i="10" a="1"/>
  <c r="W381" i="10" s="1"/>
  <c r="W382" i="10" a="1"/>
  <c r="W382" i="10" s="1"/>
  <c r="W383" i="10" a="1"/>
  <c r="W383" i="10" s="1"/>
  <c r="W384" i="10" a="1"/>
  <c r="W384" i="10" s="1"/>
  <c r="W385" i="10" a="1"/>
  <c r="W385" i="10" s="1"/>
  <c r="W386" i="10" a="1"/>
  <c r="W386" i="10" s="1"/>
  <c r="W387" i="10" a="1"/>
  <c r="W387" i="10" s="1"/>
  <c r="W388" i="10" a="1"/>
  <c r="W388" i="10" s="1"/>
  <c r="W389" i="10" a="1"/>
  <c r="W389" i="10" s="1"/>
  <c r="W390" i="10" a="1"/>
  <c r="W390" i="10" s="1"/>
  <c r="W391" i="10" a="1"/>
  <c r="W391" i="10" s="1"/>
  <c r="W392" i="10" a="1"/>
  <c r="W392" i="10" s="1"/>
  <c r="W393" i="10" a="1"/>
  <c r="W393" i="10" s="1"/>
  <c r="W394" i="10" a="1"/>
  <c r="W394" i="10" s="1"/>
  <c r="W395" i="10" a="1"/>
  <c r="W395" i="10" s="1"/>
  <c r="W396" i="10" a="1"/>
  <c r="W396" i="10" s="1"/>
  <c r="W397" i="10" a="1"/>
  <c r="W397" i="10" s="1"/>
  <c r="W398" i="10" a="1"/>
  <c r="W398" i="10" s="1"/>
  <c r="W399" i="10" a="1"/>
  <c r="W399" i="10" s="1"/>
  <c r="W400" i="10" a="1"/>
  <c r="W400" i="10" s="1"/>
  <c r="W401" i="10" a="1"/>
  <c r="W401" i="10" s="1"/>
  <c r="W402" i="10" a="1"/>
  <c r="W402" i="10" s="1"/>
  <c r="W403" i="10" a="1"/>
  <c r="W403" i="10" s="1"/>
  <c r="W404" i="10" a="1"/>
  <c r="W404" i="10" s="1"/>
  <c r="W405" i="10" a="1"/>
  <c r="W405" i="10" s="1"/>
  <c r="W406" i="10" a="1"/>
  <c r="W406" i="10" s="1"/>
  <c r="W407" i="10" a="1"/>
  <c r="W407" i="10" s="1"/>
  <c r="W408" i="10" a="1"/>
  <c r="W408" i="10" s="1"/>
  <c r="W409" i="10" a="1"/>
  <c r="W409" i="10" s="1"/>
  <c r="W410" i="10" a="1"/>
  <c r="W410" i="10" s="1"/>
  <c r="W411" i="10" a="1"/>
  <c r="W411" i="10" s="1"/>
  <c r="W412" i="10" a="1"/>
  <c r="W412" i="10" s="1"/>
  <c r="W413" i="10" a="1"/>
  <c r="W413" i="10" s="1"/>
  <c r="W414" i="10" a="1"/>
  <c r="W414" i="10" s="1"/>
  <c r="W415" i="10" a="1"/>
  <c r="W415" i="10" s="1"/>
  <c r="W416" i="10" a="1"/>
  <c r="W416" i="10" s="1"/>
  <c r="W417" i="10" a="1"/>
  <c r="W417" i="10" s="1"/>
  <c r="W418" i="10" a="1"/>
  <c r="W418" i="10" s="1"/>
  <c r="W419" i="10" a="1"/>
  <c r="W419" i="10" s="1"/>
  <c r="W420" i="10" a="1"/>
  <c r="W420" i="10" s="1"/>
  <c r="W421" i="10" a="1"/>
  <c r="W421" i="10" s="1"/>
  <c r="W422" i="10" a="1"/>
  <c r="W422" i="10" s="1"/>
  <c r="W423" i="10" a="1"/>
  <c r="W423" i="10" s="1"/>
  <c r="W424" i="10" a="1"/>
  <c r="W424" i="10" s="1"/>
  <c r="W425" i="10" a="1"/>
  <c r="W425" i="10" s="1"/>
  <c r="W426" i="10" a="1"/>
  <c r="W426" i="10" s="1"/>
  <c r="W427" i="10" a="1"/>
  <c r="W427" i="10" s="1"/>
  <c r="W428" i="10" a="1"/>
  <c r="W428" i="10" s="1"/>
  <c r="W429" i="10" a="1"/>
  <c r="W429" i="10" s="1"/>
  <c r="W430" i="10" a="1"/>
  <c r="W430" i="10" s="1"/>
  <c r="W431" i="10" a="1"/>
  <c r="W431" i="10" s="1"/>
  <c r="W432" i="10" a="1"/>
  <c r="W432" i="10" s="1"/>
  <c r="W433" i="10" a="1"/>
  <c r="W433" i="10" s="1"/>
  <c r="W434" i="10" a="1"/>
  <c r="W434" i="10" s="1"/>
  <c r="W435" i="10" a="1"/>
  <c r="W435" i="10" s="1"/>
  <c r="W436" i="10" a="1"/>
  <c r="W436" i="10" s="1"/>
  <c r="W437" i="10" a="1"/>
  <c r="W437" i="10" s="1"/>
  <c r="W438" i="10" a="1"/>
  <c r="W438" i="10" s="1"/>
  <c r="W439" i="10" a="1"/>
  <c r="W439" i="10" s="1"/>
  <c r="W440" i="10" a="1"/>
  <c r="W440" i="10" s="1"/>
  <c r="W441" i="10" a="1"/>
  <c r="W441" i="10" s="1"/>
  <c r="W442" i="10" a="1"/>
  <c r="W442" i="10" s="1"/>
  <c r="W443" i="10" a="1"/>
  <c r="W443" i="10" s="1"/>
  <c r="W444" i="10" a="1"/>
  <c r="W444" i="10" s="1"/>
  <c r="W445" i="10" a="1"/>
  <c r="W445" i="10"/>
  <c r="W446" i="10" a="1"/>
  <c r="W446" i="10"/>
  <c r="W447" i="10" a="1"/>
  <c r="W447" i="10" s="1"/>
  <c r="W448" i="10" a="1"/>
  <c r="W448" i="10"/>
  <c r="W449" i="10" a="1"/>
  <c r="W449" i="10" s="1"/>
  <c r="W450" i="10" a="1"/>
  <c r="W450" i="10"/>
  <c r="W451" i="10" a="1"/>
  <c r="W451" i="10" s="1"/>
  <c r="W452" i="10" a="1"/>
  <c r="W452" i="10"/>
  <c r="W453" i="10" a="1"/>
  <c r="W453" i="10" s="1"/>
  <c r="W454" i="10" a="1"/>
  <c r="W454" i="10"/>
  <c r="W455" i="10" a="1"/>
  <c r="W455" i="10" s="1"/>
  <c r="W456" i="10" a="1"/>
  <c r="W456" i="10"/>
  <c r="W457" i="10" a="1"/>
  <c r="W457" i="10" s="1"/>
  <c r="W458" i="10" a="1"/>
  <c r="W458" i="10"/>
  <c r="W459" i="10" a="1"/>
  <c r="W459" i="10" s="1"/>
  <c r="W460" i="10" a="1"/>
  <c r="W460" i="10"/>
  <c r="W461" i="10" a="1"/>
  <c r="W461" i="10" s="1"/>
  <c r="W462" i="10" a="1"/>
  <c r="W462" i="10"/>
  <c r="W463" i="10" a="1"/>
  <c r="W463" i="10" s="1"/>
  <c r="W464" i="10" a="1"/>
  <c r="W464" i="10"/>
  <c r="W465" i="10" a="1"/>
  <c r="W465" i="10" s="1"/>
  <c r="W466" i="10" a="1"/>
  <c r="W466" i="10"/>
  <c r="W467" i="10" a="1"/>
  <c r="W467" i="10" s="1"/>
  <c r="W468" i="10" a="1"/>
  <c r="W468" i="10" s="1"/>
  <c r="W469" i="10" a="1"/>
  <c r="W469" i="10" s="1"/>
  <c r="W470" i="10" a="1"/>
  <c r="W470" i="10" s="1"/>
  <c r="W471" i="10" a="1"/>
  <c r="W471" i="10" s="1"/>
  <c r="W472" i="10" a="1"/>
  <c r="W472" i="10" s="1"/>
  <c r="W473" i="10" a="1"/>
  <c r="W473" i="10" s="1"/>
  <c r="W474" i="10" a="1"/>
  <c r="W474" i="10" s="1"/>
  <c r="W475" i="10" a="1"/>
  <c r="W475" i="10" s="1"/>
  <c r="W476" i="10" a="1"/>
  <c r="W476" i="10" s="1"/>
  <c r="W477" i="10" a="1"/>
  <c r="W477" i="10" s="1"/>
  <c r="W478" i="10" a="1"/>
  <c r="W478" i="10" s="1"/>
  <c r="W479" i="10" a="1"/>
  <c r="W479" i="10" s="1"/>
  <c r="W480" i="10" a="1"/>
  <c r="W480" i="10" s="1"/>
  <c r="W481" i="10" a="1"/>
  <c r="W481" i="10" s="1"/>
  <c r="W482" i="10" a="1"/>
  <c r="W482" i="10" s="1"/>
  <c r="W483" i="10" a="1"/>
  <c r="W483" i="10" s="1"/>
  <c r="W484" i="10" a="1"/>
  <c r="W484" i="10" s="1"/>
  <c r="W485" i="10" a="1"/>
  <c r="W485" i="10" s="1"/>
  <c r="W486" i="10" a="1"/>
  <c r="W486" i="10" s="1"/>
  <c r="W487" i="10" a="1"/>
  <c r="W487" i="10" s="1"/>
  <c r="W488" i="10" a="1"/>
  <c r="W488" i="10" s="1"/>
  <c r="W489" i="10" a="1"/>
  <c r="W489" i="10" s="1"/>
  <c r="W490" i="10" a="1"/>
  <c r="W490" i="10" s="1"/>
  <c r="W491" i="10" a="1"/>
  <c r="W491" i="10" s="1"/>
  <c r="W492" i="10" a="1"/>
  <c r="W492" i="10" s="1"/>
  <c r="W493" i="10" a="1"/>
  <c r="W493" i="10" s="1"/>
  <c r="W494" i="10" a="1"/>
  <c r="W494" i="10" s="1"/>
  <c r="W495" i="10" a="1"/>
  <c r="W495" i="10" s="1"/>
  <c r="W496" i="10" a="1"/>
  <c r="W496" i="10" s="1"/>
  <c r="W497" i="10" a="1"/>
  <c r="W497" i="10" s="1"/>
  <c r="W498" i="10" a="1"/>
  <c r="W498" i="10" s="1"/>
  <c r="W499" i="10" a="1"/>
  <c r="W499" i="10" s="1"/>
  <c r="W500" i="10" a="1"/>
  <c r="W500" i="10" s="1"/>
  <c r="W501" i="10" a="1"/>
  <c r="W501" i="10" s="1"/>
  <c r="W502" i="10" a="1"/>
  <c r="W502" i="10" s="1"/>
  <c r="W503" i="10" a="1"/>
  <c r="W503" i="10" s="1"/>
  <c r="W504" i="10" a="1"/>
  <c r="W504" i="10" s="1"/>
  <c r="W505" i="10" a="1"/>
  <c r="W505" i="10" s="1"/>
  <c r="W506" i="10" a="1"/>
  <c r="W506" i="10" s="1"/>
  <c r="W507" i="10" a="1"/>
  <c r="W507" i="10" s="1"/>
  <c r="W508" i="10" a="1"/>
  <c r="W508" i="10" s="1"/>
  <c r="W509" i="10" a="1"/>
  <c r="W509" i="10" s="1"/>
  <c r="W510" i="10" a="1"/>
  <c r="W510" i="10" s="1"/>
  <c r="W511" i="10" a="1"/>
  <c r="W511" i="10" s="1"/>
  <c r="W512" i="10" a="1"/>
  <c r="W512" i="10" s="1"/>
  <c r="W513" i="10" a="1"/>
  <c r="W513" i="10" s="1"/>
  <c r="W514" i="10" a="1"/>
  <c r="W514" i="10" s="1"/>
  <c r="W515" i="10" a="1"/>
  <c r="W515" i="10" s="1"/>
  <c r="W516" i="10" a="1"/>
  <c r="W516" i="10" s="1"/>
  <c r="W517" i="10" a="1"/>
  <c r="W517" i="10" s="1"/>
  <c r="W518" i="10" a="1"/>
  <c r="W518" i="10" s="1"/>
  <c r="W519" i="10" a="1"/>
  <c r="W519" i="10" s="1"/>
  <c r="W520" i="10" a="1"/>
  <c r="W520" i="10" s="1"/>
  <c r="W521" i="10" a="1"/>
  <c r="W521" i="10" s="1"/>
  <c r="W522" i="10" a="1"/>
  <c r="W522" i="10" s="1"/>
  <c r="W523" i="10" a="1"/>
  <c r="W523" i="10" s="1"/>
  <c r="W524" i="10" a="1"/>
  <c r="W524" i="10" s="1"/>
  <c r="W525" i="10" a="1"/>
  <c r="W525" i="10" s="1"/>
  <c r="W526" i="10" a="1"/>
  <c r="W526" i="10" s="1"/>
  <c r="W527" i="10" a="1"/>
  <c r="W527" i="10" s="1"/>
  <c r="W528" i="10" a="1"/>
  <c r="W528" i="10" s="1"/>
  <c r="W529" i="10" a="1"/>
  <c r="W529" i="10" s="1"/>
  <c r="W530" i="10" a="1"/>
  <c r="W530" i="10" s="1"/>
  <c r="W531" i="10" a="1"/>
  <c r="W531" i="10" s="1"/>
  <c r="W532" i="10" a="1"/>
  <c r="W532" i="10" s="1"/>
  <c r="W533" i="10" a="1"/>
  <c r="W533" i="10" s="1"/>
  <c r="W534" i="10" a="1"/>
  <c r="W534" i="10" s="1"/>
  <c r="W535" i="10" a="1"/>
  <c r="W535" i="10" s="1"/>
  <c r="W536" i="10" a="1"/>
  <c r="W536" i="10" s="1"/>
  <c r="W537" i="10" a="1"/>
  <c r="W537" i="10" s="1"/>
  <c r="W538" i="10" a="1"/>
  <c r="W538" i="10" s="1"/>
  <c r="W539" i="10" a="1"/>
  <c r="W539" i="10" s="1"/>
  <c r="W540" i="10" a="1"/>
  <c r="W540" i="10" s="1"/>
  <c r="W541" i="10" a="1"/>
  <c r="W541" i="10" s="1"/>
  <c r="W542" i="10" a="1"/>
  <c r="W542" i="10" s="1"/>
  <c r="W543" i="10" a="1"/>
  <c r="W543" i="10" s="1"/>
  <c r="W544" i="10" a="1"/>
  <c r="W544" i="10" s="1"/>
  <c r="W545" i="10" a="1"/>
  <c r="W545" i="10" s="1"/>
  <c r="W546" i="10" a="1"/>
  <c r="W546" i="10" s="1"/>
  <c r="W547" i="10" a="1"/>
  <c r="W547" i="10" s="1"/>
  <c r="W548" i="10" a="1"/>
  <c r="W548" i="10" s="1"/>
  <c r="W549" i="10" a="1"/>
  <c r="W549" i="10" s="1"/>
  <c r="W550" i="10" a="1"/>
  <c r="W550" i="10" s="1"/>
  <c r="W551" i="10" a="1"/>
  <c r="W551" i="10" s="1"/>
  <c r="W552" i="10" a="1"/>
  <c r="W552" i="10" s="1"/>
  <c r="W553" i="10" a="1"/>
  <c r="W553" i="10" s="1"/>
  <c r="W554" i="10" a="1"/>
  <c r="W554" i="10" s="1"/>
  <c r="W555" i="10" a="1"/>
  <c r="W555" i="10" s="1"/>
  <c r="W556" i="10" a="1"/>
  <c r="W556" i="10" s="1"/>
  <c r="W557" i="10" a="1"/>
  <c r="W557" i="10" s="1"/>
  <c r="W558" i="10" a="1"/>
  <c r="W558" i="10" s="1"/>
  <c r="W559" i="10" a="1"/>
  <c r="W559" i="10" s="1"/>
  <c r="W560" i="10" a="1"/>
  <c r="W560" i="10" s="1"/>
  <c r="W561" i="10" a="1"/>
  <c r="W561" i="10" s="1"/>
  <c r="W562" i="10" a="1"/>
  <c r="W562" i="10" s="1"/>
  <c r="W563" i="10" a="1"/>
  <c r="W563" i="10" s="1"/>
  <c r="W564" i="10" a="1"/>
  <c r="W564" i="10" s="1"/>
  <c r="W565" i="10" a="1"/>
  <c r="W565" i="10" s="1"/>
  <c r="W566" i="10" a="1"/>
  <c r="W566" i="10" s="1"/>
  <c r="W567" i="10" a="1"/>
  <c r="W567" i="10" s="1"/>
  <c r="W568" i="10" a="1"/>
  <c r="W568" i="10" s="1"/>
  <c r="W569" i="10" a="1"/>
  <c r="W569" i="10" s="1"/>
  <c r="W570" i="10" a="1"/>
  <c r="W570" i="10" s="1"/>
  <c r="W571" i="10" a="1"/>
  <c r="W571" i="10" s="1"/>
  <c r="W572" i="10" a="1"/>
  <c r="W572" i="10" s="1"/>
  <c r="W573" i="10" a="1"/>
  <c r="W573" i="10" s="1"/>
  <c r="W574" i="10" a="1"/>
  <c r="W574" i="10" s="1"/>
  <c r="W575" i="10" a="1"/>
  <c r="W575" i="10" s="1"/>
  <c r="W576" i="10" a="1"/>
  <c r="W576" i="10" s="1"/>
  <c r="W577" i="10" a="1"/>
  <c r="W577" i="10" s="1"/>
  <c r="W578" i="10" a="1"/>
  <c r="W578" i="10" s="1"/>
  <c r="W579" i="10" a="1"/>
  <c r="W579" i="10" s="1"/>
  <c r="W580" i="10" a="1"/>
  <c r="W580" i="10" s="1"/>
  <c r="W581" i="10" a="1"/>
  <c r="W581" i="10" s="1"/>
  <c r="W582" i="10" a="1"/>
  <c r="W582" i="10" s="1"/>
  <c r="W583" i="10" a="1"/>
  <c r="W583" i="10" s="1"/>
  <c r="W584" i="10" a="1"/>
  <c r="W584" i="10" s="1"/>
  <c r="W585" i="10" a="1"/>
  <c r="W585" i="10" s="1"/>
  <c r="W586" i="10" a="1"/>
  <c r="W586" i="10" s="1"/>
  <c r="W587" i="10" a="1"/>
  <c r="W587" i="10" s="1"/>
  <c r="W588" i="10" a="1"/>
  <c r="W588" i="10" s="1"/>
  <c r="W589" i="10" a="1"/>
  <c r="W589" i="10" s="1"/>
  <c r="W590" i="10" a="1"/>
  <c r="W590" i="10" s="1"/>
  <c r="W591" i="10" a="1"/>
  <c r="W591" i="10" s="1"/>
  <c r="W592" i="10" a="1"/>
  <c r="W592" i="10" s="1"/>
  <c r="W593" i="10" a="1"/>
  <c r="W593" i="10" s="1"/>
  <c r="W594" i="10" a="1"/>
  <c r="W594" i="10" s="1"/>
  <c r="W595" i="10" a="1"/>
  <c r="W595" i="10" s="1"/>
  <c r="W596" i="10" a="1"/>
  <c r="W596" i="10" s="1"/>
  <c r="W597" i="10" a="1"/>
  <c r="W597" i="10" s="1"/>
  <c r="W598" i="10" a="1"/>
  <c r="W598" i="10" s="1"/>
  <c r="W599" i="10" a="1"/>
  <c r="W599" i="10" s="1"/>
  <c r="W600" i="10" a="1"/>
  <c r="W600" i="10" s="1"/>
  <c r="W601" i="10" a="1"/>
  <c r="W601" i="10" s="1"/>
  <c r="W602" i="10" a="1"/>
  <c r="W602" i="10" s="1"/>
  <c r="W603" i="10" a="1"/>
  <c r="W603" i="10" s="1"/>
  <c r="W605" i="10" a="1"/>
  <c r="W605" i="10" s="1"/>
  <c r="W606" i="10" a="1"/>
  <c r="W606" i="10" s="1"/>
  <c r="W608" i="10" a="1"/>
  <c r="W608" i="10" s="1"/>
  <c r="W609" i="10" a="1"/>
  <c r="W609" i="10" s="1"/>
  <c r="W610" i="10" a="1"/>
  <c r="W610" i="10" s="1"/>
  <c r="W611" i="10" a="1"/>
  <c r="W611" i="10" s="1"/>
  <c r="W612" i="10" a="1"/>
  <c r="W612" i="10" s="1"/>
  <c r="W613" i="10" a="1"/>
  <c r="W613" i="10" s="1"/>
  <c r="W614" i="10" a="1"/>
  <c r="W614" i="10" s="1"/>
  <c r="W615" i="10" a="1"/>
  <c r="W615" i="10" s="1"/>
  <c r="W616" i="10" a="1"/>
  <c r="W616" i="10" s="1"/>
  <c r="W617" i="10" a="1"/>
  <c r="W617" i="10"/>
  <c r="W618" i="10" a="1"/>
  <c r="W618" i="10"/>
  <c r="W619" i="10" a="1"/>
  <c r="W619" i="10"/>
  <c r="W620" i="10" a="1"/>
  <c r="W620" i="10"/>
  <c r="W621" i="10" a="1"/>
  <c r="W621" i="10"/>
  <c r="W622" i="10" a="1"/>
  <c r="W622" i="10"/>
  <c r="W623" i="10" a="1"/>
  <c r="W623" i="10"/>
  <c r="W624" i="10" a="1"/>
  <c r="W624" i="10"/>
  <c r="W625" i="10" a="1"/>
  <c r="W625" i="10" s="1"/>
  <c r="W626" i="10" a="1"/>
  <c r="W626" i="10"/>
  <c r="W628" i="10" a="1"/>
  <c r="W628" i="10"/>
  <c r="W629" i="10" a="1"/>
  <c r="W629" i="10" s="1"/>
  <c r="W630" i="10" a="1"/>
  <c r="W630" i="10"/>
  <c r="W631" i="10" a="1"/>
  <c r="W631" i="10" s="1"/>
  <c r="W632" i="10" a="1"/>
  <c r="W632" i="10"/>
  <c r="W633" i="10" a="1"/>
  <c r="W633" i="10" s="1"/>
  <c r="W634" i="10" a="1"/>
  <c r="W634" i="10"/>
  <c r="W635" i="10" a="1"/>
  <c r="W635" i="10" s="1"/>
  <c r="W636" i="10" a="1"/>
  <c r="W636" i="10"/>
  <c r="W637" i="10" a="1"/>
  <c r="W637" i="10" s="1"/>
  <c r="W638" i="10" a="1"/>
  <c r="W638" i="10"/>
  <c r="W639" i="10" a="1"/>
  <c r="W639" i="10" s="1"/>
  <c r="W640" i="10" a="1"/>
  <c r="W640" i="10"/>
  <c r="W641" i="10" a="1"/>
  <c r="W641" i="10" s="1"/>
  <c r="W642" i="10" a="1"/>
  <c r="W642" i="10"/>
  <c r="W643" i="10" a="1"/>
  <c r="W643" i="10" s="1"/>
  <c r="W644" i="10" a="1"/>
  <c r="W644" i="10"/>
  <c r="W645" i="10" a="1"/>
  <c r="W645" i="10" s="1"/>
  <c r="W646" i="10" a="1"/>
  <c r="W646" i="10"/>
  <c r="W647" i="10" a="1"/>
  <c r="W647" i="10" s="1"/>
  <c r="W648" i="10" a="1"/>
  <c r="W648" i="10"/>
  <c r="W649" i="10" a="1"/>
  <c r="W649" i="10" s="1"/>
  <c r="W650" i="10" a="1"/>
  <c r="W650" i="10"/>
  <c r="W651" i="10" a="1"/>
  <c r="W651" i="10" s="1"/>
  <c r="W652" i="10" a="1"/>
  <c r="W652" i="10"/>
  <c r="W653" i="10" a="1"/>
  <c r="W653" i="10" s="1"/>
  <c r="W654" i="10" a="1"/>
  <c r="W654" i="10"/>
  <c r="W655" i="10" a="1"/>
  <c r="W655" i="10" s="1"/>
  <c r="W656" i="10" a="1"/>
  <c r="W656" i="10"/>
  <c r="W657" i="10" a="1"/>
  <c r="W657" i="10" s="1"/>
  <c r="W658" i="10" a="1"/>
  <c r="W658" i="10"/>
  <c r="W659" i="10" a="1"/>
  <c r="W659" i="10" s="1"/>
  <c r="W660" i="10" a="1"/>
  <c r="W660" i="10"/>
  <c r="W661" i="10" a="1"/>
  <c r="W661" i="10" s="1"/>
  <c r="W662" i="10" a="1"/>
  <c r="W662" i="10"/>
  <c r="W663" i="10" a="1"/>
  <c r="W663" i="10" s="1"/>
  <c r="W664" i="10" a="1"/>
  <c r="W664" i="10" s="1"/>
  <c r="W665" i="10" a="1"/>
  <c r="W665" i="10" s="1"/>
  <c r="W666" i="10" a="1"/>
  <c r="W666" i="10" s="1"/>
  <c r="W667" i="10" a="1"/>
  <c r="W667" i="10" s="1"/>
  <c r="W668" i="10" a="1"/>
  <c r="W668" i="10" s="1"/>
  <c r="W669" i="10" a="1"/>
  <c r="W669" i="10" s="1"/>
  <c r="W670" i="10" a="1"/>
  <c r="W670" i="10" s="1"/>
  <c r="W671" i="10" a="1"/>
  <c r="W671" i="10" s="1"/>
  <c r="W672" i="10" a="1"/>
  <c r="W672" i="10"/>
  <c r="W673" i="10" a="1"/>
  <c r="W673" i="10" s="1"/>
  <c r="W674" i="10" a="1"/>
  <c r="W674" i="10"/>
  <c r="W675" i="10" a="1"/>
  <c r="W675" i="10" s="1"/>
  <c r="W676" i="10" a="1"/>
  <c r="W676" i="10"/>
  <c r="W677" i="10" a="1"/>
  <c r="W677" i="10" s="1"/>
  <c r="W678" i="10" a="1"/>
  <c r="W678" i="10"/>
  <c r="W679" i="10" a="1"/>
  <c r="W679" i="10" s="1"/>
  <c r="W680" i="10" a="1"/>
  <c r="W680" i="10"/>
  <c r="W681" i="10" a="1"/>
  <c r="W681" i="10" s="1"/>
  <c r="W682" i="10" a="1"/>
  <c r="W682" i="10"/>
  <c r="W683" i="10" a="1"/>
  <c r="W683" i="10" s="1"/>
  <c r="W684" i="10" a="1"/>
  <c r="W684" i="10"/>
  <c r="W685" i="10" a="1"/>
  <c r="W685" i="10" s="1"/>
  <c r="W686" i="10" a="1"/>
  <c r="W686" i="10"/>
  <c r="W687" i="10" a="1"/>
  <c r="W687" i="10" s="1"/>
  <c r="W688" i="10" a="1"/>
  <c r="W688" i="10"/>
  <c r="W689" i="10" a="1"/>
  <c r="W689" i="10" s="1"/>
  <c r="W690" i="10" a="1"/>
  <c r="W690" i="10"/>
  <c r="W691" i="10" a="1"/>
  <c r="W691" i="10" s="1"/>
  <c r="W692" i="10" a="1"/>
  <c r="W692" i="10"/>
  <c r="W693" i="10" a="1"/>
  <c r="W693" i="10" s="1"/>
  <c r="W694" i="10" a="1"/>
  <c r="W694" i="10"/>
  <c r="W695" i="10" a="1"/>
  <c r="W695" i="10" s="1"/>
  <c r="W696" i="10" a="1"/>
  <c r="W696" i="10"/>
  <c r="W697" i="10" a="1"/>
  <c r="W697" i="10" s="1"/>
  <c r="W698" i="10" a="1"/>
  <c r="W698" i="10"/>
  <c r="W699" i="10" a="1"/>
  <c r="W699" i="10" s="1"/>
  <c r="W700" i="10" a="1"/>
  <c r="W700" i="10"/>
  <c r="W701" i="10" a="1"/>
  <c r="W701" i="10" s="1"/>
  <c r="W702" i="10" a="1"/>
  <c r="W702" i="10"/>
  <c r="W703" i="10" a="1"/>
  <c r="W703" i="10" s="1"/>
  <c r="W704" i="10" a="1"/>
  <c r="W704" i="10"/>
  <c r="W705" i="10" a="1"/>
  <c r="W705" i="10" s="1"/>
  <c r="W706" i="10" a="1"/>
  <c r="W706" i="10"/>
  <c r="W707" i="10" a="1"/>
  <c r="W707" i="10" s="1"/>
  <c r="W708" i="10" a="1"/>
  <c r="W708" i="10"/>
  <c r="W709" i="10" a="1"/>
  <c r="W709" i="10" s="1"/>
  <c r="W710" i="10" a="1"/>
  <c r="W710" i="10" s="1"/>
  <c r="W711" i="10" a="1"/>
  <c r="W711" i="10" s="1"/>
  <c r="W712" i="10" a="1"/>
  <c r="W712" i="10" s="1"/>
  <c r="W713" i="10" a="1"/>
  <c r="W713" i="10" s="1"/>
  <c r="W714" i="10" a="1"/>
  <c r="W714" i="10" s="1"/>
  <c r="W715" i="10" a="1"/>
  <c r="W715" i="10" s="1"/>
  <c r="W716" i="10" a="1"/>
  <c r="W716" i="10" s="1"/>
  <c r="W717" i="10" a="1"/>
  <c r="W717" i="10" s="1"/>
  <c r="W718" i="10" a="1"/>
  <c r="W718" i="10" s="1"/>
  <c r="W719" i="10" a="1"/>
  <c r="W719" i="10" s="1"/>
  <c r="W720" i="10" a="1"/>
  <c r="W720" i="10" s="1"/>
  <c r="W721" i="10" a="1"/>
  <c r="W721" i="10" s="1"/>
  <c r="W722" i="10" a="1"/>
  <c r="W722" i="10" s="1"/>
  <c r="W723" i="10" a="1"/>
  <c r="W723" i="10" s="1"/>
  <c r="W724" i="10" a="1"/>
  <c r="W724" i="10" s="1"/>
  <c r="W725" i="10" a="1"/>
  <c r="W725" i="10" s="1"/>
  <c r="W726" i="10" a="1"/>
  <c r="W726" i="10" s="1"/>
  <c r="W727" i="10" a="1"/>
  <c r="W727" i="10" s="1"/>
  <c r="W728" i="10" a="1"/>
  <c r="W728" i="10" s="1"/>
  <c r="W729" i="10" a="1"/>
  <c r="W729" i="10" s="1"/>
  <c r="W730" i="10" a="1"/>
  <c r="W730" i="10" s="1"/>
  <c r="W731" i="10" a="1"/>
  <c r="W731" i="10" s="1"/>
  <c r="W732" i="10" a="1"/>
  <c r="W732" i="10" s="1"/>
  <c r="W733" i="10" a="1"/>
  <c r="W733" i="10" s="1"/>
  <c r="W734" i="10" a="1"/>
  <c r="W734" i="10" s="1"/>
  <c r="W735" i="10" a="1"/>
  <c r="W735" i="10" s="1"/>
  <c r="W736" i="10" a="1"/>
  <c r="W736" i="10" s="1"/>
  <c r="W737" i="10" a="1"/>
  <c r="W737" i="10" s="1"/>
  <c r="W738" i="10" a="1"/>
  <c r="W738" i="10" s="1"/>
  <c r="W739" i="10" a="1"/>
  <c r="W739" i="10" s="1"/>
  <c r="W740" i="10" a="1"/>
  <c r="W740" i="10" s="1"/>
  <c r="W741" i="10" a="1"/>
  <c r="W741" i="10" s="1"/>
  <c r="W742" i="10" a="1"/>
  <c r="W742" i="10" s="1"/>
  <c r="W743" i="10" a="1"/>
  <c r="W743" i="10" s="1"/>
  <c r="W744" i="10" a="1"/>
  <c r="W744" i="10" s="1"/>
  <c r="W745" i="10" a="1"/>
  <c r="W745" i="10" s="1"/>
  <c r="W746" i="10" a="1"/>
  <c r="W746" i="10" s="1"/>
  <c r="W747" i="10" a="1"/>
  <c r="W747" i="10" s="1"/>
  <c r="W748" i="10" a="1"/>
  <c r="W748" i="10" s="1"/>
  <c r="W749" i="10" a="1"/>
  <c r="W749" i="10" s="1"/>
  <c r="W750" i="10" a="1"/>
  <c r="W750" i="10" s="1"/>
  <c r="W751" i="10" a="1"/>
  <c r="W751" i="10" s="1"/>
  <c r="W752" i="10" a="1"/>
  <c r="W752" i="10" s="1"/>
  <c r="W753" i="10" a="1"/>
  <c r="W753" i="10" s="1"/>
  <c r="W754" i="10" a="1"/>
  <c r="W754" i="10" s="1"/>
  <c r="W755" i="10" a="1"/>
  <c r="W755" i="10" s="1"/>
  <c r="W756" i="10" a="1"/>
  <c r="W756" i="10" s="1"/>
  <c r="W757" i="10" a="1"/>
  <c r="W757" i="10" s="1"/>
  <c r="W758" i="10" a="1"/>
  <c r="W758" i="10" s="1"/>
  <c r="W759" i="10" a="1"/>
  <c r="W759" i="10" s="1"/>
  <c r="W760" i="10" a="1"/>
  <c r="W760" i="10" s="1"/>
  <c r="W761" i="10" a="1"/>
  <c r="W761" i="10" s="1"/>
  <c r="W762" i="10" a="1"/>
  <c r="W762" i="10" s="1"/>
  <c r="W763" i="10" a="1"/>
  <c r="W763" i="10" s="1"/>
  <c r="W764" i="10" a="1"/>
  <c r="W764" i="10" s="1"/>
  <c r="W765" i="10" a="1"/>
  <c r="W765" i="10" s="1"/>
  <c r="W766" i="10" a="1"/>
  <c r="W766" i="10" s="1"/>
  <c r="W767" i="10" a="1"/>
  <c r="W767" i="10" s="1"/>
  <c r="W768" i="10" a="1"/>
  <c r="W768" i="10" s="1"/>
  <c r="W769" i="10" a="1"/>
  <c r="W769" i="10" s="1"/>
  <c r="W770" i="10" a="1"/>
  <c r="W770" i="10" s="1"/>
  <c r="W771" i="10" a="1"/>
  <c r="W771" i="10" s="1"/>
  <c r="W772" i="10" a="1"/>
  <c r="W772" i="10" s="1"/>
  <c r="W773" i="10" a="1"/>
  <c r="W773" i="10" s="1"/>
  <c r="W774" i="10" a="1"/>
  <c r="W774" i="10" s="1"/>
  <c r="W775" i="10" a="1"/>
  <c r="W775" i="10" s="1"/>
  <c r="W776" i="10" a="1"/>
  <c r="W776" i="10" s="1"/>
  <c r="W777" i="10" a="1"/>
  <c r="W777" i="10" s="1"/>
  <c r="W778" i="10" a="1"/>
  <c r="W778" i="10" s="1"/>
  <c r="W779" i="10" a="1"/>
  <c r="W779" i="10" s="1"/>
  <c r="W780" i="10" a="1"/>
  <c r="W780" i="10" s="1"/>
  <c r="W781" i="10" a="1"/>
  <c r="W781" i="10" s="1"/>
  <c r="W782" i="10" a="1"/>
  <c r="W782" i="10" s="1"/>
  <c r="W783" i="10" a="1"/>
  <c r="W783" i="10" s="1"/>
  <c r="W784" i="10" a="1"/>
  <c r="W784" i="10" s="1"/>
  <c r="W785" i="10" a="1"/>
  <c r="W785" i="10" s="1"/>
  <c r="W786" i="10" a="1"/>
  <c r="W786" i="10" s="1"/>
  <c r="W787" i="10" a="1"/>
  <c r="W787" i="10" s="1"/>
  <c r="W788" i="10" a="1"/>
  <c r="W788" i="10" s="1"/>
  <c r="W789" i="10" a="1"/>
  <c r="W789" i="10" s="1"/>
  <c r="W790" i="10" a="1"/>
  <c r="W790" i="10" s="1"/>
  <c r="W791" i="10" a="1"/>
  <c r="W791" i="10" s="1"/>
  <c r="W792" i="10" a="1"/>
  <c r="W792" i="10" s="1"/>
  <c r="W794" i="10" a="1"/>
  <c r="W794" i="10" s="1"/>
  <c r="W795" i="10" a="1"/>
  <c r="W795" i="10" s="1"/>
  <c r="W796" i="10" a="1"/>
  <c r="W796" i="10" s="1"/>
  <c r="W797" i="10" a="1"/>
  <c r="W797" i="10" s="1"/>
  <c r="W798" i="10" a="1"/>
  <c r="W798" i="10" s="1"/>
  <c r="W799" i="10" a="1"/>
  <c r="W799" i="10" s="1"/>
  <c r="W800" i="10" a="1"/>
  <c r="W800" i="10" s="1"/>
  <c r="W801" i="10" a="1"/>
  <c r="W801" i="10" s="1"/>
  <c r="W802" i="10" a="1"/>
  <c r="W802" i="10" s="1"/>
  <c r="W803" i="10" a="1"/>
  <c r="W803" i="10" s="1"/>
  <c r="W804" i="10" a="1"/>
  <c r="W804" i="10" s="1"/>
  <c r="W805" i="10" a="1"/>
  <c r="W805" i="10" s="1"/>
  <c r="W806" i="10" a="1"/>
  <c r="W806" i="10" s="1"/>
  <c r="W807" i="10" a="1"/>
  <c r="W807" i="10" s="1"/>
  <c r="W808" i="10" a="1"/>
  <c r="W808" i="10" s="1"/>
  <c r="W809" i="10" a="1"/>
  <c r="W809" i="10" s="1"/>
  <c r="W810" i="10" a="1"/>
  <c r="W810" i="10" s="1"/>
  <c r="W811" i="10" a="1"/>
  <c r="W811" i="10" s="1"/>
  <c r="W812" i="10" a="1"/>
  <c r="W812" i="10" s="1"/>
  <c r="W813" i="10" a="1"/>
  <c r="W813" i="10" s="1"/>
  <c r="W814" i="10" a="1"/>
  <c r="W814" i="10" s="1"/>
  <c r="W815" i="10" a="1"/>
  <c r="W815" i="10" s="1"/>
  <c r="W816" i="10" a="1"/>
  <c r="W816" i="10" s="1"/>
  <c r="W817" i="10" a="1"/>
  <c r="W817" i="10" s="1"/>
  <c r="W818" i="10" a="1"/>
  <c r="W818" i="10" s="1"/>
  <c r="W819" i="10" a="1"/>
  <c r="W819" i="10" s="1"/>
  <c r="W820" i="10" a="1"/>
  <c r="W820" i="10" s="1"/>
  <c r="W821" i="10" a="1"/>
  <c r="W821" i="10" s="1"/>
  <c r="W822" i="10" a="1"/>
  <c r="W822" i="10" s="1"/>
  <c r="W823" i="10" a="1"/>
  <c r="W823" i="10" s="1"/>
  <c r="W824" i="10" a="1"/>
  <c r="W824" i="10" s="1"/>
  <c r="W825" i="10" a="1"/>
  <c r="W825" i="10" s="1"/>
  <c r="W826" i="10" a="1"/>
  <c r="W826" i="10" s="1"/>
  <c r="W827" i="10" a="1"/>
  <c r="W827" i="10" s="1"/>
  <c r="W828" i="10" a="1"/>
  <c r="W828" i="10" s="1"/>
  <c r="W829" i="10" a="1"/>
  <c r="W829" i="10" s="1"/>
  <c r="W830" i="10" a="1"/>
  <c r="W830" i="10" s="1"/>
  <c r="W831" i="10" a="1"/>
  <c r="W831" i="10" s="1"/>
  <c r="W832" i="10" a="1"/>
  <c r="W832" i="10" s="1"/>
  <c r="W833" i="10" a="1"/>
  <c r="W833" i="10" s="1"/>
  <c r="W834" i="10" a="1"/>
  <c r="W834" i="10" s="1"/>
  <c r="W835" i="10" a="1"/>
  <c r="W835" i="10" s="1"/>
  <c r="W836" i="10" a="1"/>
  <c r="W836" i="10" s="1"/>
  <c r="W837" i="10" a="1"/>
  <c r="W837" i="10" s="1"/>
  <c r="W838" i="10" a="1"/>
  <c r="W838" i="10" s="1"/>
  <c r="U8" i="10"/>
  <c r="W8" i="10" s="1" a="1"/>
  <c r="W8" i="10" s="1"/>
  <c r="X793" i="10"/>
  <c r="K672" i="10"/>
  <c r="K634" i="10"/>
  <c r="K633" i="10"/>
  <c r="T567" i="10"/>
  <c r="T451" i="10"/>
  <c r="U717" i="13" l="1"/>
  <c r="W717" i="13" s="1" a="1"/>
  <c r="W717" i="13" s="1"/>
  <c r="T766" i="13"/>
  <c r="W111" i="14" a="1"/>
  <c r="W111" i="14" s="1"/>
  <c r="W116" i="14" a="1"/>
  <c r="W116" i="14" s="1"/>
  <c r="U124" i="14"/>
  <c r="W124" i="14" s="1" a="1"/>
  <c r="W124" i="14" s="1"/>
  <c r="T536" i="13"/>
  <c r="U176" i="13"/>
  <c r="T759" i="13"/>
  <c r="U727" i="13"/>
  <c r="R768" i="13"/>
  <c r="H723" i="13"/>
  <c r="H768" i="13" s="1"/>
  <c r="U540" i="13"/>
  <c r="T553" i="13"/>
  <c r="W762" i="13" a="1"/>
  <c r="W762" i="13" s="1"/>
  <c r="U766" i="13"/>
  <c r="W766" i="13" s="1" a="1"/>
  <c r="W766" i="13" s="1"/>
  <c r="T723" i="13"/>
  <c r="U557" i="13"/>
  <c r="L723" i="13"/>
  <c r="L768" i="13" s="1"/>
  <c r="K723" i="13"/>
  <c r="K768" i="13" s="1"/>
  <c r="U8" i="13"/>
  <c r="T172" i="13"/>
  <c r="U597" i="10"/>
  <c r="U128" i="14" l="1"/>
  <c r="T768" i="13"/>
  <c r="L770" i="13"/>
  <c r="U536" i="13"/>
  <c r="W536" i="13" s="1" a="1"/>
  <c r="W536" i="13" s="1"/>
  <c r="W176" i="13" a="1"/>
  <c r="W176" i="13" s="1"/>
  <c r="W557" i="13" a="1"/>
  <c r="W557" i="13" s="1"/>
  <c r="U172" i="13"/>
  <c r="W8" i="13" a="1"/>
  <c r="W8" i="13" s="1"/>
  <c r="U553" i="13"/>
  <c r="W540" i="13" a="1"/>
  <c r="W540" i="13" s="1"/>
  <c r="U759" i="13"/>
  <c r="W759" i="13" s="1" a="1"/>
  <c r="W759" i="13" s="1"/>
  <c r="W727" i="13" a="1"/>
  <c r="W727" i="13" s="1"/>
  <c r="H123" i="11"/>
  <c r="I123" i="11"/>
  <c r="T123" i="11"/>
  <c r="V119" i="11"/>
  <c r="S119" i="11"/>
  <c r="R119" i="11"/>
  <c r="P119" i="11"/>
  <c r="O119" i="11"/>
  <c r="L119" i="11"/>
  <c r="K119" i="11"/>
  <c r="W128" i="14" l="1" a="1"/>
  <c r="W128" i="14" s="1"/>
  <c r="U134" i="14"/>
  <c r="W172" i="13" a="1"/>
  <c r="W172" i="13" s="1"/>
  <c r="W553" i="13" a="1"/>
  <c r="W553" i="13" s="1"/>
  <c r="U723" i="13"/>
  <c r="Z723" i="13" s="1"/>
  <c r="Q119" i="11"/>
  <c r="T119" i="11" s="1"/>
  <c r="U119" i="11" s="1"/>
  <c r="V100" i="11"/>
  <c r="S100" i="11"/>
  <c r="R100" i="11"/>
  <c r="P100" i="11"/>
  <c r="O100" i="11"/>
  <c r="Q100" i="11" s="1"/>
  <c r="O101" i="11"/>
  <c r="P101" i="11"/>
  <c r="R101" i="11"/>
  <c r="S101" i="11"/>
  <c r="O102" i="11"/>
  <c r="Q102" i="11" s="1"/>
  <c r="P102" i="11"/>
  <c r="R102" i="11"/>
  <c r="S102" i="11"/>
  <c r="O103" i="11"/>
  <c r="P103" i="11"/>
  <c r="R103" i="11"/>
  <c r="S103" i="11"/>
  <c r="O104" i="11"/>
  <c r="Q104" i="11" s="1"/>
  <c r="P104" i="11"/>
  <c r="R104" i="11"/>
  <c r="S104" i="11"/>
  <c r="O105" i="11"/>
  <c r="P105" i="11"/>
  <c r="R105" i="11"/>
  <c r="S105" i="11"/>
  <c r="O106" i="11"/>
  <c r="Q106" i="11" s="1"/>
  <c r="P106" i="11"/>
  <c r="R106" i="11"/>
  <c r="S106" i="11"/>
  <c r="K153" i="12"/>
  <c r="K131" i="12"/>
  <c r="K130" i="12"/>
  <c r="M125" i="12"/>
  <c r="M121" i="12"/>
  <c r="M120" i="12"/>
  <c r="J113" i="12"/>
  <c r="K115" i="12" s="1"/>
  <c r="M100" i="12"/>
  <c r="M99" i="12"/>
  <c r="M98" i="12"/>
  <c r="M97" i="12"/>
  <c r="J96" i="12"/>
  <c r="M96" i="12" s="1"/>
  <c r="J95" i="12"/>
  <c r="M95" i="12" s="1"/>
  <c r="J94" i="12"/>
  <c r="M94" i="12" s="1"/>
  <c r="J93" i="12"/>
  <c r="M93" i="12" s="1"/>
  <c r="J92" i="12"/>
  <c r="M92" i="12" s="1"/>
  <c r="J91" i="12"/>
  <c r="M91" i="12" s="1"/>
  <c r="M90" i="12"/>
  <c r="J89" i="12"/>
  <c r="M89" i="12" s="1"/>
  <c r="M88" i="12"/>
  <c r="J88" i="12"/>
  <c r="M87" i="12"/>
  <c r="M86" i="12"/>
  <c r="M85" i="12"/>
  <c r="J84" i="12"/>
  <c r="K100" i="12" s="1"/>
  <c r="M81" i="12"/>
  <c r="J80" i="12"/>
  <c r="M80" i="12" s="1"/>
  <c r="J79" i="12"/>
  <c r="M79" i="12" s="1"/>
  <c r="J78" i="12"/>
  <c r="M78" i="12" s="1"/>
  <c r="J77" i="12"/>
  <c r="M77" i="12" s="1"/>
  <c r="J76" i="12"/>
  <c r="M76" i="12" s="1"/>
  <c r="D74" i="12"/>
  <c r="M72" i="12"/>
  <c r="M71" i="12"/>
  <c r="M70" i="12"/>
  <c r="M69" i="12"/>
  <c r="M68" i="12"/>
  <c r="M67" i="12"/>
  <c r="M66" i="12"/>
  <c r="M65" i="12"/>
  <c r="K59" i="12"/>
  <c r="K41" i="12"/>
  <c r="K33" i="12"/>
  <c r="H26" i="12"/>
  <c r="G26" i="12"/>
  <c r="F26" i="12"/>
  <c r="K26" i="12" s="1"/>
  <c r="K50" i="12" s="1"/>
  <c r="I24" i="12"/>
  <c r="I26" i="12" s="1"/>
  <c r="K16" i="12"/>
  <c r="K12" i="12"/>
  <c r="K18" i="12" s="1"/>
  <c r="K6" i="12"/>
  <c r="W723" i="13" l="1" a="1"/>
  <c r="W723" i="13" s="1"/>
  <c r="U768" i="13"/>
  <c r="U776" i="13" s="1"/>
  <c r="T104" i="11"/>
  <c r="T100" i="11"/>
  <c r="U100" i="11" s="1"/>
  <c r="T102" i="11"/>
  <c r="Q105" i="11"/>
  <c r="T105" i="11" s="1"/>
  <c r="T106" i="11"/>
  <c r="Q103" i="11"/>
  <c r="T103" i="11" s="1"/>
  <c r="Q101" i="11"/>
  <c r="T101" i="11" s="1"/>
  <c r="K81" i="12"/>
  <c r="K107" i="12" s="1"/>
  <c r="M84" i="12"/>
  <c r="J107" i="11"/>
  <c r="S107" i="11" s="1"/>
  <c r="V107" i="11"/>
  <c r="R107" i="11"/>
  <c r="P107" i="11"/>
  <c r="O107" i="11"/>
  <c r="L107" i="11"/>
  <c r="K107" i="11"/>
  <c r="W768" i="13" l="1" a="1"/>
  <c r="W768" i="13" s="1"/>
  <c r="Q107" i="11"/>
  <c r="T107" i="11" s="1"/>
  <c r="U107" i="11" s="1"/>
  <c r="T833" i="10"/>
  <c r="V834" i="10"/>
  <c r="S834" i="10"/>
  <c r="R834" i="10"/>
  <c r="P834" i="10"/>
  <c r="O834" i="10"/>
  <c r="Q834" i="10" s="1"/>
  <c r="L834" i="10"/>
  <c r="K834" i="10"/>
  <c r="V826" i="10"/>
  <c r="S826" i="10"/>
  <c r="R826" i="10"/>
  <c r="P826" i="10"/>
  <c r="O826" i="10"/>
  <c r="L826" i="10"/>
  <c r="K826" i="10"/>
  <c r="J790" i="10"/>
  <c r="R790" i="10" s="1"/>
  <c r="J788" i="10"/>
  <c r="J787" i="10"/>
  <c r="R787" i="10" s="1"/>
  <c r="J786" i="10"/>
  <c r="J784" i="10"/>
  <c r="R784" i="10" s="1"/>
  <c r="J781" i="10"/>
  <c r="R781" i="10" s="1"/>
  <c r="J779" i="10"/>
  <c r="R779" i="10"/>
  <c r="V789" i="10"/>
  <c r="S789" i="10"/>
  <c r="R789" i="10"/>
  <c r="P789" i="10"/>
  <c r="O789" i="10"/>
  <c r="L789" i="10"/>
  <c r="K789" i="10"/>
  <c r="V788" i="10"/>
  <c r="S788" i="10"/>
  <c r="R788" i="10"/>
  <c r="P788" i="10"/>
  <c r="O788" i="10"/>
  <c r="L788" i="10"/>
  <c r="K788" i="10"/>
  <c r="V787" i="10"/>
  <c r="S787" i="10"/>
  <c r="P787" i="10"/>
  <c r="O787" i="10"/>
  <c r="L787" i="10"/>
  <c r="K787" i="10"/>
  <c r="V786" i="10"/>
  <c r="S786" i="10"/>
  <c r="R786" i="10"/>
  <c r="P786" i="10"/>
  <c r="O786" i="10"/>
  <c r="L786" i="10"/>
  <c r="K786" i="10"/>
  <c r="V785" i="10"/>
  <c r="S785" i="10"/>
  <c r="R785" i="10"/>
  <c r="P785" i="10"/>
  <c r="O785" i="10"/>
  <c r="L785" i="10"/>
  <c r="K785" i="10"/>
  <c r="V784" i="10"/>
  <c r="S784" i="10"/>
  <c r="P784" i="10"/>
  <c r="O784" i="10"/>
  <c r="L784" i="10"/>
  <c r="K784" i="10"/>
  <c r="V783" i="10"/>
  <c r="S783" i="10"/>
  <c r="R783" i="10"/>
  <c r="P783" i="10"/>
  <c r="O783" i="10"/>
  <c r="L783" i="10"/>
  <c r="K783" i="10"/>
  <c r="V782" i="10"/>
  <c r="S782" i="10"/>
  <c r="R782" i="10"/>
  <c r="P782" i="10"/>
  <c r="O782" i="10"/>
  <c r="L782" i="10"/>
  <c r="K782" i="10"/>
  <c r="V781" i="10"/>
  <c r="S781" i="10"/>
  <c r="P781" i="10"/>
  <c r="O781" i="10"/>
  <c r="L781" i="10"/>
  <c r="K781" i="10"/>
  <c r="V780" i="10"/>
  <c r="S780" i="10"/>
  <c r="R780" i="10"/>
  <c r="P780" i="10"/>
  <c r="O780" i="10"/>
  <c r="L780" i="10"/>
  <c r="K780" i="10"/>
  <c r="V779" i="10"/>
  <c r="S779" i="10"/>
  <c r="P779" i="10"/>
  <c r="O779" i="10"/>
  <c r="L779" i="10"/>
  <c r="K779" i="10"/>
  <c r="V778" i="10"/>
  <c r="S778" i="10"/>
  <c r="R778" i="10"/>
  <c r="P778" i="10"/>
  <c r="O778" i="10"/>
  <c r="L778" i="10"/>
  <c r="K778" i="10"/>
  <c r="I793" i="10"/>
  <c r="V790" i="10"/>
  <c r="S790" i="10"/>
  <c r="P790" i="10"/>
  <c r="O790" i="10"/>
  <c r="L790" i="10"/>
  <c r="K790" i="10"/>
  <c r="T834" i="10" l="1"/>
  <c r="U834" i="10" s="1"/>
  <c r="Q781" i="10"/>
  <c r="Q784" i="10"/>
  <c r="Q780" i="10"/>
  <c r="T780" i="10" s="1"/>
  <c r="U780" i="10" s="1"/>
  <c r="Q783" i="10"/>
  <c r="Q826" i="10"/>
  <c r="T826" i="10" s="1"/>
  <c r="U826" i="10" s="1"/>
  <c r="Q782" i="10"/>
  <c r="T782" i="10" s="1"/>
  <c r="U782" i="10" s="1"/>
  <c r="Q786" i="10"/>
  <c r="T786" i="10" s="1"/>
  <c r="U786" i="10" s="1"/>
  <c r="Q788" i="10"/>
  <c r="T788" i="10" s="1"/>
  <c r="U788" i="10" s="1"/>
  <c r="T783" i="10"/>
  <c r="U783" i="10" s="1"/>
  <c r="Q790" i="10"/>
  <c r="Q789" i="10"/>
  <c r="T789" i="10" s="1"/>
  <c r="U789" i="10" s="1"/>
  <c r="Q787" i="10"/>
  <c r="T787" i="10" s="1"/>
  <c r="U787" i="10" s="1"/>
  <c r="Q785" i="10"/>
  <c r="T785" i="10" s="1"/>
  <c r="U785" i="10" s="1"/>
  <c r="T784" i="10"/>
  <c r="U784" i="10" s="1"/>
  <c r="T781" i="10"/>
  <c r="U781" i="10" s="1"/>
  <c r="Q779" i="10"/>
  <c r="T779" i="10" s="1"/>
  <c r="U779" i="10" s="1"/>
  <c r="Q778" i="10"/>
  <c r="T778" i="10" s="1"/>
  <c r="U778" i="10" s="1"/>
  <c r="T790" i="10"/>
  <c r="U790" i="10" s="1"/>
  <c r="J590" i="10" l="1"/>
  <c r="V586" i="10"/>
  <c r="S586" i="10"/>
  <c r="R586" i="10"/>
  <c r="P586" i="10"/>
  <c r="O586" i="10"/>
  <c r="L586" i="10"/>
  <c r="K586" i="10"/>
  <c r="V585" i="10"/>
  <c r="S585" i="10"/>
  <c r="R585" i="10"/>
  <c r="P585" i="10"/>
  <c r="O585" i="10"/>
  <c r="L585" i="10"/>
  <c r="K585" i="10"/>
  <c r="V584" i="10"/>
  <c r="S584" i="10"/>
  <c r="R584" i="10"/>
  <c r="P584" i="10"/>
  <c r="O584" i="10"/>
  <c r="L584" i="10"/>
  <c r="K584" i="10"/>
  <c r="V583" i="10"/>
  <c r="S583" i="10"/>
  <c r="R583" i="10"/>
  <c r="P583" i="10"/>
  <c r="O583" i="10"/>
  <c r="L583" i="10"/>
  <c r="K583" i="10"/>
  <c r="V582" i="10"/>
  <c r="S582" i="10"/>
  <c r="R582" i="10"/>
  <c r="P582" i="10"/>
  <c r="O582" i="10"/>
  <c r="L582" i="10"/>
  <c r="K582" i="10"/>
  <c r="V581" i="10"/>
  <c r="S581" i="10"/>
  <c r="R581" i="10"/>
  <c r="P581" i="10"/>
  <c r="O581" i="10"/>
  <c r="L581" i="10"/>
  <c r="K581" i="10"/>
  <c r="V580" i="10"/>
  <c r="S580" i="10"/>
  <c r="R580" i="10"/>
  <c r="P580" i="10"/>
  <c r="O580" i="10"/>
  <c r="L580" i="10"/>
  <c r="K580" i="10"/>
  <c r="V579" i="10"/>
  <c r="S579" i="10"/>
  <c r="R579" i="10"/>
  <c r="P579" i="10"/>
  <c r="O579" i="10"/>
  <c r="L579" i="10"/>
  <c r="K579" i="10"/>
  <c r="V578" i="10"/>
  <c r="S578" i="10"/>
  <c r="R578" i="10"/>
  <c r="P578" i="10"/>
  <c r="O578" i="10"/>
  <c r="L578" i="10"/>
  <c r="K578" i="10"/>
  <c r="V169" i="10"/>
  <c r="S169" i="10"/>
  <c r="R169" i="10"/>
  <c r="P169" i="10"/>
  <c r="O169" i="10"/>
  <c r="L169" i="10"/>
  <c r="K169" i="10"/>
  <c r="V168" i="10"/>
  <c r="S168" i="10"/>
  <c r="R168" i="10"/>
  <c r="P168" i="10"/>
  <c r="O168" i="10"/>
  <c r="L168" i="10"/>
  <c r="K168" i="10"/>
  <c r="V167" i="10"/>
  <c r="S167" i="10"/>
  <c r="R167" i="10"/>
  <c r="P167" i="10"/>
  <c r="O167" i="10"/>
  <c r="L167" i="10"/>
  <c r="K167" i="10"/>
  <c r="I832" i="10"/>
  <c r="Q169" i="10" l="1"/>
  <c r="Q580" i="10"/>
  <c r="T580" i="10" s="1"/>
  <c r="U580" i="10" s="1"/>
  <c r="Q581" i="10"/>
  <c r="T581" i="10" s="1"/>
  <c r="U581" i="10" s="1"/>
  <c r="Q584" i="10"/>
  <c r="T584" i="10" s="1"/>
  <c r="U584" i="10" s="1"/>
  <c r="Q585" i="10"/>
  <c r="T585" i="10" s="1"/>
  <c r="U585" i="10" s="1"/>
  <c r="Q578" i="10"/>
  <c r="T578" i="10" s="1"/>
  <c r="U578" i="10" s="1"/>
  <c r="Q579" i="10"/>
  <c r="T579" i="10" s="1"/>
  <c r="U579" i="10" s="1"/>
  <c r="Q582" i="10"/>
  <c r="T582" i="10" s="1"/>
  <c r="U582" i="10" s="1"/>
  <c r="Q583" i="10"/>
  <c r="T583" i="10" s="1"/>
  <c r="U583" i="10" s="1"/>
  <c r="Q586" i="10"/>
  <c r="T586" i="10" s="1"/>
  <c r="U586" i="10" s="1"/>
  <c r="Q168" i="10"/>
  <c r="T168" i="10" s="1"/>
  <c r="U168" i="10" s="1"/>
  <c r="T169" i="10"/>
  <c r="U169" i="10" s="1"/>
  <c r="Q167" i="10"/>
  <c r="T167" i="10" s="1"/>
  <c r="U167" i="10" s="1"/>
  <c r="F688" i="10" l="1"/>
  <c r="F672" i="10"/>
  <c r="F635" i="10"/>
  <c r="F634" i="10"/>
  <c r="F636" i="10"/>
  <c r="F632" i="10"/>
  <c r="F637" i="10"/>
  <c r="F689" i="10"/>
  <c r="F638" i="10"/>
  <c r="F619" i="10"/>
  <c r="A604" i="10"/>
  <c r="V604" i="10"/>
  <c r="R604" i="10"/>
  <c r="S604" i="10"/>
  <c r="O604" i="10"/>
  <c r="P604" i="10"/>
  <c r="K604" i="10"/>
  <c r="L604" i="10"/>
  <c r="R562" i="10"/>
  <c r="S562" i="10"/>
  <c r="O562" i="10"/>
  <c r="P562" i="10"/>
  <c r="R567" i="10"/>
  <c r="S567" i="10"/>
  <c r="O567" i="10"/>
  <c r="P567" i="10"/>
  <c r="K176" i="10"/>
  <c r="L176" i="10"/>
  <c r="S177" i="10"/>
  <c r="O177" i="10"/>
  <c r="P177" i="10"/>
  <c r="K177" i="10"/>
  <c r="L177" i="10"/>
  <c r="S178" i="10"/>
  <c r="O178" i="10"/>
  <c r="P178" i="10"/>
  <c r="K178" i="10"/>
  <c r="L178" i="10"/>
  <c r="R179" i="10"/>
  <c r="S179" i="10"/>
  <c r="O179" i="10"/>
  <c r="P179" i="10"/>
  <c r="R180" i="10"/>
  <c r="S180" i="10"/>
  <c r="O180" i="10"/>
  <c r="P180" i="10"/>
  <c r="S181" i="10"/>
  <c r="O181" i="10"/>
  <c r="P181" i="10"/>
  <c r="K181" i="10"/>
  <c r="L181" i="10"/>
  <c r="S182" i="10"/>
  <c r="O182" i="10"/>
  <c r="P182" i="10"/>
  <c r="K182" i="10"/>
  <c r="L182" i="10"/>
  <c r="S183" i="10"/>
  <c r="O183" i="10"/>
  <c r="P183" i="10"/>
  <c r="K183" i="10"/>
  <c r="L183" i="10"/>
  <c r="S184" i="10"/>
  <c r="O184" i="10"/>
  <c r="P184" i="10"/>
  <c r="K184" i="10"/>
  <c r="L184" i="10"/>
  <c r="S185" i="10"/>
  <c r="O185" i="10"/>
  <c r="P185" i="10"/>
  <c r="K185" i="10"/>
  <c r="L185" i="10"/>
  <c r="S186" i="10"/>
  <c r="O186" i="10"/>
  <c r="P186" i="10"/>
  <c r="K186" i="10"/>
  <c r="L186" i="10"/>
  <c r="S187" i="10"/>
  <c r="O187" i="10"/>
  <c r="P187" i="10"/>
  <c r="K187" i="10"/>
  <c r="L187" i="10"/>
  <c r="S188" i="10"/>
  <c r="O188" i="10"/>
  <c r="P188" i="10"/>
  <c r="K188" i="10"/>
  <c r="L188" i="10"/>
  <c r="S189" i="10"/>
  <c r="O189" i="10"/>
  <c r="P189" i="10"/>
  <c r="K189" i="10"/>
  <c r="L189" i="10"/>
  <c r="S190" i="10"/>
  <c r="O190" i="10"/>
  <c r="P190" i="10"/>
  <c r="K190" i="10"/>
  <c r="L190" i="10"/>
  <c r="S191" i="10"/>
  <c r="O191" i="10"/>
  <c r="P191" i="10"/>
  <c r="K191" i="10"/>
  <c r="L191" i="10"/>
  <c r="R192" i="10"/>
  <c r="S192" i="10"/>
  <c r="O192" i="10"/>
  <c r="P192" i="10"/>
  <c r="R193" i="10"/>
  <c r="S193" i="10"/>
  <c r="O193" i="10"/>
  <c r="P193" i="10"/>
  <c r="S194" i="10"/>
  <c r="O194" i="10"/>
  <c r="P194" i="10"/>
  <c r="K194" i="10"/>
  <c r="L194" i="10"/>
  <c r="S195" i="10"/>
  <c r="O195" i="10"/>
  <c r="P195" i="10"/>
  <c r="K195" i="10"/>
  <c r="L195" i="10"/>
  <c r="S196" i="10"/>
  <c r="O196" i="10"/>
  <c r="P196" i="10"/>
  <c r="K196" i="10"/>
  <c r="L196" i="10"/>
  <c r="S197" i="10"/>
  <c r="O197" i="10"/>
  <c r="P197" i="10"/>
  <c r="K197" i="10"/>
  <c r="L197" i="10"/>
  <c r="S198" i="10"/>
  <c r="O198" i="10"/>
  <c r="P198" i="10"/>
  <c r="K198" i="10"/>
  <c r="L198" i="10"/>
  <c r="S199" i="10"/>
  <c r="O199" i="10"/>
  <c r="P199" i="10"/>
  <c r="K199" i="10"/>
  <c r="L199" i="10"/>
  <c r="S200" i="10"/>
  <c r="O200" i="10"/>
  <c r="P200" i="10"/>
  <c r="K200" i="10"/>
  <c r="L200" i="10"/>
  <c r="S201" i="10"/>
  <c r="O201" i="10"/>
  <c r="P201" i="10"/>
  <c r="K201" i="10"/>
  <c r="L201" i="10"/>
  <c r="R202" i="10"/>
  <c r="S202" i="10"/>
  <c r="O202" i="10"/>
  <c r="Q202" i="10" s="1"/>
  <c r="K202" i="10" s="1"/>
  <c r="L202" i="10" s="1"/>
  <c r="P202" i="10"/>
  <c r="S203" i="10"/>
  <c r="O203" i="10"/>
  <c r="P203" i="10"/>
  <c r="K203" i="10"/>
  <c r="L203" i="10"/>
  <c r="S204" i="10"/>
  <c r="O204" i="10"/>
  <c r="P204" i="10"/>
  <c r="K204" i="10"/>
  <c r="L204" i="10"/>
  <c r="S205" i="10"/>
  <c r="O205" i="10"/>
  <c r="P205" i="10"/>
  <c r="K205" i="10"/>
  <c r="L205" i="10"/>
  <c r="S206" i="10"/>
  <c r="O206" i="10"/>
  <c r="P206" i="10"/>
  <c r="K206" i="10"/>
  <c r="L206" i="10"/>
  <c r="S207" i="10"/>
  <c r="O207" i="10"/>
  <c r="P207" i="10"/>
  <c r="K207" i="10"/>
  <c r="L207" i="10"/>
  <c r="S208" i="10"/>
  <c r="O208" i="10"/>
  <c r="P208" i="10"/>
  <c r="K208" i="10"/>
  <c r="L208" i="10"/>
  <c r="S209" i="10"/>
  <c r="O209" i="10"/>
  <c r="P209" i="10"/>
  <c r="K209" i="10"/>
  <c r="L209" i="10"/>
  <c r="S210" i="10"/>
  <c r="O210" i="10"/>
  <c r="P210" i="10"/>
  <c r="K210" i="10"/>
  <c r="L210" i="10"/>
  <c r="S211" i="10"/>
  <c r="O211" i="10"/>
  <c r="P211" i="10"/>
  <c r="K211" i="10"/>
  <c r="L211" i="10"/>
  <c r="R212" i="10"/>
  <c r="S212" i="10"/>
  <c r="O212" i="10"/>
  <c r="P212" i="10"/>
  <c r="S213" i="10"/>
  <c r="O213" i="10"/>
  <c r="P213" i="10"/>
  <c r="K213" i="10"/>
  <c r="L213" i="10"/>
  <c r="R214" i="10"/>
  <c r="S214" i="10"/>
  <c r="O214" i="10"/>
  <c r="P214" i="10"/>
  <c r="S215" i="10"/>
  <c r="O215" i="10"/>
  <c r="P215" i="10"/>
  <c r="K215" i="10"/>
  <c r="L215" i="10"/>
  <c r="S216" i="10"/>
  <c r="O216" i="10"/>
  <c r="P216" i="10"/>
  <c r="K216" i="10"/>
  <c r="L216" i="10"/>
  <c r="R217" i="10"/>
  <c r="S217" i="10"/>
  <c r="O217" i="10"/>
  <c r="P217" i="10"/>
  <c r="S218" i="10"/>
  <c r="O218" i="10"/>
  <c r="P218" i="10"/>
  <c r="K218" i="10"/>
  <c r="L218" i="10"/>
  <c r="R219" i="10"/>
  <c r="S219" i="10"/>
  <c r="O219" i="10"/>
  <c r="P219" i="10"/>
  <c r="S220" i="10"/>
  <c r="O220" i="10"/>
  <c r="P220" i="10"/>
  <c r="K220" i="10"/>
  <c r="L220" i="10"/>
  <c r="R221" i="10"/>
  <c r="S221" i="10"/>
  <c r="O221" i="10"/>
  <c r="P221" i="10"/>
  <c r="R222" i="10"/>
  <c r="S222" i="10"/>
  <c r="O222" i="10"/>
  <c r="P222" i="10"/>
  <c r="R223" i="10"/>
  <c r="S223" i="10"/>
  <c r="O223" i="10"/>
  <c r="P223" i="10"/>
  <c r="S224" i="10"/>
  <c r="O224" i="10"/>
  <c r="P224" i="10"/>
  <c r="K224" i="10"/>
  <c r="L224" i="10"/>
  <c r="S225" i="10"/>
  <c r="O225" i="10"/>
  <c r="P225" i="10"/>
  <c r="K225" i="10"/>
  <c r="L225" i="10"/>
  <c r="R226" i="10"/>
  <c r="S226" i="10"/>
  <c r="O226" i="10"/>
  <c r="P226" i="10"/>
  <c r="S227" i="10"/>
  <c r="O227" i="10"/>
  <c r="P227" i="10"/>
  <c r="K227" i="10"/>
  <c r="L227" i="10"/>
  <c r="R228" i="10"/>
  <c r="S228" i="10"/>
  <c r="O228" i="10"/>
  <c r="P228" i="10"/>
  <c r="R229" i="10"/>
  <c r="S229" i="10"/>
  <c r="O229" i="10"/>
  <c r="P229" i="10"/>
  <c r="R230" i="10"/>
  <c r="S230" i="10"/>
  <c r="O230" i="10"/>
  <c r="P230" i="10"/>
  <c r="S231" i="10"/>
  <c r="O231" i="10"/>
  <c r="P231" i="10"/>
  <c r="K231" i="10"/>
  <c r="L231" i="10"/>
  <c r="S232" i="10"/>
  <c r="O232" i="10"/>
  <c r="P232" i="10"/>
  <c r="K232" i="10"/>
  <c r="L232" i="10"/>
  <c r="S233" i="10"/>
  <c r="O233" i="10"/>
  <c r="P233" i="10"/>
  <c r="K233" i="10"/>
  <c r="L233" i="10"/>
  <c r="R234" i="10"/>
  <c r="S234" i="10"/>
  <c r="O234" i="10"/>
  <c r="P234" i="10"/>
  <c r="S235" i="10"/>
  <c r="O235" i="10"/>
  <c r="P235" i="10"/>
  <c r="K235" i="10"/>
  <c r="L235" i="10"/>
  <c r="R236" i="10"/>
  <c r="S236" i="10"/>
  <c r="O236" i="10"/>
  <c r="P236" i="10"/>
  <c r="S237" i="10"/>
  <c r="O237" i="10"/>
  <c r="P237" i="10"/>
  <c r="K237" i="10"/>
  <c r="L237" i="10"/>
  <c r="R238" i="10"/>
  <c r="S238" i="10"/>
  <c r="O238" i="10"/>
  <c r="P238" i="10"/>
  <c r="S239" i="10"/>
  <c r="O239" i="10"/>
  <c r="P239" i="10"/>
  <c r="K239" i="10"/>
  <c r="L239" i="10"/>
  <c r="S240" i="10"/>
  <c r="O240" i="10"/>
  <c r="P240" i="10"/>
  <c r="K240" i="10"/>
  <c r="L240" i="10"/>
  <c r="R241" i="10"/>
  <c r="S241" i="10"/>
  <c r="O241" i="10"/>
  <c r="P241" i="10"/>
  <c r="R242" i="10"/>
  <c r="S242" i="10"/>
  <c r="O242" i="10"/>
  <c r="P242" i="10"/>
  <c r="R243" i="10"/>
  <c r="S243" i="10"/>
  <c r="O243" i="10"/>
  <c r="P243" i="10"/>
  <c r="S244" i="10"/>
  <c r="O244" i="10"/>
  <c r="P244" i="10"/>
  <c r="K244" i="10"/>
  <c r="L244" i="10"/>
  <c r="R245" i="10"/>
  <c r="S245" i="10"/>
  <c r="O245" i="10"/>
  <c r="P245" i="10"/>
  <c r="R246" i="10"/>
  <c r="S246" i="10"/>
  <c r="O246" i="10"/>
  <c r="P246" i="10"/>
  <c r="R247" i="10"/>
  <c r="S247" i="10"/>
  <c r="O247" i="10"/>
  <c r="P247" i="10"/>
  <c r="R248" i="10"/>
  <c r="S248" i="10"/>
  <c r="O248" i="10"/>
  <c r="P248" i="10"/>
  <c r="R249" i="10"/>
  <c r="S249" i="10"/>
  <c r="O249" i="10"/>
  <c r="P249" i="10"/>
  <c r="R250" i="10"/>
  <c r="S250" i="10"/>
  <c r="O250" i="10"/>
  <c r="P250" i="10"/>
  <c r="R251" i="10"/>
  <c r="S251" i="10"/>
  <c r="O251" i="10"/>
  <c r="P251" i="10"/>
  <c r="R252" i="10"/>
  <c r="S252" i="10"/>
  <c r="O252" i="10"/>
  <c r="P252" i="10"/>
  <c r="R253" i="10"/>
  <c r="S253" i="10"/>
  <c r="O253" i="10"/>
  <c r="P253" i="10"/>
  <c r="S254" i="10"/>
  <c r="O254" i="10"/>
  <c r="P254" i="10"/>
  <c r="K254" i="10"/>
  <c r="L254" i="10"/>
  <c r="R255" i="10"/>
  <c r="S255" i="10"/>
  <c r="O255" i="10"/>
  <c r="P255" i="10"/>
  <c r="R256" i="10"/>
  <c r="S256" i="10"/>
  <c r="O256" i="10"/>
  <c r="P256" i="10"/>
  <c r="R257" i="10"/>
  <c r="S257" i="10"/>
  <c r="O257" i="10"/>
  <c r="P257" i="10"/>
  <c r="S258" i="10"/>
  <c r="O258" i="10"/>
  <c r="P258" i="10"/>
  <c r="K258" i="10"/>
  <c r="L258" i="10"/>
  <c r="R259" i="10"/>
  <c r="S259" i="10"/>
  <c r="O259" i="10"/>
  <c r="P259" i="10"/>
  <c r="R260" i="10"/>
  <c r="S260" i="10"/>
  <c r="O260" i="10"/>
  <c r="P260" i="10"/>
  <c r="S261" i="10"/>
  <c r="O261" i="10"/>
  <c r="P261" i="10"/>
  <c r="K261" i="10"/>
  <c r="L261" i="10"/>
  <c r="S262" i="10"/>
  <c r="O262" i="10"/>
  <c r="P262" i="10"/>
  <c r="K262" i="10"/>
  <c r="L262" i="10"/>
  <c r="R263" i="10"/>
  <c r="S263" i="10"/>
  <c r="O263" i="10"/>
  <c r="P263" i="10"/>
  <c r="S264" i="10"/>
  <c r="O264" i="10"/>
  <c r="P264" i="10"/>
  <c r="K264" i="10"/>
  <c r="L264" i="10"/>
  <c r="S265" i="10"/>
  <c r="O265" i="10"/>
  <c r="P265" i="10"/>
  <c r="K265" i="10"/>
  <c r="L265" i="10"/>
  <c r="S266" i="10"/>
  <c r="O266" i="10"/>
  <c r="P266" i="10"/>
  <c r="K266" i="10"/>
  <c r="L266" i="10"/>
  <c r="S267" i="10"/>
  <c r="O267" i="10"/>
  <c r="P267" i="10"/>
  <c r="K267" i="10"/>
  <c r="L267" i="10"/>
  <c r="S268" i="10"/>
  <c r="O268" i="10"/>
  <c r="P268" i="10"/>
  <c r="K268" i="10"/>
  <c r="L268" i="10"/>
  <c r="S269" i="10"/>
  <c r="O269" i="10"/>
  <c r="P269" i="10"/>
  <c r="K269" i="10"/>
  <c r="L269" i="10"/>
  <c r="R270" i="10"/>
  <c r="S270" i="10"/>
  <c r="O270" i="10"/>
  <c r="P270" i="10"/>
  <c r="S271" i="10"/>
  <c r="O271" i="10"/>
  <c r="P271" i="10"/>
  <c r="K271" i="10"/>
  <c r="L271" i="10"/>
  <c r="R272" i="10"/>
  <c r="S272" i="10"/>
  <c r="O272" i="10"/>
  <c r="P272" i="10"/>
  <c r="S273" i="10"/>
  <c r="O273" i="10"/>
  <c r="P273" i="10"/>
  <c r="K273" i="10"/>
  <c r="L273" i="10"/>
  <c r="R274" i="10"/>
  <c r="S274" i="10"/>
  <c r="O274" i="10"/>
  <c r="P274" i="10"/>
  <c r="S275" i="10"/>
  <c r="O275" i="10"/>
  <c r="P275" i="10"/>
  <c r="K275" i="10"/>
  <c r="L275" i="10"/>
  <c r="R276" i="10"/>
  <c r="S276" i="10"/>
  <c r="O276" i="10"/>
  <c r="P276" i="10"/>
  <c r="S277" i="10"/>
  <c r="O277" i="10"/>
  <c r="P277" i="10"/>
  <c r="K277" i="10"/>
  <c r="L277" i="10"/>
  <c r="S278" i="10"/>
  <c r="O278" i="10"/>
  <c r="P278" i="10"/>
  <c r="K278" i="10"/>
  <c r="L278" i="10"/>
  <c r="S279" i="10"/>
  <c r="O279" i="10"/>
  <c r="P279" i="10"/>
  <c r="K279" i="10"/>
  <c r="L279" i="10"/>
  <c r="S280" i="10"/>
  <c r="O280" i="10"/>
  <c r="P280" i="10"/>
  <c r="K280" i="10"/>
  <c r="L280" i="10"/>
  <c r="R281" i="10"/>
  <c r="S281" i="10"/>
  <c r="O281" i="10"/>
  <c r="P281" i="10"/>
  <c r="R282" i="10"/>
  <c r="S282" i="10"/>
  <c r="O282" i="10"/>
  <c r="P282" i="10"/>
  <c r="R283" i="10"/>
  <c r="S283" i="10"/>
  <c r="O283" i="10"/>
  <c r="P283" i="10"/>
  <c r="S284" i="10"/>
  <c r="O284" i="10"/>
  <c r="P284" i="10"/>
  <c r="K284" i="10"/>
  <c r="L284" i="10"/>
  <c r="S285" i="10"/>
  <c r="O285" i="10"/>
  <c r="P285" i="10"/>
  <c r="K285" i="10"/>
  <c r="L285" i="10"/>
  <c r="S286" i="10"/>
  <c r="O286" i="10"/>
  <c r="P286" i="10"/>
  <c r="K286" i="10"/>
  <c r="L286" i="10"/>
  <c r="R287" i="10"/>
  <c r="S287" i="10"/>
  <c r="O287" i="10"/>
  <c r="P287" i="10"/>
  <c r="S288" i="10"/>
  <c r="O288" i="10"/>
  <c r="P288" i="10"/>
  <c r="K288" i="10"/>
  <c r="L288" i="10"/>
  <c r="S289" i="10"/>
  <c r="O289" i="10"/>
  <c r="P289" i="10"/>
  <c r="K289" i="10"/>
  <c r="L289" i="10"/>
  <c r="S290" i="10"/>
  <c r="O290" i="10"/>
  <c r="P290" i="10"/>
  <c r="K290" i="10"/>
  <c r="L290" i="10"/>
  <c r="S291" i="10"/>
  <c r="O291" i="10"/>
  <c r="P291" i="10"/>
  <c r="K291" i="10"/>
  <c r="L291" i="10"/>
  <c r="R292" i="10"/>
  <c r="S292" i="10"/>
  <c r="O292" i="10"/>
  <c r="P292" i="10"/>
  <c r="R293" i="10"/>
  <c r="S293" i="10"/>
  <c r="O293" i="10"/>
  <c r="P293" i="10"/>
  <c r="S294" i="10"/>
  <c r="O294" i="10"/>
  <c r="P294" i="10"/>
  <c r="K294" i="10"/>
  <c r="L294" i="10"/>
  <c r="S295" i="10"/>
  <c r="O295" i="10"/>
  <c r="P295" i="10"/>
  <c r="K295" i="10"/>
  <c r="L295" i="10"/>
  <c r="S296" i="10"/>
  <c r="O296" i="10"/>
  <c r="P296" i="10"/>
  <c r="K296" i="10"/>
  <c r="L296" i="10"/>
  <c r="R297" i="10"/>
  <c r="S297" i="10"/>
  <c r="O297" i="10"/>
  <c r="Q297" i="10" s="1"/>
  <c r="K297" i="10" s="1"/>
  <c r="L297" i="10" s="1"/>
  <c r="P297" i="10"/>
  <c r="S298" i="10"/>
  <c r="O298" i="10"/>
  <c r="P298" i="10"/>
  <c r="K298" i="10"/>
  <c r="L298" i="10"/>
  <c r="S299" i="10"/>
  <c r="O299" i="10"/>
  <c r="P299" i="10"/>
  <c r="K299" i="10"/>
  <c r="L299" i="10"/>
  <c r="S300" i="10"/>
  <c r="O300" i="10"/>
  <c r="P300" i="10"/>
  <c r="K300" i="10"/>
  <c r="L300" i="10"/>
  <c r="S301" i="10"/>
  <c r="O301" i="10"/>
  <c r="P301" i="10"/>
  <c r="K301" i="10"/>
  <c r="L301" i="10"/>
  <c r="S302" i="10"/>
  <c r="O302" i="10"/>
  <c r="P302" i="10"/>
  <c r="K302" i="10"/>
  <c r="L302" i="10"/>
  <c r="R303" i="10"/>
  <c r="S303" i="10"/>
  <c r="O303" i="10"/>
  <c r="P303" i="10"/>
  <c r="S304" i="10"/>
  <c r="O304" i="10"/>
  <c r="P304" i="10"/>
  <c r="K304" i="10"/>
  <c r="L304" i="10"/>
  <c r="S305" i="10"/>
  <c r="O305" i="10"/>
  <c r="P305" i="10"/>
  <c r="K305" i="10"/>
  <c r="L305" i="10"/>
  <c r="S306" i="10"/>
  <c r="O306" i="10"/>
  <c r="P306" i="10"/>
  <c r="K306" i="10"/>
  <c r="L306" i="10"/>
  <c r="S307" i="10"/>
  <c r="O307" i="10"/>
  <c r="P307" i="10"/>
  <c r="K307" i="10"/>
  <c r="L307" i="10"/>
  <c r="S308" i="10"/>
  <c r="O308" i="10"/>
  <c r="P308" i="10"/>
  <c r="K308" i="10"/>
  <c r="L308" i="10"/>
  <c r="S309" i="10"/>
  <c r="O309" i="10"/>
  <c r="P309" i="10"/>
  <c r="K309" i="10"/>
  <c r="L309" i="10"/>
  <c r="S310" i="10"/>
  <c r="O310" i="10"/>
  <c r="P310" i="10"/>
  <c r="K310" i="10"/>
  <c r="L310" i="10"/>
  <c r="S311" i="10"/>
  <c r="O311" i="10"/>
  <c r="P311" i="10"/>
  <c r="K311" i="10"/>
  <c r="L311" i="10"/>
  <c r="S312" i="10"/>
  <c r="O312" i="10"/>
  <c r="P312" i="10"/>
  <c r="K312" i="10"/>
  <c r="L312" i="10"/>
  <c r="S313" i="10"/>
  <c r="O313" i="10"/>
  <c r="P313" i="10"/>
  <c r="K313" i="10"/>
  <c r="L313" i="10"/>
  <c r="S314" i="10"/>
  <c r="O314" i="10"/>
  <c r="P314" i="10"/>
  <c r="K314" i="10"/>
  <c r="L314" i="10"/>
  <c r="S315" i="10"/>
  <c r="O315" i="10"/>
  <c r="P315" i="10"/>
  <c r="K315" i="10"/>
  <c r="L315" i="10"/>
  <c r="S316" i="10"/>
  <c r="O316" i="10"/>
  <c r="P316" i="10"/>
  <c r="K316" i="10"/>
  <c r="L316" i="10"/>
  <c r="S317" i="10"/>
  <c r="O317" i="10"/>
  <c r="P317" i="10"/>
  <c r="K317" i="10"/>
  <c r="L317" i="10"/>
  <c r="S318" i="10"/>
  <c r="O318" i="10"/>
  <c r="P318" i="10"/>
  <c r="K318" i="10"/>
  <c r="L318" i="10"/>
  <c r="S319" i="10"/>
  <c r="O319" i="10"/>
  <c r="P319" i="10"/>
  <c r="K319" i="10"/>
  <c r="L319" i="10"/>
  <c r="S320" i="10"/>
  <c r="O320" i="10"/>
  <c r="P320" i="10"/>
  <c r="K320" i="10"/>
  <c r="L320" i="10"/>
  <c r="S321" i="10"/>
  <c r="O321" i="10"/>
  <c r="P321" i="10"/>
  <c r="K321" i="10"/>
  <c r="L321" i="10"/>
  <c r="S322" i="10"/>
  <c r="O322" i="10"/>
  <c r="P322" i="10"/>
  <c r="K322" i="10"/>
  <c r="L322" i="10"/>
  <c r="S323" i="10"/>
  <c r="O323" i="10"/>
  <c r="P323" i="10"/>
  <c r="K323" i="10"/>
  <c r="L323" i="10"/>
  <c r="S324" i="10"/>
  <c r="O324" i="10"/>
  <c r="P324" i="10"/>
  <c r="K324" i="10"/>
  <c r="L324" i="10"/>
  <c r="R325" i="10"/>
  <c r="O325" i="10"/>
  <c r="P325" i="10"/>
  <c r="K325" i="10"/>
  <c r="L325" i="10"/>
  <c r="S326" i="10"/>
  <c r="O326" i="10"/>
  <c r="P326" i="10"/>
  <c r="K326" i="10"/>
  <c r="L326" i="10"/>
  <c r="S327" i="10"/>
  <c r="O327" i="10"/>
  <c r="P327" i="10"/>
  <c r="K327" i="10"/>
  <c r="L327" i="10"/>
  <c r="S328" i="10"/>
  <c r="O328" i="10"/>
  <c r="P328" i="10"/>
  <c r="K328" i="10"/>
  <c r="L328" i="10"/>
  <c r="S329" i="10"/>
  <c r="O329" i="10"/>
  <c r="P329" i="10"/>
  <c r="K329" i="10"/>
  <c r="L329" i="10"/>
  <c r="S330" i="10"/>
  <c r="O330" i="10"/>
  <c r="P330" i="10"/>
  <c r="K330" i="10"/>
  <c r="L330" i="10"/>
  <c r="S331" i="10"/>
  <c r="O331" i="10"/>
  <c r="P331" i="10"/>
  <c r="K331" i="10"/>
  <c r="L331" i="10"/>
  <c r="S332" i="10"/>
  <c r="O332" i="10"/>
  <c r="P332" i="10"/>
  <c r="K332" i="10"/>
  <c r="L332" i="10"/>
  <c r="S333" i="10"/>
  <c r="O333" i="10"/>
  <c r="P333" i="10"/>
  <c r="K333" i="10"/>
  <c r="L333" i="10"/>
  <c r="S334" i="10"/>
  <c r="O334" i="10"/>
  <c r="P334" i="10"/>
  <c r="K334" i="10"/>
  <c r="L334" i="10"/>
  <c r="S335" i="10"/>
  <c r="O335" i="10"/>
  <c r="P335" i="10"/>
  <c r="K335" i="10"/>
  <c r="L335" i="10"/>
  <c r="S336" i="10"/>
  <c r="O336" i="10"/>
  <c r="P336" i="10"/>
  <c r="K336" i="10"/>
  <c r="L336" i="10"/>
  <c r="S337" i="10"/>
  <c r="O337" i="10"/>
  <c r="P337" i="10"/>
  <c r="K337" i="10"/>
  <c r="L337" i="10"/>
  <c r="S338" i="10"/>
  <c r="O338" i="10"/>
  <c r="P338" i="10"/>
  <c r="Q338" i="10" s="1"/>
  <c r="K338" i="10"/>
  <c r="L338" i="10"/>
  <c r="S339" i="10"/>
  <c r="O339" i="10"/>
  <c r="P339" i="10"/>
  <c r="K339" i="10"/>
  <c r="L339" i="10"/>
  <c r="S340" i="10"/>
  <c r="O340" i="10"/>
  <c r="P340" i="10"/>
  <c r="K340" i="10"/>
  <c r="L340" i="10"/>
  <c r="S341" i="10"/>
  <c r="O341" i="10"/>
  <c r="P341" i="10"/>
  <c r="Q341" i="10"/>
  <c r="K341" i="10"/>
  <c r="L341" i="10"/>
  <c r="S342" i="10"/>
  <c r="O342" i="10"/>
  <c r="P342" i="10"/>
  <c r="K342" i="10"/>
  <c r="L342" i="10"/>
  <c r="S343" i="10"/>
  <c r="O343" i="10"/>
  <c r="P343" i="10"/>
  <c r="K343" i="10"/>
  <c r="L343" i="10"/>
  <c r="S344" i="10"/>
  <c r="O344" i="10"/>
  <c r="P344" i="10"/>
  <c r="K344" i="10"/>
  <c r="L344" i="10"/>
  <c r="S345" i="10"/>
  <c r="O345" i="10"/>
  <c r="P345" i="10"/>
  <c r="Q345" i="10" s="1"/>
  <c r="K345" i="10"/>
  <c r="L345" i="10"/>
  <c r="S346" i="10"/>
  <c r="O346" i="10"/>
  <c r="P346" i="10"/>
  <c r="K346" i="10"/>
  <c r="L346" i="10"/>
  <c r="S347" i="10"/>
  <c r="O347" i="10"/>
  <c r="P347" i="10"/>
  <c r="K347" i="10"/>
  <c r="L347" i="10"/>
  <c r="S348" i="10"/>
  <c r="O348" i="10"/>
  <c r="P348" i="10"/>
  <c r="K348" i="10"/>
  <c r="L348" i="10"/>
  <c r="S349" i="10"/>
  <c r="O349" i="10"/>
  <c r="P349" i="10"/>
  <c r="K349" i="10"/>
  <c r="L349" i="10"/>
  <c r="S350" i="10"/>
  <c r="O350" i="10"/>
  <c r="P350" i="10"/>
  <c r="K350" i="10"/>
  <c r="L350" i="10"/>
  <c r="S351" i="10"/>
  <c r="O351" i="10"/>
  <c r="P351" i="10"/>
  <c r="K351" i="10"/>
  <c r="L351" i="10"/>
  <c r="R352" i="10"/>
  <c r="S352" i="10"/>
  <c r="O352" i="10"/>
  <c r="P352" i="10"/>
  <c r="R353" i="10"/>
  <c r="S353" i="10"/>
  <c r="O353" i="10"/>
  <c r="P353" i="10"/>
  <c r="R354" i="10"/>
  <c r="S354" i="10"/>
  <c r="O354" i="10"/>
  <c r="P354" i="10"/>
  <c r="S355" i="10"/>
  <c r="O355" i="10"/>
  <c r="P355" i="10"/>
  <c r="K355" i="10"/>
  <c r="L355" i="10"/>
  <c r="R356" i="10"/>
  <c r="S356" i="10"/>
  <c r="O356" i="10"/>
  <c r="P356" i="10"/>
  <c r="S357" i="10"/>
  <c r="O357" i="10"/>
  <c r="P357" i="10"/>
  <c r="K357" i="10"/>
  <c r="L357" i="10"/>
  <c r="S358" i="10"/>
  <c r="O358" i="10"/>
  <c r="P358" i="10"/>
  <c r="K358" i="10"/>
  <c r="L358" i="10"/>
  <c r="S359" i="10"/>
  <c r="O359" i="10"/>
  <c r="P359" i="10"/>
  <c r="K359" i="10"/>
  <c r="L359" i="10"/>
  <c r="S360" i="10"/>
  <c r="O360" i="10"/>
  <c r="P360" i="10"/>
  <c r="K360" i="10"/>
  <c r="L360" i="10"/>
  <c r="S361" i="10"/>
  <c r="O361" i="10"/>
  <c r="P361" i="10"/>
  <c r="K361" i="10"/>
  <c r="L361" i="10"/>
  <c r="S362" i="10"/>
  <c r="O362" i="10"/>
  <c r="P362" i="10"/>
  <c r="K362" i="10"/>
  <c r="L362" i="10"/>
  <c r="S363" i="10"/>
  <c r="O363" i="10"/>
  <c r="P363" i="10"/>
  <c r="K363" i="10"/>
  <c r="L363" i="10"/>
  <c r="S364" i="10"/>
  <c r="O364" i="10"/>
  <c r="P364" i="10"/>
  <c r="K364" i="10"/>
  <c r="L364" i="10"/>
  <c r="S365" i="10"/>
  <c r="O365" i="10"/>
  <c r="P365" i="10"/>
  <c r="Q365" i="10" s="1"/>
  <c r="K365" i="10"/>
  <c r="L365" i="10"/>
  <c r="S366" i="10"/>
  <c r="O366" i="10"/>
  <c r="P366" i="10"/>
  <c r="K366" i="10"/>
  <c r="L366" i="10"/>
  <c r="S367" i="10"/>
  <c r="O367" i="10"/>
  <c r="P367" i="10"/>
  <c r="K367" i="10"/>
  <c r="L367" i="10"/>
  <c r="S368" i="10"/>
  <c r="O368" i="10"/>
  <c r="P368" i="10"/>
  <c r="K368" i="10"/>
  <c r="L368" i="10"/>
  <c r="S369" i="10"/>
  <c r="O369" i="10"/>
  <c r="P369" i="10"/>
  <c r="Q369" i="10" s="1"/>
  <c r="K369" i="10"/>
  <c r="L369" i="10"/>
  <c r="S370" i="10"/>
  <c r="O370" i="10"/>
  <c r="P370" i="10"/>
  <c r="K370" i="10"/>
  <c r="L370" i="10"/>
  <c r="S371" i="10"/>
  <c r="O371" i="10"/>
  <c r="Q371" i="10" s="1"/>
  <c r="P371" i="10"/>
  <c r="K371" i="10"/>
  <c r="L371" i="10"/>
  <c r="S372" i="10"/>
  <c r="O372" i="10"/>
  <c r="P372" i="10"/>
  <c r="K372" i="10"/>
  <c r="L372" i="10"/>
  <c r="S373" i="10"/>
  <c r="O373" i="10"/>
  <c r="P373" i="10"/>
  <c r="Q373" i="10" s="1"/>
  <c r="K373" i="10"/>
  <c r="L373" i="10"/>
  <c r="S374" i="10"/>
  <c r="O374" i="10"/>
  <c r="P374" i="10"/>
  <c r="K374" i="10"/>
  <c r="L374" i="10"/>
  <c r="S375" i="10"/>
  <c r="O375" i="10"/>
  <c r="P375" i="10"/>
  <c r="K375" i="10"/>
  <c r="L375" i="10"/>
  <c r="S376" i="10"/>
  <c r="O376" i="10"/>
  <c r="P376" i="10"/>
  <c r="Q376" i="10"/>
  <c r="K376" i="10"/>
  <c r="L376" i="10"/>
  <c r="S377" i="10"/>
  <c r="O377" i="10"/>
  <c r="P377" i="10"/>
  <c r="K377" i="10"/>
  <c r="L377" i="10"/>
  <c r="S378" i="10"/>
  <c r="O378" i="10"/>
  <c r="P378" i="10"/>
  <c r="K378" i="10"/>
  <c r="L378" i="10"/>
  <c r="S379" i="10"/>
  <c r="O379" i="10"/>
  <c r="P379" i="10"/>
  <c r="K379" i="10"/>
  <c r="L379" i="10"/>
  <c r="S380" i="10"/>
  <c r="O380" i="10"/>
  <c r="P380" i="10"/>
  <c r="K380" i="10"/>
  <c r="L380" i="10"/>
  <c r="S381" i="10"/>
  <c r="O381" i="10"/>
  <c r="P381" i="10"/>
  <c r="K381" i="10"/>
  <c r="L381" i="10"/>
  <c r="S382" i="10"/>
  <c r="O382" i="10"/>
  <c r="Q382" i="10" s="1"/>
  <c r="P382" i="10"/>
  <c r="K382" i="10"/>
  <c r="L382" i="10"/>
  <c r="S383" i="10"/>
  <c r="O383" i="10"/>
  <c r="P383" i="10"/>
  <c r="K383" i="10"/>
  <c r="L383" i="10"/>
  <c r="S384" i="10"/>
  <c r="O384" i="10"/>
  <c r="P384" i="10"/>
  <c r="Q384" i="10" s="1"/>
  <c r="K384" i="10"/>
  <c r="L384" i="10"/>
  <c r="S385" i="10"/>
  <c r="O385" i="10"/>
  <c r="P385" i="10"/>
  <c r="K385" i="10"/>
  <c r="L385" i="10"/>
  <c r="S386" i="10"/>
  <c r="O386" i="10"/>
  <c r="P386" i="10"/>
  <c r="K386" i="10"/>
  <c r="L386" i="10"/>
  <c r="S387" i="10"/>
  <c r="O387" i="10"/>
  <c r="P387" i="10"/>
  <c r="K387" i="10"/>
  <c r="L387" i="10"/>
  <c r="S388" i="10"/>
  <c r="O388" i="10"/>
  <c r="P388" i="10"/>
  <c r="K388" i="10"/>
  <c r="L388" i="10"/>
  <c r="S389" i="10"/>
  <c r="O389" i="10"/>
  <c r="P389" i="10"/>
  <c r="K389" i="10"/>
  <c r="L389" i="10"/>
  <c r="S390" i="10"/>
  <c r="O390" i="10"/>
  <c r="P390" i="10"/>
  <c r="K390" i="10"/>
  <c r="L390" i="10"/>
  <c r="S391" i="10"/>
  <c r="O391" i="10"/>
  <c r="P391" i="10"/>
  <c r="K391" i="10"/>
  <c r="L391" i="10"/>
  <c r="S392" i="10"/>
  <c r="O392" i="10"/>
  <c r="P392" i="10"/>
  <c r="K392" i="10"/>
  <c r="L392" i="10"/>
  <c r="S393" i="10"/>
  <c r="O393" i="10"/>
  <c r="P393" i="10"/>
  <c r="K393" i="10"/>
  <c r="L393" i="10"/>
  <c r="S394" i="10"/>
  <c r="O394" i="10"/>
  <c r="P394" i="10"/>
  <c r="K394" i="10"/>
  <c r="L394" i="10"/>
  <c r="S395" i="10"/>
  <c r="O395" i="10"/>
  <c r="P395" i="10"/>
  <c r="K395" i="10"/>
  <c r="L395" i="10"/>
  <c r="S396" i="10"/>
  <c r="O396" i="10"/>
  <c r="P396" i="10"/>
  <c r="K396" i="10"/>
  <c r="L396" i="10"/>
  <c r="S397" i="10"/>
  <c r="O397" i="10"/>
  <c r="P397" i="10"/>
  <c r="K397" i="10"/>
  <c r="L397" i="10"/>
  <c r="S398" i="10"/>
  <c r="O398" i="10"/>
  <c r="P398" i="10"/>
  <c r="K398" i="10"/>
  <c r="L398" i="10"/>
  <c r="S399" i="10"/>
  <c r="O399" i="10"/>
  <c r="P399" i="10"/>
  <c r="K399" i="10"/>
  <c r="L399" i="10"/>
  <c r="S400" i="10"/>
  <c r="O400" i="10"/>
  <c r="P400" i="10"/>
  <c r="K400" i="10"/>
  <c r="L400" i="10"/>
  <c r="S401" i="10"/>
  <c r="O401" i="10"/>
  <c r="P401" i="10"/>
  <c r="K401" i="10"/>
  <c r="L401" i="10"/>
  <c r="S402" i="10"/>
  <c r="O402" i="10"/>
  <c r="P402" i="10"/>
  <c r="K402" i="10"/>
  <c r="L402" i="10"/>
  <c r="S403" i="10"/>
  <c r="O403" i="10"/>
  <c r="P403" i="10"/>
  <c r="K403" i="10"/>
  <c r="L403" i="10"/>
  <c r="S404" i="10"/>
  <c r="O404" i="10"/>
  <c r="P404" i="10"/>
  <c r="K404" i="10"/>
  <c r="L404" i="10"/>
  <c r="S405" i="10"/>
  <c r="O405" i="10"/>
  <c r="P405" i="10"/>
  <c r="K405" i="10"/>
  <c r="L405" i="10"/>
  <c r="S406" i="10"/>
  <c r="O406" i="10"/>
  <c r="P406" i="10"/>
  <c r="K406" i="10"/>
  <c r="L406" i="10"/>
  <c r="S407" i="10"/>
  <c r="O407" i="10"/>
  <c r="P407" i="10"/>
  <c r="K407" i="10"/>
  <c r="L407" i="10"/>
  <c r="S408" i="10"/>
  <c r="O408" i="10"/>
  <c r="P408" i="10"/>
  <c r="K408" i="10"/>
  <c r="L408" i="10"/>
  <c r="S409" i="10"/>
  <c r="O409" i="10"/>
  <c r="P409" i="10"/>
  <c r="K409" i="10"/>
  <c r="L409" i="10"/>
  <c r="S410" i="10"/>
  <c r="O410" i="10"/>
  <c r="P410" i="10"/>
  <c r="K410" i="10"/>
  <c r="L410" i="10"/>
  <c r="S411" i="10"/>
  <c r="O411" i="10"/>
  <c r="P411" i="10"/>
  <c r="K411" i="10"/>
  <c r="L411" i="10"/>
  <c r="S412" i="10"/>
  <c r="O412" i="10"/>
  <c r="P412" i="10"/>
  <c r="K412" i="10"/>
  <c r="L412" i="10"/>
  <c r="S413" i="10"/>
  <c r="O413" i="10"/>
  <c r="P413" i="10"/>
  <c r="K413" i="10"/>
  <c r="L413" i="10"/>
  <c r="S414" i="10"/>
  <c r="O414" i="10"/>
  <c r="P414" i="10"/>
  <c r="K414" i="10"/>
  <c r="L414" i="10"/>
  <c r="S415" i="10"/>
  <c r="O415" i="10"/>
  <c r="P415" i="10"/>
  <c r="K415" i="10"/>
  <c r="L415" i="10"/>
  <c r="S416" i="10"/>
  <c r="O416" i="10"/>
  <c r="P416" i="10"/>
  <c r="K416" i="10"/>
  <c r="L416" i="10"/>
  <c r="S417" i="10"/>
  <c r="O417" i="10"/>
  <c r="P417" i="10"/>
  <c r="K417" i="10"/>
  <c r="L417" i="10"/>
  <c r="S418" i="10"/>
  <c r="O418" i="10"/>
  <c r="P418" i="10"/>
  <c r="K418" i="10"/>
  <c r="L418" i="10"/>
  <c r="S419" i="10"/>
  <c r="O419" i="10"/>
  <c r="P419" i="10"/>
  <c r="K419" i="10"/>
  <c r="L419" i="10"/>
  <c r="S420" i="10"/>
  <c r="O420" i="10"/>
  <c r="P420" i="10"/>
  <c r="K420" i="10"/>
  <c r="L420" i="10"/>
  <c r="S421" i="10"/>
  <c r="O421" i="10"/>
  <c r="P421" i="10"/>
  <c r="K421" i="10"/>
  <c r="L421" i="10"/>
  <c r="S422" i="10"/>
  <c r="O422" i="10"/>
  <c r="P422" i="10"/>
  <c r="K422" i="10"/>
  <c r="L422" i="10"/>
  <c r="S423" i="10"/>
  <c r="O423" i="10"/>
  <c r="P423" i="10"/>
  <c r="K423" i="10"/>
  <c r="L423" i="10"/>
  <c r="S424" i="10"/>
  <c r="O424" i="10"/>
  <c r="P424" i="10"/>
  <c r="K424" i="10"/>
  <c r="L424" i="10"/>
  <c r="S425" i="10"/>
  <c r="O425" i="10"/>
  <c r="P425" i="10"/>
  <c r="K425" i="10"/>
  <c r="L425" i="10"/>
  <c r="S426" i="10"/>
  <c r="O426" i="10"/>
  <c r="P426" i="10"/>
  <c r="K426" i="10"/>
  <c r="L426" i="10"/>
  <c r="S427" i="10"/>
  <c r="O427" i="10"/>
  <c r="P427" i="10"/>
  <c r="K427" i="10"/>
  <c r="L427" i="10"/>
  <c r="S428" i="10"/>
  <c r="O428" i="10"/>
  <c r="P428" i="10"/>
  <c r="K428" i="10"/>
  <c r="L428" i="10"/>
  <c r="S429" i="10"/>
  <c r="O429" i="10"/>
  <c r="P429" i="10"/>
  <c r="K429" i="10"/>
  <c r="L429" i="10"/>
  <c r="S430" i="10"/>
  <c r="O430" i="10"/>
  <c r="P430" i="10"/>
  <c r="K430" i="10"/>
  <c r="L430" i="10"/>
  <c r="S431" i="10"/>
  <c r="O431" i="10"/>
  <c r="P431" i="10"/>
  <c r="K431" i="10"/>
  <c r="L431" i="10"/>
  <c r="S432" i="10"/>
  <c r="O432" i="10"/>
  <c r="P432" i="10"/>
  <c r="K432" i="10"/>
  <c r="L432" i="10"/>
  <c r="S433" i="10"/>
  <c r="O433" i="10"/>
  <c r="P433" i="10"/>
  <c r="K433" i="10"/>
  <c r="L433" i="10"/>
  <c r="S434" i="10"/>
  <c r="O434" i="10"/>
  <c r="P434" i="10"/>
  <c r="K434" i="10"/>
  <c r="L434" i="10"/>
  <c r="S435" i="10"/>
  <c r="O435" i="10"/>
  <c r="P435" i="10"/>
  <c r="K435" i="10"/>
  <c r="L435" i="10"/>
  <c r="S436" i="10"/>
  <c r="O436" i="10"/>
  <c r="P436" i="10"/>
  <c r="K436" i="10"/>
  <c r="L436" i="10"/>
  <c r="S437" i="10"/>
  <c r="O437" i="10"/>
  <c r="P437" i="10"/>
  <c r="K437" i="10"/>
  <c r="L437" i="10"/>
  <c r="S438" i="10"/>
  <c r="O438" i="10"/>
  <c r="P438" i="10"/>
  <c r="K438" i="10"/>
  <c r="L438" i="10"/>
  <c r="S439" i="10"/>
  <c r="O439" i="10"/>
  <c r="P439" i="10"/>
  <c r="K439" i="10"/>
  <c r="L439" i="10"/>
  <c r="S440" i="10"/>
  <c r="O440" i="10"/>
  <c r="P440" i="10"/>
  <c r="K440" i="10"/>
  <c r="L440" i="10"/>
  <c r="S441" i="10"/>
  <c r="O441" i="10"/>
  <c r="P441" i="10"/>
  <c r="K441" i="10"/>
  <c r="L441" i="10"/>
  <c r="S442" i="10"/>
  <c r="O442" i="10"/>
  <c r="P442" i="10"/>
  <c r="K442" i="10"/>
  <c r="L442" i="10"/>
  <c r="S443" i="10"/>
  <c r="O443" i="10"/>
  <c r="P443" i="10"/>
  <c r="K443" i="10"/>
  <c r="L443" i="10"/>
  <c r="S444" i="10"/>
  <c r="O444" i="10"/>
  <c r="P444" i="10"/>
  <c r="K444" i="10"/>
  <c r="L444" i="10"/>
  <c r="S445" i="10"/>
  <c r="O445" i="10"/>
  <c r="P445" i="10"/>
  <c r="K445" i="10"/>
  <c r="L445" i="10"/>
  <c r="S446" i="10"/>
  <c r="O446" i="10"/>
  <c r="P446" i="10"/>
  <c r="K446" i="10"/>
  <c r="L446" i="10"/>
  <c r="S447" i="10"/>
  <c r="O447" i="10"/>
  <c r="P447" i="10"/>
  <c r="K447" i="10"/>
  <c r="L447" i="10"/>
  <c r="S448" i="10"/>
  <c r="O448" i="10"/>
  <c r="P448" i="10"/>
  <c r="K448" i="10"/>
  <c r="L448" i="10"/>
  <c r="S449" i="10"/>
  <c r="O449" i="10"/>
  <c r="P449" i="10"/>
  <c r="K449" i="10"/>
  <c r="L449" i="10"/>
  <c r="S450" i="10"/>
  <c r="O450" i="10"/>
  <c r="P450" i="10"/>
  <c r="K450" i="10"/>
  <c r="L450" i="10"/>
  <c r="S451" i="10"/>
  <c r="O451" i="10"/>
  <c r="P451" i="10"/>
  <c r="K451" i="10"/>
  <c r="L451" i="10"/>
  <c r="S452" i="10"/>
  <c r="O452" i="10"/>
  <c r="P452" i="10"/>
  <c r="K452" i="10"/>
  <c r="L452" i="10"/>
  <c r="S453" i="10"/>
  <c r="O453" i="10"/>
  <c r="P453" i="10"/>
  <c r="K453" i="10"/>
  <c r="L453" i="10"/>
  <c r="S454" i="10"/>
  <c r="O454" i="10"/>
  <c r="P454" i="10"/>
  <c r="K454" i="10"/>
  <c r="L454" i="10"/>
  <c r="S455" i="10"/>
  <c r="O455" i="10"/>
  <c r="P455" i="10"/>
  <c r="K455" i="10"/>
  <c r="L455" i="10"/>
  <c r="S456" i="10"/>
  <c r="O456" i="10"/>
  <c r="P456" i="10"/>
  <c r="K456" i="10"/>
  <c r="L456" i="10"/>
  <c r="S457" i="10"/>
  <c r="O457" i="10"/>
  <c r="P457" i="10"/>
  <c r="K457" i="10"/>
  <c r="L457" i="10"/>
  <c r="S458" i="10"/>
  <c r="O458" i="10"/>
  <c r="P458" i="10"/>
  <c r="K458" i="10"/>
  <c r="L458" i="10"/>
  <c r="S459" i="10"/>
  <c r="O459" i="10"/>
  <c r="P459" i="10"/>
  <c r="K459" i="10"/>
  <c r="L459" i="10"/>
  <c r="S460" i="10"/>
  <c r="O460" i="10"/>
  <c r="P460" i="10"/>
  <c r="K460" i="10"/>
  <c r="L460" i="10"/>
  <c r="S461" i="10"/>
  <c r="O461" i="10"/>
  <c r="P461" i="10"/>
  <c r="K461" i="10"/>
  <c r="L461" i="10"/>
  <c r="S462" i="10"/>
  <c r="O462" i="10"/>
  <c r="P462" i="10"/>
  <c r="K462" i="10"/>
  <c r="L462" i="10"/>
  <c r="S463" i="10"/>
  <c r="O463" i="10"/>
  <c r="P463" i="10"/>
  <c r="K463" i="10"/>
  <c r="L463" i="10"/>
  <c r="S464" i="10"/>
  <c r="O464" i="10"/>
  <c r="P464" i="10"/>
  <c r="K464" i="10"/>
  <c r="L464" i="10"/>
  <c r="S465" i="10"/>
  <c r="O465" i="10"/>
  <c r="P465" i="10"/>
  <c r="K465" i="10"/>
  <c r="L465" i="10"/>
  <c r="S466" i="10"/>
  <c r="O466" i="10"/>
  <c r="P466" i="10"/>
  <c r="K466" i="10"/>
  <c r="L466" i="10"/>
  <c r="S467" i="10"/>
  <c r="O467" i="10"/>
  <c r="P467" i="10"/>
  <c r="K467" i="10"/>
  <c r="L467" i="10"/>
  <c r="S468" i="10"/>
  <c r="O468" i="10"/>
  <c r="P468" i="10"/>
  <c r="K468" i="10"/>
  <c r="L468" i="10"/>
  <c r="S469" i="10"/>
  <c r="O469" i="10"/>
  <c r="P469" i="10"/>
  <c r="K469" i="10"/>
  <c r="L469" i="10"/>
  <c r="S470" i="10"/>
  <c r="O470" i="10"/>
  <c r="P470" i="10"/>
  <c r="K470" i="10"/>
  <c r="L470" i="10"/>
  <c r="S471" i="10"/>
  <c r="O471" i="10"/>
  <c r="P471" i="10"/>
  <c r="K471" i="10"/>
  <c r="L471" i="10"/>
  <c r="S472" i="10"/>
  <c r="O472" i="10"/>
  <c r="P472" i="10"/>
  <c r="K472" i="10"/>
  <c r="L472" i="10"/>
  <c r="S473" i="10"/>
  <c r="O473" i="10"/>
  <c r="P473" i="10"/>
  <c r="K473" i="10"/>
  <c r="L473" i="10"/>
  <c r="S474" i="10"/>
  <c r="O474" i="10"/>
  <c r="P474" i="10"/>
  <c r="K474" i="10"/>
  <c r="L474" i="10"/>
  <c r="S475" i="10"/>
  <c r="O475" i="10"/>
  <c r="P475" i="10"/>
  <c r="K475" i="10"/>
  <c r="L475" i="10"/>
  <c r="S476" i="10"/>
  <c r="O476" i="10"/>
  <c r="P476" i="10"/>
  <c r="K476" i="10"/>
  <c r="L476" i="10"/>
  <c r="S477" i="10"/>
  <c r="O477" i="10"/>
  <c r="P477" i="10"/>
  <c r="K477" i="10"/>
  <c r="L477" i="10"/>
  <c r="S478" i="10"/>
  <c r="O478" i="10"/>
  <c r="P478" i="10"/>
  <c r="K478" i="10"/>
  <c r="L478" i="10"/>
  <c r="S479" i="10"/>
  <c r="O479" i="10"/>
  <c r="P479" i="10"/>
  <c r="K479" i="10"/>
  <c r="L479" i="10"/>
  <c r="S480" i="10"/>
  <c r="O480" i="10"/>
  <c r="P480" i="10"/>
  <c r="K480" i="10"/>
  <c r="L480" i="10"/>
  <c r="S481" i="10"/>
  <c r="O481" i="10"/>
  <c r="P481" i="10"/>
  <c r="K481" i="10"/>
  <c r="L481" i="10"/>
  <c r="S482" i="10"/>
  <c r="O482" i="10"/>
  <c r="P482" i="10"/>
  <c r="K482" i="10"/>
  <c r="L482" i="10"/>
  <c r="S483" i="10"/>
  <c r="O483" i="10"/>
  <c r="P483" i="10"/>
  <c r="K483" i="10"/>
  <c r="L483" i="10"/>
  <c r="S484" i="10"/>
  <c r="O484" i="10"/>
  <c r="P484" i="10"/>
  <c r="K484" i="10"/>
  <c r="L484" i="10"/>
  <c r="S485" i="10"/>
  <c r="O485" i="10"/>
  <c r="P485" i="10"/>
  <c r="K485" i="10"/>
  <c r="L485" i="10"/>
  <c r="S486" i="10"/>
  <c r="O486" i="10"/>
  <c r="P486" i="10"/>
  <c r="K486" i="10"/>
  <c r="L486" i="10"/>
  <c r="S487" i="10"/>
  <c r="O487" i="10"/>
  <c r="P487" i="10"/>
  <c r="K487" i="10"/>
  <c r="L487" i="10"/>
  <c r="S488" i="10"/>
  <c r="O488" i="10"/>
  <c r="P488" i="10"/>
  <c r="K488" i="10"/>
  <c r="L488" i="10"/>
  <c r="S489" i="10"/>
  <c r="O489" i="10"/>
  <c r="P489" i="10"/>
  <c r="K489" i="10"/>
  <c r="L489" i="10"/>
  <c r="S490" i="10"/>
  <c r="O490" i="10"/>
  <c r="P490" i="10"/>
  <c r="K490" i="10"/>
  <c r="L490" i="10"/>
  <c r="S491" i="10"/>
  <c r="O491" i="10"/>
  <c r="P491" i="10"/>
  <c r="K491" i="10"/>
  <c r="L491" i="10"/>
  <c r="S492" i="10"/>
  <c r="O492" i="10"/>
  <c r="P492" i="10"/>
  <c r="K492" i="10"/>
  <c r="L492" i="10"/>
  <c r="S493" i="10"/>
  <c r="O493" i="10"/>
  <c r="P493" i="10"/>
  <c r="K493" i="10"/>
  <c r="L493" i="10"/>
  <c r="S494" i="10"/>
  <c r="O494" i="10"/>
  <c r="P494" i="10"/>
  <c r="K494" i="10"/>
  <c r="L494" i="10"/>
  <c r="S495" i="10"/>
  <c r="O495" i="10"/>
  <c r="P495" i="10"/>
  <c r="K495" i="10"/>
  <c r="L495" i="10"/>
  <c r="S496" i="10"/>
  <c r="O496" i="10"/>
  <c r="P496" i="10"/>
  <c r="K496" i="10"/>
  <c r="L496" i="10"/>
  <c r="S497" i="10"/>
  <c r="O497" i="10"/>
  <c r="P497" i="10"/>
  <c r="K497" i="10"/>
  <c r="L497" i="10"/>
  <c r="S498" i="10"/>
  <c r="O498" i="10"/>
  <c r="P498" i="10"/>
  <c r="K498" i="10"/>
  <c r="L498" i="10"/>
  <c r="S499" i="10"/>
  <c r="O499" i="10"/>
  <c r="P499" i="10"/>
  <c r="K499" i="10"/>
  <c r="L499" i="10"/>
  <c r="S500" i="10"/>
  <c r="O500" i="10"/>
  <c r="P500" i="10"/>
  <c r="K500" i="10"/>
  <c r="L500" i="10"/>
  <c r="S501" i="10"/>
  <c r="O501" i="10"/>
  <c r="P501" i="10"/>
  <c r="K501" i="10"/>
  <c r="L501" i="10"/>
  <c r="S502" i="10"/>
  <c r="O502" i="10"/>
  <c r="Q502" i="10" s="1"/>
  <c r="P502" i="10"/>
  <c r="K502" i="10"/>
  <c r="L502" i="10"/>
  <c r="S503" i="10"/>
  <c r="O503" i="10"/>
  <c r="P503" i="10"/>
  <c r="K503" i="10"/>
  <c r="L503" i="10"/>
  <c r="S504" i="10"/>
  <c r="O504" i="10"/>
  <c r="P504" i="10"/>
  <c r="K504" i="10"/>
  <c r="L504" i="10"/>
  <c r="S505" i="10"/>
  <c r="O505" i="10"/>
  <c r="P505" i="10"/>
  <c r="K505" i="10"/>
  <c r="L505" i="10"/>
  <c r="S506" i="10"/>
  <c r="O506" i="10"/>
  <c r="Q506" i="10" s="1"/>
  <c r="P506" i="10"/>
  <c r="K506" i="10"/>
  <c r="L506" i="10"/>
  <c r="S507" i="10"/>
  <c r="O507" i="10"/>
  <c r="P507" i="10"/>
  <c r="K507" i="10"/>
  <c r="L507" i="10"/>
  <c r="S508" i="10"/>
  <c r="O508" i="10"/>
  <c r="P508" i="10"/>
  <c r="K508" i="10"/>
  <c r="L508" i="10"/>
  <c r="S509" i="10"/>
  <c r="O509" i="10"/>
  <c r="P509" i="10"/>
  <c r="K509" i="10"/>
  <c r="L509" i="10"/>
  <c r="S510" i="10"/>
  <c r="O510" i="10"/>
  <c r="Q510" i="10" s="1"/>
  <c r="P510" i="10"/>
  <c r="K510" i="10"/>
  <c r="L510" i="10"/>
  <c r="S511" i="10"/>
  <c r="O511" i="10"/>
  <c r="P511" i="10"/>
  <c r="K511" i="10"/>
  <c r="L511" i="10"/>
  <c r="S512" i="10"/>
  <c r="O512" i="10"/>
  <c r="P512" i="10"/>
  <c r="K512" i="10"/>
  <c r="L512" i="10"/>
  <c r="S513" i="10"/>
  <c r="O513" i="10"/>
  <c r="P513" i="10"/>
  <c r="K513" i="10"/>
  <c r="L513" i="10"/>
  <c r="S514" i="10"/>
  <c r="O514" i="10"/>
  <c r="P514" i="10"/>
  <c r="K514" i="10"/>
  <c r="L514" i="10"/>
  <c r="S515" i="10"/>
  <c r="O515" i="10"/>
  <c r="P515" i="10"/>
  <c r="K515" i="10"/>
  <c r="L515" i="10"/>
  <c r="S516" i="10"/>
  <c r="O516" i="10"/>
  <c r="P516" i="10"/>
  <c r="K516" i="10"/>
  <c r="L516" i="10"/>
  <c r="S517" i="10"/>
  <c r="O517" i="10"/>
  <c r="P517" i="10"/>
  <c r="K517" i="10"/>
  <c r="L517" i="10"/>
  <c r="S518" i="10"/>
  <c r="O518" i="10"/>
  <c r="P518" i="10"/>
  <c r="K518" i="10"/>
  <c r="L518" i="10"/>
  <c r="S519" i="10"/>
  <c r="O519" i="10"/>
  <c r="P519" i="10"/>
  <c r="K519" i="10"/>
  <c r="L519" i="10"/>
  <c r="S520" i="10"/>
  <c r="O520" i="10"/>
  <c r="P520" i="10"/>
  <c r="K520" i="10"/>
  <c r="L520" i="10"/>
  <c r="S521" i="10"/>
  <c r="S522" i="10"/>
  <c r="O522" i="10"/>
  <c r="P522" i="10"/>
  <c r="K522" i="10"/>
  <c r="L522" i="10"/>
  <c r="S523" i="10"/>
  <c r="O523" i="10"/>
  <c r="P523" i="10"/>
  <c r="K523" i="10"/>
  <c r="L523" i="10"/>
  <c r="S524" i="10"/>
  <c r="S525" i="10"/>
  <c r="O525" i="10"/>
  <c r="P525" i="10"/>
  <c r="K525" i="10"/>
  <c r="L525" i="10"/>
  <c r="S526" i="10"/>
  <c r="O526" i="10"/>
  <c r="P526" i="10"/>
  <c r="K526" i="10"/>
  <c r="L526" i="10"/>
  <c r="S527" i="10"/>
  <c r="O527" i="10"/>
  <c r="P527" i="10"/>
  <c r="K527" i="10"/>
  <c r="L527" i="10"/>
  <c r="S528" i="10"/>
  <c r="O528" i="10"/>
  <c r="P528" i="10"/>
  <c r="K528" i="10"/>
  <c r="L528" i="10"/>
  <c r="S529" i="10"/>
  <c r="O529" i="10"/>
  <c r="P529" i="10"/>
  <c r="K529" i="10"/>
  <c r="L529" i="10"/>
  <c r="S530" i="10"/>
  <c r="O530" i="10"/>
  <c r="P530" i="10"/>
  <c r="K530" i="10"/>
  <c r="L530" i="10"/>
  <c r="S531" i="10"/>
  <c r="O531" i="10"/>
  <c r="P531" i="10"/>
  <c r="K531" i="10"/>
  <c r="L531" i="10"/>
  <c r="S532" i="10"/>
  <c r="O532" i="10"/>
  <c r="P532" i="10"/>
  <c r="K532" i="10"/>
  <c r="L532" i="10"/>
  <c r="S533" i="10"/>
  <c r="O533" i="10"/>
  <c r="P533" i="10"/>
  <c r="K533" i="10"/>
  <c r="L533" i="10"/>
  <c r="S534" i="10"/>
  <c r="O534" i="10"/>
  <c r="P534" i="10"/>
  <c r="K534" i="10"/>
  <c r="L534" i="10"/>
  <c r="S535" i="10"/>
  <c r="O535" i="10"/>
  <c r="P535" i="10"/>
  <c r="K535" i="10"/>
  <c r="L535" i="10"/>
  <c r="S536" i="10"/>
  <c r="O536" i="10"/>
  <c r="P536" i="10"/>
  <c r="K536" i="10"/>
  <c r="L536" i="10"/>
  <c r="S537" i="10"/>
  <c r="O537" i="10"/>
  <c r="P537" i="10"/>
  <c r="K537" i="10"/>
  <c r="L537" i="10"/>
  <c r="S538" i="10"/>
  <c r="O538" i="10"/>
  <c r="P538" i="10"/>
  <c r="K538" i="10"/>
  <c r="L538" i="10"/>
  <c r="S539" i="10"/>
  <c r="O539" i="10"/>
  <c r="P539" i="10"/>
  <c r="K539" i="10"/>
  <c r="L539" i="10"/>
  <c r="S540" i="10"/>
  <c r="O540" i="10"/>
  <c r="P540" i="10"/>
  <c r="K540" i="10"/>
  <c r="L540" i="10"/>
  <c r="S541" i="10"/>
  <c r="O541" i="10"/>
  <c r="P541" i="10"/>
  <c r="K541" i="10"/>
  <c r="L541" i="10"/>
  <c r="S542" i="10"/>
  <c r="O542" i="10"/>
  <c r="P542" i="10"/>
  <c r="K542" i="10"/>
  <c r="L542" i="10"/>
  <c r="K543" i="10"/>
  <c r="L543" i="10"/>
  <c r="K544" i="10"/>
  <c r="L544" i="10"/>
  <c r="K545" i="10"/>
  <c r="L545" i="10"/>
  <c r="K546" i="10"/>
  <c r="L546" i="10"/>
  <c r="S547" i="10"/>
  <c r="O547" i="10"/>
  <c r="P547" i="10"/>
  <c r="K547" i="10"/>
  <c r="L547" i="10"/>
  <c r="S548" i="10"/>
  <c r="O548" i="10"/>
  <c r="P548" i="10"/>
  <c r="K548" i="10"/>
  <c r="L548" i="10"/>
  <c r="S549" i="10"/>
  <c r="O549" i="10"/>
  <c r="P549" i="10"/>
  <c r="K549" i="10"/>
  <c r="L549" i="10"/>
  <c r="S550" i="10"/>
  <c r="S551" i="10"/>
  <c r="O551" i="10"/>
  <c r="P551" i="10"/>
  <c r="K551" i="10"/>
  <c r="L551" i="10"/>
  <c r="S552" i="10"/>
  <c r="O552" i="10"/>
  <c r="P552" i="10"/>
  <c r="K552" i="10"/>
  <c r="L552" i="10"/>
  <c r="S553" i="10"/>
  <c r="O553" i="10"/>
  <c r="P553" i="10"/>
  <c r="K553" i="10"/>
  <c r="L553" i="10"/>
  <c r="S554" i="10"/>
  <c r="O554" i="10"/>
  <c r="P554" i="10"/>
  <c r="K554" i="10"/>
  <c r="L554" i="10"/>
  <c r="S555" i="10"/>
  <c r="O555" i="10"/>
  <c r="P555" i="10"/>
  <c r="K555" i="10"/>
  <c r="L555" i="10"/>
  <c r="S556" i="10"/>
  <c r="O556" i="10"/>
  <c r="P556" i="10"/>
  <c r="K556" i="10"/>
  <c r="L556" i="10"/>
  <c r="S557" i="10"/>
  <c r="O557" i="10"/>
  <c r="P557" i="10"/>
  <c r="K557" i="10"/>
  <c r="L557" i="10"/>
  <c r="S558" i="10"/>
  <c r="O558" i="10"/>
  <c r="P558" i="10"/>
  <c r="K558" i="10"/>
  <c r="L558" i="10"/>
  <c r="S559" i="10"/>
  <c r="S560" i="10"/>
  <c r="S561" i="10"/>
  <c r="O561" i="10"/>
  <c r="P561" i="10"/>
  <c r="K561" i="10"/>
  <c r="L561" i="10"/>
  <c r="S563" i="10"/>
  <c r="O563" i="10"/>
  <c r="P563" i="10"/>
  <c r="K563" i="10"/>
  <c r="L563" i="10"/>
  <c r="S564" i="10"/>
  <c r="O564" i="10"/>
  <c r="P564" i="10"/>
  <c r="K564" i="10"/>
  <c r="L564" i="10"/>
  <c r="S565" i="10"/>
  <c r="O565" i="10"/>
  <c r="P565" i="10"/>
  <c r="K565" i="10"/>
  <c r="L565" i="10"/>
  <c r="S566" i="10"/>
  <c r="O566" i="10"/>
  <c r="P566" i="10"/>
  <c r="K566" i="10"/>
  <c r="L566" i="10"/>
  <c r="S568" i="10"/>
  <c r="O568" i="10"/>
  <c r="P568" i="10"/>
  <c r="K568" i="10"/>
  <c r="L568" i="10"/>
  <c r="S569" i="10"/>
  <c r="O569" i="10"/>
  <c r="P569" i="10"/>
  <c r="K569" i="10"/>
  <c r="L569" i="10"/>
  <c r="S570" i="10"/>
  <c r="O570" i="10"/>
  <c r="P570" i="10"/>
  <c r="K570" i="10"/>
  <c r="L570" i="10"/>
  <c r="S571" i="10"/>
  <c r="O571" i="10"/>
  <c r="P571" i="10"/>
  <c r="K571" i="10"/>
  <c r="L571" i="10"/>
  <c r="S572" i="10"/>
  <c r="O572" i="10"/>
  <c r="P572" i="10"/>
  <c r="K572" i="10"/>
  <c r="L572" i="10"/>
  <c r="S573" i="10"/>
  <c r="O573" i="10"/>
  <c r="P573" i="10"/>
  <c r="K573" i="10"/>
  <c r="L573" i="10"/>
  <c r="S574" i="10"/>
  <c r="O574" i="10"/>
  <c r="P574" i="10"/>
  <c r="K574" i="10"/>
  <c r="L574" i="10"/>
  <c r="S575" i="10"/>
  <c r="O575" i="10"/>
  <c r="P575" i="10"/>
  <c r="K575" i="10"/>
  <c r="L575" i="10"/>
  <c r="S576" i="10"/>
  <c r="O576" i="10"/>
  <c r="P576" i="10"/>
  <c r="K576" i="10"/>
  <c r="L576" i="10"/>
  <c r="S577" i="10"/>
  <c r="O577" i="10"/>
  <c r="P577" i="10"/>
  <c r="K577" i="10"/>
  <c r="L577" i="10"/>
  <c r="R600" i="10"/>
  <c r="S600" i="10"/>
  <c r="O600" i="10"/>
  <c r="P600" i="10"/>
  <c r="S594" i="10"/>
  <c r="O594" i="10"/>
  <c r="P594" i="10"/>
  <c r="K594" i="10"/>
  <c r="L594" i="10"/>
  <c r="S595" i="10"/>
  <c r="O595" i="10"/>
  <c r="P595" i="10"/>
  <c r="K595" i="10"/>
  <c r="L595" i="10"/>
  <c r="S596" i="10"/>
  <c r="O596" i="10"/>
  <c r="P596" i="10"/>
  <c r="K596" i="10"/>
  <c r="L596" i="10"/>
  <c r="S597" i="10"/>
  <c r="O597" i="10"/>
  <c r="P597" i="10"/>
  <c r="K597" i="10"/>
  <c r="L597" i="10"/>
  <c r="S598" i="10"/>
  <c r="O598" i="10"/>
  <c r="P598" i="10"/>
  <c r="K598" i="10"/>
  <c r="L598" i="10"/>
  <c r="S599" i="10"/>
  <c r="O599" i="10"/>
  <c r="P599" i="10"/>
  <c r="K599" i="10"/>
  <c r="L599" i="10"/>
  <c r="S601" i="10"/>
  <c r="O601" i="10"/>
  <c r="P601" i="10"/>
  <c r="K601" i="10"/>
  <c r="L601" i="10"/>
  <c r="S602" i="10"/>
  <c r="O602" i="10"/>
  <c r="P602" i="10"/>
  <c r="K602" i="10"/>
  <c r="L602" i="10"/>
  <c r="S603" i="10"/>
  <c r="O603" i="10"/>
  <c r="P603" i="10"/>
  <c r="K603" i="10"/>
  <c r="L603" i="10"/>
  <c r="R8" i="10"/>
  <c r="K8" i="10"/>
  <c r="L8" i="10"/>
  <c r="R9" i="10"/>
  <c r="O9" i="10"/>
  <c r="P9" i="10"/>
  <c r="K9" i="10"/>
  <c r="L9" i="10"/>
  <c r="R10" i="10"/>
  <c r="O10" i="10"/>
  <c r="P10" i="10"/>
  <c r="K10" i="10"/>
  <c r="L10" i="10"/>
  <c r="R11" i="10"/>
  <c r="O11" i="10"/>
  <c r="P11" i="10"/>
  <c r="K11" i="10"/>
  <c r="L11" i="10"/>
  <c r="R12" i="10"/>
  <c r="O12" i="10"/>
  <c r="P12" i="10"/>
  <c r="K12" i="10"/>
  <c r="L12" i="10"/>
  <c r="R13" i="10"/>
  <c r="O13" i="10"/>
  <c r="P13" i="10"/>
  <c r="K13" i="10"/>
  <c r="L13" i="10"/>
  <c r="R14" i="10"/>
  <c r="O14" i="10"/>
  <c r="P14" i="10"/>
  <c r="K14" i="10"/>
  <c r="L14" i="10"/>
  <c r="R15" i="10"/>
  <c r="O15" i="10"/>
  <c r="P15" i="10"/>
  <c r="K15" i="10"/>
  <c r="L15" i="10"/>
  <c r="R16" i="10"/>
  <c r="O16" i="10"/>
  <c r="P16" i="10"/>
  <c r="K16" i="10"/>
  <c r="L16" i="10"/>
  <c r="R17" i="10"/>
  <c r="O17" i="10"/>
  <c r="P17" i="10"/>
  <c r="K17" i="10"/>
  <c r="L17" i="10"/>
  <c r="R18" i="10"/>
  <c r="O18" i="10"/>
  <c r="P18" i="10"/>
  <c r="K18" i="10"/>
  <c r="L18" i="10"/>
  <c r="R19" i="10"/>
  <c r="O19" i="10"/>
  <c r="P19" i="10"/>
  <c r="K19" i="10"/>
  <c r="L19" i="10"/>
  <c r="R20" i="10"/>
  <c r="O20" i="10"/>
  <c r="P20" i="10"/>
  <c r="K20" i="10"/>
  <c r="L20" i="10"/>
  <c r="R21" i="10"/>
  <c r="O21" i="10"/>
  <c r="P21" i="10"/>
  <c r="K21" i="10"/>
  <c r="L21" i="10"/>
  <c r="R22" i="10"/>
  <c r="O22" i="10"/>
  <c r="P22" i="10"/>
  <c r="K22" i="10"/>
  <c r="L22" i="10"/>
  <c r="R23" i="10"/>
  <c r="O23" i="10"/>
  <c r="P23" i="10"/>
  <c r="K23" i="10"/>
  <c r="L23" i="10"/>
  <c r="R24" i="10"/>
  <c r="O24" i="10"/>
  <c r="P24" i="10"/>
  <c r="K24" i="10"/>
  <c r="L24" i="10"/>
  <c r="R25" i="10"/>
  <c r="O25" i="10"/>
  <c r="P25" i="10"/>
  <c r="K25" i="10"/>
  <c r="L25" i="10"/>
  <c r="R26" i="10"/>
  <c r="O26" i="10"/>
  <c r="P26" i="10"/>
  <c r="K26" i="10"/>
  <c r="L26" i="10"/>
  <c r="R27" i="10"/>
  <c r="O27" i="10"/>
  <c r="P27" i="10"/>
  <c r="K27" i="10"/>
  <c r="L27" i="10"/>
  <c r="R28" i="10"/>
  <c r="O28" i="10"/>
  <c r="P28" i="10"/>
  <c r="K28" i="10"/>
  <c r="L28" i="10"/>
  <c r="R29" i="10"/>
  <c r="O29" i="10"/>
  <c r="P29" i="10"/>
  <c r="K29" i="10"/>
  <c r="L29" i="10"/>
  <c r="R30" i="10"/>
  <c r="O30" i="10"/>
  <c r="P30" i="10"/>
  <c r="K30" i="10"/>
  <c r="L30" i="10"/>
  <c r="R31" i="10"/>
  <c r="O31" i="10"/>
  <c r="P31" i="10"/>
  <c r="K31" i="10"/>
  <c r="L31" i="10"/>
  <c r="R32" i="10"/>
  <c r="O32" i="10"/>
  <c r="P32" i="10"/>
  <c r="K32" i="10"/>
  <c r="L32" i="10"/>
  <c r="R33" i="10"/>
  <c r="O33" i="10"/>
  <c r="P33" i="10"/>
  <c r="K33" i="10"/>
  <c r="L33" i="10"/>
  <c r="R34" i="10"/>
  <c r="O34" i="10"/>
  <c r="P34" i="10"/>
  <c r="K34" i="10"/>
  <c r="L34" i="10"/>
  <c r="R35" i="10"/>
  <c r="O35" i="10"/>
  <c r="P35" i="10"/>
  <c r="K35" i="10"/>
  <c r="L35" i="10"/>
  <c r="R36" i="10"/>
  <c r="O36" i="10"/>
  <c r="P36" i="10"/>
  <c r="K36" i="10"/>
  <c r="L36" i="10"/>
  <c r="R37" i="10"/>
  <c r="O37" i="10"/>
  <c r="P37" i="10"/>
  <c r="K37" i="10"/>
  <c r="L37" i="10"/>
  <c r="R38" i="10"/>
  <c r="O38" i="10"/>
  <c r="P38" i="10"/>
  <c r="Q38" i="10" s="1"/>
  <c r="K38" i="10"/>
  <c r="L38" i="10"/>
  <c r="R39" i="10"/>
  <c r="O39" i="10"/>
  <c r="P39" i="10"/>
  <c r="K39" i="10"/>
  <c r="L39" i="10"/>
  <c r="R40" i="10"/>
  <c r="O40" i="10"/>
  <c r="P40" i="10"/>
  <c r="K40" i="10"/>
  <c r="L40" i="10"/>
  <c r="R41" i="10"/>
  <c r="O41" i="10"/>
  <c r="P41" i="10"/>
  <c r="K41" i="10"/>
  <c r="L41" i="10"/>
  <c r="R42" i="10"/>
  <c r="O42" i="10"/>
  <c r="P42" i="10"/>
  <c r="K42" i="10"/>
  <c r="L42" i="10"/>
  <c r="R43" i="10"/>
  <c r="O43" i="10"/>
  <c r="P43" i="10"/>
  <c r="K43" i="10"/>
  <c r="L43" i="10"/>
  <c r="R44" i="10"/>
  <c r="O44" i="10"/>
  <c r="P44" i="10"/>
  <c r="K44" i="10"/>
  <c r="L44" i="10"/>
  <c r="R45" i="10"/>
  <c r="O45" i="10"/>
  <c r="P45" i="10"/>
  <c r="K45" i="10"/>
  <c r="L45" i="10"/>
  <c r="R46" i="10"/>
  <c r="O46" i="10"/>
  <c r="P46" i="10"/>
  <c r="K46" i="10"/>
  <c r="L46" i="10"/>
  <c r="R47" i="10"/>
  <c r="O47" i="10"/>
  <c r="P47" i="10"/>
  <c r="K47" i="10"/>
  <c r="L47" i="10"/>
  <c r="R48" i="10"/>
  <c r="O48" i="10"/>
  <c r="P48" i="10"/>
  <c r="K48" i="10"/>
  <c r="L48" i="10"/>
  <c r="R49" i="10"/>
  <c r="O49" i="10"/>
  <c r="P49" i="10"/>
  <c r="K49" i="10"/>
  <c r="L49" i="10"/>
  <c r="R50" i="10"/>
  <c r="O50" i="10"/>
  <c r="P50" i="10"/>
  <c r="K50" i="10"/>
  <c r="L50" i="10"/>
  <c r="R51" i="10"/>
  <c r="O51" i="10"/>
  <c r="P51" i="10"/>
  <c r="K51" i="10"/>
  <c r="L51" i="10"/>
  <c r="R52" i="10"/>
  <c r="O52" i="10"/>
  <c r="P52" i="10"/>
  <c r="K52" i="10"/>
  <c r="L52" i="10"/>
  <c r="R53" i="10"/>
  <c r="O53" i="10"/>
  <c r="P53" i="10"/>
  <c r="K53" i="10"/>
  <c r="L53" i="10"/>
  <c r="R54" i="10"/>
  <c r="O54" i="10"/>
  <c r="P54" i="10"/>
  <c r="K54" i="10"/>
  <c r="L54" i="10"/>
  <c r="R55" i="10"/>
  <c r="O55" i="10"/>
  <c r="P55" i="10"/>
  <c r="K55" i="10"/>
  <c r="L55" i="10"/>
  <c r="R56" i="10"/>
  <c r="O56" i="10"/>
  <c r="P56" i="10"/>
  <c r="K56" i="10"/>
  <c r="L56" i="10"/>
  <c r="R57" i="10"/>
  <c r="O57" i="10"/>
  <c r="P57" i="10"/>
  <c r="K57" i="10"/>
  <c r="L57" i="10"/>
  <c r="R58" i="10"/>
  <c r="O58" i="10"/>
  <c r="P58" i="10"/>
  <c r="K58" i="10"/>
  <c r="L58" i="10"/>
  <c r="R59" i="10"/>
  <c r="O59" i="10"/>
  <c r="P59" i="10"/>
  <c r="K59" i="10"/>
  <c r="L59" i="10"/>
  <c r="R60" i="10"/>
  <c r="O60" i="10"/>
  <c r="P60" i="10"/>
  <c r="K60" i="10"/>
  <c r="L60" i="10"/>
  <c r="R61" i="10"/>
  <c r="O61" i="10"/>
  <c r="P61" i="10"/>
  <c r="K61" i="10"/>
  <c r="L61" i="10"/>
  <c r="R62" i="10"/>
  <c r="O62" i="10"/>
  <c r="P62" i="10"/>
  <c r="K62" i="10"/>
  <c r="L62" i="10"/>
  <c r="R63" i="10"/>
  <c r="O63" i="10"/>
  <c r="P63" i="10"/>
  <c r="K63" i="10"/>
  <c r="L63" i="10"/>
  <c r="R64" i="10"/>
  <c r="O64" i="10"/>
  <c r="P64" i="10"/>
  <c r="K64" i="10"/>
  <c r="L64" i="10"/>
  <c r="R65" i="10"/>
  <c r="O65" i="10"/>
  <c r="P65" i="10"/>
  <c r="K65" i="10"/>
  <c r="L65" i="10"/>
  <c r="R66" i="10"/>
  <c r="O66" i="10"/>
  <c r="P66" i="10"/>
  <c r="K66" i="10"/>
  <c r="L66" i="10"/>
  <c r="R67" i="10"/>
  <c r="O67" i="10"/>
  <c r="P67" i="10"/>
  <c r="K67" i="10"/>
  <c r="L67" i="10"/>
  <c r="R68" i="10"/>
  <c r="O68" i="10"/>
  <c r="P68" i="10"/>
  <c r="K68" i="10"/>
  <c r="L68" i="10"/>
  <c r="R69" i="10"/>
  <c r="O69" i="10"/>
  <c r="P69" i="10"/>
  <c r="K69" i="10"/>
  <c r="L69" i="10"/>
  <c r="R70" i="10"/>
  <c r="O70" i="10"/>
  <c r="P70" i="10"/>
  <c r="K70" i="10"/>
  <c r="L70" i="10"/>
  <c r="R71" i="10"/>
  <c r="O71" i="10"/>
  <c r="P71" i="10"/>
  <c r="K71" i="10"/>
  <c r="L71" i="10"/>
  <c r="R72" i="10"/>
  <c r="O72" i="10"/>
  <c r="P72" i="10"/>
  <c r="K72" i="10"/>
  <c r="L72" i="10"/>
  <c r="R73" i="10"/>
  <c r="O73" i="10"/>
  <c r="P73" i="10"/>
  <c r="K73" i="10"/>
  <c r="L73" i="10"/>
  <c r="R74" i="10"/>
  <c r="O74" i="10"/>
  <c r="P74" i="10"/>
  <c r="K74" i="10"/>
  <c r="L74" i="10"/>
  <c r="R75" i="10"/>
  <c r="O75" i="10"/>
  <c r="P75" i="10"/>
  <c r="K75" i="10"/>
  <c r="L75" i="10"/>
  <c r="R76" i="10"/>
  <c r="O76" i="10"/>
  <c r="P76" i="10"/>
  <c r="K76" i="10"/>
  <c r="L76" i="10"/>
  <c r="R77" i="10"/>
  <c r="O77" i="10"/>
  <c r="P77" i="10"/>
  <c r="K77" i="10"/>
  <c r="L77" i="10"/>
  <c r="R78" i="10"/>
  <c r="O78" i="10"/>
  <c r="P78" i="10"/>
  <c r="K78" i="10"/>
  <c r="L78" i="10"/>
  <c r="R79" i="10"/>
  <c r="O79" i="10"/>
  <c r="P79" i="10"/>
  <c r="K79" i="10"/>
  <c r="L79" i="10"/>
  <c r="R80" i="10"/>
  <c r="O80" i="10"/>
  <c r="P80" i="10"/>
  <c r="K80" i="10"/>
  <c r="L80" i="10"/>
  <c r="R81" i="10"/>
  <c r="O81" i="10"/>
  <c r="P81" i="10"/>
  <c r="K81" i="10"/>
  <c r="L81" i="10"/>
  <c r="R82" i="10"/>
  <c r="O82" i="10"/>
  <c r="P82" i="10"/>
  <c r="K82" i="10"/>
  <c r="L82" i="10"/>
  <c r="R83" i="10"/>
  <c r="O83" i="10"/>
  <c r="P83" i="10"/>
  <c r="K83" i="10"/>
  <c r="L83" i="10"/>
  <c r="R84" i="10"/>
  <c r="O84" i="10"/>
  <c r="P84" i="10"/>
  <c r="K84" i="10"/>
  <c r="L84" i="10"/>
  <c r="R85" i="10"/>
  <c r="O85" i="10"/>
  <c r="P85" i="10"/>
  <c r="K85" i="10"/>
  <c r="L85" i="10"/>
  <c r="R86" i="10"/>
  <c r="O86" i="10"/>
  <c r="P86" i="10"/>
  <c r="K86" i="10"/>
  <c r="L86" i="10"/>
  <c r="R87" i="10"/>
  <c r="O87" i="10"/>
  <c r="P87" i="10"/>
  <c r="K87" i="10"/>
  <c r="L87" i="10"/>
  <c r="R88" i="10"/>
  <c r="O88" i="10"/>
  <c r="P88" i="10"/>
  <c r="K88" i="10"/>
  <c r="L88" i="10"/>
  <c r="R89" i="10"/>
  <c r="O89" i="10"/>
  <c r="P89" i="10"/>
  <c r="K89" i="10"/>
  <c r="L89" i="10"/>
  <c r="R90" i="10"/>
  <c r="O90" i="10"/>
  <c r="P90" i="10"/>
  <c r="K90" i="10"/>
  <c r="L90" i="10"/>
  <c r="R91" i="10"/>
  <c r="O91" i="10"/>
  <c r="P91" i="10"/>
  <c r="K91" i="10"/>
  <c r="L91" i="10"/>
  <c r="R92" i="10"/>
  <c r="O92" i="10"/>
  <c r="P92" i="10"/>
  <c r="K92" i="10"/>
  <c r="L92" i="10"/>
  <c r="R93" i="10"/>
  <c r="O93" i="10"/>
  <c r="P93" i="10"/>
  <c r="K93" i="10"/>
  <c r="L93" i="10"/>
  <c r="R94" i="10"/>
  <c r="O94" i="10"/>
  <c r="P94" i="10"/>
  <c r="K94" i="10"/>
  <c r="L94" i="10"/>
  <c r="R95" i="10"/>
  <c r="O95" i="10"/>
  <c r="P95" i="10"/>
  <c r="K95" i="10"/>
  <c r="L95" i="10"/>
  <c r="R96" i="10"/>
  <c r="O96" i="10"/>
  <c r="P96" i="10"/>
  <c r="K96" i="10"/>
  <c r="L96" i="10"/>
  <c r="R97" i="10"/>
  <c r="O97" i="10"/>
  <c r="P97" i="10"/>
  <c r="K97" i="10"/>
  <c r="L97" i="10"/>
  <c r="R98" i="10"/>
  <c r="O98" i="10"/>
  <c r="P98" i="10"/>
  <c r="K98" i="10"/>
  <c r="L98" i="10"/>
  <c r="R99" i="10"/>
  <c r="O99" i="10"/>
  <c r="P99" i="10"/>
  <c r="K99" i="10"/>
  <c r="L99" i="10"/>
  <c r="R100" i="10"/>
  <c r="O100" i="10"/>
  <c r="P100" i="10"/>
  <c r="K100" i="10"/>
  <c r="L100" i="10"/>
  <c r="R101" i="10"/>
  <c r="O101" i="10"/>
  <c r="P101" i="10"/>
  <c r="K101" i="10"/>
  <c r="L101" i="10"/>
  <c r="R102" i="10"/>
  <c r="O102" i="10"/>
  <c r="P102" i="10"/>
  <c r="Q102" i="10" s="1"/>
  <c r="K102" i="10"/>
  <c r="L102" i="10"/>
  <c r="R103" i="10"/>
  <c r="O103" i="10"/>
  <c r="P103" i="10"/>
  <c r="K103" i="10"/>
  <c r="L103" i="10"/>
  <c r="R104" i="10"/>
  <c r="O104" i="10"/>
  <c r="P104" i="10"/>
  <c r="K104" i="10"/>
  <c r="L104" i="10"/>
  <c r="R105" i="10"/>
  <c r="O105" i="10"/>
  <c r="P105" i="10"/>
  <c r="K105" i="10"/>
  <c r="L105" i="10"/>
  <c r="R106" i="10"/>
  <c r="O106" i="10"/>
  <c r="P106" i="10"/>
  <c r="K106" i="10"/>
  <c r="L106" i="10"/>
  <c r="R107" i="10"/>
  <c r="O107" i="10"/>
  <c r="P107" i="10"/>
  <c r="K107" i="10"/>
  <c r="L107" i="10"/>
  <c r="R108" i="10"/>
  <c r="O108" i="10"/>
  <c r="P108" i="10"/>
  <c r="K108" i="10"/>
  <c r="L108" i="10"/>
  <c r="R109" i="10"/>
  <c r="O109" i="10"/>
  <c r="P109" i="10"/>
  <c r="K109" i="10"/>
  <c r="L109" i="10"/>
  <c r="R110" i="10"/>
  <c r="O110" i="10"/>
  <c r="P110" i="10"/>
  <c r="K110" i="10"/>
  <c r="L110" i="10"/>
  <c r="R111" i="10"/>
  <c r="O111" i="10"/>
  <c r="P111" i="10"/>
  <c r="K111" i="10"/>
  <c r="L111" i="10"/>
  <c r="R112" i="10"/>
  <c r="O112" i="10"/>
  <c r="P112" i="10"/>
  <c r="K112" i="10"/>
  <c r="L112" i="10"/>
  <c r="R113" i="10"/>
  <c r="O113" i="10"/>
  <c r="P113" i="10"/>
  <c r="K113" i="10"/>
  <c r="L113" i="10"/>
  <c r="R114" i="10"/>
  <c r="O114" i="10"/>
  <c r="P114" i="10"/>
  <c r="K114" i="10"/>
  <c r="L114" i="10"/>
  <c r="R115" i="10"/>
  <c r="O115" i="10"/>
  <c r="P115" i="10"/>
  <c r="K115" i="10"/>
  <c r="L115" i="10"/>
  <c r="R116" i="10"/>
  <c r="O116" i="10"/>
  <c r="P116" i="10"/>
  <c r="K116" i="10"/>
  <c r="L116" i="10"/>
  <c r="R117" i="10"/>
  <c r="O117" i="10"/>
  <c r="P117" i="10"/>
  <c r="K117" i="10"/>
  <c r="L117" i="10"/>
  <c r="R118" i="10"/>
  <c r="O118" i="10"/>
  <c r="P118" i="10"/>
  <c r="K118" i="10"/>
  <c r="L118" i="10"/>
  <c r="R119" i="10"/>
  <c r="O119" i="10"/>
  <c r="P119" i="10"/>
  <c r="K119" i="10"/>
  <c r="L119" i="10"/>
  <c r="R120" i="10"/>
  <c r="O120" i="10"/>
  <c r="P120" i="10"/>
  <c r="K120" i="10"/>
  <c r="L120" i="10"/>
  <c r="R121" i="10"/>
  <c r="O121" i="10"/>
  <c r="P121" i="10"/>
  <c r="K121" i="10"/>
  <c r="L121" i="10"/>
  <c r="R122" i="10"/>
  <c r="O122" i="10"/>
  <c r="P122" i="10"/>
  <c r="K122" i="10"/>
  <c r="L122" i="10"/>
  <c r="R123" i="10"/>
  <c r="O123" i="10"/>
  <c r="P123" i="10"/>
  <c r="K123" i="10"/>
  <c r="L123" i="10"/>
  <c r="R124" i="10"/>
  <c r="O124" i="10"/>
  <c r="P124" i="10"/>
  <c r="K124" i="10"/>
  <c r="L124" i="10"/>
  <c r="R125" i="10"/>
  <c r="O125" i="10"/>
  <c r="P125" i="10"/>
  <c r="K125" i="10"/>
  <c r="L125" i="10"/>
  <c r="R126" i="10"/>
  <c r="O126" i="10"/>
  <c r="P126" i="10"/>
  <c r="K126" i="10"/>
  <c r="L126" i="10"/>
  <c r="R127" i="10"/>
  <c r="O127" i="10"/>
  <c r="P127" i="10"/>
  <c r="K127" i="10"/>
  <c r="L127" i="10"/>
  <c r="R128" i="10"/>
  <c r="O128" i="10"/>
  <c r="P128" i="10"/>
  <c r="K128" i="10"/>
  <c r="L128" i="10"/>
  <c r="R129" i="10"/>
  <c r="O129" i="10"/>
  <c r="P129" i="10"/>
  <c r="K129" i="10"/>
  <c r="L129" i="10"/>
  <c r="R130" i="10"/>
  <c r="O130" i="10"/>
  <c r="P130" i="10"/>
  <c r="K130" i="10"/>
  <c r="L130" i="10"/>
  <c r="R131" i="10"/>
  <c r="O131" i="10"/>
  <c r="P131" i="10"/>
  <c r="K131" i="10"/>
  <c r="L131" i="10"/>
  <c r="R132" i="10"/>
  <c r="O132" i="10"/>
  <c r="P132" i="10"/>
  <c r="K132" i="10"/>
  <c r="L132" i="10"/>
  <c r="R133" i="10"/>
  <c r="O133" i="10"/>
  <c r="P133" i="10"/>
  <c r="K133" i="10"/>
  <c r="L133" i="10"/>
  <c r="R134" i="10"/>
  <c r="O134" i="10"/>
  <c r="P134" i="10"/>
  <c r="K134" i="10"/>
  <c r="L134" i="10"/>
  <c r="R135" i="10"/>
  <c r="O135" i="10"/>
  <c r="P135" i="10"/>
  <c r="K135" i="10"/>
  <c r="L135" i="10"/>
  <c r="R136" i="10"/>
  <c r="O136" i="10"/>
  <c r="P136" i="10"/>
  <c r="K136" i="10"/>
  <c r="L136" i="10"/>
  <c r="R137" i="10"/>
  <c r="O137" i="10"/>
  <c r="P137" i="10"/>
  <c r="K137" i="10"/>
  <c r="L137" i="10"/>
  <c r="R138" i="10"/>
  <c r="O138" i="10"/>
  <c r="P138" i="10"/>
  <c r="K138" i="10"/>
  <c r="L138" i="10"/>
  <c r="R139" i="10"/>
  <c r="O139" i="10"/>
  <c r="P139" i="10"/>
  <c r="K139" i="10"/>
  <c r="L139" i="10"/>
  <c r="R140" i="10"/>
  <c r="O140" i="10"/>
  <c r="P140" i="10"/>
  <c r="K140" i="10"/>
  <c r="L140" i="10"/>
  <c r="R141" i="10"/>
  <c r="O141" i="10"/>
  <c r="P141" i="10"/>
  <c r="K141" i="10"/>
  <c r="L141" i="10"/>
  <c r="R142" i="10"/>
  <c r="O142" i="10"/>
  <c r="P142" i="10"/>
  <c r="K142" i="10"/>
  <c r="L142" i="10"/>
  <c r="R143" i="10"/>
  <c r="O143" i="10"/>
  <c r="P143" i="10"/>
  <c r="K143" i="10"/>
  <c r="L143" i="10"/>
  <c r="R144" i="10"/>
  <c r="O144" i="10"/>
  <c r="P144" i="10"/>
  <c r="K144" i="10"/>
  <c r="L144" i="10"/>
  <c r="R145" i="10"/>
  <c r="O145" i="10"/>
  <c r="P145" i="10"/>
  <c r="K145" i="10"/>
  <c r="L145" i="10"/>
  <c r="R146" i="10"/>
  <c r="O146" i="10"/>
  <c r="P146" i="10"/>
  <c r="K146" i="10"/>
  <c r="L146" i="10"/>
  <c r="R147" i="10"/>
  <c r="O147" i="10"/>
  <c r="P147" i="10"/>
  <c r="K147" i="10"/>
  <c r="L147" i="10"/>
  <c r="R148" i="10"/>
  <c r="O148" i="10"/>
  <c r="P148" i="10"/>
  <c r="K148" i="10"/>
  <c r="L148" i="10"/>
  <c r="R149" i="10"/>
  <c r="O149" i="10"/>
  <c r="P149" i="10"/>
  <c r="K149" i="10"/>
  <c r="L149" i="10"/>
  <c r="R150" i="10"/>
  <c r="O150" i="10"/>
  <c r="P150" i="10"/>
  <c r="K150" i="10"/>
  <c r="L150" i="10"/>
  <c r="R151" i="10"/>
  <c r="O151" i="10"/>
  <c r="P151" i="10"/>
  <c r="K151" i="10"/>
  <c r="L151" i="10"/>
  <c r="R152" i="10"/>
  <c r="O152" i="10"/>
  <c r="P152" i="10"/>
  <c r="K152" i="10"/>
  <c r="L152" i="10"/>
  <c r="R153" i="10"/>
  <c r="O153" i="10"/>
  <c r="P153" i="10"/>
  <c r="K153" i="10"/>
  <c r="L153" i="10"/>
  <c r="R154" i="10"/>
  <c r="O154" i="10"/>
  <c r="P154" i="10"/>
  <c r="K154" i="10"/>
  <c r="L154" i="10"/>
  <c r="R155" i="10"/>
  <c r="O155" i="10"/>
  <c r="P155" i="10"/>
  <c r="K155" i="10"/>
  <c r="L155" i="10"/>
  <c r="R156" i="10"/>
  <c r="O156" i="10"/>
  <c r="P156" i="10"/>
  <c r="K156" i="10"/>
  <c r="L156" i="10"/>
  <c r="R157" i="10"/>
  <c r="O157" i="10"/>
  <c r="P157" i="10"/>
  <c r="K157" i="10"/>
  <c r="L157" i="10"/>
  <c r="R158" i="10"/>
  <c r="O158" i="10"/>
  <c r="P158" i="10"/>
  <c r="K158" i="10"/>
  <c r="L158" i="10"/>
  <c r="R159" i="10"/>
  <c r="O159" i="10"/>
  <c r="P159" i="10"/>
  <c r="K159" i="10"/>
  <c r="L159" i="10"/>
  <c r="R160" i="10"/>
  <c r="O160" i="10"/>
  <c r="P160" i="10"/>
  <c r="K160" i="10"/>
  <c r="L160" i="10"/>
  <c r="R161" i="10"/>
  <c r="O161" i="10"/>
  <c r="P161" i="10"/>
  <c r="K161" i="10"/>
  <c r="L161" i="10"/>
  <c r="R162" i="10"/>
  <c r="O162" i="10"/>
  <c r="P162" i="10"/>
  <c r="K162" i="10"/>
  <c r="L162" i="10"/>
  <c r="R163" i="10"/>
  <c r="O163" i="10"/>
  <c r="P163" i="10"/>
  <c r="K163" i="10"/>
  <c r="L163" i="10"/>
  <c r="R164" i="10"/>
  <c r="O164" i="10"/>
  <c r="P164" i="10"/>
  <c r="K164" i="10"/>
  <c r="L164" i="10"/>
  <c r="R165" i="10"/>
  <c r="O165" i="10"/>
  <c r="P165" i="10"/>
  <c r="K165" i="10"/>
  <c r="L165" i="10"/>
  <c r="R166" i="10"/>
  <c r="O166" i="10"/>
  <c r="P166" i="10"/>
  <c r="K166" i="10"/>
  <c r="L166" i="10"/>
  <c r="S611" i="10"/>
  <c r="O611" i="10"/>
  <c r="P611" i="10"/>
  <c r="K611" i="10"/>
  <c r="L611" i="10"/>
  <c r="S612" i="10"/>
  <c r="O612" i="10"/>
  <c r="P612" i="10"/>
  <c r="K612" i="10"/>
  <c r="L612" i="10"/>
  <c r="S613" i="10"/>
  <c r="O613" i="10"/>
  <c r="P613" i="10"/>
  <c r="K613" i="10"/>
  <c r="L613" i="10"/>
  <c r="S614" i="10"/>
  <c r="O614" i="10"/>
  <c r="P614" i="10"/>
  <c r="K614" i="10"/>
  <c r="L614" i="10"/>
  <c r="S615" i="10"/>
  <c r="O615" i="10"/>
  <c r="P615" i="10"/>
  <c r="K615" i="10"/>
  <c r="L615" i="10"/>
  <c r="S616" i="10"/>
  <c r="O616" i="10"/>
  <c r="P616" i="10"/>
  <c r="K616" i="10"/>
  <c r="L616" i="10"/>
  <c r="S617" i="10"/>
  <c r="O617" i="10"/>
  <c r="P617" i="10"/>
  <c r="K617" i="10"/>
  <c r="L617" i="10"/>
  <c r="S618" i="10"/>
  <c r="O618" i="10"/>
  <c r="P618" i="10"/>
  <c r="K618" i="10"/>
  <c r="L618" i="10"/>
  <c r="R619" i="10"/>
  <c r="S619" i="10"/>
  <c r="O619" i="10"/>
  <c r="P619" i="10"/>
  <c r="R620" i="10"/>
  <c r="S620" i="10"/>
  <c r="O620" i="10"/>
  <c r="P620" i="10"/>
  <c r="R621" i="10"/>
  <c r="S621" i="10"/>
  <c r="O621" i="10"/>
  <c r="P621" i="10"/>
  <c r="R622" i="10"/>
  <c r="S622" i="10"/>
  <c r="O622" i="10"/>
  <c r="P622" i="10"/>
  <c r="R623" i="10"/>
  <c r="S623" i="10"/>
  <c r="O623" i="10"/>
  <c r="P623" i="10"/>
  <c r="S624" i="10"/>
  <c r="O624" i="10"/>
  <c r="P624" i="10"/>
  <c r="K624" i="10"/>
  <c r="L624" i="10"/>
  <c r="S625" i="10"/>
  <c r="O625" i="10"/>
  <c r="P625" i="10"/>
  <c r="K625" i="10"/>
  <c r="L625" i="10"/>
  <c r="S626" i="10"/>
  <c r="O626" i="10"/>
  <c r="P626" i="10"/>
  <c r="K626" i="10"/>
  <c r="L626" i="10"/>
  <c r="S627" i="10"/>
  <c r="O627" i="10"/>
  <c r="P627" i="10"/>
  <c r="K627" i="10"/>
  <c r="L627" i="10"/>
  <c r="S628" i="10"/>
  <c r="O628" i="10"/>
  <c r="P628" i="10"/>
  <c r="K628" i="10"/>
  <c r="L628" i="10"/>
  <c r="S629" i="10"/>
  <c r="O629" i="10"/>
  <c r="P629" i="10"/>
  <c r="K629" i="10"/>
  <c r="L629" i="10"/>
  <c r="S630" i="10"/>
  <c r="O630" i="10"/>
  <c r="P630" i="10"/>
  <c r="K630" i="10"/>
  <c r="L630" i="10"/>
  <c r="S631" i="10"/>
  <c r="O631" i="10"/>
  <c r="P631" i="10"/>
  <c r="K631" i="10"/>
  <c r="L631" i="10"/>
  <c r="R632" i="10"/>
  <c r="S632" i="10"/>
  <c r="O632" i="10"/>
  <c r="P632" i="10"/>
  <c r="R633" i="10"/>
  <c r="S633" i="10"/>
  <c r="O633" i="10"/>
  <c r="P633" i="10"/>
  <c r="R634" i="10"/>
  <c r="S634" i="10"/>
  <c r="O634" i="10"/>
  <c r="P634" i="10"/>
  <c r="R635" i="10"/>
  <c r="S635" i="10"/>
  <c r="O635" i="10"/>
  <c r="P635" i="10"/>
  <c r="R636" i="10"/>
  <c r="S636" i="10"/>
  <c r="O636" i="10"/>
  <c r="P636" i="10"/>
  <c r="R637" i="10"/>
  <c r="S637" i="10"/>
  <c r="O637" i="10"/>
  <c r="P637" i="10"/>
  <c r="R638" i="10"/>
  <c r="S638" i="10"/>
  <c r="O638" i="10"/>
  <c r="P638" i="10"/>
  <c r="S639" i="10"/>
  <c r="O639" i="10"/>
  <c r="P639" i="10"/>
  <c r="K639" i="10"/>
  <c r="L639" i="10"/>
  <c r="S640" i="10"/>
  <c r="O640" i="10"/>
  <c r="P640" i="10"/>
  <c r="K640" i="10"/>
  <c r="L640" i="10"/>
  <c r="S641" i="10"/>
  <c r="O641" i="10"/>
  <c r="P641" i="10"/>
  <c r="K641" i="10"/>
  <c r="L641" i="10"/>
  <c r="S642" i="10"/>
  <c r="O642" i="10"/>
  <c r="P642" i="10"/>
  <c r="K642" i="10"/>
  <c r="L642" i="10"/>
  <c r="S643" i="10"/>
  <c r="O643" i="10"/>
  <c r="P643" i="10"/>
  <c r="K643" i="10"/>
  <c r="L643" i="10"/>
  <c r="S644" i="10"/>
  <c r="O644" i="10"/>
  <c r="P644" i="10"/>
  <c r="K644" i="10"/>
  <c r="L644" i="10"/>
  <c r="S645" i="10"/>
  <c r="O645" i="10"/>
  <c r="P645" i="10"/>
  <c r="K645" i="10"/>
  <c r="L645" i="10"/>
  <c r="R646" i="10"/>
  <c r="S646" i="10"/>
  <c r="O646" i="10"/>
  <c r="P646" i="10"/>
  <c r="R647" i="10"/>
  <c r="S647" i="10"/>
  <c r="O647" i="10"/>
  <c r="P647" i="10"/>
  <c r="S648" i="10"/>
  <c r="O648" i="10"/>
  <c r="P648" i="10"/>
  <c r="K648" i="10"/>
  <c r="L648" i="10"/>
  <c r="S649" i="10"/>
  <c r="O649" i="10"/>
  <c r="P649" i="10"/>
  <c r="K649" i="10"/>
  <c r="L649" i="10"/>
  <c r="S650" i="10"/>
  <c r="O650" i="10"/>
  <c r="P650" i="10"/>
  <c r="K650" i="10"/>
  <c r="L650" i="10"/>
  <c r="S651" i="10"/>
  <c r="O651" i="10"/>
  <c r="P651" i="10"/>
  <c r="K651" i="10"/>
  <c r="L651" i="10"/>
  <c r="S652" i="10"/>
  <c r="O652" i="10"/>
  <c r="P652" i="10"/>
  <c r="K652" i="10"/>
  <c r="L652" i="10"/>
  <c r="S653" i="10"/>
  <c r="O653" i="10"/>
  <c r="P653" i="10"/>
  <c r="K653" i="10"/>
  <c r="L653" i="10"/>
  <c r="S654" i="10"/>
  <c r="O654" i="10"/>
  <c r="P654" i="10"/>
  <c r="K654" i="10"/>
  <c r="L654" i="10"/>
  <c r="S655" i="10"/>
  <c r="O655" i="10"/>
  <c r="P655" i="10"/>
  <c r="K655" i="10"/>
  <c r="L655" i="10"/>
  <c r="S656" i="10"/>
  <c r="O656" i="10"/>
  <c r="P656" i="10"/>
  <c r="K656" i="10"/>
  <c r="L656" i="10"/>
  <c r="S657" i="10"/>
  <c r="O657" i="10"/>
  <c r="P657" i="10"/>
  <c r="K657" i="10"/>
  <c r="L657" i="10"/>
  <c r="S658" i="10"/>
  <c r="O658" i="10"/>
  <c r="P658" i="10"/>
  <c r="K658" i="10"/>
  <c r="L658" i="10"/>
  <c r="S659" i="10"/>
  <c r="O659" i="10"/>
  <c r="P659" i="10"/>
  <c r="K659" i="10"/>
  <c r="L659" i="10"/>
  <c r="S660" i="10"/>
  <c r="O660" i="10"/>
  <c r="P660" i="10"/>
  <c r="K660" i="10"/>
  <c r="L660" i="10"/>
  <c r="S661" i="10"/>
  <c r="O661" i="10"/>
  <c r="P661" i="10"/>
  <c r="K661" i="10"/>
  <c r="L661" i="10"/>
  <c r="S662" i="10"/>
  <c r="O662" i="10"/>
  <c r="P662" i="10"/>
  <c r="K662" i="10"/>
  <c r="L662" i="10"/>
  <c r="S663" i="10"/>
  <c r="O663" i="10"/>
  <c r="P663" i="10"/>
  <c r="K663" i="10"/>
  <c r="L663" i="10"/>
  <c r="S664" i="10"/>
  <c r="O664" i="10"/>
  <c r="P664" i="10"/>
  <c r="K664" i="10"/>
  <c r="L664" i="10"/>
  <c r="S665" i="10"/>
  <c r="O665" i="10"/>
  <c r="P665" i="10"/>
  <c r="K665" i="10"/>
  <c r="L665" i="10"/>
  <c r="S666" i="10"/>
  <c r="O666" i="10"/>
  <c r="P666" i="10"/>
  <c r="K666" i="10"/>
  <c r="L666" i="10"/>
  <c r="S667" i="10"/>
  <c r="O667" i="10"/>
  <c r="P667" i="10"/>
  <c r="K667" i="10"/>
  <c r="L667" i="10"/>
  <c r="S668" i="10"/>
  <c r="O668" i="10"/>
  <c r="P668" i="10"/>
  <c r="K668" i="10"/>
  <c r="L668" i="10"/>
  <c r="S669" i="10"/>
  <c r="O669" i="10"/>
  <c r="P669" i="10"/>
  <c r="K669" i="10"/>
  <c r="L669" i="10"/>
  <c r="S670" i="10"/>
  <c r="O670" i="10"/>
  <c r="P670" i="10"/>
  <c r="K670" i="10"/>
  <c r="L670" i="10"/>
  <c r="S671" i="10"/>
  <c r="O671" i="10"/>
  <c r="P671" i="10"/>
  <c r="K671" i="10"/>
  <c r="L671" i="10"/>
  <c r="R672" i="10"/>
  <c r="S672" i="10"/>
  <c r="O672" i="10"/>
  <c r="P672" i="10"/>
  <c r="S673" i="10"/>
  <c r="O673" i="10"/>
  <c r="P673" i="10"/>
  <c r="K673" i="10"/>
  <c r="L673" i="10"/>
  <c r="S674" i="10"/>
  <c r="O674" i="10"/>
  <c r="P674" i="10"/>
  <c r="K674" i="10"/>
  <c r="L674" i="10"/>
  <c r="S675" i="10"/>
  <c r="O675" i="10"/>
  <c r="P675" i="10"/>
  <c r="K675" i="10"/>
  <c r="L675" i="10"/>
  <c r="S676" i="10"/>
  <c r="O676" i="10"/>
  <c r="P676" i="10"/>
  <c r="K676" i="10"/>
  <c r="L676" i="10"/>
  <c r="S677" i="10"/>
  <c r="O677" i="10"/>
  <c r="P677" i="10"/>
  <c r="K677" i="10"/>
  <c r="L677" i="10"/>
  <c r="S678" i="10"/>
  <c r="O678" i="10"/>
  <c r="P678" i="10"/>
  <c r="K678" i="10"/>
  <c r="L678" i="10"/>
  <c r="S679" i="10"/>
  <c r="O679" i="10"/>
  <c r="P679" i="10"/>
  <c r="K679" i="10"/>
  <c r="L679" i="10"/>
  <c r="S680" i="10"/>
  <c r="O680" i="10"/>
  <c r="P680" i="10"/>
  <c r="K680" i="10"/>
  <c r="L680" i="10"/>
  <c r="S681" i="10"/>
  <c r="O681" i="10"/>
  <c r="P681" i="10"/>
  <c r="K681" i="10"/>
  <c r="L681" i="10"/>
  <c r="S682" i="10"/>
  <c r="O682" i="10"/>
  <c r="P682" i="10"/>
  <c r="K682" i="10"/>
  <c r="L682" i="10"/>
  <c r="S683" i="10"/>
  <c r="O683" i="10"/>
  <c r="P683" i="10"/>
  <c r="K683" i="10"/>
  <c r="L683" i="10"/>
  <c r="S684" i="10"/>
  <c r="O684" i="10"/>
  <c r="P684" i="10"/>
  <c r="K684" i="10"/>
  <c r="L684" i="10"/>
  <c r="S685" i="10"/>
  <c r="O685" i="10"/>
  <c r="P685" i="10"/>
  <c r="K685" i="10"/>
  <c r="L685" i="10"/>
  <c r="S686" i="10"/>
  <c r="O686" i="10"/>
  <c r="P686" i="10"/>
  <c r="K686" i="10"/>
  <c r="L686" i="10"/>
  <c r="S687" i="10"/>
  <c r="O687" i="10"/>
  <c r="P687" i="10"/>
  <c r="K687" i="10"/>
  <c r="L687" i="10"/>
  <c r="R688" i="10"/>
  <c r="S688" i="10"/>
  <c r="O688" i="10"/>
  <c r="P688" i="10"/>
  <c r="R689" i="10"/>
  <c r="S689" i="10"/>
  <c r="O689" i="10"/>
  <c r="P689" i="10"/>
  <c r="S690" i="10"/>
  <c r="O690" i="10"/>
  <c r="P690" i="10"/>
  <c r="K690" i="10"/>
  <c r="L690" i="10"/>
  <c r="S691" i="10"/>
  <c r="O691" i="10"/>
  <c r="P691" i="10"/>
  <c r="K691" i="10"/>
  <c r="L691" i="10"/>
  <c r="S692" i="10"/>
  <c r="O692" i="10"/>
  <c r="P692" i="10"/>
  <c r="K692" i="10"/>
  <c r="L692" i="10"/>
  <c r="S693" i="10"/>
  <c r="O693" i="10"/>
  <c r="P693" i="10"/>
  <c r="K693" i="10"/>
  <c r="L693" i="10"/>
  <c r="S694" i="10"/>
  <c r="O694" i="10"/>
  <c r="P694" i="10"/>
  <c r="K694" i="10"/>
  <c r="L694" i="10"/>
  <c r="S695" i="10"/>
  <c r="O695" i="10"/>
  <c r="P695" i="10"/>
  <c r="K695" i="10"/>
  <c r="L695" i="10"/>
  <c r="S696" i="10"/>
  <c r="O696" i="10"/>
  <c r="P696" i="10"/>
  <c r="K696" i="10"/>
  <c r="L696" i="10"/>
  <c r="S697" i="10"/>
  <c r="O697" i="10"/>
  <c r="P697" i="10"/>
  <c r="K697" i="10"/>
  <c r="L697" i="10"/>
  <c r="S698" i="10"/>
  <c r="O698" i="10"/>
  <c r="P698" i="10"/>
  <c r="K698" i="10"/>
  <c r="L698" i="10"/>
  <c r="S699" i="10"/>
  <c r="O699" i="10"/>
  <c r="P699" i="10"/>
  <c r="K699" i="10"/>
  <c r="L699" i="10"/>
  <c r="S700" i="10"/>
  <c r="O700" i="10"/>
  <c r="P700" i="10"/>
  <c r="K700" i="10"/>
  <c r="L700" i="10"/>
  <c r="S701" i="10"/>
  <c r="O701" i="10"/>
  <c r="P701" i="10"/>
  <c r="K701" i="10"/>
  <c r="L701" i="10"/>
  <c r="S702" i="10"/>
  <c r="O702" i="10"/>
  <c r="P702" i="10"/>
  <c r="K702" i="10"/>
  <c r="L702" i="10"/>
  <c r="S703" i="10"/>
  <c r="O703" i="10"/>
  <c r="P703" i="10"/>
  <c r="K703" i="10"/>
  <c r="L703" i="10"/>
  <c r="S704" i="10"/>
  <c r="O704" i="10"/>
  <c r="P704" i="10"/>
  <c r="K704" i="10"/>
  <c r="L704" i="10"/>
  <c r="S705" i="10"/>
  <c r="O705" i="10"/>
  <c r="P705" i="10"/>
  <c r="K705" i="10"/>
  <c r="L705" i="10"/>
  <c r="S706" i="10"/>
  <c r="O706" i="10"/>
  <c r="P706" i="10"/>
  <c r="K706" i="10"/>
  <c r="L706" i="10"/>
  <c r="S707" i="10"/>
  <c r="O707" i="10"/>
  <c r="P707" i="10"/>
  <c r="K707" i="10"/>
  <c r="L707" i="10"/>
  <c r="S708" i="10"/>
  <c r="O708" i="10"/>
  <c r="P708" i="10"/>
  <c r="K708" i="10"/>
  <c r="L708" i="10"/>
  <c r="S709" i="10"/>
  <c r="O709" i="10"/>
  <c r="P709" i="10"/>
  <c r="K709" i="10"/>
  <c r="L709" i="10"/>
  <c r="S710" i="10"/>
  <c r="O710" i="10"/>
  <c r="P710" i="10"/>
  <c r="K710" i="10"/>
  <c r="L710" i="10"/>
  <c r="S711" i="10"/>
  <c r="O711" i="10"/>
  <c r="P711" i="10"/>
  <c r="K711" i="10"/>
  <c r="L711" i="10"/>
  <c r="S712" i="10"/>
  <c r="O712" i="10"/>
  <c r="P712" i="10"/>
  <c r="K712" i="10"/>
  <c r="L712" i="10"/>
  <c r="S713" i="10"/>
  <c r="O713" i="10"/>
  <c r="P713" i="10"/>
  <c r="K713" i="10"/>
  <c r="L713" i="10"/>
  <c r="S714" i="10"/>
  <c r="O714" i="10"/>
  <c r="P714" i="10"/>
  <c r="K714" i="10"/>
  <c r="L714" i="10"/>
  <c r="S715" i="10"/>
  <c r="O715" i="10"/>
  <c r="P715" i="10"/>
  <c r="K715" i="10"/>
  <c r="L715" i="10"/>
  <c r="S716" i="10"/>
  <c r="O716" i="10"/>
  <c r="P716" i="10"/>
  <c r="K716" i="10"/>
  <c r="L716" i="10"/>
  <c r="S717" i="10"/>
  <c r="O717" i="10"/>
  <c r="P717" i="10"/>
  <c r="K717" i="10"/>
  <c r="L717" i="10"/>
  <c r="S718" i="10"/>
  <c r="O718" i="10"/>
  <c r="P718" i="10"/>
  <c r="K718" i="10"/>
  <c r="L718" i="10"/>
  <c r="S719" i="10"/>
  <c r="O719" i="10"/>
  <c r="P719" i="10"/>
  <c r="K719" i="10"/>
  <c r="L719" i="10"/>
  <c r="S720" i="10"/>
  <c r="O720" i="10"/>
  <c r="P720" i="10"/>
  <c r="K720" i="10"/>
  <c r="L720" i="10"/>
  <c r="S721" i="10"/>
  <c r="O721" i="10"/>
  <c r="P721" i="10"/>
  <c r="K721" i="10"/>
  <c r="L721" i="10"/>
  <c r="S722" i="10"/>
  <c r="O722" i="10"/>
  <c r="P722" i="10"/>
  <c r="K722" i="10"/>
  <c r="L722" i="10"/>
  <c r="S723" i="10"/>
  <c r="O723" i="10"/>
  <c r="P723" i="10"/>
  <c r="K723" i="10"/>
  <c r="L723" i="10"/>
  <c r="S724" i="10"/>
  <c r="O724" i="10"/>
  <c r="P724" i="10"/>
  <c r="K724" i="10"/>
  <c r="L724" i="10"/>
  <c r="S725" i="10"/>
  <c r="O725" i="10"/>
  <c r="P725" i="10"/>
  <c r="K725" i="10"/>
  <c r="L725" i="10"/>
  <c r="S726" i="10"/>
  <c r="O726" i="10"/>
  <c r="P726" i="10"/>
  <c r="K726" i="10"/>
  <c r="L726" i="10"/>
  <c r="S727" i="10"/>
  <c r="O727" i="10"/>
  <c r="P727" i="10"/>
  <c r="K727" i="10"/>
  <c r="L727" i="10"/>
  <c r="S728" i="10"/>
  <c r="O728" i="10"/>
  <c r="P728" i="10"/>
  <c r="K728" i="10"/>
  <c r="L728" i="10"/>
  <c r="S729" i="10"/>
  <c r="O729" i="10"/>
  <c r="P729" i="10"/>
  <c r="K729" i="10"/>
  <c r="L729" i="10"/>
  <c r="S730" i="10"/>
  <c r="O730" i="10"/>
  <c r="P730" i="10"/>
  <c r="K730" i="10"/>
  <c r="L730" i="10"/>
  <c r="S731" i="10"/>
  <c r="O731" i="10"/>
  <c r="P731" i="10"/>
  <c r="Q731" i="10" s="1"/>
  <c r="K731" i="10"/>
  <c r="L731" i="10"/>
  <c r="S732" i="10"/>
  <c r="O732" i="10"/>
  <c r="P732" i="10"/>
  <c r="K732" i="10"/>
  <c r="L732" i="10"/>
  <c r="S733" i="10"/>
  <c r="O733" i="10"/>
  <c r="Q733" i="10" s="1"/>
  <c r="P733" i="10"/>
  <c r="K733" i="10"/>
  <c r="L733" i="10"/>
  <c r="S734" i="10"/>
  <c r="O734" i="10"/>
  <c r="P734" i="10"/>
  <c r="K734" i="10"/>
  <c r="L734" i="10"/>
  <c r="S735" i="10"/>
  <c r="O735" i="10"/>
  <c r="P735" i="10"/>
  <c r="K735" i="10"/>
  <c r="L735" i="10"/>
  <c r="S736" i="10"/>
  <c r="O736" i="10"/>
  <c r="P736" i="10"/>
  <c r="K736" i="10"/>
  <c r="L736" i="10"/>
  <c r="S737" i="10"/>
  <c r="O737" i="10"/>
  <c r="P737" i="10"/>
  <c r="K737" i="10"/>
  <c r="L737" i="10"/>
  <c r="S738" i="10"/>
  <c r="O738" i="10"/>
  <c r="P738" i="10"/>
  <c r="K738" i="10"/>
  <c r="L738" i="10"/>
  <c r="S739" i="10"/>
  <c r="O739" i="10"/>
  <c r="P739" i="10"/>
  <c r="K739" i="10"/>
  <c r="L739" i="10"/>
  <c r="S740" i="10"/>
  <c r="O740" i="10"/>
  <c r="P740" i="10"/>
  <c r="K740" i="10"/>
  <c r="L740" i="10"/>
  <c r="S741" i="10"/>
  <c r="O741" i="10"/>
  <c r="P741" i="10"/>
  <c r="K741" i="10"/>
  <c r="L741" i="10"/>
  <c r="S742" i="10"/>
  <c r="O742" i="10"/>
  <c r="P742" i="10"/>
  <c r="K742" i="10"/>
  <c r="L742" i="10"/>
  <c r="S743" i="10"/>
  <c r="O743" i="10"/>
  <c r="P743" i="10"/>
  <c r="Q743" i="10" s="1"/>
  <c r="K743" i="10"/>
  <c r="L743" i="10"/>
  <c r="S744" i="10"/>
  <c r="O744" i="10"/>
  <c r="P744" i="10"/>
  <c r="K744" i="10"/>
  <c r="L744" i="10"/>
  <c r="S745" i="10"/>
  <c r="O745" i="10"/>
  <c r="Q745" i="10" s="1"/>
  <c r="P745" i="10"/>
  <c r="K745" i="10"/>
  <c r="L745" i="10"/>
  <c r="S746" i="10"/>
  <c r="O746" i="10"/>
  <c r="P746" i="10"/>
  <c r="Q746" i="10"/>
  <c r="K746" i="10"/>
  <c r="L746" i="10"/>
  <c r="S747" i="10"/>
  <c r="O747" i="10"/>
  <c r="P747" i="10"/>
  <c r="K747" i="10"/>
  <c r="L747" i="10"/>
  <c r="S748" i="10"/>
  <c r="O748" i="10"/>
  <c r="P748" i="10"/>
  <c r="K748" i="10"/>
  <c r="L748" i="10"/>
  <c r="S749" i="10"/>
  <c r="O749" i="10"/>
  <c r="P749" i="10"/>
  <c r="K749" i="10"/>
  <c r="L749" i="10"/>
  <c r="S750" i="10"/>
  <c r="O750" i="10"/>
  <c r="P750" i="10"/>
  <c r="K750" i="10"/>
  <c r="L750" i="10"/>
  <c r="S751" i="10"/>
  <c r="O751" i="10"/>
  <c r="P751" i="10"/>
  <c r="K751" i="10"/>
  <c r="L751" i="10"/>
  <c r="S752" i="10"/>
  <c r="O752" i="10"/>
  <c r="P752" i="10"/>
  <c r="K752" i="10"/>
  <c r="L752" i="10"/>
  <c r="S753" i="10"/>
  <c r="O753" i="10"/>
  <c r="P753" i="10"/>
  <c r="K753" i="10"/>
  <c r="L753" i="10"/>
  <c r="S754" i="10"/>
  <c r="O754" i="10"/>
  <c r="P754" i="10"/>
  <c r="K754" i="10"/>
  <c r="L754" i="10"/>
  <c r="S755" i="10"/>
  <c r="O755" i="10"/>
  <c r="P755" i="10"/>
  <c r="K755" i="10"/>
  <c r="L755" i="10"/>
  <c r="S756" i="10"/>
  <c r="O756" i="10"/>
  <c r="P756" i="10"/>
  <c r="K756" i="10"/>
  <c r="L756" i="10"/>
  <c r="S757" i="10"/>
  <c r="O757" i="10"/>
  <c r="P757" i="10"/>
  <c r="K757" i="10"/>
  <c r="L757" i="10"/>
  <c r="S758" i="10"/>
  <c r="O758" i="10"/>
  <c r="P758" i="10"/>
  <c r="K758" i="10"/>
  <c r="L758" i="10"/>
  <c r="S759" i="10"/>
  <c r="O759" i="10"/>
  <c r="P759" i="10"/>
  <c r="K759" i="10"/>
  <c r="L759" i="10"/>
  <c r="S760" i="10"/>
  <c r="O760" i="10"/>
  <c r="P760" i="10"/>
  <c r="K760" i="10"/>
  <c r="L760" i="10"/>
  <c r="S761" i="10"/>
  <c r="O761" i="10"/>
  <c r="P761" i="10"/>
  <c r="K761" i="10"/>
  <c r="L761" i="10"/>
  <c r="S762" i="10"/>
  <c r="O762" i="10"/>
  <c r="P762" i="10"/>
  <c r="K762" i="10"/>
  <c r="L762" i="10"/>
  <c r="S763" i="10"/>
  <c r="O763" i="10"/>
  <c r="P763" i="10"/>
  <c r="K763" i="10"/>
  <c r="L763" i="10"/>
  <c r="S764" i="10"/>
  <c r="O764" i="10"/>
  <c r="P764" i="10"/>
  <c r="K764" i="10"/>
  <c r="L764" i="10"/>
  <c r="S765" i="10"/>
  <c r="O765" i="10"/>
  <c r="P765" i="10"/>
  <c r="K765" i="10"/>
  <c r="L765" i="10"/>
  <c r="S766" i="10"/>
  <c r="O766" i="10"/>
  <c r="P766" i="10"/>
  <c r="K766" i="10"/>
  <c r="L766" i="10"/>
  <c r="S767" i="10"/>
  <c r="O767" i="10"/>
  <c r="P767" i="10"/>
  <c r="K767" i="10"/>
  <c r="L767" i="10"/>
  <c r="S768" i="10"/>
  <c r="O768" i="10"/>
  <c r="P768" i="10"/>
  <c r="K768" i="10"/>
  <c r="L768" i="10"/>
  <c r="S769" i="10"/>
  <c r="O769" i="10"/>
  <c r="P769" i="10"/>
  <c r="K769" i="10"/>
  <c r="L769" i="10"/>
  <c r="S770" i="10"/>
  <c r="O770" i="10"/>
  <c r="P770" i="10"/>
  <c r="K770" i="10"/>
  <c r="L770" i="10"/>
  <c r="S771" i="10"/>
  <c r="O771" i="10"/>
  <c r="P771" i="10"/>
  <c r="K771" i="10"/>
  <c r="L771" i="10"/>
  <c r="S772" i="10"/>
  <c r="O772" i="10"/>
  <c r="P772" i="10"/>
  <c r="K772" i="10"/>
  <c r="L772" i="10"/>
  <c r="S773" i="10"/>
  <c r="O773" i="10"/>
  <c r="P773" i="10"/>
  <c r="K773" i="10"/>
  <c r="L773" i="10"/>
  <c r="S774" i="10"/>
  <c r="S775" i="10"/>
  <c r="S776" i="10"/>
  <c r="O776" i="10"/>
  <c r="P776" i="10"/>
  <c r="K776" i="10"/>
  <c r="L776" i="10"/>
  <c r="S777" i="10"/>
  <c r="O777" i="10"/>
  <c r="P777" i="10"/>
  <c r="K777" i="10"/>
  <c r="L777" i="10"/>
  <c r="S797" i="10"/>
  <c r="O797" i="10"/>
  <c r="P797" i="10"/>
  <c r="K797" i="10"/>
  <c r="L797" i="10"/>
  <c r="S798" i="10"/>
  <c r="O798" i="10"/>
  <c r="P798" i="10"/>
  <c r="K798" i="10"/>
  <c r="L798" i="10"/>
  <c r="S799" i="10"/>
  <c r="O799" i="10"/>
  <c r="P799" i="10"/>
  <c r="K799" i="10"/>
  <c r="L799" i="10"/>
  <c r="S800" i="10"/>
  <c r="O800" i="10"/>
  <c r="P800" i="10"/>
  <c r="K800" i="10"/>
  <c r="L800" i="10"/>
  <c r="S801" i="10"/>
  <c r="O801" i="10"/>
  <c r="P801" i="10"/>
  <c r="K801" i="10"/>
  <c r="L801" i="10"/>
  <c r="S802" i="10"/>
  <c r="O802" i="10"/>
  <c r="P802" i="10"/>
  <c r="K802" i="10"/>
  <c r="L802" i="10"/>
  <c r="S803" i="10"/>
  <c r="O803" i="10"/>
  <c r="P803" i="10"/>
  <c r="K803" i="10"/>
  <c r="L803" i="10"/>
  <c r="S804" i="10"/>
  <c r="O804" i="10"/>
  <c r="P804" i="10"/>
  <c r="K804" i="10"/>
  <c r="L804" i="10"/>
  <c r="S805" i="10"/>
  <c r="O805" i="10"/>
  <c r="P805" i="10"/>
  <c r="K805" i="10"/>
  <c r="L805" i="10"/>
  <c r="S806" i="10"/>
  <c r="O806" i="10"/>
  <c r="P806" i="10"/>
  <c r="K806" i="10"/>
  <c r="L806" i="10"/>
  <c r="S807" i="10"/>
  <c r="O807" i="10"/>
  <c r="P807" i="10"/>
  <c r="K807" i="10"/>
  <c r="L807" i="10"/>
  <c r="S808" i="10"/>
  <c r="O808" i="10"/>
  <c r="P808" i="10"/>
  <c r="K808" i="10"/>
  <c r="L808" i="10"/>
  <c r="S809" i="10"/>
  <c r="O809" i="10"/>
  <c r="P809" i="10"/>
  <c r="K809" i="10"/>
  <c r="L809" i="10"/>
  <c r="S810" i="10"/>
  <c r="O810" i="10"/>
  <c r="P810" i="10"/>
  <c r="K810" i="10"/>
  <c r="L810" i="10"/>
  <c r="S811" i="10"/>
  <c r="O811" i="10"/>
  <c r="P811" i="10"/>
  <c r="K811" i="10"/>
  <c r="L811" i="10"/>
  <c r="S812" i="10"/>
  <c r="O812" i="10"/>
  <c r="P812" i="10"/>
  <c r="K812" i="10"/>
  <c r="L812" i="10"/>
  <c r="S813" i="10"/>
  <c r="O813" i="10"/>
  <c r="P813" i="10"/>
  <c r="Q813" i="10" s="1"/>
  <c r="K813" i="10"/>
  <c r="L813" i="10"/>
  <c r="S814" i="10"/>
  <c r="O814" i="10"/>
  <c r="P814" i="10"/>
  <c r="K814" i="10"/>
  <c r="L814" i="10"/>
  <c r="S815" i="10"/>
  <c r="O815" i="10"/>
  <c r="P815" i="10"/>
  <c r="K815" i="10"/>
  <c r="L815" i="10"/>
  <c r="S816" i="10"/>
  <c r="O816" i="10"/>
  <c r="P816" i="10"/>
  <c r="Q816" i="10"/>
  <c r="K816" i="10"/>
  <c r="L816" i="10"/>
  <c r="S817" i="10"/>
  <c r="O817" i="10"/>
  <c r="P817" i="10"/>
  <c r="K817" i="10"/>
  <c r="L817" i="10"/>
  <c r="S818" i="10"/>
  <c r="O818" i="10"/>
  <c r="Q818" i="10" s="1"/>
  <c r="P818" i="10"/>
  <c r="K818" i="10"/>
  <c r="L818" i="10"/>
  <c r="S819" i="10"/>
  <c r="O819" i="10"/>
  <c r="P819" i="10"/>
  <c r="K819" i="10"/>
  <c r="L819" i="10"/>
  <c r="S820" i="10"/>
  <c r="O820" i="10"/>
  <c r="P820" i="10"/>
  <c r="K820" i="10"/>
  <c r="L820" i="10"/>
  <c r="S821" i="10"/>
  <c r="O821" i="10"/>
  <c r="P821" i="10"/>
  <c r="K821" i="10"/>
  <c r="L821" i="10"/>
  <c r="S822" i="10"/>
  <c r="O822" i="10"/>
  <c r="P822" i="10"/>
  <c r="K822" i="10"/>
  <c r="L822" i="10"/>
  <c r="S823" i="10"/>
  <c r="O823" i="10"/>
  <c r="P823" i="10"/>
  <c r="K823" i="10"/>
  <c r="L823" i="10"/>
  <c r="S824" i="10"/>
  <c r="O824" i="10"/>
  <c r="P824" i="10"/>
  <c r="K824" i="10"/>
  <c r="L824" i="10"/>
  <c r="S825" i="10"/>
  <c r="O825" i="10"/>
  <c r="P825" i="10"/>
  <c r="K825" i="10"/>
  <c r="L825" i="10"/>
  <c r="R16" i="11"/>
  <c r="T16" i="11" s="1"/>
  <c r="U3" i="11"/>
  <c r="S16" i="11"/>
  <c r="O16" i="11"/>
  <c r="P16" i="11"/>
  <c r="Q16" i="11"/>
  <c r="R17" i="11"/>
  <c r="S17" i="11"/>
  <c r="O17" i="11"/>
  <c r="P17" i="11"/>
  <c r="R18" i="11"/>
  <c r="S18" i="11"/>
  <c r="O18" i="11"/>
  <c r="P18" i="11"/>
  <c r="R19" i="11"/>
  <c r="S19" i="11"/>
  <c r="O19" i="11"/>
  <c r="P19" i="11"/>
  <c r="R20" i="11"/>
  <c r="S20" i="11"/>
  <c r="O20" i="11"/>
  <c r="P20" i="11"/>
  <c r="R21" i="11"/>
  <c r="S21" i="11"/>
  <c r="O21" i="11"/>
  <c r="Q21" i="11" s="1"/>
  <c r="P21" i="11"/>
  <c r="R22" i="11"/>
  <c r="S22" i="11"/>
  <c r="O22" i="11"/>
  <c r="P22" i="11"/>
  <c r="R23" i="11"/>
  <c r="S23" i="11"/>
  <c r="O23" i="11"/>
  <c r="P23" i="11"/>
  <c r="R24" i="11"/>
  <c r="S24" i="11"/>
  <c r="O24" i="11"/>
  <c r="P24" i="11"/>
  <c r="R25" i="11"/>
  <c r="S25" i="11"/>
  <c r="O25" i="11"/>
  <c r="Q25" i="11" s="1"/>
  <c r="P25" i="11"/>
  <c r="R26" i="11"/>
  <c r="S26" i="11"/>
  <c r="O26" i="11"/>
  <c r="P26" i="11"/>
  <c r="U27" i="11"/>
  <c r="W27" i="11" s="1" a="1"/>
  <c r="W27" i="11" s="1"/>
  <c r="R28" i="11"/>
  <c r="S28" i="11"/>
  <c r="O28" i="11"/>
  <c r="P28" i="11"/>
  <c r="R29" i="11"/>
  <c r="S29" i="11"/>
  <c r="O29" i="11"/>
  <c r="P29" i="11"/>
  <c r="R30" i="11"/>
  <c r="S30" i="11"/>
  <c r="O30" i="11"/>
  <c r="P30" i="11"/>
  <c r="R31" i="11"/>
  <c r="S31" i="11"/>
  <c r="O31" i="11"/>
  <c r="P31" i="11"/>
  <c r="R32" i="11"/>
  <c r="S32" i="11"/>
  <c r="O32" i="11"/>
  <c r="P32" i="11"/>
  <c r="R33" i="11"/>
  <c r="S33" i="11"/>
  <c r="O33" i="11"/>
  <c r="P33" i="11"/>
  <c r="R34" i="11"/>
  <c r="S34" i="11"/>
  <c r="O34" i="11"/>
  <c r="P34" i="11"/>
  <c r="Q34" i="11" s="1"/>
  <c r="R35" i="11"/>
  <c r="S35" i="11"/>
  <c r="O35" i="11"/>
  <c r="P35" i="11"/>
  <c r="Q35" i="11"/>
  <c r="R36" i="11"/>
  <c r="S36" i="11"/>
  <c r="O36" i="11"/>
  <c r="P36" i="11"/>
  <c r="R37" i="11"/>
  <c r="S37" i="11"/>
  <c r="O37" i="11"/>
  <c r="P37" i="11"/>
  <c r="R38" i="11"/>
  <c r="S38" i="11"/>
  <c r="O38" i="11"/>
  <c r="P38" i="11"/>
  <c r="R39" i="11"/>
  <c r="S39" i="11"/>
  <c r="O39" i="11"/>
  <c r="P39" i="11"/>
  <c r="R40" i="11"/>
  <c r="S40" i="11"/>
  <c r="O40" i="11"/>
  <c r="P40" i="11"/>
  <c r="R41" i="11"/>
  <c r="S41" i="11"/>
  <c r="O41" i="11"/>
  <c r="P41" i="11"/>
  <c r="R42" i="11"/>
  <c r="S42" i="11"/>
  <c r="O42" i="11"/>
  <c r="P42" i="11"/>
  <c r="R43" i="11"/>
  <c r="S43" i="11"/>
  <c r="O43" i="11"/>
  <c r="Q43" i="11" s="1"/>
  <c r="P43" i="11"/>
  <c r="R44" i="11"/>
  <c r="S44" i="11"/>
  <c r="O44" i="11"/>
  <c r="P44" i="11"/>
  <c r="R45" i="11"/>
  <c r="S45" i="11"/>
  <c r="O45" i="11"/>
  <c r="P45" i="11"/>
  <c r="R46" i="11"/>
  <c r="S46" i="11"/>
  <c r="O46" i="11"/>
  <c r="P46" i="11"/>
  <c r="R47" i="11"/>
  <c r="S47" i="11"/>
  <c r="O47" i="11"/>
  <c r="Q47" i="11" s="1"/>
  <c r="P47" i="11"/>
  <c r="R48" i="11"/>
  <c r="S48" i="11"/>
  <c r="O48" i="11"/>
  <c r="Q48" i="11" s="1"/>
  <c r="P48" i="11"/>
  <c r="R49" i="11"/>
  <c r="S49" i="11"/>
  <c r="O49" i="11"/>
  <c r="Q49" i="11" s="1"/>
  <c r="P49" i="11"/>
  <c r="R50" i="11"/>
  <c r="S50" i="11"/>
  <c r="O50" i="11"/>
  <c r="P50" i="11"/>
  <c r="R51" i="11"/>
  <c r="S51" i="11"/>
  <c r="O51" i="11"/>
  <c r="Q51" i="11" s="1"/>
  <c r="P51" i="11"/>
  <c r="R52" i="11"/>
  <c r="S52" i="11"/>
  <c r="O52" i="11"/>
  <c r="P52" i="11"/>
  <c r="R53" i="11"/>
  <c r="S53" i="11"/>
  <c r="O53" i="11"/>
  <c r="P53" i="11"/>
  <c r="R54" i="11"/>
  <c r="S54" i="11"/>
  <c r="O54" i="11"/>
  <c r="P54" i="11"/>
  <c r="Q54" i="11" s="1"/>
  <c r="R55" i="11"/>
  <c r="S55" i="11"/>
  <c r="O55" i="11"/>
  <c r="P55" i="11"/>
  <c r="R56" i="11"/>
  <c r="S56" i="11"/>
  <c r="O56" i="11"/>
  <c r="P56" i="11"/>
  <c r="R57" i="11"/>
  <c r="S57" i="11"/>
  <c r="O57" i="11"/>
  <c r="Q57" i="11" s="1"/>
  <c r="P57" i="11"/>
  <c r="R58" i="11"/>
  <c r="S58" i="11"/>
  <c r="O58" i="11"/>
  <c r="P58" i="11"/>
  <c r="R59" i="11"/>
  <c r="S59" i="11"/>
  <c r="O59" i="11"/>
  <c r="Q59" i="11" s="1"/>
  <c r="P59" i="11"/>
  <c r="R60" i="11"/>
  <c r="S60" i="11"/>
  <c r="T60" i="11" s="1"/>
  <c r="U60" i="11" s="1"/>
  <c r="O60" i="11"/>
  <c r="Q60" i="11" s="1"/>
  <c r="P60" i="11"/>
  <c r="R61" i="11"/>
  <c r="S61" i="11"/>
  <c r="O61" i="11"/>
  <c r="P61" i="11"/>
  <c r="R62" i="11"/>
  <c r="S62" i="11"/>
  <c r="O62" i="11"/>
  <c r="P62" i="11"/>
  <c r="R63" i="11"/>
  <c r="S63" i="11"/>
  <c r="O63" i="11"/>
  <c r="P63" i="11"/>
  <c r="Q63" i="11"/>
  <c r="R64" i="11"/>
  <c r="S64" i="11"/>
  <c r="O64" i="11"/>
  <c r="P64" i="11"/>
  <c r="R65" i="11"/>
  <c r="S65" i="11"/>
  <c r="O65" i="11"/>
  <c r="P65" i="11"/>
  <c r="R66" i="11"/>
  <c r="S66" i="11"/>
  <c r="O66" i="11"/>
  <c r="P66" i="11"/>
  <c r="Q66" i="11" s="1"/>
  <c r="R67" i="11"/>
  <c r="S67" i="11"/>
  <c r="O67" i="11"/>
  <c r="P67" i="11"/>
  <c r="R68" i="11"/>
  <c r="S68" i="11"/>
  <c r="O68" i="11"/>
  <c r="P68" i="11"/>
  <c r="R69" i="11"/>
  <c r="S69" i="11"/>
  <c r="O69" i="11"/>
  <c r="P69" i="11"/>
  <c r="R70" i="11"/>
  <c r="S70" i="11"/>
  <c r="O70" i="11"/>
  <c r="P70" i="11"/>
  <c r="R71" i="11"/>
  <c r="S71" i="11"/>
  <c r="O71" i="11"/>
  <c r="P71" i="11"/>
  <c r="Q71" i="11"/>
  <c r="R72" i="11"/>
  <c r="S72" i="11"/>
  <c r="O72" i="11"/>
  <c r="P72" i="11"/>
  <c r="R73" i="11"/>
  <c r="S73" i="11"/>
  <c r="O73" i="11"/>
  <c r="P73" i="11"/>
  <c r="R74" i="11"/>
  <c r="S74" i="11"/>
  <c r="O74" i="11"/>
  <c r="P74" i="11"/>
  <c r="Q74" i="11" s="1"/>
  <c r="R75" i="11"/>
  <c r="S75" i="11"/>
  <c r="O75" i="11"/>
  <c r="Q75" i="11" s="1"/>
  <c r="P75" i="11"/>
  <c r="R76" i="11"/>
  <c r="S76" i="11"/>
  <c r="O76" i="11"/>
  <c r="P76" i="11"/>
  <c r="R77" i="11"/>
  <c r="S77" i="11"/>
  <c r="O77" i="11"/>
  <c r="Q77" i="11" s="1"/>
  <c r="P77" i="11"/>
  <c r="R78" i="11"/>
  <c r="S78" i="11"/>
  <c r="O78" i="11"/>
  <c r="P78" i="11"/>
  <c r="R79" i="11"/>
  <c r="S79" i="11"/>
  <c r="O79" i="11"/>
  <c r="Q79" i="11" s="1"/>
  <c r="P79" i="11"/>
  <c r="R80" i="11"/>
  <c r="S80" i="11"/>
  <c r="O80" i="11"/>
  <c r="Q80" i="11" s="1"/>
  <c r="P80" i="11"/>
  <c r="R81" i="11"/>
  <c r="S81" i="11"/>
  <c r="O81" i="11"/>
  <c r="Q81" i="11" s="1"/>
  <c r="P81" i="11"/>
  <c r="R82" i="11"/>
  <c r="S82" i="11"/>
  <c r="O82" i="11"/>
  <c r="P82" i="11"/>
  <c r="R83" i="11"/>
  <c r="S83" i="11"/>
  <c r="O83" i="11"/>
  <c r="Q83" i="11" s="1"/>
  <c r="P83" i="11"/>
  <c r="R84" i="11"/>
  <c r="S84" i="11"/>
  <c r="O84" i="11"/>
  <c r="P84" i="11"/>
  <c r="Q84" i="11" s="1"/>
  <c r="R85" i="11"/>
  <c r="S85" i="11"/>
  <c r="O85" i="11"/>
  <c r="P85" i="11"/>
  <c r="R86" i="11"/>
  <c r="S86" i="11"/>
  <c r="O86" i="11"/>
  <c r="P86" i="11"/>
  <c r="R87" i="11"/>
  <c r="S87" i="11"/>
  <c r="O87" i="11"/>
  <c r="P87" i="11"/>
  <c r="R88" i="11"/>
  <c r="S88" i="11"/>
  <c r="O88" i="11"/>
  <c r="P88" i="11"/>
  <c r="R89" i="11"/>
  <c r="S89" i="11"/>
  <c r="O89" i="11"/>
  <c r="Q89" i="11" s="1"/>
  <c r="P89" i="11"/>
  <c r="R90" i="11"/>
  <c r="S90" i="11"/>
  <c r="O90" i="11"/>
  <c r="Q90" i="11" s="1"/>
  <c r="P90" i="11"/>
  <c r="R91" i="11"/>
  <c r="S91" i="11"/>
  <c r="O91" i="11"/>
  <c r="P91" i="11"/>
  <c r="Q91" i="11"/>
  <c r="R92" i="11"/>
  <c r="T92" i="11" s="1"/>
  <c r="U92" i="11" s="1"/>
  <c r="S92" i="11"/>
  <c r="O92" i="11"/>
  <c r="P92" i="11"/>
  <c r="Q92" i="11"/>
  <c r="R93" i="11"/>
  <c r="S93" i="11"/>
  <c r="O93" i="11"/>
  <c r="P93" i="11"/>
  <c r="R94" i="11"/>
  <c r="S94" i="11"/>
  <c r="O94" i="11"/>
  <c r="P94" i="11"/>
  <c r="R95" i="11"/>
  <c r="S95" i="11"/>
  <c r="O95" i="11"/>
  <c r="P95" i="11"/>
  <c r="R96" i="11"/>
  <c r="S96" i="11"/>
  <c r="O96" i="11"/>
  <c r="P96" i="11"/>
  <c r="Q96" i="11" s="1"/>
  <c r="R97" i="11"/>
  <c r="S97" i="11"/>
  <c r="O97" i="11"/>
  <c r="Q97" i="11" s="1"/>
  <c r="P97" i="11"/>
  <c r="R98" i="11"/>
  <c r="S98" i="11"/>
  <c r="O98" i="11"/>
  <c r="P98" i="11"/>
  <c r="Q98" i="11"/>
  <c r="R99" i="11"/>
  <c r="H99" i="11"/>
  <c r="S99" i="11"/>
  <c r="O99" i="11"/>
  <c r="Q99" i="11" s="1"/>
  <c r="P99" i="11"/>
  <c r="U114" i="11"/>
  <c r="R115" i="11"/>
  <c r="S115" i="11"/>
  <c r="O115" i="11"/>
  <c r="P115" i="11"/>
  <c r="Q115" i="11"/>
  <c r="T115" i="11"/>
  <c r="U115" i="11"/>
  <c r="R116" i="11"/>
  <c r="S116" i="11"/>
  <c r="O116" i="11"/>
  <c r="Q116" i="11" s="1"/>
  <c r="Q123" i="11" s="1"/>
  <c r="P116" i="11"/>
  <c r="R117" i="11"/>
  <c r="S117" i="11"/>
  <c r="O117" i="11"/>
  <c r="P117" i="11"/>
  <c r="Q117" i="11"/>
  <c r="T117" i="11"/>
  <c r="U117" i="11"/>
  <c r="R118" i="11"/>
  <c r="S118" i="11"/>
  <c r="O118" i="11"/>
  <c r="P118" i="11"/>
  <c r="Q118" i="11"/>
  <c r="T118" i="11"/>
  <c r="U118" i="11"/>
  <c r="I9" i="11"/>
  <c r="U9" i="11"/>
  <c r="I10" i="11"/>
  <c r="U10" i="11"/>
  <c r="I11" i="11"/>
  <c r="U11" i="11"/>
  <c r="U13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14" i="11"/>
  <c r="K115" i="11"/>
  <c r="K116" i="11"/>
  <c r="K123" i="11" s="1"/>
  <c r="K117" i="11"/>
  <c r="K118" i="11"/>
  <c r="K13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14" i="11"/>
  <c r="L115" i="11"/>
  <c r="L116" i="11"/>
  <c r="L123" i="11" s="1"/>
  <c r="L117" i="11"/>
  <c r="L118" i="11"/>
  <c r="L13" i="11"/>
  <c r="J110" i="11"/>
  <c r="J123" i="11"/>
  <c r="J13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0" i="11"/>
  <c r="V81" i="11"/>
  <c r="V82" i="11"/>
  <c r="V83" i="11"/>
  <c r="V84" i="11"/>
  <c r="V85" i="11"/>
  <c r="V86" i="11"/>
  <c r="V87" i="11"/>
  <c r="V88" i="11"/>
  <c r="V89" i="11"/>
  <c r="V90" i="11"/>
  <c r="V91" i="11"/>
  <c r="V92" i="11"/>
  <c r="V93" i="11"/>
  <c r="V94" i="11"/>
  <c r="V95" i="11"/>
  <c r="V96" i="11"/>
  <c r="V97" i="11"/>
  <c r="V98" i="11"/>
  <c r="V99" i="11"/>
  <c r="V114" i="11"/>
  <c r="V115" i="11"/>
  <c r="V116" i="11"/>
  <c r="V117" i="11"/>
  <c r="V118" i="11"/>
  <c r="H13" i="11"/>
  <c r="V13" i="11"/>
  <c r="T13" i="11"/>
  <c r="S27" i="11"/>
  <c r="S114" i="11"/>
  <c r="S123" i="11"/>
  <c r="R27" i="11"/>
  <c r="R114" i="11"/>
  <c r="R123" i="11"/>
  <c r="P27" i="11"/>
  <c r="P114" i="11"/>
  <c r="P123" i="11"/>
  <c r="O27" i="11"/>
  <c r="O114" i="11"/>
  <c r="I110" i="11"/>
  <c r="I13" i="11"/>
  <c r="G110" i="11"/>
  <c r="G123" i="11"/>
  <c r="G13" i="11"/>
  <c r="F110" i="11"/>
  <c r="F127" i="11" s="1"/>
  <c r="F123" i="11"/>
  <c r="F13" i="11"/>
  <c r="Q114" i="11"/>
  <c r="V106" i="11"/>
  <c r="V105" i="11"/>
  <c r="V104" i="11"/>
  <c r="V103" i="11"/>
  <c r="V102" i="11"/>
  <c r="V101" i="11"/>
  <c r="S13" i="11"/>
  <c r="R13" i="11"/>
  <c r="P13" i="11"/>
  <c r="O13" i="11"/>
  <c r="U3" i="10"/>
  <c r="R767" i="10" s="1"/>
  <c r="O8" i="10"/>
  <c r="Q8" i="10" s="1"/>
  <c r="P8" i="10"/>
  <c r="R176" i="10"/>
  <c r="S176" i="10"/>
  <c r="O176" i="10"/>
  <c r="P176" i="10"/>
  <c r="Q176" i="10"/>
  <c r="O521" i="10"/>
  <c r="Q521" i="10" s="1"/>
  <c r="P521" i="10"/>
  <c r="K521" i="10"/>
  <c r="L521" i="10"/>
  <c r="O524" i="10"/>
  <c r="P524" i="10"/>
  <c r="Q524" i="10"/>
  <c r="K524" i="10"/>
  <c r="L524" i="10"/>
  <c r="S543" i="10"/>
  <c r="O543" i="10"/>
  <c r="Q543" i="10" s="1"/>
  <c r="P543" i="10"/>
  <c r="R544" i="10"/>
  <c r="S544" i="10"/>
  <c r="O544" i="10"/>
  <c r="P544" i="10"/>
  <c r="Q544" i="10"/>
  <c r="R545" i="10"/>
  <c r="S545" i="10"/>
  <c r="O545" i="10"/>
  <c r="P545" i="10"/>
  <c r="Q545" i="10"/>
  <c r="S546" i="10"/>
  <c r="O546" i="10"/>
  <c r="Q546" i="10" s="1"/>
  <c r="P546" i="10"/>
  <c r="O550" i="10"/>
  <c r="P550" i="10"/>
  <c r="Q550" i="10"/>
  <c r="K550" i="10"/>
  <c r="L550" i="10"/>
  <c r="O559" i="10"/>
  <c r="Q559" i="10" s="1"/>
  <c r="P559" i="10"/>
  <c r="K559" i="10"/>
  <c r="L559" i="10"/>
  <c r="O560" i="10"/>
  <c r="Q560" i="10" s="1"/>
  <c r="P560" i="10"/>
  <c r="K560" i="10"/>
  <c r="L560" i="10"/>
  <c r="O774" i="10"/>
  <c r="P774" i="10"/>
  <c r="Q774" i="10"/>
  <c r="K774" i="10"/>
  <c r="L774" i="10"/>
  <c r="O775" i="10"/>
  <c r="P775" i="10"/>
  <c r="Q775" i="10"/>
  <c r="K775" i="10"/>
  <c r="L775" i="10"/>
  <c r="R832" i="10"/>
  <c r="S832" i="10"/>
  <c r="O832" i="10"/>
  <c r="P832" i="10"/>
  <c r="K832" i="10"/>
  <c r="L832" i="10"/>
  <c r="R833" i="10"/>
  <c r="S833" i="10"/>
  <c r="O833" i="10"/>
  <c r="Q833" i="10" s="1"/>
  <c r="P833" i="10"/>
  <c r="K833" i="10"/>
  <c r="L833" i="10"/>
  <c r="J172" i="10"/>
  <c r="J607" i="10"/>
  <c r="J793" i="10"/>
  <c r="J829" i="10"/>
  <c r="J837" i="10"/>
  <c r="H292" i="10"/>
  <c r="H361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H603" i="10"/>
  <c r="V594" i="10"/>
  <c r="V595" i="10"/>
  <c r="V596" i="10"/>
  <c r="V597" i="10"/>
  <c r="V598" i="10"/>
  <c r="V599" i="10"/>
  <c r="V600" i="10"/>
  <c r="V601" i="10"/>
  <c r="V602" i="10"/>
  <c r="V603" i="10"/>
  <c r="H624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V722" i="10"/>
  <c r="V723" i="10"/>
  <c r="V724" i="10"/>
  <c r="V725" i="10"/>
  <c r="V726" i="10"/>
  <c r="V727" i="10"/>
  <c r="V728" i="10"/>
  <c r="V729" i="10"/>
  <c r="V730" i="10"/>
  <c r="V731" i="10"/>
  <c r="V732" i="10"/>
  <c r="V733" i="10"/>
  <c r="V734" i="10"/>
  <c r="V735" i="10"/>
  <c r="V736" i="10"/>
  <c r="V737" i="10"/>
  <c r="V738" i="10"/>
  <c r="V739" i="10"/>
  <c r="V740" i="10"/>
  <c r="V741" i="10"/>
  <c r="V742" i="10"/>
  <c r="V743" i="10"/>
  <c r="V744" i="10"/>
  <c r="V745" i="10"/>
  <c r="V746" i="10"/>
  <c r="V747" i="10"/>
  <c r="V748" i="10"/>
  <c r="V749" i="10"/>
  <c r="V750" i="10"/>
  <c r="V751" i="10"/>
  <c r="V752" i="10"/>
  <c r="V753" i="10"/>
  <c r="V754" i="10"/>
  <c r="V755" i="10"/>
  <c r="V756" i="10"/>
  <c r="V757" i="10"/>
  <c r="V758" i="10"/>
  <c r="V759" i="10"/>
  <c r="V760" i="10"/>
  <c r="V761" i="10"/>
  <c r="V762" i="10"/>
  <c r="V763" i="10"/>
  <c r="V764" i="10"/>
  <c r="V765" i="10"/>
  <c r="V766" i="10"/>
  <c r="V767" i="10"/>
  <c r="V768" i="10"/>
  <c r="V769" i="10"/>
  <c r="V770" i="10"/>
  <c r="V771" i="10"/>
  <c r="V772" i="10"/>
  <c r="V773" i="10"/>
  <c r="V774" i="10"/>
  <c r="V775" i="10"/>
  <c r="V776" i="10"/>
  <c r="V777" i="10"/>
  <c r="V797" i="10"/>
  <c r="V798" i="10"/>
  <c r="V799" i="10"/>
  <c r="V800" i="10"/>
  <c r="V801" i="10"/>
  <c r="V802" i="10"/>
  <c r="V803" i="10"/>
  <c r="V804" i="10"/>
  <c r="V805" i="10"/>
  <c r="V806" i="10"/>
  <c r="V807" i="10"/>
  <c r="V808" i="10"/>
  <c r="V809" i="10"/>
  <c r="V810" i="10"/>
  <c r="V811" i="10"/>
  <c r="V812" i="10"/>
  <c r="V813" i="10"/>
  <c r="V814" i="10"/>
  <c r="V815" i="10"/>
  <c r="V816" i="10"/>
  <c r="V817" i="10"/>
  <c r="V818" i="10"/>
  <c r="V819" i="10"/>
  <c r="V820" i="10"/>
  <c r="V821" i="10"/>
  <c r="V822" i="10"/>
  <c r="V823" i="10"/>
  <c r="V824" i="10"/>
  <c r="V825" i="10"/>
  <c r="H83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832" i="10"/>
  <c r="V837" i="10" s="1"/>
  <c r="V833" i="10"/>
  <c r="I172" i="10"/>
  <c r="I590" i="10"/>
  <c r="I607" i="10"/>
  <c r="I829" i="10"/>
  <c r="I837" i="10"/>
  <c r="G172" i="10"/>
  <c r="G590" i="10"/>
  <c r="G607" i="10"/>
  <c r="G793" i="10"/>
  <c r="G829" i="10"/>
  <c r="G837" i="10"/>
  <c r="F172" i="10"/>
  <c r="F590" i="10"/>
  <c r="F607" i="10"/>
  <c r="F793" i="10"/>
  <c r="F829" i="10"/>
  <c r="F837" i="10"/>
  <c r="T113" i="8"/>
  <c r="K197" i="9"/>
  <c r="K169" i="9"/>
  <c r="L162" i="9"/>
  <c r="K153" i="9"/>
  <c r="K147" i="9"/>
  <c r="D134" i="9"/>
  <c r="M132" i="9"/>
  <c r="N131" i="9"/>
  <c r="M131" i="9"/>
  <c r="M130" i="9"/>
  <c r="N129" i="9"/>
  <c r="M129" i="9"/>
  <c r="M128" i="9"/>
  <c r="K122" i="9"/>
  <c r="K103" i="9"/>
  <c r="K97" i="9"/>
  <c r="K92" i="9"/>
  <c r="I86" i="9"/>
  <c r="I82" i="9"/>
  <c r="J89" i="9"/>
  <c r="G77" i="9"/>
  <c r="H74" i="9"/>
  <c r="I74" i="9"/>
  <c r="F77" i="9"/>
  <c r="I72" i="9"/>
  <c r="I71" i="9"/>
  <c r="I70" i="9"/>
  <c r="I69" i="9"/>
  <c r="K49" i="9"/>
  <c r="K43" i="9"/>
  <c r="J37" i="9"/>
  <c r="K24" i="9"/>
  <c r="K57" i="9"/>
  <c r="K11" i="9"/>
  <c r="K7" i="9"/>
  <c r="H75" i="9"/>
  <c r="I75" i="9"/>
  <c r="H73" i="9"/>
  <c r="I73" i="9"/>
  <c r="J75" i="9"/>
  <c r="H65" i="9"/>
  <c r="I65" i="9"/>
  <c r="J65" i="9"/>
  <c r="H66" i="9"/>
  <c r="I66" i="9"/>
  <c r="J66" i="9"/>
  <c r="H68" i="9"/>
  <c r="I68" i="9"/>
  <c r="J68" i="9"/>
  <c r="H64" i="9"/>
  <c r="I64" i="9"/>
  <c r="J64" i="9"/>
  <c r="H67" i="9"/>
  <c r="I67" i="9"/>
  <c r="J67" i="9"/>
  <c r="H63" i="9"/>
  <c r="I63" i="9"/>
  <c r="H77" i="9"/>
  <c r="J63" i="9"/>
  <c r="K77" i="9"/>
  <c r="K115" i="9"/>
  <c r="I77" i="9"/>
  <c r="H828" i="7"/>
  <c r="X169" i="7"/>
  <c r="U175" i="7"/>
  <c r="X580" i="7"/>
  <c r="H289" i="7"/>
  <c r="J580" i="7"/>
  <c r="H593" i="7"/>
  <c r="H612" i="7"/>
  <c r="X782" i="7"/>
  <c r="X817" i="7"/>
  <c r="U817" i="7"/>
  <c r="F580" i="7"/>
  <c r="I580" i="7"/>
  <c r="K100" i="8"/>
  <c r="L100" i="8"/>
  <c r="O100" i="8"/>
  <c r="P100" i="8"/>
  <c r="R100" i="8"/>
  <c r="S100" i="8"/>
  <c r="V100" i="8"/>
  <c r="K101" i="8"/>
  <c r="L101" i="8"/>
  <c r="O101" i="8"/>
  <c r="P101" i="8"/>
  <c r="R101" i="8"/>
  <c r="S101" i="8"/>
  <c r="V101" i="8"/>
  <c r="K102" i="8"/>
  <c r="L102" i="8"/>
  <c r="O102" i="8"/>
  <c r="Q102" i="8"/>
  <c r="P102" i="8"/>
  <c r="R102" i="8"/>
  <c r="S102" i="8"/>
  <c r="V102" i="8"/>
  <c r="K103" i="8"/>
  <c r="L103" i="8"/>
  <c r="O103" i="8"/>
  <c r="P103" i="8"/>
  <c r="R103" i="8"/>
  <c r="S103" i="8"/>
  <c r="V103" i="8"/>
  <c r="K104" i="8"/>
  <c r="L104" i="8"/>
  <c r="O104" i="8"/>
  <c r="P104" i="8"/>
  <c r="R104" i="8"/>
  <c r="S104" i="8"/>
  <c r="V104" i="8"/>
  <c r="K105" i="8"/>
  <c r="L105" i="8"/>
  <c r="O105" i="8"/>
  <c r="P105" i="8"/>
  <c r="R105" i="8"/>
  <c r="S105" i="8"/>
  <c r="V105" i="8"/>
  <c r="K106" i="8"/>
  <c r="L106" i="8"/>
  <c r="O106" i="8"/>
  <c r="P106" i="8"/>
  <c r="R106" i="8"/>
  <c r="S106" i="8"/>
  <c r="V106" i="8"/>
  <c r="J109" i="8"/>
  <c r="I109" i="8"/>
  <c r="G109" i="8"/>
  <c r="F109" i="8"/>
  <c r="H99" i="8"/>
  <c r="J120" i="8"/>
  <c r="I120" i="8"/>
  <c r="G120" i="8"/>
  <c r="F120" i="8"/>
  <c r="V117" i="8"/>
  <c r="S117" i="8"/>
  <c r="P117" i="8"/>
  <c r="O117" i="8"/>
  <c r="L117" i="8"/>
  <c r="K117" i="8"/>
  <c r="V116" i="8"/>
  <c r="S116" i="8"/>
  <c r="P116" i="8"/>
  <c r="O116" i="8"/>
  <c r="L116" i="8"/>
  <c r="K116" i="8"/>
  <c r="V115" i="8"/>
  <c r="S115" i="8"/>
  <c r="P115" i="8"/>
  <c r="O115" i="8"/>
  <c r="Q115" i="8"/>
  <c r="L115" i="8"/>
  <c r="K115" i="8"/>
  <c r="V114" i="8"/>
  <c r="S114" i="8"/>
  <c r="P114" i="8"/>
  <c r="O114" i="8"/>
  <c r="L114" i="8"/>
  <c r="K114" i="8"/>
  <c r="V113" i="8"/>
  <c r="R113" i="8"/>
  <c r="P113" i="8"/>
  <c r="O113" i="8"/>
  <c r="Q113" i="8"/>
  <c r="L113" i="8"/>
  <c r="K113" i="8"/>
  <c r="V99" i="8"/>
  <c r="R99" i="8"/>
  <c r="P99" i="8"/>
  <c r="O99" i="8"/>
  <c r="L99" i="8"/>
  <c r="K99" i="8"/>
  <c r="V98" i="8"/>
  <c r="R98" i="8"/>
  <c r="P98" i="8"/>
  <c r="O98" i="8"/>
  <c r="L98" i="8"/>
  <c r="K98" i="8"/>
  <c r="V97" i="8"/>
  <c r="R97" i="8"/>
  <c r="P97" i="8"/>
  <c r="O97" i="8"/>
  <c r="Q97" i="8"/>
  <c r="L97" i="8"/>
  <c r="K97" i="8"/>
  <c r="V96" i="8"/>
  <c r="R96" i="8"/>
  <c r="P96" i="8"/>
  <c r="O96" i="8"/>
  <c r="L96" i="8"/>
  <c r="K96" i="8"/>
  <c r="V95" i="8"/>
  <c r="R95" i="8"/>
  <c r="P95" i="8"/>
  <c r="O95" i="8"/>
  <c r="L95" i="8"/>
  <c r="K95" i="8"/>
  <c r="V94" i="8"/>
  <c r="R94" i="8"/>
  <c r="P94" i="8"/>
  <c r="O94" i="8"/>
  <c r="L94" i="8"/>
  <c r="K94" i="8"/>
  <c r="V93" i="8"/>
  <c r="R93" i="8"/>
  <c r="P93" i="8"/>
  <c r="O93" i="8"/>
  <c r="L93" i="8"/>
  <c r="K93" i="8"/>
  <c r="V92" i="8"/>
  <c r="R92" i="8"/>
  <c r="P92" i="8"/>
  <c r="O92" i="8"/>
  <c r="L92" i="8"/>
  <c r="K92" i="8"/>
  <c r="V91" i="8"/>
  <c r="R91" i="8"/>
  <c r="P91" i="8"/>
  <c r="O91" i="8"/>
  <c r="L91" i="8"/>
  <c r="K91" i="8"/>
  <c r="V90" i="8"/>
  <c r="R90" i="8"/>
  <c r="P90" i="8"/>
  <c r="O90" i="8"/>
  <c r="L90" i="8"/>
  <c r="K90" i="8"/>
  <c r="V89" i="8"/>
  <c r="R89" i="8"/>
  <c r="P89" i="8"/>
  <c r="O89" i="8"/>
  <c r="L89" i="8"/>
  <c r="K89" i="8"/>
  <c r="V88" i="8"/>
  <c r="R88" i="8"/>
  <c r="P88" i="8"/>
  <c r="O88" i="8"/>
  <c r="L88" i="8"/>
  <c r="K88" i="8"/>
  <c r="V87" i="8"/>
  <c r="R87" i="8"/>
  <c r="P87" i="8"/>
  <c r="O87" i="8"/>
  <c r="L87" i="8"/>
  <c r="K87" i="8"/>
  <c r="V86" i="8"/>
  <c r="R86" i="8"/>
  <c r="P86" i="8"/>
  <c r="O86" i="8"/>
  <c r="L86" i="8"/>
  <c r="K86" i="8"/>
  <c r="V85" i="8"/>
  <c r="R85" i="8"/>
  <c r="P85" i="8"/>
  <c r="O85" i="8"/>
  <c r="L85" i="8"/>
  <c r="K85" i="8"/>
  <c r="V84" i="8"/>
  <c r="R84" i="8"/>
  <c r="P84" i="8"/>
  <c r="O84" i="8"/>
  <c r="L84" i="8"/>
  <c r="K84" i="8"/>
  <c r="V83" i="8"/>
  <c r="R83" i="8"/>
  <c r="P83" i="8"/>
  <c r="O83" i="8"/>
  <c r="L83" i="8"/>
  <c r="K83" i="8"/>
  <c r="V82" i="8"/>
  <c r="R82" i="8"/>
  <c r="P82" i="8"/>
  <c r="O82" i="8"/>
  <c r="L82" i="8"/>
  <c r="K82" i="8"/>
  <c r="V81" i="8"/>
  <c r="R81" i="8"/>
  <c r="P81" i="8"/>
  <c r="Q81" i="8"/>
  <c r="O81" i="8"/>
  <c r="L81" i="8"/>
  <c r="K81" i="8"/>
  <c r="V80" i="8"/>
  <c r="R80" i="8"/>
  <c r="P80" i="8"/>
  <c r="O80" i="8"/>
  <c r="L80" i="8"/>
  <c r="K80" i="8"/>
  <c r="V79" i="8"/>
  <c r="R79" i="8"/>
  <c r="P79" i="8"/>
  <c r="O79" i="8"/>
  <c r="L79" i="8"/>
  <c r="K79" i="8"/>
  <c r="V78" i="8"/>
  <c r="R78" i="8"/>
  <c r="P78" i="8"/>
  <c r="O78" i="8"/>
  <c r="L78" i="8"/>
  <c r="K78" i="8"/>
  <c r="V77" i="8"/>
  <c r="R77" i="8"/>
  <c r="P77" i="8"/>
  <c r="O77" i="8"/>
  <c r="L77" i="8"/>
  <c r="K77" i="8"/>
  <c r="V76" i="8"/>
  <c r="R76" i="8"/>
  <c r="P76" i="8"/>
  <c r="O76" i="8"/>
  <c r="L76" i="8"/>
  <c r="K76" i="8"/>
  <c r="V75" i="8"/>
  <c r="R75" i="8"/>
  <c r="P75" i="8"/>
  <c r="O75" i="8"/>
  <c r="L75" i="8"/>
  <c r="K75" i="8"/>
  <c r="V74" i="8"/>
  <c r="R74" i="8"/>
  <c r="P74" i="8"/>
  <c r="O74" i="8"/>
  <c r="L74" i="8"/>
  <c r="K74" i="8"/>
  <c r="V73" i="8"/>
  <c r="R73" i="8"/>
  <c r="P73" i="8"/>
  <c r="O73" i="8"/>
  <c r="L73" i="8"/>
  <c r="K73" i="8"/>
  <c r="V72" i="8"/>
  <c r="R72" i="8"/>
  <c r="P72" i="8"/>
  <c r="O72" i="8"/>
  <c r="Q72" i="8"/>
  <c r="L72" i="8"/>
  <c r="K72" i="8"/>
  <c r="V71" i="8"/>
  <c r="R71" i="8"/>
  <c r="P71" i="8"/>
  <c r="O71" i="8"/>
  <c r="L71" i="8"/>
  <c r="K71" i="8"/>
  <c r="V70" i="8"/>
  <c r="R70" i="8"/>
  <c r="P70" i="8"/>
  <c r="O70" i="8"/>
  <c r="Q70" i="8"/>
  <c r="L70" i="8"/>
  <c r="K70" i="8"/>
  <c r="V69" i="8"/>
  <c r="R69" i="8"/>
  <c r="P69" i="8"/>
  <c r="O69" i="8"/>
  <c r="L69" i="8"/>
  <c r="K69" i="8"/>
  <c r="V68" i="8"/>
  <c r="R68" i="8"/>
  <c r="P68" i="8"/>
  <c r="O68" i="8"/>
  <c r="Q68" i="8"/>
  <c r="L68" i="8"/>
  <c r="K68" i="8"/>
  <c r="V67" i="8"/>
  <c r="S67" i="8"/>
  <c r="P67" i="8"/>
  <c r="O67" i="8"/>
  <c r="L67" i="8"/>
  <c r="K67" i="8"/>
  <c r="V66" i="8"/>
  <c r="S66" i="8"/>
  <c r="P66" i="8"/>
  <c r="O66" i="8"/>
  <c r="L66" i="8"/>
  <c r="K66" i="8"/>
  <c r="V65" i="8"/>
  <c r="R65" i="8"/>
  <c r="P65" i="8"/>
  <c r="O65" i="8"/>
  <c r="L65" i="8"/>
  <c r="K65" i="8"/>
  <c r="V64" i="8"/>
  <c r="R64" i="8"/>
  <c r="P64" i="8"/>
  <c r="O64" i="8"/>
  <c r="L64" i="8"/>
  <c r="K64" i="8"/>
  <c r="V63" i="8"/>
  <c r="R63" i="8"/>
  <c r="P63" i="8"/>
  <c r="O63" i="8"/>
  <c r="L63" i="8"/>
  <c r="K63" i="8"/>
  <c r="V62" i="8"/>
  <c r="R62" i="8"/>
  <c r="P62" i="8"/>
  <c r="O62" i="8"/>
  <c r="L62" i="8"/>
  <c r="K62" i="8"/>
  <c r="V61" i="8"/>
  <c r="S61" i="8"/>
  <c r="P61" i="8"/>
  <c r="O61" i="8"/>
  <c r="L61" i="8"/>
  <c r="K61" i="8"/>
  <c r="V60" i="8"/>
  <c r="R60" i="8"/>
  <c r="P60" i="8"/>
  <c r="O60" i="8"/>
  <c r="L60" i="8"/>
  <c r="K60" i="8"/>
  <c r="V59" i="8"/>
  <c r="R59" i="8"/>
  <c r="P59" i="8"/>
  <c r="O59" i="8"/>
  <c r="L59" i="8"/>
  <c r="K59" i="8"/>
  <c r="V58" i="8"/>
  <c r="R58" i="8"/>
  <c r="P58" i="8"/>
  <c r="O58" i="8"/>
  <c r="L58" i="8"/>
  <c r="K58" i="8"/>
  <c r="V57" i="8"/>
  <c r="R57" i="8"/>
  <c r="P57" i="8"/>
  <c r="O57" i="8"/>
  <c r="L57" i="8"/>
  <c r="K57" i="8"/>
  <c r="V56" i="8"/>
  <c r="R56" i="8"/>
  <c r="P56" i="8"/>
  <c r="O56" i="8"/>
  <c r="L56" i="8"/>
  <c r="K56" i="8"/>
  <c r="V55" i="8"/>
  <c r="R55" i="8"/>
  <c r="P55" i="8"/>
  <c r="O55" i="8"/>
  <c r="L55" i="8"/>
  <c r="K55" i="8"/>
  <c r="V54" i="8"/>
  <c r="R54" i="8"/>
  <c r="P54" i="8"/>
  <c r="O54" i="8"/>
  <c r="L54" i="8"/>
  <c r="K54" i="8"/>
  <c r="V53" i="8"/>
  <c r="R53" i="8"/>
  <c r="P53" i="8"/>
  <c r="O53" i="8"/>
  <c r="L53" i="8"/>
  <c r="K53" i="8"/>
  <c r="V52" i="8"/>
  <c r="R52" i="8"/>
  <c r="P52" i="8"/>
  <c r="O52" i="8"/>
  <c r="L52" i="8"/>
  <c r="K52" i="8"/>
  <c r="V51" i="8"/>
  <c r="R51" i="8"/>
  <c r="P51" i="8"/>
  <c r="O51" i="8"/>
  <c r="L51" i="8"/>
  <c r="K51" i="8"/>
  <c r="V50" i="8"/>
  <c r="R50" i="8"/>
  <c r="P50" i="8"/>
  <c r="O50" i="8"/>
  <c r="L50" i="8"/>
  <c r="K50" i="8"/>
  <c r="V49" i="8"/>
  <c r="R49" i="8"/>
  <c r="P49" i="8"/>
  <c r="O49" i="8"/>
  <c r="L49" i="8"/>
  <c r="K49" i="8"/>
  <c r="V48" i="8"/>
  <c r="R48" i="8"/>
  <c r="P48" i="8"/>
  <c r="O48" i="8"/>
  <c r="L48" i="8"/>
  <c r="K48" i="8"/>
  <c r="V47" i="8"/>
  <c r="R47" i="8"/>
  <c r="P47" i="8"/>
  <c r="O47" i="8"/>
  <c r="L47" i="8"/>
  <c r="K47" i="8"/>
  <c r="V46" i="8"/>
  <c r="S46" i="8"/>
  <c r="P46" i="8"/>
  <c r="O46" i="8"/>
  <c r="L46" i="8"/>
  <c r="K46" i="8"/>
  <c r="V45" i="8"/>
  <c r="R45" i="8"/>
  <c r="P45" i="8"/>
  <c r="O45" i="8"/>
  <c r="L45" i="8"/>
  <c r="K45" i="8"/>
  <c r="V44" i="8"/>
  <c r="R44" i="8"/>
  <c r="P44" i="8"/>
  <c r="O44" i="8"/>
  <c r="L44" i="8"/>
  <c r="K44" i="8"/>
  <c r="V43" i="8"/>
  <c r="R43" i="8"/>
  <c r="P43" i="8"/>
  <c r="O43" i="8"/>
  <c r="L43" i="8"/>
  <c r="K43" i="8"/>
  <c r="V42" i="8"/>
  <c r="S42" i="8"/>
  <c r="P42" i="8"/>
  <c r="O42" i="8"/>
  <c r="L42" i="8"/>
  <c r="K42" i="8"/>
  <c r="V41" i="8"/>
  <c r="S41" i="8"/>
  <c r="P41" i="8"/>
  <c r="O41" i="8"/>
  <c r="L41" i="8"/>
  <c r="K41" i="8"/>
  <c r="V40" i="8"/>
  <c r="R40" i="8"/>
  <c r="P40" i="8"/>
  <c r="O40" i="8"/>
  <c r="L40" i="8"/>
  <c r="K40" i="8"/>
  <c r="V39" i="8"/>
  <c r="R39" i="8"/>
  <c r="P39" i="8"/>
  <c r="O39" i="8"/>
  <c r="Q39" i="8"/>
  <c r="L39" i="8"/>
  <c r="K39" i="8"/>
  <c r="V38" i="8"/>
  <c r="S38" i="8"/>
  <c r="P38" i="8"/>
  <c r="O38" i="8"/>
  <c r="L38" i="8"/>
  <c r="K38" i="8"/>
  <c r="V37" i="8"/>
  <c r="R37" i="8"/>
  <c r="P37" i="8"/>
  <c r="O37" i="8"/>
  <c r="L37" i="8"/>
  <c r="K37" i="8"/>
  <c r="V36" i="8"/>
  <c r="R36" i="8"/>
  <c r="P36" i="8"/>
  <c r="O36" i="8"/>
  <c r="L36" i="8"/>
  <c r="K36" i="8"/>
  <c r="V35" i="8"/>
  <c r="S35" i="8"/>
  <c r="P35" i="8"/>
  <c r="O35" i="8"/>
  <c r="L35" i="8"/>
  <c r="K35" i="8"/>
  <c r="V34" i="8"/>
  <c r="R34" i="8"/>
  <c r="P34" i="8"/>
  <c r="O34" i="8"/>
  <c r="L34" i="8"/>
  <c r="K34" i="8"/>
  <c r="V33" i="8"/>
  <c r="R33" i="8"/>
  <c r="P33" i="8"/>
  <c r="O33" i="8"/>
  <c r="L33" i="8"/>
  <c r="K33" i="8"/>
  <c r="V32" i="8"/>
  <c r="R32" i="8"/>
  <c r="P32" i="8"/>
  <c r="O32" i="8"/>
  <c r="L32" i="8"/>
  <c r="K32" i="8"/>
  <c r="V31" i="8"/>
  <c r="R31" i="8"/>
  <c r="P31" i="8"/>
  <c r="O31" i="8"/>
  <c r="L31" i="8"/>
  <c r="K31" i="8"/>
  <c r="V30" i="8"/>
  <c r="R30" i="8"/>
  <c r="P30" i="8"/>
  <c r="O30" i="8"/>
  <c r="L30" i="8"/>
  <c r="K30" i="8"/>
  <c r="V29" i="8"/>
  <c r="R29" i="8"/>
  <c r="P29" i="8"/>
  <c r="O29" i="8"/>
  <c r="L29" i="8"/>
  <c r="K29" i="8"/>
  <c r="V28" i="8"/>
  <c r="R28" i="8"/>
  <c r="P28" i="8"/>
  <c r="O28" i="8"/>
  <c r="L28" i="8"/>
  <c r="K28" i="8"/>
  <c r="V27" i="8"/>
  <c r="R27" i="8"/>
  <c r="P27" i="8"/>
  <c r="O27" i="8"/>
  <c r="L27" i="8"/>
  <c r="K27" i="8"/>
  <c r="V26" i="8"/>
  <c r="R26" i="8"/>
  <c r="P26" i="8"/>
  <c r="O26" i="8"/>
  <c r="L26" i="8"/>
  <c r="K26" i="8"/>
  <c r="V25" i="8"/>
  <c r="R25" i="8"/>
  <c r="P25" i="8"/>
  <c r="O25" i="8"/>
  <c r="L25" i="8"/>
  <c r="K25" i="8"/>
  <c r="V24" i="8"/>
  <c r="R24" i="8"/>
  <c r="P24" i="8"/>
  <c r="O24" i="8"/>
  <c r="L24" i="8"/>
  <c r="K24" i="8"/>
  <c r="V23" i="8"/>
  <c r="R23" i="8"/>
  <c r="P23" i="8"/>
  <c r="O23" i="8"/>
  <c r="L23" i="8"/>
  <c r="K23" i="8"/>
  <c r="V22" i="8"/>
  <c r="R22" i="8"/>
  <c r="P22" i="8"/>
  <c r="O22" i="8"/>
  <c r="L22" i="8"/>
  <c r="K22" i="8"/>
  <c r="V21" i="8"/>
  <c r="R21" i="8"/>
  <c r="P21" i="8"/>
  <c r="O21" i="8"/>
  <c r="L21" i="8"/>
  <c r="K21" i="8"/>
  <c r="V20" i="8"/>
  <c r="R20" i="8"/>
  <c r="P20" i="8"/>
  <c r="O20" i="8"/>
  <c r="L20" i="8"/>
  <c r="K20" i="8"/>
  <c r="V19" i="8"/>
  <c r="R19" i="8"/>
  <c r="P19" i="8"/>
  <c r="O19" i="8"/>
  <c r="L19" i="8"/>
  <c r="K19" i="8"/>
  <c r="V18" i="8"/>
  <c r="R18" i="8"/>
  <c r="P18" i="8"/>
  <c r="O18" i="8"/>
  <c r="L18" i="8"/>
  <c r="K18" i="8"/>
  <c r="V17" i="8"/>
  <c r="R17" i="8"/>
  <c r="P17" i="8"/>
  <c r="O17" i="8"/>
  <c r="L17" i="8"/>
  <c r="K17" i="8"/>
  <c r="V16" i="8"/>
  <c r="R16" i="8"/>
  <c r="P16" i="8"/>
  <c r="O16" i="8"/>
  <c r="L16" i="8"/>
  <c r="K16" i="8"/>
  <c r="V13" i="8"/>
  <c r="T13" i="8"/>
  <c r="S13" i="8"/>
  <c r="R13" i="8"/>
  <c r="P13" i="8"/>
  <c r="O13" i="8"/>
  <c r="L13" i="8"/>
  <c r="K13" i="8"/>
  <c r="J13" i="8"/>
  <c r="H13" i="8"/>
  <c r="G13" i="8"/>
  <c r="F13" i="8"/>
  <c r="I11" i="8"/>
  <c r="U11" i="8"/>
  <c r="I10" i="8"/>
  <c r="U10" i="8"/>
  <c r="I9" i="8"/>
  <c r="U3" i="8"/>
  <c r="S52" i="8"/>
  <c r="V822" i="7"/>
  <c r="S822" i="7"/>
  <c r="R822" i="7"/>
  <c r="P822" i="7"/>
  <c r="O822" i="7"/>
  <c r="L822" i="7"/>
  <c r="K822" i="7"/>
  <c r="K814" i="7"/>
  <c r="L814" i="7"/>
  <c r="O814" i="7"/>
  <c r="P814" i="7"/>
  <c r="R814" i="7"/>
  <c r="S814" i="7"/>
  <c r="V814" i="7"/>
  <c r="F636" i="7"/>
  <c r="F634" i="7"/>
  <c r="F633" i="7"/>
  <c r="F625" i="7"/>
  <c r="F624" i="7"/>
  <c r="F623" i="7"/>
  <c r="F622" i="7"/>
  <c r="F621" i="7"/>
  <c r="F616" i="7"/>
  <c r="F613" i="7"/>
  <c r="Q814" i="7"/>
  <c r="T814" i="7"/>
  <c r="U814" i="7"/>
  <c r="Q822" i="7"/>
  <c r="Q55" i="8"/>
  <c r="Q76" i="8"/>
  <c r="Q78" i="8"/>
  <c r="Q80" i="8"/>
  <c r="Q91" i="8"/>
  <c r="Q114" i="8"/>
  <c r="Q104" i="8"/>
  <c r="T104" i="8"/>
  <c r="U104" i="8"/>
  <c r="S29" i="8"/>
  <c r="Q106" i="8"/>
  <c r="T106" i="8"/>
  <c r="U106" i="8"/>
  <c r="L109" i="8"/>
  <c r="Q100" i="8"/>
  <c r="S96" i="8"/>
  <c r="S31" i="8"/>
  <c r="S56" i="8"/>
  <c r="Q57" i="8"/>
  <c r="Q59" i="8"/>
  <c r="Q67" i="8"/>
  <c r="Q69" i="8"/>
  <c r="Q71" i="8"/>
  <c r="Q73" i="8"/>
  <c r="Q77" i="8"/>
  <c r="S98" i="8"/>
  <c r="Q116" i="8"/>
  <c r="S23" i="8"/>
  <c r="S21" i="8"/>
  <c r="S39" i="8"/>
  <c r="Q54" i="8"/>
  <c r="S97" i="8"/>
  <c r="T97" i="8"/>
  <c r="U97" i="8"/>
  <c r="Q101" i="8"/>
  <c r="T101" i="8"/>
  <c r="U101" i="8"/>
  <c r="Q103" i="8"/>
  <c r="T103" i="8"/>
  <c r="U103" i="8"/>
  <c r="T100" i="8"/>
  <c r="U100" i="8"/>
  <c r="Q105" i="8"/>
  <c r="T102" i="8"/>
  <c r="U102" i="8"/>
  <c r="K109" i="8"/>
  <c r="T105" i="8"/>
  <c r="U105" i="8"/>
  <c r="J124" i="8"/>
  <c r="J126" i="8"/>
  <c r="P120" i="8"/>
  <c r="G124" i="8"/>
  <c r="Q48" i="8"/>
  <c r="S17" i="8"/>
  <c r="S25" i="8"/>
  <c r="S33" i="8"/>
  <c r="S60" i="8"/>
  <c r="Q18" i="8"/>
  <c r="S19" i="8"/>
  <c r="Q26" i="8"/>
  <c r="S27" i="8"/>
  <c r="Q34" i="8"/>
  <c r="Q36" i="8"/>
  <c r="S37" i="8"/>
  <c r="Q58" i="8"/>
  <c r="Q65" i="8"/>
  <c r="F124" i="8"/>
  <c r="Q24" i="8"/>
  <c r="Q32" i="8"/>
  <c r="Q51" i="8"/>
  <c r="Q61" i="8"/>
  <c r="Q63" i="8"/>
  <c r="Q84" i="8"/>
  <c r="Q86" i="8"/>
  <c r="Q88" i="8"/>
  <c r="Q92" i="8"/>
  <c r="Q94" i="8"/>
  <c r="Q17" i="8"/>
  <c r="T17" i="8"/>
  <c r="U17" i="8"/>
  <c r="Q25" i="8"/>
  <c r="T25" i="8"/>
  <c r="U25" i="8"/>
  <c r="Q33" i="8"/>
  <c r="Q79" i="8"/>
  <c r="Q19" i="8"/>
  <c r="Q27" i="8"/>
  <c r="Q35" i="8"/>
  <c r="Q37" i="8"/>
  <c r="Q50" i="8"/>
  <c r="Q52" i="8"/>
  <c r="T52" i="8"/>
  <c r="U52" i="8"/>
  <c r="Q53" i="8"/>
  <c r="Q62" i="8"/>
  <c r="Q64" i="8"/>
  <c r="Q75" i="8"/>
  <c r="Q83" i="8"/>
  <c r="Q85" i="8"/>
  <c r="Q87" i="8"/>
  <c r="Q89" i="8"/>
  <c r="Q93" i="8"/>
  <c r="Q95" i="8"/>
  <c r="Q56" i="8"/>
  <c r="Q66" i="8"/>
  <c r="Q82" i="8"/>
  <c r="T56" i="8"/>
  <c r="U56" i="8"/>
  <c r="Q21" i="8"/>
  <c r="T21" i="8"/>
  <c r="U21" i="8"/>
  <c r="Q29" i="8"/>
  <c r="Q23" i="8"/>
  <c r="Q31" i="8"/>
  <c r="T31" i="8"/>
  <c r="U31" i="8"/>
  <c r="Q41" i="8"/>
  <c r="Q43" i="8"/>
  <c r="Q45" i="8"/>
  <c r="Q47" i="8"/>
  <c r="Q49" i="8"/>
  <c r="Q60" i="8"/>
  <c r="Q74" i="8"/>
  <c r="Q90" i="8"/>
  <c r="V120" i="8"/>
  <c r="H119" i="8"/>
  <c r="H120" i="8"/>
  <c r="L120" i="8"/>
  <c r="P109" i="8"/>
  <c r="Q98" i="8"/>
  <c r="T98" i="8"/>
  <c r="U98" i="8"/>
  <c r="Q99" i="8"/>
  <c r="Q96" i="8"/>
  <c r="T96" i="8"/>
  <c r="U96" i="8"/>
  <c r="Q20" i="8"/>
  <c r="Q28" i="8"/>
  <c r="Q38" i="8"/>
  <c r="Q22" i="8"/>
  <c r="Q30" i="8"/>
  <c r="Q40" i="8"/>
  <c r="Q42" i="8"/>
  <c r="Q44" i="8"/>
  <c r="Q46" i="8"/>
  <c r="R117" i="8"/>
  <c r="R115" i="8"/>
  <c r="T115" i="8"/>
  <c r="U115" i="8"/>
  <c r="R66" i="8"/>
  <c r="S95" i="8"/>
  <c r="S93" i="8"/>
  <c r="S91" i="8"/>
  <c r="T91" i="8"/>
  <c r="U91" i="8"/>
  <c r="S89" i="8"/>
  <c r="S87" i="8"/>
  <c r="S85" i="8"/>
  <c r="S83" i="8"/>
  <c r="T83" i="8"/>
  <c r="U83" i="8"/>
  <c r="S81" i="8"/>
  <c r="T81" i="8"/>
  <c r="U81" i="8"/>
  <c r="S79" i="8"/>
  <c r="S77" i="8"/>
  <c r="S75" i="8"/>
  <c r="S73" i="8"/>
  <c r="S71" i="8"/>
  <c r="T71" i="8"/>
  <c r="U71" i="8"/>
  <c r="S69" i="8"/>
  <c r="T69" i="8"/>
  <c r="U69" i="8"/>
  <c r="S65" i="8"/>
  <c r="T65" i="8"/>
  <c r="U65" i="8"/>
  <c r="S63" i="8"/>
  <c r="S59" i="8"/>
  <c r="S57" i="8"/>
  <c r="S55" i="8"/>
  <c r="T55" i="8"/>
  <c r="U55" i="8"/>
  <c r="S53" i="8"/>
  <c r="R116" i="8"/>
  <c r="T116" i="8"/>
  <c r="U116" i="8"/>
  <c r="R114" i="8"/>
  <c r="T114" i="8"/>
  <c r="U114" i="8"/>
  <c r="S92" i="8"/>
  <c r="T92" i="8"/>
  <c r="U92" i="8"/>
  <c r="S48" i="8"/>
  <c r="S44" i="8"/>
  <c r="S40" i="8"/>
  <c r="T40" i="8"/>
  <c r="U40" i="8"/>
  <c r="S36" i="8"/>
  <c r="T36" i="8"/>
  <c r="U36" i="8"/>
  <c r="S34" i="8"/>
  <c r="S32" i="8"/>
  <c r="S30" i="8"/>
  <c r="S28" i="8"/>
  <c r="S26" i="8"/>
  <c r="S24" i="8"/>
  <c r="S22" i="8"/>
  <c r="S20" i="8"/>
  <c r="S18" i="8"/>
  <c r="S16" i="8"/>
  <c r="S47" i="8"/>
  <c r="S43" i="8"/>
  <c r="S113" i="8"/>
  <c r="S120" i="8"/>
  <c r="S94" i="8"/>
  <c r="S50" i="8"/>
  <c r="R46" i="8"/>
  <c r="R42" i="8"/>
  <c r="R38" i="8"/>
  <c r="S88" i="8"/>
  <c r="S86" i="8"/>
  <c r="T86" i="8"/>
  <c r="U86" i="8"/>
  <c r="S84" i="8"/>
  <c r="S82" i="8"/>
  <c r="S80" i="8"/>
  <c r="S78" i="8"/>
  <c r="T78" i="8"/>
  <c r="U78" i="8"/>
  <c r="S76" i="8"/>
  <c r="T76" i="8"/>
  <c r="U76" i="8"/>
  <c r="S74" i="8"/>
  <c r="S72" i="8"/>
  <c r="T72" i="8"/>
  <c r="U72" i="8"/>
  <c r="S70" i="8"/>
  <c r="T70" i="8"/>
  <c r="U70" i="8"/>
  <c r="S68" i="8"/>
  <c r="T68" i="8"/>
  <c r="U68" i="8"/>
  <c r="S64" i="8"/>
  <c r="S62" i="8"/>
  <c r="S49" i="8"/>
  <c r="S45" i="8"/>
  <c r="R41" i="8"/>
  <c r="S54" i="8"/>
  <c r="S58" i="8"/>
  <c r="S90" i="8"/>
  <c r="Q117" i="8"/>
  <c r="Q120" i="8"/>
  <c r="O120" i="8"/>
  <c r="S51" i="8"/>
  <c r="U9" i="8"/>
  <c r="U13" i="8"/>
  <c r="I13" i="8"/>
  <c r="I124" i="8"/>
  <c r="Q16" i="8"/>
  <c r="T19" i="8"/>
  <c r="U19" i="8"/>
  <c r="R35" i="8"/>
  <c r="T39" i="8"/>
  <c r="U39" i="8"/>
  <c r="R61" i="8"/>
  <c r="R67" i="8"/>
  <c r="T67" i="8"/>
  <c r="U67" i="8"/>
  <c r="T77" i="8"/>
  <c r="U77" i="8"/>
  <c r="T87" i="8"/>
  <c r="U87" i="8"/>
  <c r="K120" i="8"/>
  <c r="V109" i="8"/>
  <c r="V124" i="8"/>
  <c r="O109" i="8"/>
  <c r="O124" i="8"/>
  <c r="S99" i="8"/>
  <c r="T822" i="7"/>
  <c r="U822" i="7"/>
  <c r="T28" i="8"/>
  <c r="U28" i="8"/>
  <c r="T29" i="8"/>
  <c r="U29" i="8"/>
  <c r="T54" i="8"/>
  <c r="U54" i="8"/>
  <c r="T80" i="8"/>
  <c r="U80" i="8"/>
  <c r="T57" i="8"/>
  <c r="U57" i="8"/>
  <c r="T59" i="8"/>
  <c r="U59" i="8"/>
  <c r="T90" i="8"/>
  <c r="U90" i="8"/>
  <c r="T18" i="8"/>
  <c r="U18" i="8"/>
  <c r="T34" i="8"/>
  <c r="U34" i="8"/>
  <c r="T73" i="8"/>
  <c r="U73" i="8"/>
  <c r="P124" i="8"/>
  <c r="T23" i="8"/>
  <c r="U23" i="8"/>
  <c r="T37" i="8"/>
  <c r="U37" i="8"/>
  <c r="T60" i="8"/>
  <c r="U60" i="8"/>
  <c r="T33" i="8"/>
  <c r="U33" i="8"/>
  <c r="T93" i="8"/>
  <c r="U93" i="8"/>
  <c r="T62" i="8"/>
  <c r="U62" i="8"/>
  <c r="T85" i="8"/>
  <c r="U85" i="8"/>
  <c r="T117" i="8"/>
  <c r="U117" i="8"/>
  <c r="L124" i="8"/>
  <c r="T35" i="8"/>
  <c r="U35" i="8"/>
  <c r="T58" i="8"/>
  <c r="U58" i="8"/>
  <c r="T82" i="8"/>
  <c r="U82" i="8"/>
  <c r="T24" i="8"/>
  <c r="U24" i="8"/>
  <c r="U27" i="8"/>
  <c r="T99" i="8"/>
  <c r="U99" i="8"/>
  <c r="T84" i="8"/>
  <c r="U84" i="8"/>
  <c r="T26" i="8"/>
  <c r="U26" i="8"/>
  <c r="T48" i="8"/>
  <c r="U48" i="8"/>
  <c r="T53" i="8"/>
  <c r="U53" i="8"/>
  <c r="T63" i="8"/>
  <c r="U63" i="8"/>
  <c r="T89" i="8"/>
  <c r="U89" i="8"/>
  <c r="T66" i="8"/>
  <c r="U66" i="8"/>
  <c r="T47" i="8"/>
  <c r="U47" i="8"/>
  <c r="T61" i="8"/>
  <c r="U61" i="8"/>
  <c r="T49" i="8"/>
  <c r="U49" i="8"/>
  <c r="T75" i="8"/>
  <c r="U75" i="8"/>
  <c r="T51" i="8"/>
  <c r="U51" i="8"/>
  <c r="T88" i="8"/>
  <c r="U88" i="8"/>
  <c r="T50" i="8"/>
  <c r="U50" i="8"/>
  <c r="T41" i="8"/>
  <c r="U41" i="8"/>
  <c r="T64" i="8"/>
  <c r="U64" i="8"/>
  <c r="T94" i="8"/>
  <c r="U94" i="8"/>
  <c r="T32" i="8"/>
  <c r="U32" i="8"/>
  <c r="T79" i="8"/>
  <c r="U79" i="8"/>
  <c r="T95" i="8"/>
  <c r="U95" i="8"/>
  <c r="T74" i="8"/>
  <c r="U74" i="8"/>
  <c r="T45" i="8"/>
  <c r="U45" i="8"/>
  <c r="T42" i="8"/>
  <c r="U42" i="8"/>
  <c r="T43" i="8"/>
  <c r="U43" i="8"/>
  <c r="T20" i="8"/>
  <c r="U20" i="8"/>
  <c r="R120" i="8"/>
  <c r="H108" i="8"/>
  <c r="T22" i="8"/>
  <c r="U22" i="8"/>
  <c r="T30" i="8"/>
  <c r="U30" i="8"/>
  <c r="T46" i="8"/>
  <c r="U46" i="8"/>
  <c r="T38" i="8"/>
  <c r="U38" i="8"/>
  <c r="T44" i="8"/>
  <c r="U44" i="8"/>
  <c r="R109" i="8"/>
  <c r="S109" i="8"/>
  <c r="S124" i="8"/>
  <c r="T16" i="8"/>
  <c r="U113" i="8"/>
  <c r="T120" i="8"/>
  <c r="K124" i="8"/>
  <c r="T109" i="8"/>
  <c r="U120" i="8"/>
  <c r="L126" i="8"/>
  <c r="L127" i="8"/>
  <c r="H109" i="8"/>
  <c r="H124" i="8"/>
  <c r="H126" i="8"/>
  <c r="R124" i="8"/>
  <c r="T124" i="8"/>
  <c r="U16" i="8"/>
  <c r="U109" i="8"/>
  <c r="U124" i="8"/>
  <c r="V127" i="8"/>
  <c r="V125" i="8"/>
  <c r="V779" i="7"/>
  <c r="S779" i="7"/>
  <c r="P779" i="7"/>
  <c r="O779" i="7"/>
  <c r="L779" i="7"/>
  <c r="K779" i="7"/>
  <c r="V778" i="7"/>
  <c r="S778" i="7"/>
  <c r="P778" i="7"/>
  <c r="O778" i="7"/>
  <c r="L778" i="7"/>
  <c r="K778" i="7"/>
  <c r="K560" i="7"/>
  <c r="L560" i="7"/>
  <c r="O560" i="7"/>
  <c r="P560" i="7"/>
  <c r="R560" i="7"/>
  <c r="S560" i="7"/>
  <c r="V560" i="7"/>
  <c r="K561" i="7"/>
  <c r="L561" i="7"/>
  <c r="O561" i="7"/>
  <c r="P561" i="7"/>
  <c r="R561" i="7"/>
  <c r="S561" i="7"/>
  <c r="V561" i="7"/>
  <c r="K562" i="7"/>
  <c r="L562" i="7"/>
  <c r="O562" i="7"/>
  <c r="P562" i="7"/>
  <c r="R562" i="7"/>
  <c r="S562" i="7"/>
  <c r="V562" i="7"/>
  <c r="K563" i="7"/>
  <c r="L563" i="7"/>
  <c r="O563" i="7"/>
  <c r="P563" i="7"/>
  <c r="R563" i="7"/>
  <c r="S563" i="7"/>
  <c r="V563" i="7"/>
  <c r="K564" i="7"/>
  <c r="L564" i="7"/>
  <c r="O564" i="7"/>
  <c r="P564" i="7"/>
  <c r="R564" i="7"/>
  <c r="S564" i="7"/>
  <c r="V564" i="7"/>
  <c r="K565" i="7"/>
  <c r="L565" i="7"/>
  <c r="O565" i="7"/>
  <c r="P565" i="7"/>
  <c r="R565" i="7"/>
  <c r="S565" i="7"/>
  <c r="V565" i="7"/>
  <c r="K566" i="7"/>
  <c r="L566" i="7"/>
  <c r="O566" i="7"/>
  <c r="P566" i="7"/>
  <c r="R566" i="7"/>
  <c r="S566" i="7"/>
  <c r="V566" i="7"/>
  <c r="K567" i="7"/>
  <c r="L567" i="7"/>
  <c r="O567" i="7"/>
  <c r="P567" i="7"/>
  <c r="R567" i="7"/>
  <c r="S567" i="7"/>
  <c r="V567" i="7"/>
  <c r="K568" i="7"/>
  <c r="L568" i="7"/>
  <c r="O568" i="7"/>
  <c r="P568" i="7"/>
  <c r="R568" i="7"/>
  <c r="S568" i="7"/>
  <c r="V568" i="7"/>
  <c r="K569" i="7"/>
  <c r="L569" i="7"/>
  <c r="O569" i="7"/>
  <c r="P569" i="7"/>
  <c r="R569" i="7"/>
  <c r="S569" i="7"/>
  <c r="V569" i="7"/>
  <c r="K570" i="7"/>
  <c r="L570" i="7"/>
  <c r="O570" i="7"/>
  <c r="P570" i="7"/>
  <c r="R570" i="7"/>
  <c r="S570" i="7"/>
  <c r="V570" i="7"/>
  <c r="K571" i="7"/>
  <c r="L571" i="7"/>
  <c r="O571" i="7"/>
  <c r="P571" i="7"/>
  <c r="R571" i="7"/>
  <c r="S571" i="7"/>
  <c r="V571" i="7"/>
  <c r="K572" i="7"/>
  <c r="L572" i="7"/>
  <c r="O572" i="7"/>
  <c r="P572" i="7"/>
  <c r="R572" i="7"/>
  <c r="S572" i="7"/>
  <c r="V572" i="7"/>
  <c r="K573" i="7"/>
  <c r="L573" i="7"/>
  <c r="O573" i="7"/>
  <c r="P573" i="7"/>
  <c r="R573" i="7"/>
  <c r="S573" i="7"/>
  <c r="V573" i="7"/>
  <c r="K574" i="7"/>
  <c r="L574" i="7"/>
  <c r="O574" i="7"/>
  <c r="P574" i="7"/>
  <c r="R574" i="7"/>
  <c r="S574" i="7"/>
  <c r="V574" i="7"/>
  <c r="K575" i="7"/>
  <c r="L575" i="7"/>
  <c r="O575" i="7"/>
  <c r="P575" i="7"/>
  <c r="R575" i="7"/>
  <c r="S575" i="7"/>
  <c r="V575" i="7"/>
  <c r="K576" i="7"/>
  <c r="L576" i="7"/>
  <c r="O576" i="7"/>
  <c r="P576" i="7"/>
  <c r="R576" i="7"/>
  <c r="S576" i="7"/>
  <c r="V576" i="7"/>
  <c r="V502" i="7"/>
  <c r="S502" i="7"/>
  <c r="R502" i="7"/>
  <c r="P502" i="7"/>
  <c r="O502" i="7"/>
  <c r="S359" i="7"/>
  <c r="R359" i="7"/>
  <c r="P359" i="7"/>
  <c r="O359" i="7"/>
  <c r="H358" i="7"/>
  <c r="H359" i="7"/>
  <c r="V359" i="7"/>
  <c r="Q574" i="7"/>
  <c r="T574" i="7"/>
  <c r="U574" i="7"/>
  <c r="Q562" i="7"/>
  <c r="T562" i="7"/>
  <c r="U562" i="7"/>
  <c r="Q564" i="7"/>
  <c r="T564" i="7"/>
  <c r="U564" i="7"/>
  <c r="Q566" i="7"/>
  <c r="T566" i="7"/>
  <c r="U566" i="7"/>
  <c r="Q561" i="7"/>
  <c r="T561" i="7"/>
  <c r="U561" i="7"/>
  <c r="Q779" i="7"/>
  <c r="Q572" i="7"/>
  <c r="T572" i="7"/>
  <c r="U572" i="7"/>
  <c r="Q359" i="7"/>
  <c r="K359" i="7"/>
  <c r="L359" i="7"/>
  <c r="Q576" i="7"/>
  <c r="T576" i="7"/>
  <c r="U576" i="7"/>
  <c r="Q570" i="7"/>
  <c r="T570" i="7"/>
  <c r="U570" i="7"/>
  <c r="Q560" i="7"/>
  <c r="T560" i="7"/>
  <c r="U560" i="7"/>
  <c r="Q778" i="7"/>
  <c r="Q568" i="7"/>
  <c r="T568" i="7"/>
  <c r="U568" i="7"/>
  <c r="Q569" i="7"/>
  <c r="T569" i="7"/>
  <c r="U569" i="7"/>
  <c r="Q571" i="7"/>
  <c r="T571" i="7"/>
  <c r="U571" i="7"/>
  <c r="Q573" i="7"/>
  <c r="T573" i="7"/>
  <c r="U573" i="7"/>
  <c r="Q565" i="7"/>
  <c r="T565" i="7"/>
  <c r="U565" i="7"/>
  <c r="Q575" i="7"/>
  <c r="T575" i="7"/>
  <c r="U575" i="7"/>
  <c r="Q567" i="7"/>
  <c r="T567" i="7"/>
  <c r="U567" i="7"/>
  <c r="Q563" i="7"/>
  <c r="T563" i="7"/>
  <c r="U563" i="7"/>
  <c r="Q502" i="7"/>
  <c r="T502" i="7"/>
  <c r="T359" i="7"/>
  <c r="U359" i="7"/>
  <c r="K502" i="7"/>
  <c r="L502" i="7"/>
  <c r="U502" i="7"/>
  <c r="K161" i="7"/>
  <c r="L161" i="7"/>
  <c r="O161" i="7"/>
  <c r="P161" i="7"/>
  <c r="R161" i="7"/>
  <c r="S161" i="7"/>
  <c r="V161" i="7"/>
  <c r="K162" i="7"/>
  <c r="L162" i="7"/>
  <c r="O162" i="7"/>
  <c r="P162" i="7"/>
  <c r="R162" i="7"/>
  <c r="S162" i="7"/>
  <c r="V162" i="7"/>
  <c r="K163" i="7"/>
  <c r="L163" i="7"/>
  <c r="O163" i="7"/>
  <c r="P163" i="7"/>
  <c r="R163" i="7"/>
  <c r="S163" i="7"/>
  <c r="V163" i="7"/>
  <c r="K164" i="7"/>
  <c r="L164" i="7"/>
  <c r="O164" i="7"/>
  <c r="P164" i="7"/>
  <c r="R164" i="7"/>
  <c r="S164" i="7"/>
  <c r="V164" i="7"/>
  <c r="K165" i="7"/>
  <c r="L165" i="7"/>
  <c r="O165" i="7"/>
  <c r="P165" i="7"/>
  <c r="R165" i="7"/>
  <c r="S165" i="7"/>
  <c r="V165" i="7"/>
  <c r="K166" i="7"/>
  <c r="L166" i="7"/>
  <c r="O166" i="7"/>
  <c r="P166" i="7"/>
  <c r="R166" i="7"/>
  <c r="S166" i="7"/>
  <c r="V166" i="7"/>
  <c r="Q163" i="7"/>
  <c r="T163" i="7"/>
  <c r="U163" i="7"/>
  <c r="Q161" i="7"/>
  <c r="T161" i="7"/>
  <c r="U161" i="7"/>
  <c r="Q165" i="7"/>
  <c r="T165" i="7"/>
  <c r="U165" i="7"/>
  <c r="Q166" i="7"/>
  <c r="T166" i="7"/>
  <c r="U166" i="7"/>
  <c r="Q164" i="7"/>
  <c r="T164" i="7"/>
  <c r="U164" i="7"/>
  <c r="Q162" i="7"/>
  <c r="T162" i="7"/>
  <c r="U162" i="7"/>
  <c r="J825" i="7"/>
  <c r="I825" i="7"/>
  <c r="H825" i="7"/>
  <c r="G825" i="7"/>
  <c r="F825" i="7"/>
  <c r="V821" i="7"/>
  <c r="S821" i="7"/>
  <c r="P821" i="7"/>
  <c r="O821" i="7"/>
  <c r="L821" i="7"/>
  <c r="K821" i="7"/>
  <c r="V820" i="7"/>
  <c r="S820" i="7"/>
  <c r="P820" i="7"/>
  <c r="O820" i="7"/>
  <c r="L820" i="7"/>
  <c r="K820" i="7"/>
  <c r="J817" i="7"/>
  <c r="I817" i="7"/>
  <c r="G817" i="7"/>
  <c r="F817" i="7"/>
  <c r="V813" i="7"/>
  <c r="S813" i="7"/>
  <c r="P813" i="7"/>
  <c r="O813" i="7"/>
  <c r="L813" i="7"/>
  <c r="K813" i="7"/>
  <c r="V812" i="7"/>
  <c r="S812" i="7"/>
  <c r="P812" i="7"/>
  <c r="O812" i="7"/>
  <c r="L812" i="7"/>
  <c r="K812" i="7"/>
  <c r="V811" i="7"/>
  <c r="S811" i="7"/>
  <c r="P811" i="7"/>
  <c r="O811" i="7"/>
  <c r="L811" i="7"/>
  <c r="K811" i="7"/>
  <c r="V810" i="7"/>
  <c r="S810" i="7"/>
  <c r="P810" i="7"/>
  <c r="O810" i="7"/>
  <c r="L810" i="7"/>
  <c r="K810" i="7"/>
  <c r="V809" i="7"/>
  <c r="S809" i="7"/>
  <c r="P809" i="7"/>
  <c r="O809" i="7"/>
  <c r="L809" i="7"/>
  <c r="K809" i="7"/>
  <c r="V808" i="7"/>
  <c r="S808" i="7"/>
  <c r="P808" i="7"/>
  <c r="O808" i="7"/>
  <c r="L808" i="7"/>
  <c r="K808" i="7"/>
  <c r="V807" i="7"/>
  <c r="S807" i="7"/>
  <c r="P807" i="7"/>
  <c r="O807" i="7"/>
  <c r="L807" i="7"/>
  <c r="K807" i="7"/>
  <c r="V806" i="7"/>
  <c r="S806" i="7"/>
  <c r="P806" i="7"/>
  <c r="O806" i="7"/>
  <c r="L806" i="7"/>
  <c r="K806" i="7"/>
  <c r="V805" i="7"/>
  <c r="S805" i="7"/>
  <c r="P805" i="7"/>
  <c r="O805" i="7"/>
  <c r="L805" i="7"/>
  <c r="K805" i="7"/>
  <c r="V804" i="7"/>
  <c r="S804" i="7"/>
  <c r="P804" i="7"/>
  <c r="O804" i="7"/>
  <c r="L804" i="7"/>
  <c r="K804" i="7"/>
  <c r="V803" i="7"/>
  <c r="S803" i="7"/>
  <c r="P803" i="7"/>
  <c r="O803" i="7"/>
  <c r="L803" i="7"/>
  <c r="K803" i="7"/>
  <c r="V802" i="7"/>
  <c r="S802" i="7"/>
  <c r="P802" i="7"/>
  <c r="O802" i="7"/>
  <c r="L802" i="7"/>
  <c r="K802" i="7"/>
  <c r="V801" i="7"/>
  <c r="S801" i="7"/>
  <c r="P801" i="7"/>
  <c r="O801" i="7"/>
  <c r="L801" i="7"/>
  <c r="K801" i="7"/>
  <c r="V800" i="7"/>
  <c r="S800" i="7"/>
  <c r="P800" i="7"/>
  <c r="O800" i="7"/>
  <c r="L800" i="7"/>
  <c r="K800" i="7"/>
  <c r="V799" i="7"/>
  <c r="S799" i="7"/>
  <c r="P799" i="7"/>
  <c r="O799" i="7"/>
  <c r="L799" i="7"/>
  <c r="K799" i="7"/>
  <c r="V798" i="7"/>
  <c r="S798" i="7"/>
  <c r="P798" i="7"/>
  <c r="O798" i="7"/>
  <c r="L798" i="7"/>
  <c r="K798" i="7"/>
  <c r="V797" i="7"/>
  <c r="S797" i="7"/>
  <c r="P797" i="7"/>
  <c r="O797" i="7"/>
  <c r="L797" i="7"/>
  <c r="K797" i="7"/>
  <c r="V796" i="7"/>
  <c r="S796" i="7"/>
  <c r="P796" i="7"/>
  <c r="O796" i="7"/>
  <c r="L796" i="7"/>
  <c r="K796" i="7"/>
  <c r="V795" i="7"/>
  <c r="S795" i="7"/>
  <c r="P795" i="7"/>
  <c r="O795" i="7"/>
  <c r="L795" i="7"/>
  <c r="K795" i="7"/>
  <c r="V794" i="7"/>
  <c r="S794" i="7"/>
  <c r="P794" i="7"/>
  <c r="O794" i="7"/>
  <c r="L794" i="7"/>
  <c r="K794" i="7"/>
  <c r="V793" i="7"/>
  <c r="S793" i="7"/>
  <c r="P793" i="7"/>
  <c r="O793" i="7"/>
  <c r="L793" i="7"/>
  <c r="K793" i="7"/>
  <c r="V792" i="7"/>
  <c r="S792" i="7"/>
  <c r="P792" i="7"/>
  <c r="O792" i="7"/>
  <c r="L792" i="7"/>
  <c r="K792" i="7"/>
  <c r="V791" i="7"/>
  <c r="S791" i="7"/>
  <c r="P791" i="7"/>
  <c r="O791" i="7"/>
  <c r="L791" i="7"/>
  <c r="K791" i="7"/>
  <c r="V790" i="7"/>
  <c r="S790" i="7"/>
  <c r="P790" i="7"/>
  <c r="O790" i="7"/>
  <c r="L790" i="7"/>
  <c r="K790" i="7"/>
  <c r="V789" i="7"/>
  <c r="S789" i="7"/>
  <c r="P789" i="7"/>
  <c r="O789" i="7"/>
  <c r="L789" i="7"/>
  <c r="K789" i="7"/>
  <c r="V788" i="7"/>
  <c r="S788" i="7"/>
  <c r="P788" i="7"/>
  <c r="O788" i="7"/>
  <c r="L788" i="7"/>
  <c r="K788" i="7"/>
  <c r="V787" i="7"/>
  <c r="S787" i="7"/>
  <c r="P787" i="7"/>
  <c r="O787" i="7"/>
  <c r="L787" i="7"/>
  <c r="K787" i="7"/>
  <c r="V786" i="7"/>
  <c r="S786" i="7"/>
  <c r="P786" i="7"/>
  <c r="O786" i="7"/>
  <c r="L786" i="7"/>
  <c r="K786" i="7"/>
  <c r="J782" i="7"/>
  <c r="I782" i="7"/>
  <c r="G782" i="7"/>
  <c r="V777" i="7"/>
  <c r="S777" i="7"/>
  <c r="P777" i="7"/>
  <c r="O777" i="7"/>
  <c r="L777" i="7"/>
  <c r="K777" i="7"/>
  <c r="V776" i="7"/>
  <c r="S776" i="7"/>
  <c r="P776" i="7"/>
  <c r="O776" i="7"/>
  <c r="L776" i="7"/>
  <c r="K776" i="7"/>
  <c r="V775" i="7"/>
  <c r="S775" i="7"/>
  <c r="P775" i="7"/>
  <c r="O775" i="7"/>
  <c r="L775" i="7"/>
  <c r="K775" i="7"/>
  <c r="V774" i="7"/>
  <c r="S774" i="7"/>
  <c r="P774" i="7"/>
  <c r="O774" i="7"/>
  <c r="L774" i="7"/>
  <c r="K774" i="7"/>
  <c r="V773" i="7"/>
  <c r="S773" i="7"/>
  <c r="P773" i="7"/>
  <c r="O773" i="7"/>
  <c r="L773" i="7"/>
  <c r="K773" i="7"/>
  <c r="V772" i="7"/>
  <c r="S772" i="7"/>
  <c r="P772" i="7"/>
  <c r="O772" i="7"/>
  <c r="L772" i="7"/>
  <c r="K772" i="7"/>
  <c r="V771" i="7"/>
  <c r="S771" i="7"/>
  <c r="P771" i="7"/>
  <c r="O771" i="7"/>
  <c r="L771" i="7"/>
  <c r="K771" i="7"/>
  <c r="V770" i="7"/>
  <c r="S770" i="7"/>
  <c r="P770" i="7"/>
  <c r="O770" i="7"/>
  <c r="L770" i="7"/>
  <c r="K770" i="7"/>
  <c r="V769" i="7"/>
  <c r="S769" i="7"/>
  <c r="P769" i="7"/>
  <c r="O769" i="7"/>
  <c r="L769" i="7"/>
  <c r="K769" i="7"/>
  <c r="V768" i="7"/>
  <c r="S768" i="7"/>
  <c r="P768" i="7"/>
  <c r="O768" i="7"/>
  <c r="L768" i="7"/>
  <c r="K768" i="7"/>
  <c r="V767" i="7"/>
  <c r="S767" i="7"/>
  <c r="P767" i="7"/>
  <c r="O767" i="7"/>
  <c r="L767" i="7"/>
  <c r="K767" i="7"/>
  <c r="V766" i="7"/>
  <c r="S766" i="7"/>
  <c r="P766" i="7"/>
  <c r="O766" i="7"/>
  <c r="L766" i="7"/>
  <c r="K766" i="7"/>
  <c r="V765" i="7"/>
  <c r="S765" i="7"/>
  <c r="P765" i="7"/>
  <c r="O765" i="7"/>
  <c r="L765" i="7"/>
  <c r="K765" i="7"/>
  <c r="V764" i="7"/>
  <c r="S764" i="7"/>
  <c r="P764" i="7"/>
  <c r="O764" i="7"/>
  <c r="L764" i="7"/>
  <c r="K764" i="7"/>
  <c r="V763" i="7"/>
  <c r="S763" i="7"/>
  <c r="P763" i="7"/>
  <c r="O763" i="7"/>
  <c r="L763" i="7"/>
  <c r="K763" i="7"/>
  <c r="V762" i="7"/>
  <c r="S762" i="7"/>
  <c r="P762" i="7"/>
  <c r="O762" i="7"/>
  <c r="L762" i="7"/>
  <c r="K762" i="7"/>
  <c r="V761" i="7"/>
  <c r="S761" i="7"/>
  <c r="P761" i="7"/>
  <c r="O761" i="7"/>
  <c r="L761" i="7"/>
  <c r="K761" i="7"/>
  <c r="V760" i="7"/>
  <c r="S760" i="7"/>
  <c r="P760" i="7"/>
  <c r="O760" i="7"/>
  <c r="L760" i="7"/>
  <c r="K760" i="7"/>
  <c r="V759" i="7"/>
  <c r="S759" i="7"/>
  <c r="P759" i="7"/>
  <c r="O759" i="7"/>
  <c r="L759" i="7"/>
  <c r="K759" i="7"/>
  <c r="V758" i="7"/>
  <c r="S758" i="7"/>
  <c r="P758" i="7"/>
  <c r="O758" i="7"/>
  <c r="L758" i="7"/>
  <c r="K758" i="7"/>
  <c r="V757" i="7"/>
  <c r="S757" i="7"/>
  <c r="P757" i="7"/>
  <c r="O757" i="7"/>
  <c r="L757" i="7"/>
  <c r="K757" i="7"/>
  <c r="V756" i="7"/>
  <c r="S756" i="7"/>
  <c r="P756" i="7"/>
  <c r="O756" i="7"/>
  <c r="L756" i="7"/>
  <c r="K756" i="7"/>
  <c r="V755" i="7"/>
  <c r="S755" i="7"/>
  <c r="P755" i="7"/>
  <c r="O755" i="7"/>
  <c r="L755" i="7"/>
  <c r="K755" i="7"/>
  <c r="V754" i="7"/>
  <c r="S754" i="7"/>
  <c r="P754" i="7"/>
  <c r="O754" i="7"/>
  <c r="L754" i="7"/>
  <c r="K754" i="7"/>
  <c r="V753" i="7"/>
  <c r="S753" i="7"/>
  <c r="P753" i="7"/>
  <c r="O753" i="7"/>
  <c r="L753" i="7"/>
  <c r="K753" i="7"/>
  <c r="V752" i="7"/>
  <c r="S752" i="7"/>
  <c r="P752" i="7"/>
  <c r="O752" i="7"/>
  <c r="L752" i="7"/>
  <c r="K752" i="7"/>
  <c r="V751" i="7"/>
  <c r="S751" i="7"/>
  <c r="P751" i="7"/>
  <c r="O751" i="7"/>
  <c r="L751" i="7"/>
  <c r="K751" i="7"/>
  <c r="V750" i="7"/>
  <c r="S750" i="7"/>
  <c r="P750" i="7"/>
  <c r="O750" i="7"/>
  <c r="L750" i="7"/>
  <c r="K750" i="7"/>
  <c r="V749" i="7"/>
  <c r="S749" i="7"/>
  <c r="P749" i="7"/>
  <c r="O749" i="7"/>
  <c r="L749" i="7"/>
  <c r="K749" i="7"/>
  <c r="V748" i="7"/>
  <c r="S748" i="7"/>
  <c r="P748" i="7"/>
  <c r="O748" i="7"/>
  <c r="L748" i="7"/>
  <c r="K748" i="7"/>
  <c r="V747" i="7"/>
  <c r="S747" i="7"/>
  <c r="P747" i="7"/>
  <c r="O747" i="7"/>
  <c r="L747" i="7"/>
  <c r="K747" i="7"/>
  <c r="V746" i="7"/>
  <c r="S746" i="7"/>
  <c r="P746" i="7"/>
  <c r="O746" i="7"/>
  <c r="L746" i="7"/>
  <c r="K746" i="7"/>
  <c r="V745" i="7"/>
  <c r="S745" i="7"/>
  <c r="P745" i="7"/>
  <c r="O745" i="7"/>
  <c r="L745" i="7"/>
  <c r="K745" i="7"/>
  <c r="V744" i="7"/>
  <c r="S744" i="7"/>
  <c r="P744" i="7"/>
  <c r="O744" i="7"/>
  <c r="L744" i="7"/>
  <c r="K744" i="7"/>
  <c r="V743" i="7"/>
  <c r="S743" i="7"/>
  <c r="P743" i="7"/>
  <c r="O743" i="7"/>
  <c r="L743" i="7"/>
  <c r="K743" i="7"/>
  <c r="V742" i="7"/>
  <c r="S742" i="7"/>
  <c r="P742" i="7"/>
  <c r="O742" i="7"/>
  <c r="L742" i="7"/>
  <c r="K742" i="7"/>
  <c r="V741" i="7"/>
  <c r="S741" i="7"/>
  <c r="P741" i="7"/>
  <c r="O741" i="7"/>
  <c r="L741" i="7"/>
  <c r="K741" i="7"/>
  <c r="V740" i="7"/>
  <c r="S740" i="7"/>
  <c r="P740" i="7"/>
  <c r="O740" i="7"/>
  <c r="L740" i="7"/>
  <c r="K740" i="7"/>
  <c r="V739" i="7"/>
  <c r="S739" i="7"/>
  <c r="P739" i="7"/>
  <c r="O739" i="7"/>
  <c r="L739" i="7"/>
  <c r="K739" i="7"/>
  <c r="V738" i="7"/>
  <c r="S738" i="7"/>
  <c r="P738" i="7"/>
  <c r="O738" i="7"/>
  <c r="L738" i="7"/>
  <c r="K738" i="7"/>
  <c r="V737" i="7"/>
  <c r="S737" i="7"/>
  <c r="P737" i="7"/>
  <c r="O737" i="7"/>
  <c r="L737" i="7"/>
  <c r="K737" i="7"/>
  <c r="V736" i="7"/>
  <c r="S736" i="7"/>
  <c r="P736" i="7"/>
  <c r="O736" i="7"/>
  <c r="L736" i="7"/>
  <c r="K736" i="7"/>
  <c r="V735" i="7"/>
  <c r="S735" i="7"/>
  <c r="P735" i="7"/>
  <c r="O735" i="7"/>
  <c r="L735" i="7"/>
  <c r="K735" i="7"/>
  <c r="V734" i="7"/>
  <c r="S734" i="7"/>
  <c r="P734" i="7"/>
  <c r="O734" i="7"/>
  <c r="L734" i="7"/>
  <c r="K734" i="7"/>
  <c r="V733" i="7"/>
  <c r="S733" i="7"/>
  <c r="P733" i="7"/>
  <c r="O733" i="7"/>
  <c r="L733" i="7"/>
  <c r="K733" i="7"/>
  <c r="V732" i="7"/>
  <c r="S732" i="7"/>
  <c r="P732" i="7"/>
  <c r="O732" i="7"/>
  <c r="L732" i="7"/>
  <c r="K732" i="7"/>
  <c r="V731" i="7"/>
  <c r="S731" i="7"/>
  <c r="P731" i="7"/>
  <c r="O731" i="7"/>
  <c r="L731" i="7"/>
  <c r="K731" i="7"/>
  <c r="V730" i="7"/>
  <c r="S730" i="7"/>
  <c r="P730" i="7"/>
  <c r="O730" i="7"/>
  <c r="L730" i="7"/>
  <c r="K730" i="7"/>
  <c r="V729" i="7"/>
  <c r="S729" i="7"/>
  <c r="P729" i="7"/>
  <c r="O729" i="7"/>
  <c r="L729" i="7"/>
  <c r="K729" i="7"/>
  <c r="V728" i="7"/>
  <c r="S728" i="7"/>
  <c r="P728" i="7"/>
  <c r="O728" i="7"/>
  <c r="L728" i="7"/>
  <c r="K728" i="7"/>
  <c r="V727" i="7"/>
  <c r="S727" i="7"/>
  <c r="P727" i="7"/>
  <c r="O727" i="7"/>
  <c r="L727" i="7"/>
  <c r="K727" i="7"/>
  <c r="V726" i="7"/>
  <c r="S726" i="7"/>
  <c r="P726" i="7"/>
  <c r="O726" i="7"/>
  <c r="L726" i="7"/>
  <c r="K726" i="7"/>
  <c r="V725" i="7"/>
  <c r="S725" i="7"/>
  <c r="P725" i="7"/>
  <c r="O725" i="7"/>
  <c r="L725" i="7"/>
  <c r="K725" i="7"/>
  <c r="V724" i="7"/>
  <c r="S724" i="7"/>
  <c r="P724" i="7"/>
  <c r="O724" i="7"/>
  <c r="L724" i="7"/>
  <c r="K724" i="7"/>
  <c r="V723" i="7"/>
  <c r="S723" i="7"/>
  <c r="P723" i="7"/>
  <c r="O723" i="7"/>
  <c r="L723" i="7"/>
  <c r="K723" i="7"/>
  <c r="V722" i="7"/>
  <c r="S722" i="7"/>
  <c r="P722" i="7"/>
  <c r="O722" i="7"/>
  <c r="L722" i="7"/>
  <c r="K722" i="7"/>
  <c r="V721" i="7"/>
  <c r="S721" i="7"/>
  <c r="P721" i="7"/>
  <c r="O721" i="7"/>
  <c r="L721" i="7"/>
  <c r="K721" i="7"/>
  <c r="V720" i="7"/>
  <c r="S720" i="7"/>
  <c r="P720" i="7"/>
  <c r="O720" i="7"/>
  <c r="L720" i="7"/>
  <c r="K720" i="7"/>
  <c r="V719" i="7"/>
  <c r="S719" i="7"/>
  <c r="P719" i="7"/>
  <c r="O719" i="7"/>
  <c r="L719" i="7"/>
  <c r="K719" i="7"/>
  <c r="V718" i="7"/>
  <c r="S718" i="7"/>
  <c r="P718" i="7"/>
  <c r="O718" i="7"/>
  <c r="L718" i="7"/>
  <c r="K718" i="7"/>
  <c r="V717" i="7"/>
  <c r="S717" i="7"/>
  <c r="P717" i="7"/>
  <c r="O717" i="7"/>
  <c r="L717" i="7"/>
  <c r="K717" i="7"/>
  <c r="V716" i="7"/>
  <c r="S716" i="7"/>
  <c r="P716" i="7"/>
  <c r="O716" i="7"/>
  <c r="L716" i="7"/>
  <c r="K716" i="7"/>
  <c r="V715" i="7"/>
  <c r="S715" i="7"/>
  <c r="P715" i="7"/>
  <c r="O715" i="7"/>
  <c r="L715" i="7"/>
  <c r="K715" i="7"/>
  <c r="V714" i="7"/>
  <c r="S714" i="7"/>
  <c r="P714" i="7"/>
  <c r="O714" i="7"/>
  <c r="L714" i="7"/>
  <c r="K714" i="7"/>
  <c r="V713" i="7"/>
  <c r="S713" i="7"/>
  <c r="P713" i="7"/>
  <c r="O713" i="7"/>
  <c r="L713" i="7"/>
  <c r="K713" i="7"/>
  <c r="V712" i="7"/>
  <c r="S712" i="7"/>
  <c r="P712" i="7"/>
  <c r="O712" i="7"/>
  <c r="L712" i="7"/>
  <c r="K712" i="7"/>
  <c r="V711" i="7"/>
  <c r="S711" i="7"/>
  <c r="P711" i="7"/>
  <c r="O711" i="7"/>
  <c r="L711" i="7"/>
  <c r="K711" i="7"/>
  <c r="V710" i="7"/>
  <c r="S710" i="7"/>
  <c r="P710" i="7"/>
  <c r="O710" i="7"/>
  <c r="L710" i="7"/>
  <c r="K710" i="7"/>
  <c r="V709" i="7"/>
  <c r="S709" i="7"/>
  <c r="P709" i="7"/>
  <c r="O709" i="7"/>
  <c r="L709" i="7"/>
  <c r="K709" i="7"/>
  <c r="V708" i="7"/>
  <c r="S708" i="7"/>
  <c r="P708" i="7"/>
  <c r="O708" i="7"/>
  <c r="L708" i="7"/>
  <c r="K708" i="7"/>
  <c r="V707" i="7"/>
  <c r="S707" i="7"/>
  <c r="P707" i="7"/>
  <c r="O707" i="7"/>
  <c r="L707" i="7"/>
  <c r="K707" i="7"/>
  <c r="V706" i="7"/>
  <c r="S706" i="7"/>
  <c r="P706" i="7"/>
  <c r="O706" i="7"/>
  <c r="L706" i="7"/>
  <c r="K706" i="7"/>
  <c r="V705" i="7"/>
  <c r="S705" i="7"/>
  <c r="P705" i="7"/>
  <c r="O705" i="7"/>
  <c r="L705" i="7"/>
  <c r="K705" i="7"/>
  <c r="V704" i="7"/>
  <c r="S704" i="7"/>
  <c r="P704" i="7"/>
  <c r="O704" i="7"/>
  <c r="L704" i="7"/>
  <c r="K704" i="7"/>
  <c r="V703" i="7"/>
  <c r="S703" i="7"/>
  <c r="P703" i="7"/>
  <c r="O703" i="7"/>
  <c r="L703" i="7"/>
  <c r="K703" i="7"/>
  <c r="V702" i="7"/>
  <c r="S702" i="7"/>
  <c r="P702" i="7"/>
  <c r="O702" i="7"/>
  <c r="L702" i="7"/>
  <c r="K702" i="7"/>
  <c r="V701" i="7"/>
  <c r="S701" i="7"/>
  <c r="P701" i="7"/>
  <c r="O701" i="7"/>
  <c r="L701" i="7"/>
  <c r="K701" i="7"/>
  <c r="V700" i="7"/>
  <c r="S700" i="7"/>
  <c r="P700" i="7"/>
  <c r="O700" i="7"/>
  <c r="L700" i="7"/>
  <c r="K700" i="7"/>
  <c r="V699" i="7"/>
  <c r="S699" i="7"/>
  <c r="P699" i="7"/>
  <c r="O699" i="7"/>
  <c r="L699" i="7"/>
  <c r="K699" i="7"/>
  <c r="V698" i="7"/>
  <c r="S698" i="7"/>
  <c r="P698" i="7"/>
  <c r="O698" i="7"/>
  <c r="L698" i="7"/>
  <c r="K698" i="7"/>
  <c r="V697" i="7"/>
  <c r="S697" i="7"/>
  <c r="P697" i="7"/>
  <c r="O697" i="7"/>
  <c r="L697" i="7"/>
  <c r="K697" i="7"/>
  <c r="V696" i="7"/>
  <c r="S696" i="7"/>
  <c r="P696" i="7"/>
  <c r="O696" i="7"/>
  <c r="L696" i="7"/>
  <c r="K696" i="7"/>
  <c r="V695" i="7"/>
  <c r="S695" i="7"/>
  <c r="P695" i="7"/>
  <c r="O695" i="7"/>
  <c r="L695" i="7"/>
  <c r="K695" i="7"/>
  <c r="V694" i="7"/>
  <c r="S694" i="7"/>
  <c r="P694" i="7"/>
  <c r="O694" i="7"/>
  <c r="L694" i="7"/>
  <c r="K694" i="7"/>
  <c r="V693" i="7"/>
  <c r="S693" i="7"/>
  <c r="P693" i="7"/>
  <c r="O693" i="7"/>
  <c r="L693" i="7"/>
  <c r="K693" i="7"/>
  <c r="V692" i="7"/>
  <c r="S692" i="7"/>
  <c r="P692" i="7"/>
  <c r="O692" i="7"/>
  <c r="L692" i="7"/>
  <c r="K692" i="7"/>
  <c r="V691" i="7"/>
  <c r="S691" i="7"/>
  <c r="P691" i="7"/>
  <c r="O691" i="7"/>
  <c r="L691" i="7"/>
  <c r="K691" i="7"/>
  <c r="V690" i="7"/>
  <c r="S690" i="7"/>
  <c r="P690" i="7"/>
  <c r="O690" i="7"/>
  <c r="L690" i="7"/>
  <c r="K690" i="7"/>
  <c r="V689" i="7"/>
  <c r="S689" i="7"/>
  <c r="P689" i="7"/>
  <c r="O689" i="7"/>
  <c r="L689" i="7"/>
  <c r="K689" i="7"/>
  <c r="V688" i="7"/>
  <c r="S688" i="7"/>
  <c r="P688" i="7"/>
  <c r="O688" i="7"/>
  <c r="L688" i="7"/>
  <c r="K688" i="7"/>
  <c r="V687" i="7"/>
  <c r="S687" i="7"/>
  <c r="P687" i="7"/>
  <c r="O687" i="7"/>
  <c r="L687" i="7"/>
  <c r="K687" i="7"/>
  <c r="V686" i="7"/>
  <c r="S686" i="7"/>
  <c r="P686" i="7"/>
  <c r="O686" i="7"/>
  <c r="L686" i="7"/>
  <c r="K686" i="7"/>
  <c r="V685" i="7"/>
  <c r="S685" i="7"/>
  <c r="P685" i="7"/>
  <c r="O685" i="7"/>
  <c r="L685" i="7"/>
  <c r="K685" i="7"/>
  <c r="V684" i="7"/>
  <c r="S684" i="7"/>
  <c r="P684" i="7"/>
  <c r="O684" i="7"/>
  <c r="L684" i="7"/>
  <c r="K684" i="7"/>
  <c r="V683" i="7"/>
  <c r="S683" i="7"/>
  <c r="P683" i="7"/>
  <c r="O683" i="7"/>
  <c r="L683" i="7"/>
  <c r="K683" i="7"/>
  <c r="V682" i="7"/>
  <c r="S682" i="7"/>
  <c r="P682" i="7"/>
  <c r="O682" i="7"/>
  <c r="L682" i="7"/>
  <c r="K682" i="7"/>
  <c r="V681" i="7"/>
  <c r="S681" i="7"/>
  <c r="P681" i="7"/>
  <c r="O681" i="7"/>
  <c r="L681" i="7"/>
  <c r="K681" i="7"/>
  <c r="V680" i="7"/>
  <c r="S680" i="7"/>
  <c r="P680" i="7"/>
  <c r="O680" i="7"/>
  <c r="L680" i="7"/>
  <c r="K680" i="7"/>
  <c r="V679" i="7"/>
  <c r="S679" i="7"/>
  <c r="P679" i="7"/>
  <c r="O679" i="7"/>
  <c r="L679" i="7"/>
  <c r="K679" i="7"/>
  <c r="V678" i="7"/>
  <c r="S678" i="7"/>
  <c r="P678" i="7"/>
  <c r="O678" i="7"/>
  <c r="L678" i="7"/>
  <c r="K678" i="7"/>
  <c r="V677" i="7"/>
  <c r="S677" i="7"/>
  <c r="P677" i="7"/>
  <c r="O677" i="7"/>
  <c r="L677" i="7"/>
  <c r="K677" i="7"/>
  <c r="V676" i="7"/>
  <c r="S676" i="7"/>
  <c r="P676" i="7"/>
  <c r="O676" i="7"/>
  <c r="L676" i="7"/>
  <c r="K676" i="7"/>
  <c r="V675" i="7"/>
  <c r="S675" i="7"/>
  <c r="P675" i="7"/>
  <c r="O675" i="7"/>
  <c r="L675" i="7"/>
  <c r="K675" i="7"/>
  <c r="V674" i="7"/>
  <c r="S674" i="7"/>
  <c r="P674" i="7"/>
  <c r="O674" i="7"/>
  <c r="L674" i="7"/>
  <c r="K674" i="7"/>
  <c r="V673" i="7"/>
  <c r="S673" i="7"/>
  <c r="P673" i="7"/>
  <c r="O673" i="7"/>
  <c r="L673" i="7"/>
  <c r="K673" i="7"/>
  <c r="V672" i="7"/>
  <c r="S672" i="7"/>
  <c r="P672" i="7"/>
  <c r="O672" i="7"/>
  <c r="L672" i="7"/>
  <c r="K672" i="7"/>
  <c r="V671" i="7"/>
  <c r="S671" i="7"/>
  <c r="P671" i="7"/>
  <c r="O671" i="7"/>
  <c r="L671" i="7"/>
  <c r="K671" i="7"/>
  <c r="V670" i="7"/>
  <c r="S670" i="7"/>
  <c r="P670" i="7"/>
  <c r="O670" i="7"/>
  <c r="L670" i="7"/>
  <c r="K670" i="7"/>
  <c r="V669" i="7"/>
  <c r="S669" i="7"/>
  <c r="P669" i="7"/>
  <c r="O669" i="7"/>
  <c r="L669" i="7"/>
  <c r="K669" i="7"/>
  <c r="V668" i="7"/>
  <c r="S668" i="7"/>
  <c r="P668" i="7"/>
  <c r="O668" i="7"/>
  <c r="L668" i="7"/>
  <c r="K668" i="7"/>
  <c r="V667" i="7"/>
  <c r="S667" i="7"/>
  <c r="P667" i="7"/>
  <c r="O667" i="7"/>
  <c r="L667" i="7"/>
  <c r="K667" i="7"/>
  <c r="V666" i="7"/>
  <c r="S666" i="7"/>
  <c r="P666" i="7"/>
  <c r="O666" i="7"/>
  <c r="L666" i="7"/>
  <c r="K666" i="7"/>
  <c r="V665" i="7"/>
  <c r="S665" i="7"/>
  <c r="P665" i="7"/>
  <c r="O665" i="7"/>
  <c r="L665" i="7"/>
  <c r="K665" i="7"/>
  <c r="V664" i="7"/>
  <c r="S664" i="7"/>
  <c r="P664" i="7"/>
  <c r="O664" i="7"/>
  <c r="L664" i="7"/>
  <c r="K664" i="7"/>
  <c r="V663" i="7"/>
  <c r="S663" i="7"/>
  <c r="P663" i="7"/>
  <c r="O663" i="7"/>
  <c r="L663" i="7"/>
  <c r="K663" i="7"/>
  <c r="V662" i="7"/>
  <c r="S662" i="7"/>
  <c r="P662" i="7"/>
  <c r="O662" i="7"/>
  <c r="L662" i="7"/>
  <c r="K662" i="7"/>
  <c r="V661" i="7"/>
  <c r="S661" i="7"/>
  <c r="P661" i="7"/>
  <c r="O661" i="7"/>
  <c r="L661" i="7"/>
  <c r="K661" i="7"/>
  <c r="V660" i="7"/>
  <c r="S660" i="7"/>
  <c r="P660" i="7"/>
  <c r="O660" i="7"/>
  <c r="L660" i="7"/>
  <c r="K660" i="7"/>
  <c r="V659" i="7"/>
  <c r="S659" i="7"/>
  <c r="P659" i="7"/>
  <c r="O659" i="7"/>
  <c r="L659" i="7"/>
  <c r="K659" i="7"/>
  <c r="V658" i="7"/>
  <c r="S658" i="7"/>
  <c r="P658" i="7"/>
  <c r="O658" i="7"/>
  <c r="L658" i="7"/>
  <c r="K658" i="7"/>
  <c r="V657" i="7"/>
  <c r="S657" i="7"/>
  <c r="P657" i="7"/>
  <c r="O657" i="7"/>
  <c r="L657" i="7"/>
  <c r="K657" i="7"/>
  <c r="V656" i="7"/>
  <c r="S656" i="7"/>
  <c r="P656" i="7"/>
  <c r="O656" i="7"/>
  <c r="L656" i="7"/>
  <c r="K656" i="7"/>
  <c r="V655" i="7"/>
  <c r="S655" i="7"/>
  <c r="P655" i="7"/>
  <c r="O655" i="7"/>
  <c r="L655" i="7"/>
  <c r="K655" i="7"/>
  <c r="V654" i="7"/>
  <c r="S654" i="7"/>
  <c r="P654" i="7"/>
  <c r="O654" i="7"/>
  <c r="L654" i="7"/>
  <c r="K654" i="7"/>
  <c r="V653" i="7"/>
  <c r="S653" i="7"/>
  <c r="P653" i="7"/>
  <c r="O653" i="7"/>
  <c r="L653" i="7"/>
  <c r="K653" i="7"/>
  <c r="V652" i="7"/>
  <c r="S652" i="7"/>
  <c r="P652" i="7"/>
  <c r="O652" i="7"/>
  <c r="L652" i="7"/>
  <c r="K652" i="7"/>
  <c r="V651" i="7"/>
  <c r="S651" i="7"/>
  <c r="P651" i="7"/>
  <c r="O651" i="7"/>
  <c r="L651" i="7"/>
  <c r="K651" i="7"/>
  <c r="V650" i="7"/>
  <c r="S650" i="7"/>
  <c r="P650" i="7"/>
  <c r="O650" i="7"/>
  <c r="L650" i="7"/>
  <c r="K650" i="7"/>
  <c r="V649" i="7"/>
  <c r="S649" i="7"/>
  <c r="P649" i="7"/>
  <c r="O649" i="7"/>
  <c r="L649" i="7"/>
  <c r="K649" i="7"/>
  <c r="V648" i="7"/>
  <c r="S648" i="7"/>
  <c r="P648" i="7"/>
  <c r="O648" i="7"/>
  <c r="L648" i="7"/>
  <c r="K648" i="7"/>
  <c r="V647" i="7"/>
  <c r="S647" i="7"/>
  <c r="P647" i="7"/>
  <c r="O647" i="7"/>
  <c r="L647" i="7"/>
  <c r="K647" i="7"/>
  <c r="V646" i="7"/>
  <c r="S646" i="7"/>
  <c r="P646" i="7"/>
  <c r="O646" i="7"/>
  <c r="L646" i="7"/>
  <c r="K646" i="7"/>
  <c r="V645" i="7"/>
  <c r="S645" i="7"/>
  <c r="P645" i="7"/>
  <c r="O645" i="7"/>
  <c r="L645" i="7"/>
  <c r="K645" i="7"/>
  <c r="V644" i="7"/>
  <c r="S644" i="7"/>
  <c r="P644" i="7"/>
  <c r="O644" i="7"/>
  <c r="L644" i="7"/>
  <c r="K644" i="7"/>
  <c r="V643" i="7"/>
  <c r="S643" i="7"/>
  <c r="P643" i="7"/>
  <c r="O643" i="7"/>
  <c r="L643" i="7"/>
  <c r="K643" i="7"/>
  <c r="V642" i="7"/>
  <c r="S642" i="7"/>
  <c r="P642" i="7"/>
  <c r="O642" i="7"/>
  <c r="L642" i="7"/>
  <c r="K642" i="7"/>
  <c r="V641" i="7"/>
  <c r="S641" i="7"/>
  <c r="P641" i="7"/>
  <c r="O641" i="7"/>
  <c r="L641" i="7"/>
  <c r="K641" i="7"/>
  <c r="V640" i="7"/>
  <c r="S640" i="7"/>
  <c r="P640" i="7"/>
  <c r="O640" i="7"/>
  <c r="L640" i="7"/>
  <c r="K640" i="7"/>
  <c r="V639" i="7"/>
  <c r="S639" i="7"/>
  <c r="P639" i="7"/>
  <c r="O639" i="7"/>
  <c r="L639" i="7"/>
  <c r="K639" i="7"/>
  <c r="V638" i="7"/>
  <c r="S638" i="7"/>
  <c r="P638" i="7"/>
  <c r="O638" i="7"/>
  <c r="L638" i="7"/>
  <c r="K638" i="7"/>
  <c r="V637" i="7"/>
  <c r="S637" i="7"/>
  <c r="P637" i="7"/>
  <c r="O637" i="7"/>
  <c r="L637" i="7"/>
  <c r="K637" i="7"/>
  <c r="V636" i="7"/>
  <c r="S636" i="7"/>
  <c r="P636" i="7"/>
  <c r="O636" i="7"/>
  <c r="V635" i="7"/>
  <c r="S635" i="7"/>
  <c r="P635" i="7"/>
  <c r="O635" i="7"/>
  <c r="L635" i="7"/>
  <c r="K635" i="7"/>
  <c r="V634" i="7"/>
  <c r="S634" i="7"/>
  <c r="P634" i="7"/>
  <c r="O634" i="7"/>
  <c r="V633" i="7"/>
  <c r="S633" i="7"/>
  <c r="P633" i="7"/>
  <c r="O633" i="7"/>
  <c r="V632" i="7"/>
  <c r="S632" i="7"/>
  <c r="P632" i="7"/>
  <c r="O632" i="7"/>
  <c r="L632" i="7"/>
  <c r="K632" i="7"/>
  <c r="V631" i="7"/>
  <c r="S631" i="7"/>
  <c r="P631" i="7"/>
  <c r="O631" i="7"/>
  <c r="L631" i="7"/>
  <c r="K631" i="7"/>
  <c r="V630" i="7"/>
  <c r="S630" i="7"/>
  <c r="P630" i="7"/>
  <c r="O630" i="7"/>
  <c r="L630" i="7"/>
  <c r="K630" i="7"/>
  <c r="V629" i="7"/>
  <c r="S629" i="7"/>
  <c r="P629" i="7"/>
  <c r="O629" i="7"/>
  <c r="L629" i="7"/>
  <c r="K629" i="7"/>
  <c r="V628" i="7"/>
  <c r="S628" i="7"/>
  <c r="P628" i="7"/>
  <c r="O628" i="7"/>
  <c r="L628" i="7"/>
  <c r="K628" i="7"/>
  <c r="V627" i="7"/>
  <c r="S627" i="7"/>
  <c r="P627" i="7"/>
  <c r="O627" i="7"/>
  <c r="L627" i="7"/>
  <c r="K627" i="7"/>
  <c r="V626" i="7"/>
  <c r="S626" i="7"/>
  <c r="P626" i="7"/>
  <c r="O626" i="7"/>
  <c r="L626" i="7"/>
  <c r="K626" i="7"/>
  <c r="V625" i="7"/>
  <c r="S625" i="7"/>
  <c r="P625" i="7"/>
  <c r="O625" i="7"/>
  <c r="V624" i="7"/>
  <c r="S624" i="7"/>
  <c r="P624" i="7"/>
  <c r="O624" i="7"/>
  <c r="V623" i="7"/>
  <c r="S623" i="7"/>
  <c r="P623" i="7"/>
  <c r="O623" i="7"/>
  <c r="V622" i="7"/>
  <c r="S622" i="7"/>
  <c r="P622" i="7"/>
  <c r="O622" i="7"/>
  <c r="V621" i="7"/>
  <c r="S621" i="7"/>
  <c r="P621" i="7"/>
  <c r="O621" i="7"/>
  <c r="V620" i="7"/>
  <c r="S620" i="7"/>
  <c r="P620" i="7"/>
  <c r="O620" i="7"/>
  <c r="L620" i="7"/>
  <c r="K620" i="7"/>
  <c r="V619" i="7"/>
  <c r="S619" i="7"/>
  <c r="P619" i="7"/>
  <c r="O619" i="7"/>
  <c r="V618" i="7"/>
  <c r="S618" i="7"/>
  <c r="P618" i="7"/>
  <c r="O618" i="7"/>
  <c r="V617" i="7"/>
  <c r="S617" i="7"/>
  <c r="P617" i="7"/>
  <c r="O617" i="7"/>
  <c r="V616" i="7"/>
  <c r="S616" i="7"/>
  <c r="P616" i="7"/>
  <c r="O616" i="7"/>
  <c r="V615" i="7"/>
  <c r="S615" i="7"/>
  <c r="P615" i="7"/>
  <c r="O615" i="7"/>
  <c r="V614" i="7"/>
  <c r="S614" i="7"/>
  <c r="P614" i="7"/>
  <c r="O614" i="7"/>
  <c r="L614" i="7"/>
  <c r="K614" i="7"/>
  <c r="V613" i="7"/>
  <c r="S613" i="7"/>
  <c r="P613" i="7"/>
  <c r="O613" i="7"/>
  <c r="V612" i="7"/>
  <c r="S612" i="7"/>
  <c r="P612" i="7"/>
  <c r="O612" i="7"/>
  <c r="L612" i="7"/>
  <c r="K612" i="7"/>
  <c r="V611" i="7"/>
  <c r="S611" i="7"/>
  <c r="P611" i="7"/>
  <c r="O611" i="7"/>
  <c r="L611" i="7"/>
  <c r="K611" i="7"/>
  <c r="V610" i="7"/>
  <c r="S610" i="7"/>
  <c r="P610" i="7"/>
  <c r="O610" i="7"/>
  <c r="L610" i="7"/>
  <c r="K610" i="7"/>
  <c r="V609" i="7"/>
  <c r="S609" i="7"/>
  <c r="P609" i="7"/>
  <c r="O609" i="7"/>
  <c r="L609" i="7"/>
  <c r="K609" i="7"/>
  <c r="V608" i="7"/>
  <c r="S608" i="7"/>
  <c r="P608" i="7"/>
  <c r="O608" i="7"/>
  <c r="L608" i="7"/>
  <c r="K608" i="7"/>
  <c r="V607" i="7"/>
  <c r="S607" i="7"/>
  <c r="P607" i="7"/>
  <c r="O607" i="7"/>
  <c r="L607" i="7"/>
  <c r="K607" i="7"/>
  <c r="V606" i="7"/>
  <c r="S606" i="7"/>
  <c r="P606" i="7"/>
  <c r="O606" i="7"/>
  <c r="L606" i="7"/>
  <c r="K606" i="7"/>
  <c r="V605" i="7"/>
  <c r="S605" i="7"/>
  <c r="P605" i="7"/>
  <c r="O605" i="7"/>
  <c r="L605" i="7"/>
  <c r="K605" i="7"/>
  <c r="V604" i="7"/>
  <c r="S604" i="7"/>
  <c r="P604" i="7"/>
  <c r="O604" i="7"/>
  <c r="L604" i="7"/>
  <c r="K604" i="7"/>
  <c r="V603" i="7"/>
  <c r="S603" i="7"/>
  <c r="P603" i="7"/>
  <c r="O603" i="7"/>
  <c r="L603" i="7"/>
  <c r="K603" i="7"/>
  <c r="V602" i="7"/>
  <c r="S602" i="7"/>
  <c r="P602" i="7"/>
  <c r="O602" i="7"/>
  <c r="L602" i="7"/>
  <c r="K602" i="7"/>
  <c r="V601" i="7"/>
  <c r="S601" i="7"/>
  <c r="P601" i="7"/>
  <c r="O601" i="7"/>
  <c r="L601" i="7"/>
  <c r="K601" i="7"/>
  <c r="V600" i="7"/>
  <c r="S600" i="7"/>
  <c r="P600" i="7"/>
  <c r="O600" i="7"/>
  <c r="L600" i="7"/>
  <c r="K600" i="7"/>
  <c r="V599" i="7"/>
  <c r="S599" i="7"/>
  <c r="P599" i="7"/>
  <c r="O599" i="7"/>
  <c r="L599" i="7"/>
  <c r="K599" i="7"/>
  <c r="J595" i="7"/>
  <c r="I595" i="7"/>
  <c r="G595" i="7"/>
  <c r="F595" i="7"/>
  <c r="V593" i="7"/>
  <c r="S593" i="7"/>
  <c r="P593" i="7"/>
  <c r="O593" i="7"/>
  <c r="L593" i="7"/>
  <c r="K593" i="7"/>
  <c r="V592" i="7"/>
  <c r="S592" i="7"/>
  <c r="P592" i="7"/>
  <c r="O592" i="7"/>
  <c r="L592" i="7"/>
  <c r="K592" i="7"/>
  <c r="V591" i="7"/>
  <c r="S591" i="7"/>
  <c r="P591" i="7"/>
  <c r="O591" i="7"/>
  <c r="L591" i="7"/>
  <c r="K591" i="7"/>
  <c r="V590" i="7"/>
  <c r="S590" i="7"/>
  <c r="P590" i="7"/>
  <c r="O590" i="7"/>
  <c r="L590" i="7"/>
  <c r="K590" i="7"/>
  <c r="V589" i="7"/>
  <c r="S589" i="7"/>
  <c r="P589" i="7"/>
  <c r="O589" i="7"/>
  <c r="L589" i="7"/>
  <c r="K589" i="7"/>
  <c r="V588" i="7"/>
  <c r="S588" i="7"/>
  <c r="P588" i="7"/>
  <c r="O588" i="7"/>
  <c r="L588" i="7"/>
  <c r="K588" i="7"/>
  <c r="V587" i="7"/>
  <c r="S587" i="7"/>
  <c r="P587" i="7"/>
  <c r="O587" i="7"/>
  <c r="L587" i="7"/>
  <c r="K587" i="7"/>
  <c r="V586" i="7"/>
  <c r="S586" i="7"/>
  <c r="P586" i="7"/>
  <c r="O586" i="7"/>
  <c r="L586" i="7"/>
  <c r="K586" i="7"/>
  <c r="V585" i="7"/>
  <c r="S585" i="7"/>
  <c r="P585" i="7"/>
  <c r="O585" i="7"/>
  <c r="L585" i="7"/>
  <c r="K585" i="7"/>
  <c r="V584" i="7"/>
  <c r="S584" i="7"/>
  <c r="P584" i="7"/>
  <c r="O584" i="7"/>
  <c r="L584" i="7"/>
  <c r="K584" i="7"/>
  <c r="G580" i="7"/>
  <c r="V559" i="7"/>
  <c r="S559" i="7"/>
  <c r="P559" i="7"/>
  <c r="O559" i="7"/>
  <c r="L559" i="7"/>
  <c r="K559" i="7"/>
  <c r="V558" i="7"/>
  <c r="S558" i="7"/>
  <c r="P558" i="7"/>
  <c r="O558" i="7"/>
  <c r="L558" i="7"/>
  <c r="K558" i="7"/>
  <c r="V557" i="7"/>
  <c r="S557" i="7"/>
  <c r="P557" i="7"/>
  <c r="O557" i="7"/>
  <c r="L557" i="7"/>
  <c r="K557" i="7"/>
  <c r="V556" i="7"/>
  <c r="S556" i="7"/>
  <c r="P556" i="7"/>
  <c r="O556" i="7"/>
  <c r="L556" i="7"/>
  <c r="K556" i="7"/>
  <c r="V555" i="7"/>
  <c r="S555" i="7"/>
  <c r="P555" i="7"/>
  <c r="O555" i="7"/>
  <c r="L555" i="7"/>
  <c r="K555" i="7"/>
  <c r="V554" i="7"/>
  <c r="S554" i="7"/>
  <c r="P554" i="7"/>
  <c r="O554" i="7"/>
  <c r="L554" i="7"/>
  <c r="K554" i="7"/>
  <c r="V553" i="7"/>
  <c r="S553" i="7"/>
  <c r="P553" i="7"/>
  <c r="O553" i="7"/>
  <c r="L553" i="7"/>
  <c r="K553" i="7"/>
  <c r="V552" i="7"/>
  <c r="S552" i="7"/>
  <c r="P552" i="7"/>
  <c r="O552" i="7"/>
  <c r="L552" i="7"/>
  <c r="K552" i="7"/>
  <c r="V551" i="7"/>
  <c r="S551" i="7"/>
  <c r="P551" i="7"/>
  <c r="O551" i="7"/>
  <c r="L551" i="7"/>
  <c r="K551" i="7"/>
  <c r="V550" i="7"/>
  <c r="S550" i="7"/>
  <c r="P550" i="7"/>
  <c r="O550" i="7"/>
  <c r="L550" i="7"/>
  <c r="K550" i="7"/>
  <c r="V549" i="7"/>
  <c r="S549" i="7"/>
  <c r="P549" i="7"/>
  <c r="O549" i="7"/>
  <c r="L549" i="7"/>
  <c r="K549" i="7"/>
  <c r="V548" i="7"/>
  <c r="S548" i="7"/>
  <c r="P548" i="7"/>
  <c r="O548" i="7"/>
  <c r="L548" i="7"/>
  <c r="K548" i="7"/>
  <c r="V547" i="7"/>
  <c r="S547" i="7"/>
  <c r="P547" i="7"/>
  <c r="O547" i="7"/>
  <c r="L547" i="7"/>
  <c r="K547" i="7"/>
  <c r="V546" i="7"/>
  <c r="S546" i="7"/>
  <c r="P546" i="7"/>
  <c r="O546" i="7"/>
  <c r="L546" i="7"/>
  <c r="K546" i="7"/>
  <c r="V545" i="7"/>
  <c r="S545" i="7"/>
  <c r="P545" i="7"/>
  <c r="O545" i="7"/>
  <c r="L545" i="7"/>
  <c r="K545" i="7"/>
  <c r="V544" i="7"/>
  <c r="S544" i="7"/>
  <c r="P544" i="7"/>
  <c r="O544" i="7"/>
  <c r="L544" i="7"/>
  <c r="K544" i="7"/>
  <c r="V543" i="7"/>
  <c r="S543" i="7"/>
  <c r="P543" i="7"/>
  <c r="O543" i="7"/>
  <c r="L543" i="7"/>
  <c r="K543" i="7"/>
  <c r="V542" i="7"/>
  <c r="S542" i="7"/>
  <c r="P542" i="7"/>
  <c r="O542" i="7"/>
  <c r="L542" i="7"/>
  <c r="K542" i="7"/>
  <c r="V541" i="7"/>
  <c r="S541" i="7"/>
  <c r="P541" i="7"/>
  <c r="O541" i="7"/>
  <c r="L541" i="7"/>
  <c r="K541" i="7"/>
  <c r="V540" i="7"/>
  <c r="S540" i="7"/>
  <c r="P540" i="7"/>
  <c r="O540" i="7"/>
  <c r="L540" i="7"/>
  <c r="K540" i="7"/>
  <c r="V539" i="7"/>
  <c r="S539" i="7"/>
  <c r="P539" i="7"/>
  <c r="O539" i="7"/>
  <c r="L539" i="7"/>
  <c r="K539" i="7"/>
  <c r="V538" i="7"/>
  <c r="S538" i="7"/>
  <c r="P538" i="7"/>
  <c r="O538" i="7"/>
  <c r="L538" i="7"/>
  <c r="K538" i="7"/>
  <c r="V537" i="7"/>
  <c r="S537" i="7"/>
  <c r="P537" i="7"/>
  <c r="O537" i="7"/>
  <c r="L537" i="7"/>
  <c r="K537" i="7"/>
  <c r="V536" i="7"/>
  <c r="S536" i="7"/>
  <c r="P536" i="7"/>
  <c r="O536" i="7"/>
  <c r="L536" i="7"/>
  <c r="K536" i="7"/>
  <c r="V535" i="7"/>
  <c r="S535" i="7"/>
  <c r="P535" i="7"/>
  <c r="O535" i="7"/>
  <c r="L535" i="7"/>
  <c r="K535" i="7"/>
  <c r="V534" i="7"/>
  <c r="S534" i="7"/>
  <c r="P534" i="7"/>
  <c r="O534" i="7"/>
  <c r="L534" i="7"/>
  <c r="K534" i="7"/>
  <c r="V533" i="7"/>
  <c r="S533" i="7"/>
  <c r="P533" i="7"/>
  <c r="O533" i="7"/>
  <c r="L533" i="7"/>
  <c r="K533" i="7"/>
  <c r="V532" i="7"/>
  <c r="S532" i="7"/>
  <c r="P532" i="7"/>
  <c r="O532" i="7"/>
  <c r="L532" i="7"/>
  <c r="K532" i="7"/>
  <c r="V531" i="7"/>
  <c r="S531" i="7"/>
  <c r="P531" i="7"/>
  <c r="O531" i="7"/>
  <c r="L531" i="7"/>
  <c r="K531" i="7"/>
  <c r="V530" i="7"/>
  <c r="S530" i="7"/>
  <c r="P530" i="7"/>
  <c r="O530" i="7"/>
  <c r="L530" i="7"/>
  <c r="K530" i="7"/>
  <c r="V529" i="7"/>
  <c r="S529" i="7"/>
  <c r="P529" i="7"/>
  <c r="O529" i="7"/>
  <c r="L529" i="7"/>
  <c r="K529" i="7"/>
  <c r="V528" i="7"/>
  <c r="S528" i="7"/>
  <c r="P528" i="7"/>
  <c r="O528" i="7"/>
  <c r="L528" i="7"/>
  <c r="K528" i="7"/>
  <c r="V527" i="7"/>
  <c r="S527" i="7"/>
  <c r="P527" i="7"/>
  <c r="O527" i="7"/>
  <c r="L527" i="7"/>
  <c r="K527" i="7"/>
  <c r="V526" i="7"/>
  <c r="S526" i="7"/>
  <c r="P526" i="7"/>
  <c r="O526" i="7"/>
  <c r="L526" i="7"/>
  <c r="K526" i="7"/>
  <c r="V525" i="7"/>
  <c r="S525" i="7"/>
  <c r="P525" i="7"/>
  <c r="O525" i="7"/>
  <c r="L525" i="7"/>
  <c r="K525" i="7"/>
  <c r="V524" i="7"/>
  <c r="S524" i="7"/>
  <c r="P524" i="7"/>
  <c r="O524" i="7"/>
  <c r="L524" i="7"/>
  <c r="K524" i="7"/>
  <c r="V523" i="7"/>
  <c r="S523" i="7"/>
  <c r="P523" i="7"/>
  <c r="O523" i="7"/>
  <c r="L523" i="7"/>
  <c r="K523" i="7"/>
  <c r="V522" i="7"/>
  <c r="S522" i="7"/>
  <c r="P522" i="7"/>
  <c r="O522" i="7"/>
  <c r="L522" i="7"/>
  <c r="K522" i="7"/>
  <c r="V521" i="7"/>
  <c r="S521" i="7"/>
  <c r="P521" i="7"/>
  <c r="O521" i="7"/>
  <c r="L521" i="7"/>
  <c r="K521" i="7"/>
  <c r="V520" i="7"/>
  <c r="S520" i="7"/>
  <c r="P520" i="7"/>
  <c r="O520" i="7"/>
  <c r="L520" i="7"/>
  <c r="K520" i="7"/>
  <c r="V519" i="7"/>
  <c r="S519" i="7"/>
  <c r="P519" i="7"/>
  <c r="O519" i="7"/>
  <c r="L519" i="7"/>
  <c r="K519" i="7"/>
  <c r="V518" i="7"/>
  <c r="S518" i="7"/>
  <c r="P518" i="7"/>
  <c r="O518" i="7"/>
  <c r="L518" i="7"/>
  <c r="K518" i="7"/>
  <c r="V517" i="7"/>
  <c r="S517" i="7"/>
  <c r="P517" i="7"/>
  <c r="O517" i="7"/>
  <c r="L517" i="7"/>
  <c r="K517" i="7"/>
  <c r="V516" i="7"/>
  <c r="S516" i="7"/>
  <c r="P516" i="7"/>
  <c r="O516" i="7"/>
  <c r="L516" i="7"/>
  <c r="K516" i="7"/>
  <c r="V515" i="7"/>
  <c r="S515" i="7"/>
  <c r="P515" i="7"/>
  <c r="O515" i="7"/>
  <c r="L515" i="7"/>
  <c r="K515" i="7"/>
  <c r="V514" i="7"/>
  <c r="S514" i="7"/>
  <c r="P514" i="7"/>
  <c r="O514" i="7"/>
  <c r="L514" i="7"/>
  <c r="K514" i="7"/>
  <c r="V513" i="7"/>
  <c r="S513" i="7"/>
  <c r="P513" i="7"/>
  <c r="O513" i="7"/>
  <c r="L513" i="7"/>
  <c r="K513" i="7"/>
  <c r="V512" i="7"/>
  <c r="S512" i="7"/>
  <c r="P512" i="7"/>
  <c r="O512" i="7"/>
  <c r="L512" i="7"/>
  <c r="K512" i="7"/>
  <c r="V511" i="7"/>
  <c r="S511" i="7"/>
  <c r="P511" i="7"/>
  <c r="O511" i="7"/>
  <c r="L511" i="7"/>
  <c r="K511" i="7"/>
  <c r="V510" i="7"/>
  <c r="S510" i="7"/>
  <c r="P510" i="7"/>
  <c r="O510" i="7"/>
  <c r="L510" i="7"/>
  <c r="K510" i="7"/>
  <c r="V509" i="7"/>
  <c r="S509" i="7"/>
  <c r="P509" i="7"/>
  <c r="O509" i="7"/>
  <c r="L509" i="7"/>
  <c r="K509" i="7"/>
  <c r="V508" i="7"/>
  <c r="S508" i="7"/>
  <c r="P508" i="7"/>
  <c r="O508" i="7"/>
  <c r="L508" i="7"/>
  <c r="K508" i="7"/>
  <c r="V507" i="7"/>
  <c r="S507" i="7"/>
  <c r="P507" i="7"/>
  <c r="O507" i="7"/>
  <c r="L507" i="7"/>
  <c r="K507" i="7"/>
  <c r="V506" i="7"/>
  <c r="S506" i="7"/>
  <c r="P506" i="7"/>
  <c r="O506" i="7"/>
  <c r="L506" i="7"/>
  <c r="K506" i="7"/>
  <c r="V505" i="7"/>
  <c r="S505" i="7"/>
  <c r="P505" i="7"/>
  <c r="O505" i="7"/>
  <c r="L505" i="7"/>
  <c r="K505" i="7"/>
  <c r="V504" i="7"/>
  <c r="S504" i="7"/>
  <c r="P504" i="7"/>
  <c r="O504" i="7"/>
  <c r="L504" i="7"/>
  <c r="K504" i="7"/>
  <c r="V503" i="7"/>
  <c r="S503" i="7"/>
  <c r="P503" i="7"/>
  <c r="O503" i="7"/>
  <c r="L503" i="7"/>
  <c r="K503" i="7"/>
  <c r="V501" i="7"/>
  <c r="S501" i="7"/>
  <c r="P501" i="7"/>
  <c r="O501" i="7"/>
  <c r="L501" i="7"/>
  <c r="K501" i="7"/>
  <c r="V500" i="7"/>
  <c r="S500" i="7"/>
  <c r="P500" i="7"/>
  <c r="O500" i="7"/>
  <c r="L500" i="7"/>
  <c r="K500" i="7"/>
  <c r="V499" i="7"/>
  <c r="S499" i="7"/>
  <c r="P499" i="7"/>
  <c r="O499" i="7"/>
  <c r="L499" i="7"/>
  <c r="K499" i="7"/>
  <c r="V498" i="7"/>
  <c r="S498" i="7"/>
  <c r="P498" i="7"/>
  <c r="O498" i="7"/>
  <c r="L498" i="7"/>
  <c r="K498" i="7"/>
  <c r="V497" i="7"/>
  <c r="S497" i="7"/>
  <c r="P497" i="7"/>
  <c r="O497" i="7"/>
  <c r="L497" i="7"/>
  <c r="K497" i="7"/>
  <c r="V496" i="7"/>
  <c r="S496" i="7"/>
  <c r="P496" i="7"/>
  <c r="O496" i="7"/>
  <c r="L496" i="7"/>
  <c r="K496" i="7"/>
  <c r="V495" i="7"/>
  <c r="S495" i="7"/>
  <c r="P495" i="7"/>
  <c r="O495" i="7"/>
  <c r="L495" i="7"/>
  <c r="K495" i="7"/>
  <c r="V494" i="7"/>
  <c r="S494" i="7"/>
  <c r="P494" i="7"/>
  <c r="O494" i="7"/>
  <c r="L494" i="7"/>
  <c r="K494" i="7"/>
  <c r="V493" i="7"/>
  <c r="S493" i="7"/>
  <c r="P493" i="7"/>
  <c r="O493" i="7"/>
  <c r="L493" i="7"/>
  <c r="K493" i="7"/>
  <c r="V492" i="7"/>
  <c r="S492" i="7"/>
  <c r="P492" i="7"/>
  <c r="O492" i="7"/>
  <c r="L492" i="7"/>
  <c r="K492" i="7"/>
  <c r="V491" i="7"/>
  <c r="S491" i="7"/>
  <c r="P491" i="7"/>
  <c r="O491" i="7"/>
  <c r="L491" i="7"/>
  <c r="K491" i="7"/>
  <c r="V490" i="7"/>
  <c r="S490" i="7"/>
  <c r="P490" i="7"/>
  <c r="O490" i="7"/>
  <c r="L490" i="7"/>
  <c r="K490" i="7"/>
  <c r="V489" i="7"/>
  <c r="S489" i="7"/>
  <c r="P489" i="7"/>
  <c r="O489" i="7"/>
  <c r="L489" i="7"/>
  <c r="K489" i="7"/>
  <c r="V488" i="7"/>
  <c r="S488" i="7"/>
  <c r="P488" i="7"/>
  <c r="O488" i="7"/>
  <c r="L488" i="7"/>
  <c r="K488" i="7"/>
  <c r="V487" i="7"/>
  <c r="S487" i="7"/>
  <c r="P487" i="7"/>
  <c r="O487" i="7"/>
  <c r="L487" i="7"/>
  <c r="K487" i="7"/>
  <c r="V486" i="7"/>
  <c r="S486" i="7"/>
  <c r="P486" i="7"/>
  <c r="O486" i="7"/>
  <c r="L486" i="7"/>
  <c r="K486" i="7"/>
  <c r="V485" i="7"/>
  <c r="S485" i="7"/>
  <c r="P485" i="7"/>
  <c r="O485" i="7"/>
  <c r="L485" i="7"/>
  <c r="K485" i="7"/>
  <c r="V484" i="7"/>
  <c r="S484" i="7"/>
  <c r="P484" i="7"/>
  <c r="O484" i="7"/>
  <c r="L484" i="7"/>
  <c r="K484" i="7"/>
  <c r="V483" i="7"/>
  <c r="S483" i="7"/>
  <c r="P483" i="7"/>
  <c r="O483" i="7"/>
  <c r="L483" i="7"/>
  <c r="K483" i="7"/>
  <c r="V482" i="7"/>
  <c r="S482" i="7"/>
  <c r="P482" i="7"/>
  <c r="O482" i="7"/>
  <c r="L482" i="7"/>
  <c r="K482" i="7"/>
  <c r="V481" i="7"/>
  <c r="S481" i="7"/>
  <c r="P481" i="7"/>
  <c r="O481" i="7"/>
  <c r="L481" i="7"/>
  <c r="K481" i="7"/>
  <c r="V480" i="7"/>
  <c r="S480" i="7"/>
  <c r="P480" i="7"/>
  <c r="O480" i="7"/>
  <c r="L480" i="7"/>
  <c r="K480" i="7"/>
  <c r="V479" i="7"/>
  <c r="S479" i="7"/>
  <c r="P479" i="7"/>
  <c r="O479" i="7"/>
  <c r="L479" i="7"/>
  <c r="K479" i="7"/>
  <c r="V478" i="7"/>
  <c r="S478" i="7"/>
  <c r="P478" i="7"/>
  <c r="O478" i="7"/>
  <c r="L478" i="7"/>
  <c r="K478" i="7"/>
  <c r="V477" i="7"/>
  <c r="S477" i="7"/>
  <c r="P477" i="7"/>
  <c r="O477" i="7"/>
  <c r="L477" i="7"/>
  <c r="K477" i="7"/>
  <c r="V476" i="7"/>
  <c r="S476" i="7"/>
  <c r="P476" i="7"/>
  <c r="O476" i="7"/>
  <c r="L476" i="7"/>
  <c r="K476" i="7"/>
  <c r="V475" i="7"/>
  <c r="S475" i="7"/>
  <c r="P475" i="7"/>
  <c r="O475" i="7"/>
  <c r="L475" i="7"/>
  <c r="K475" i="7"/>
  <c r="V474" i="7"/>
  <c r="S474" i="7"/>
  <c r="P474" i="7"/>
  <c r="O474" i="7"/>
  <c r="L474" i="7"/>
  <c r="K474" i="7"/>
  <c r="V473" i="7"/>
  <c r="S473" i="7"/>
  <c r="P473" i="7"/>
  <c r="O473" i="7"/>
  <c r="L473" i="7"/>
  <c r="K473" i="7"/>
  <c r="V472" i="7"/>
  <c r="S472" i="7"/>
  <c r="P472" i="7"/>
  <c r="O472" i="7"/>
  <c r="L472" i="7"/>
  <c r="K472" i="7"/>
  <c r="V471" i="7"/>
  <c r="S471" i="7"/>
  <c r="P471" i="7"/>
  <c r="O471" i="7"/>
  <c r="L471" i="7"/>
  <c r="K471" i="7"/>
  <c r="V470" i="7"/>
  <c r="S470" i="7"/>
  <c r="P470" i="7"/>
  <c r="O470" i="7"/>
  <c r="L470" i="7"/>
  <c r="K470" i="7"/>
  <c r="V469" i="7"/>
  <c r="S469" i="7"/>
  <c r="P469" i="7"/>
  <c r="O469" i="7"/>
  <c r="L469" i="7"/>
  <c r="K469" i="7"/>
  <c r="V468" i="7"/>
  <c r="S468" i="7"/>
  <c r="P468" i="7"/>
  <c r="O468" i="7"/>
  <c r="L468" i="7"/>
  <c r="K468" i="7"/>
  <c r="V467" i="7"/>
  <c r="S467" i="7"/>
  <c r="P467" i="7"/>
  <c r="O467" i="7"/>
  <c r="L467" i="7"/>
  <c r="K467" i="7"/>
  <c r="V466" i="7"/>
  <c r="S466" i="7"/>
  <c r="P466" i="7"/>
  <c r="O466" i="7"/>
  <c r="L466" i="7"/>
  <c r="K466" i="7"/>
  <c r="V465" i="7"/>
  <c r="S465" i="7"/>
  <c r="P465" i="7"/>
  <c r="O465" i="7"/>
  <c r="L465" i="7"/>
  <c r="K465" i="7"/>
  <c r="V464" i="7"/>
  <c r="S464" i="7"/>
  <c r="P464" i="7"/>
  <c r="O464" i="7"/>
  <c r="L464" i="7"/>
  <c r="K464" i="7"/>
  <c r="V463" i="7"/>
  <c r="S463" i="7"/>
  <c r="P463" i="7"/>
  <c r="O463" i="7"/>
  <c r="L463" i="7"/>
  <c r="K463" i="7"/>
  <c r="V462" i="7"/>
  <c r="S462" i="7"/>
  <c r="P462" i="7"/>
  <c r="O462" i="7"/>
  <c r="L462" i="7"/>
  <c r="K462" i="7"/>
  <c r="V461" i="7"/>
  <c r="S461" i="7"/>
  <c r="P461" i="7"/>
  <c r="O461" i="7"/>
  <c r="L461" i="7"/>
  <c r="K461" i="7"/>
  <c r="V460" i="7"/>
  <c r="S460" i="7"/>
  <c r="P460" i="7"/>
  <c r="O460" i="7"/>
  <c r="L460" i="7"/>
  <c r="K460" i="7"/>
  <c r="V459" i="7"/>
  <c r="S459" i="7"/>
  <c r="P459" i="7"/>
  <c r="O459" i="7"/>
  <c r="L459" i="7"/>
  <c r="K459" i="7"/>
  <c r="V458" i="7"/>
  <c r="S458" i="7"/>
  <c r="P458" i="7"/>
  <c r="O458" i="7"/>
  <c r="L458" i="7"/>
  <c r="K458" i="7"/>
  <c r="V457" i="7"/>
  <c r="S457" i="7"/>
  <c r="P457" i="7"/>
  <c r="O457" i="7"/>
  <c r="L457" i="7"/>
  <c r="K457" i="7"/>
  <c r="V456" i="7"/>
  <c r="S456" i="7"/>
  <c r="P456" i="7"/>
  <c r="O456" i="7"/>
  <c r="L456" i="7"/>
  <c r="K456" i="7"/>
  <c r="V455" i="7"/>
  <c r="S455" i="7"/>
  <c r="P455" i="7"/>
  <c r="O455" i="7"/>
  <c r="L455" i="7"/>
  <c r="K455" i="7"/>
  <c r="V454" i="7"/>
  <c r="S454" i="7"/>
  <c r="P454" i="7"/>
  <c r="O454" i="7"/>
  <c r="L454" i="7"/>
  <c r="K454" i="7"/>
  <c r="V453" i="7"/>
  <c r="S453" i="7"/>
  <c r="P453" i="7"/>
  <c r="O453" i="7"/>
  <c r="L453" i="7"/>
  <c r="K453" i="7"/>
  <c r="V452" i="7"/>
  <c r="S452" i="7"/>
  <c r="P452" i="7"/>
  <c r="O452" i="7"/>
  <c r="L452" i="7"/>
  <c r="K452" i="7"/>
  <c r="V451" i="7"/>
  <c r="S451" i="7"/>
  <c r="P451" i="7"/>
  <c r="O451" i="7"/>
  <c r="L451" i="7"/>
  <c r="K451" i="7"/>
  <c r="V450" i="7"/>
  <c r="S450" i="7"/>
  <c r="P450" i="7"/>
  <c r="O450" i="7"/>
  <c r="L450" i="7"/>
  <c r="K450" i="7"/>
  <c r="V449" i="7"/>
  <c r="S449" i="7"/>
  <c r="P449" i="7"/>
  <c r="O449" i="7"/>
  <c r="L449" i="7"/>
  <c r="K449" i="7"/>
  <c r="V448" i="7"/>
  <c r="S448" i="7"/>
  <c r="P448" i="7"/>
  <c r="O448" i="7"/>
  <c r="L448" i="7"/>
  <c r="K448" i="7"/>
  <c r="V447" i="7"/>
  <c r="S447" i="7"/>
  <c r="P447" i="7"/>
  <c r="O447" i="7"/>
  <c r="L447" i="7"/>
  <c r="K447" i="7"/>
  <c r="V446" i="7"/>
  <c r="S446" i="7"/>
  <c r="P446" i="7"/>
  <c r="O446" i="7"/>
  <c r="L446" i="7"/>
  <c r="K446" i="7"/>
  <c r="V445" i="7"/>
  <c r="S445" i="7"/>
  <c r="P445" i="7"/>
  <c r="O445" i="7"/>
  <c r="L445" i="7"/>
  <c r="K445" i="7"/>
  <c r="V444" i="7"/>
  <c r="S444" i="7"/>
  <c r="P444" i="7"/>
  <c r="O444" i="7"/>
  <c r="L444" i="7"/>
  <c r="K444" i="7"/>
  <c r="V443" i="7"/>
  <c r="S443" i="7"/>
  <c r="P443" i="7"/>
  <c r="O443" i="7"/>
  <c r="L443" i="7"/>
  <c r="K443" i="7"/>
  <c r="V442" i="7"/>
  <c r="S442" i="7"/>
  <c r="P442" i="7"/>
  <c r="O442" i="7"/>
  <c r="L442" i="7"/>
  <c r="K442" i="7"/>
  <c r="V441" i="7"/>
  <c r="S441" i="7"/>
  <c r="P441" i="7"/>
  <c r="O441" i="7"/>
  <c r="L441" i="7"/>
  <c r="K441" i="7"/>
  <c r="V440" i="7"/>
  <c r="S440" i="7"/>
  <c r="P440" i="7"/>
  <c r="O440" i="7"/>
  <c r="L440" i="7"/>
  <c r="K440" i="7"/>
  <c r="V439" i="7"/>
  <c r="S439" i="7"/>
  <c r="P439" i="7"/>
  <c r="O439" i="7"/>
  <c r="L439" i="7"/>
  <c r="K439" i="7"/>
  <c r="V438" i="7"/>
  <c r="S438" i="7"/>
  <c r="P438" i="7"/>
  <c r="O438" i="7"/>
  <c r="L438" i="7"/>
  <c r="K438" i="7"/>
  <c r="V437" i="7"/>
  <c r="S437" i="7"/>
  <c r="P437" i="7"/>
  <c r="O437" i="7"/>
  <c r="L437" i="7"/>
  <c r="K437" i="7"/>
  <c r="V436" i="7"/>
  <c r="S436" i="7"/>
  <c r="P436" i="7"/>
  <c r="O436" i="7"/>
  <c r="L436" i="7"/>
  <c r="K436" i="7"/>
  <c r="V435" i="7"/>
  <c r="S435" i="7"/>
  <c r="P435" i="7"/>
  <c r="O435" i="7"/>
  <c r="L435" i="7"/>
  <c r="K435" i="7"/>
  <c r="V434" i="7"/>
  <c r="S434" i="7"/>
  <c r="P434" i="7"/>
  <c r="O434" i="7"/>
  <c r="L434" i="7"/>
  <c r="K434" i="7"/>
  <c r="V433" i="7"/>
  <c r="S433" i="7"/>
  <c r="P433" i="7"/>
  <c r="O433" i="7"/>
  <c r="L433" i="7"/>
  <c r="K433" i="7"/>
  <c r="V432" i="7"/>
  <c r="S432" i="7"/>
  <c r="P432" i="7"/>
  <c r="O432" i="7"/>
  <c r="L432" i="7"/>
  <c r="K432" i="7"/>
  <c r="V431" i="7"/>
  <c r="S431" i="7"/>
  <c r="P431" i="7"/>
  <c r="O431" i="7"/>
  <c r="L431" i="7"/>
  <c r="K431" i="7"/>
  <c r="V430" i="7"/>
  <c r="S430" i="7"/>
  <c r="P430" i="7"/>
  <c r="O430" i="7"/>
  <c r="L430" i="7"/>
  <c r="K430" i="7"/>
  <c r="V429" i="7"/>
  <c r="S429" i="7"/>
  <c r="P429" i="7"/>
  <c r="O429" i="7"/>
  <c r="L429" i="7"/>
  <c r="K429" i="7"/>
  <c r="V428" i="7"/>
  <c r="S428" i="7"/>
  <c r="P428" i="7"/>
  <c r="O428" i="7"/>
  <c r="L428" i="7"/>
  <c r="K428" i="7"/>
  <c r="V427" i="7"/>
  <c r="S427" i="7"/>
  <c r="P427" i="7"/>
  <c r="O427" i="7"/>
  <c r="L427" i="7"/>
  <c r="K427" i="7"/>
  <c r="V426" i="7"/>
  <c r="S426" i="7"/>
  <c r="P426" i="7"/>
  <c r="O426" i="7"/>
  <c r="L426" i="7"/>
  <c r="K426" i="7"/>
  <c r="V425" i="7"/>
  <c r="S425" i="7"/>
  <c r="P425" i="7"/>
  <c r="O425" i="7"/>
  <c r="L425" i="7"/>
  <c r="K425" i="7"/>
  <c r="V424" i="7"/>
  <c r="S424" i="7"/>
  <c r="P424" i="7"/>
  <c r="O424" i="7"/>
  <c r="L424" i="7"/>
  <c r="K424" i="7"/>
  <c r="V423" i="7"/>
  <c r="S423" i="7"/>
  <c r="P423" i="7"/>
  <c r="O423" i="7"/>
  <c r="L423" i="7"/>
  <c r="K423" i="7"/>
  <c r="V422" i="7"/>
  <c r="S422" i="7"/>
  <c r="P422" i="7"/>
  <c r="O422" i="7"/>
  <c r="L422" i="7"/>
  <c r="K422" i="7"/>
  <c r="V421" i="7"/>
  <c r="S421" i="7"/>
  <c r="P421" i="7"/>
  <c r="O421" i="7"/>
  <c r="L421" i="7"/>
  <c r="K421" i="7"/>
  <c r="V420" i="7"/>
  <c r="S420" i="7"/>
  <c r="P420" i="7"/>
  <c r="O420" i="7"/>
  <c r="L420" i="7"/>
  <c r="K420" i="7"/>
  <c r="V419" i="7"/>
  <c r="S419" i="7"/>
  <c r="P419" i="7"/>
  <c r="O419" i="7"/>
  <c r="L419" i="7"/>
  <c r="K419" i="7"/>
  <c r="V418" i="7"/>
  <c r="S418" i="7"/>
  <c r="P418" i="7"/>
  <c r="O418" i="7"/>
  <c r="L418" i="7"/>
  <c r="K418" i="7"/>
  <c r="V417" i="7"/>
  <c r="S417" i="7"/>
  <c r="P417" i="7"/>
  <c r="O417" i="7"/>
  <c r="L417" i="7"/>
  <c r="K417" i="7"/>
  <c r="V416" i="7"/>
  <c r="S416" i="7"/>
  <c r="P416" i="7"/>
  <c r="O416" i="7"/>
  <c r="L416" i="7"/>
  <c r="K416" i="7"/>
  <c r="V415" i="7"/>
  <c r="S415" i="7"/>
  <c r="P415" i="7"/>
  <c r="O415" i="7"/>
  <c r="L415" i="7"/>
  <c r="K415" i="7"/>
  <c r="V414" i="7"/>
  <c r="S414" i="7"/>
  <c r="P414" i="7"/>
  <c r="O414" i="7"/>
  <c r="L414" i="7"/>
  <c r="K414" i="7"/>
  <c r="V413" i="7"/>
  <c r="S413" i="7"/>
  <c r="P413" i="7"/>
  <c r="O413" i="7"/>
  <c r="L413" i="7"/>
  <c r="K413" i="7"/>
  <c r="V412" i="7"/>
  <c r="S412" i="7"/>
  <c r="P412" i="7"/>
  <c r="O412" i="7"/>
  <c r="L412" i="7"/>
  <c r="K412" i="7"/>
  <c r="V411" i="7"/>
  <c r="S411" i="7"/>
  <c r="P411" i="7"/>
  <c r="O411" i="7"/>
  <c r="L411" i="7"/>
  <c r="K411" i="7"/>
  <c r="V410" i="7"/>
  <c r="S410" i="7"/>
  <c r="P410" i="7"/>
  <c r="O410" i="7"/>
  <c r="L410" i="7"/>
  <c r="K410" i="7"/>
  <c r="V409" i="7"/>
  <c r="S409" i="7"/>
  <c r="P409" i="7"/>
  <c r="O409" i="7"/>
  <c r="L409" i="7"/>
  <c r="K409" i="7"/>
  <c r="V408" i="7"/>
  <c r="S408" i="7"/>
  <c r="P408" i="7"/>
  <c r="O408" i="7"/>
  <c r="L408" i="7"/>
  <c r="K408" i="7"/>
  <c r="V407" i="7"/>
  <c r="S407" i="7"/>
  <c r="P407" i="7"/>
  <c r="O407" i="7"/>
  <c r="L407" i="7"/>
  <c r="K407" i="7"/>
  <c r="V406" i="7"/>
  <c r="S406" i="7"/>
  <c r="P406" i="7"/>
  <c r="O406" i="7"/>
  <c r="L406" i="7"/>
  <c r="K406" i="7"/>
  <c r="V405" i="7"/>
  <c r="S405" i="7"/>
  <c r="P405" i="7"/>
  <c r="O405" i="7"/>
  <c r="L405" i="7"/>
  <c r="K405" i="7"/>
  <c r="V404" i="7"/>
  <c r="S404" i="7"/>
  <c r="P404" i="7"/>
  <c r="O404" i="7"/>
  <c r="L404" i="7"/>
  <c r="K404" i="7"/>
  <c r="V403" i="7"/>
  <c r="S403" i="7"/>
  <c r="P403" i="7"/>
  <c r="O403" i="7"/>
  <c r="L403" i="7"/>
  <c r="K403" i="7"/>
  <c r="V402" i="7"/>
  <c r="S402" i="7"/>
  <c r="P402" i="7"/>
  <c r="O402" i="7"/>
  <c r="L402" i="7"/>
  <c r="K402" i="7"/>
  <c r="V401" i="7"/>
  <c r="S401" i="7"/>
  <c r="P401" i="7"/>
  <c r="O401" i="7"/>
  <c r="L401" i="7"/>
  <c r="K401" i="7"/>
  <c r="V400" i="7"/>
  <c r="S400" i="7"/>
  <c r="P400" i="7"/>
  <c r="O400" i="7"/>
  <c r="L400" i="7"/>
  <c r="K400" i="7"/>
  <c r="V399" i="7"/>
  <c r="S399" i="7"/>
  <c r="P399" i="7"/>
  <c r="O399" i="7"/>
  <c r="L399" i="7"/>
  <c r="K399" i="7"/>
  <c r="V398" i="7"/>
  <c r="S398" i="7"/>
  <c r="P398" i="7"/>
  <c r="O398" i="7"/>
  <c r="L398" i="7"/>
  <c r="K398" i="7"/>
  <c r="V397" i="7"/>
  <c r="S397" i="7"/>
  <c r="P397" i="7"/>
  <c r="O397" i="7"/>
  <c r="L397" i="7"/>
  <c r="K397" i="7"/>
  <c r="V396" i="7"/>
  <c r="S396" i="7"/>
  <c r="P396" i="7"/>
  <c r="O396" i="7"/>
  <c r="L396" i="7"/>
  <c r="K396" i="7"/>
  <c r="V395" i="7"/>
  <c r="S395" i="7"/>
  <c r="P395" i="7"/>
  <c r="O395" i="7"/>
  <c r="L395" i="7"/>
  <c r="K395" i="7"/>
  <c r="V394" i="7"/>
  <c r="S394" i="7"/>
  <c r="P394" i="7"/>
  <c r="O394" i="7"/>
  <c r="L394" i="7"/>
  <c r="K394" i="7"/>
  <c r="V393" i="7"/>
  <c r="S393" i="7"/>
  <c r="P393" i="7"/>
  <c r="O393" i="7"/>
  <c r="L393" i="7"/>
  <c r="K393" i="7"/>
  <c r="V392" i="7"/>
  <c r="S392" i="7"/>
  <c r="P392" i="7"/>
  <c r="O392" i="7"/>
  <c r="L392" i="7"/>
  <c r="K392" i="7"/>
  <c r="V391" i="7"/>
  <c r="S391" i="7"/>
  <c r="P391" i="7"/>
  <c r="O391" i="7"/>
  <c r="L391" i="7"/>
  <c r="K391" i="7"/>
  <c r="V390" i="7"/>
  <c r="S390" i="7"/>
  <c r="P390" i="7"/>
  <c r="O390" i="7"/>
  <c r="L390" i="7"/>
  <c r="K390" i="7"/>
  <c r="V389" i="7"/>
  <c r="S389" i="7"/>
  <c r="P389" i="7"/>
  <c r="O389" i="7"/>
  <c r="L389" i="7"/>
  <c r="K389" i="7"/>
  <c r="V388" i="7"/>
  <c r="S388" i="7"/>
  <c r="P388" i="7"/>
  <c r="O388" i="7"/>
  <c r="L388" i="7"/>
  <c r="K388" i="7"/>
  <c r="V387" i="7"/>
  <c r="S387" i="7"/>
  <c r="P387" i="7"/>
  <c r="O387" i="7"/>
  <c r="L387" i="7"/>
  <c r="K387" i="7"/>
  <c r="V386" i="7"/>
  <c r="S386" i="7"/>
  <c r="P386" i="7"/>
  <c r="O386" i="7"/>
  <c r="L386" i="7"/>
  <c r="K386" i="7"/>
  <c r="V385" i="7"/>
  <c r="S385" i="7"/>
  <c r="P385" i="7"/>
  <c r="O385" i="7"/>
  <c r="L385" i="7"/>
  <c r="K385" i="7"/>
  <c r="V384" i="7"/>
  <c r="S384" i="7"/>
  <c r="P384" i="7"/>
  <c r="O384" i="7"/>
  <c r="L384" i="7"/>
  <c r="K384" i="7"/>
  <c r="V383" i="7"/>
  <c r="S383" i="7"/>
  <c r="P383" i="7"/>
  <c r="O383" i="7"/>
  <c r="L383" i="7"/>
  <c r="K383" i="7"/>
  <c r="V382" i="7"/>
  <c r="S382" i="7"/>
  <c r="P382" i="7"/>
  <c r="O382" i="7"/>
  <c r="L382" i="7"/>
  <c r="K382" i="7"/>
  <c r="V381" i="7"/>
  <c r="S381" i="7"/>
  <c r="P381" i="7"/>
  <c r="O381" i="7"/>
  <c r="L381" i="7"/>
  <c r="K381" i="7"/>
  <c r="V380" i="7"/>
  <c r="S380" i="7"/>
  <c r="P380" i="7"/>
  <c r="O380" i="7"/>
  <c r="L380" i="7"/>
  <c r="K380" i="7"/>
  <c r="V379" i="7"/>
  <c r="S379" i="7"/>
  <c r="P379" i="7"/>
  <c r="O379" i="7"/>
  <c r="L379" i="7"/>
  <c r="K379" i="7"/>
  <c r="V378" i="7"/>
  <c r="S378" i="7"/>
  <c r="P378" i="7"/>
  <c r="O378" i="7"/>
  <c r="L378" i="7"/>
  <c r="K378" i="7"/>
  <c r="V377" i="7"/>
  <c r="S377" i="7"/>
  <c r="P377" i="7"/>
  <c r="O377" i="7"/>
  <c r="L377" i="7"/>
  <c r="K377" i="7"/>
  <c r="V376" i="7"/>
  <c r="S376" i="7"/>
  <c r="P376" i="7"/>
  <c r="O376" i="7"/>
  <c r="L376" i="7"/>
  <c r="K376" i="7"/>
  <c r="V375" i="7"/>
  <c r="S375" i="7"/>
  <c r="P375" i="7"/>
  <c r="O375" i="7"/>
  <c r="L375" i="7"/>
  <c r="K375" i="7"/>
  <c r="V374" i="7"/>
  <c r="S374" i="7"/>
  <c r="P374" i="7"/>
  <c r="O374" i="7"/>
  <c r="L374" i="7"/>
  <c r="K374" i="7"/>
  <c r="V373" i="7"/>
  <c r="S373" i="7"/>
  <c r="P373" i="7"/>
  <c r="O373" i="7"/>
  <c r="L373" i="7"/>
  <c r="K373" i="7"/>
  <c r="V372" i="7"/>
  <c r="S372" i="7"/>
  <c r="P372" i="7"/>
  <c r="O372" i="7"/>
  <c r="L372" i="7"/>
  <c r="K372" i="7"/>
  <c r="V371" i="7"/>
  <c r="S371" i="7"/>
  <c r="P371" i="7"/>
  <c r="O371" i="7"/>
  <c r="L371" i="7"/>
  <c r="K371" i="7"/>
  <c r="V370" i="7"/>
  <c r="S370" i="7"/>
  <c r="P370" i="7"/>
  <c r="O370" i="7"/>
  <c r="L370" i="7"/>
  <c r="K370" i="7"/>
  <c r="V369" i="7"/>
  <c r="S369" i="7"/>
  <c r="P369" i="7"/>
  <c r="O369" i="7"/>
  <c r="L369" i="7"/>
  <c r="K369" i="7"/>
  <c r="V368" i="7"/>
  <c r="S368" i="7"/>
  <c r="P368" i="7"/>
  <c r="O368" i="7"/>
  <c r="L368" i="7"/>
  <c r="K368" i="7"/>
  <c r="V367" i="7"/>
  <c r="S367" i="7"/>
  <c r="P367" i="7"/>
  <c r="O367" i="7"/>
  <c r="L367" i="7"/>
  <c r="K367" i="7"/>
  <c r="V366" i="7"/>
  <c r="S366" i="7"/>
  <c r="P366" i="7"/>
  <c r="O366" i="7"/>
  <c r="L366" i="7"/>
  <c r="K366" i="7"/>
  <c r="V365" i="7"/>
  <c r="S365" i="7"/>
  <c r="P365" i="7"/>
  <c r="O365" i="7"/>
  <c r="L365" i="7"/>
  <c r="K365" i="7"/>
  <c r="V364" i="7"/>
  <c r="S364" i="7"/>
  <c r="P364" i="7"/>
  <c r="O364" i="7"/>
  <c r="L364" i="7"/>
  <c r="K364" i="7"/>
  <c r="V363" i="7"/>
  <c r="S363" i="7"/>
  <c r="P363" i="7"/>
  <c r="O363" i="7"/>
  <c r="L363" i="7"/>
  <c r="K363" i="7"/>
  <c r="V362" i="7"/>
  <c r="S362" i="7"/>
  <c r="P362" i="7"/>
  <c r="O362" i="7"/>
  <c r="L362" i="7"/>
  <c r="K362" i="7"/>
  <c r="V361" i="7"/>
  <c r="S361" i="7"/>
  <c r="P361" i="7"/>
  <c r="O361" i="7"/>
  <c r="L361" i="7"/>
  <c r="K361" i="7"/>
  <c r="V360" i="7"/>
  <c r="S360" i="7"/>
  <c r="P360" i="7"/>
  <c r="O360" i="7"/>
  <c r="L360" i="7"/>
  <c r="K360" i="7"/>
  <c r="V358" i="7"/>
  <c r="S358" i="7"/>
  <c r="P358" i="7"/>
  <c r="O358" i="7"/>
  <c r="L358" i="7"/>
  <c r="K358" i="7"/>
  <c r="V357" i="7"/>
  <c r="S357" i="7"/>
  <c r="P357" i="7"/>
  <c r="O357" i="7"/>
  <c r="L357" i="7"/>
  <c r="K357" i="7"/>
  <c r="V356" i="7"/>
  <c r="S356" i="7"/>
  <c r="P356" i="7"/>
  <c r="O356" i="7"/>
  <c r="L356" i="7"/>
  <c r="K356" i="7"/>
  <c r="V355" i="7"/>
  <c r="S355" i="7"/>
  <c r="P355" i="7"/>
  <c r="O355" i="7"/>
  <c r="L355" i="7"/>
  <c r="K355" i="7"/>
  <c r="V354" i="7"/>
  <c r="S354" i="7"/>
  <c r="P354" i="7"/>
  <c r="O354" i="7"/>
  <c r="L354" i="7"/>
  <c r="K354" i="7"/>
  <c r="V353" i="7"/>
  <c r="S353" i="7"/>
  <c r="P353" i="7"/>
  <c r="O353" i="7"/>
  <c r="L353" i="7"/>
  <c r="K353" i="7"/>
  <c r="V352" i="7"/>
  <c r="S352" i="7"/>
  <c r="P352" i="7"/>
  <c r="O352" i="7"/>
  <c r="L352" i="7"/>
  <c r="K352" i="7"/>
  <c r="V351" i="7"/>
  <c r="S351" i="7"/>
  <c r="P351" i="7"/>
  <c r="O351" i="7"/>
  <c r="L351" i="7"/>
  <c r="K351" i="7"/>
  <c r="V350" i="7"/>
  <c r="S350" i="7"/>
  <c r="P350" i="7"/>
  <c r="O350" i="7"/>
  <c r="L350" i="7"/>
  <c r="K350" i="7"/>
  <c r="V349" i="7"/>
  <c r="S349" i="7"/>
  <c r="P349" i="7"/>
  <c r="O349" i="7"/>
  <c r="L349" i="7"/>
  <c r="K349" i="7"/>
  <c r="V348" i="7"/>
  <c r="S348" i="7"/>
  <c r="P348" i="7"/>
  <c r="O348" i="7"/>
  <c r="L348" i="7"/>
  <c r="K348" i="7"/>
  <c r="V347" i="7"/>
  <c r="S347" i="7"/>
  <c r="P347" i="7"/>
  <c r="O347" i="7"/>
  <c r="L347" i="7"/>
  <c r="K347" i="7"/>
  <c r="V346" i="7"/>
  <c r="S346" i="7"/>
  <c r="P346" i="7"/>
  <c r="O346" i="7"/>
  <c r="L346" i="7"/>
  <c r="K346" i="7"/>
  <c r="V345" i="7"/>
  <c r="S345" i="7"/>
  <c r="P345" i="7"/>
  <c r="O345" i="7"/>
  <c r="L345" i="7"/>
  <c r="K345" i="7"/>
  <c r="V344" i="7"/>
  <c r="S344" i="7"/>
  <c r="P344" i="7"/>
  <c r="O344" i="7"/>
  <c r="L344" i="7"/>
  <c r="K344" i="7"/>
  <c r="V343" i="7"/>
  <c r="S343" i="7"/>
  <c r="P343" i="7"/>
  <c r="O343" i="7"/>
  <c r="L343" i="7"/>
  <c r="K343" i="7"/>
  <c r="V342" i="7"/>
  <c r="S342" i="7"/>
  <c r="P342" i="7"/>
  <c r="O342" i="7"/>
  <c r="L342" i="7"/>
  <c r="K342" i="7"/>
  <c r="V341" i="7"/>
  <c r="S341" i="7"/>
  <c r="P341" i="7"/>
  <c r="O341" i="7"/>
  <c r="L341" i="7"/>
  <c r="K341" i="7"/>
  <c r="V340" i="7"/>
  <c r="S340" i="7"/>
  <c r="P340" i="7"/>
  <c r="O340" i="7"/>
  <c r="L340" i="7"/>
  <c r="K340" i="7"/>
  <c r="V339" i="7"/>
  <c r="S339" i="7"/>
  <c r="P339" i="7"/>
  <c r="O339" i="7"/>
  <c r="L339" i="7"/>
  <c r="K339" i="7"/>
  <c r="V338" i="7"/>
  <c r="S338" i="7"/>
  <c r="P338" i="7"/>
  <c r="O338" i="7"/>
  <c r="L338" i="7"/>
  <c r="K338" i="7"/>
  <c r="V337" i="7"/>
  <c r="S337" i="7"/>
  <c r="P337" i="7"/>
  <c r="O337" i="7"/>
  <c r="L337" i="7"/>
  <c r="K337" i="7"/>
  <c r="V336" i="7"/>
  <c r="S336" i="7"/>
  <c r="P336" i="7"/>
  <c r="O336" i="7"/>
  <c r="L336" i="7"/>
  <c r="K336" i="7"/>
  <c r="V335" i="7"/>
  <c r="S335" i="7"/>
  <c r="P335" i="7"/>
  <c r="O335" i="7"/>
  <c r="L335" i="7"/>
  <c r="K335" i="7"/>
  <c r="V334" i="7"/>
  <c r="S334" i="7"/>
  <c r="P334" i="7"/>
  <c r="O334" i="7"/>
  <c r="L334" i="7"/>
  <c r="K334" i="7"/>
  <c r="V333" i="7"/>
  <c r="S333" i="7"/>
  <c r="P333" i="7"/>
  <c r="O333" i="7"/>
  <c r="L333" i="7"/>
  <c r="K333" i="7"/>
  <c r="V332" i="7"/>
  <c r="S332" i="7"/>
  <c r="P332" i="7"/>
  <c r="O332" i="7"/>
  <c r="L332" i="7"/>
  <c r="K332" i="7"/>
  <c r="V331" i="7"/>
  <c r="S331" i="7"/>
  <c r="P331" i="7"/>
  <c r="O331" i="7"/>
  <c r="L331" i="7"/>
  <c r="K331" i="7"/>
  <c r="V330" i="7"/>
  <c r="S330" i="7"/>
  <c r="P330" i="7"/>
  <c r="O330" i="7"/>
  <c r="L330" i="7"/>
  <c r="K330" i="7"/>
  <c r="V329" i="7"/>
  <c r="S329" i="7"/>
  <c r="P329" i="7"/>
  <c r="O329" i="7"/>
  <c r="L329" i="7"/>
  <c r="K329" i="7"/>
  <c r="V328" i="7"/>
  <c r="S328" i="7"/>
  <c r="P328" i="7"/>
  <c r="O328" i="7"/>
  <c r="L328" i="7"/>
  <c r="K328" i="7"/>
  <c r="V327" i="7"/>
  <c r="S327" i="7"/>
  <c r="P327" i="7"/>
  <c r="O327" i="7"/>
  <c r="L327" i="7"/>
  <c r="K327" i="7"/>
  <c r="V326" i="7"/>
  <c r="S326" i="7"/>
  <c r="P326" i="7"/>
  <c r="O326" i="7"/>
  <c r="L326" i="7"/>
  <c r="K326" i="7"/>
  <c r="V325" i="7"/>
  <c r="S325" i="7"/>
  <c r="P325" i="7"/>
  <c r="O325" i="7"/>
  <c r="L325" i="7"/>
  <c r="K325" i="7"/>
  <c r="V324" i="7"/>
  <c r="S324" i="7"/>
  <c r="P324" i="7"/>
  <c r="O324" i="7"/>
  <c r="L324" i="7"/>
  <c r="K324" i="7"/>
  <c r="V323" i="7"/>
  <c r="S323" i="7"/>
  <c r="P323" i="7"/>
  <c r="O323" i="7"/>
  <c r="L323" i="7"/>
  <c r="K323" i="7"/>
  <c r="V322" i="7"/>
  <c r="R322" i="7"/>
  <c r="P322" i="7"/>
  <c r="O322" i="7"/>
  <c r="L322" i="7"/>
  <c r="K322" i="7"/>
  <c r="V321" i="7"/>
  <c r="S321" i="7"/>
  <c r="P321" i="7"/>
  <c r="O321" i="7"/>
  <c r="L321" i="7"/>
  <c r="K321" i="7"/>
  <c r="V320" i="7"/>
  <c r="S320" i="7"/>
  <c r="P320" i="7"/>
  <c r="O320" i="7"/>
  <c r="L320" i="7"/>
  <c r="K320" i="7"/>
  <c r="V319" i="7"/>
  <c r="S319" i="7"/>
  <c r="P319" i="7"/>
  <c r="O319" i="7"/>
  <c r="L319" i="7"/>
  <c r="K319" i="7"/>
  <c r="V318" i="7"/>
  <c r="S318" i="7"/>
  <c r="P318" i="7"/>
  <c r="O318" i="7"/>
  <c r="L318" i="7"/>
  <c r="K318" i="7"/>
  <c r="V317" i="7"/>
  <c r="S317" i="7"/>
  <c r="P317" i="7"/>
  <c r="O317" i="7"/>
  <c r="L317" i="7"/>
  <c r="K317" i="7"/>
  <c r="V316" i="7"/>
  <c r="S316" i="7"/>
  <c r="P316" i="7"/>
  <c r="O316" i="7"/>
  <c r="L316" i="7"/>
  <c r="K316" i="7"/>
  <c r="V315" i="7"/>
  <c r="S315" i="7"/>
  <c r="P315" i="7"/>
  <c r="O315" i="7"/>
  <c r="L315" i="7"/>
  <c r="K315" i="7"/>
  <c r="V314" i="7"/>
  <c r="S314" i="7"/>
  <c r="P314" i="7"/>
  <c r="O314" i="7"/>
  <c r="L314" i="7"/>
  <c r="K314" i="7"/>
  <c r="V313" i="7"/>
  <c r="S313" i="7"/>
  <c r="P313" i="7"/>
  <c r="O313" i="7"/>
  <c r="L313" i="7"/>
  <c r="K313" i="7"/>
  <c r="V312" i="7"/>
  <c r="S312" i="7"/>
  <c r="P312" i="7"/>
  <c r="O312" i="7"/>
  <c r="L312" i="7"/>
  <c r="K312" i="7"/>
  <c r="V311" i="7"/>
  <c r="S311" i="7"/>
  <c r="P311" i="7"/>
  <c r="O311" i="7"/>
  <c r="L311" i="7"/>
  <c r="K311" i="7"/>
  <c r="V310" i="7"/>
  <c r="S310" i="7"/>
  <c r="P310" i="7"/>
  <c r="O310" i="7"/>
  <c r="L310" i="7"/>
  <c r="K310" i="7"/>
  <c r="V309" i="7"/>
  <c r="S309" i="7"/>
  <c r="P309" i="7"/>
  <c r="O309" i="7"/>
  <c r="L309" i="7"/>
  <c r="K309" i="7"/>
  <c r="V308" i="7"/>
  <c r="S308" i="7"/>
  <c r="P308" i="7"/>
  <c r="O308" i="7"/>
  <c r="L308" i="7"/>
  <c r="K308" i="7"/>
  <c r="V307" i="7"/>
  <c r="S307" i="7"/>
  <c r="P307" i="7"/>
  <c r="O307" i="7"/>
  <c r="L307" i="7"/>
  <c r="K307" i="7"/>
  <c r="V306" i="7"/>
  <c r="S306" i="7"/>
  <c r="P306" i="7"/>
  <c r="O306" i="7"/>
  <c r="L306" i="7"/>
  <c r="K306" i="7"/>
  <c r="V305" i="7"/>
  <c r="S305" i="7"/>
  <c r="P305" i="7"/>
  <c r="O305" i="7"/>
  <c r="L305" i="7"/>
  <c r="K305" i="7"/>
  <c r="V304" i="7"/>
  <c r="S304" i="7"/>
  <c r="P304" i="7"/>
  <c r="O304" i="7"/>
  <c r="L304" i="7"/>
  <c r="K304" i="7"/>
  <c r="V303" i="7"/>
  <c r="S303" i="7"/>
  <c r="P303" i="7"/>
  <c r="O303" i="7"/>
  <c r="L303" i="7"/>
  <c r="K303" i="7"/>
  <c r="V302" i="7"/>
  <c r="S302" i="7"/>
  <c r="P302" i="7"/>
  <c r="O302" i="7"/>
  <c r="L302" i="7"/>
  <c r="K302" i="7"/>
  <c r="V301" i="7"/>
  <c r="S301" i="7"/>
  <c r="P301" i="7"/>
  <c r="O301" i="7"/>
  <c r="L301" i="7"/>
  <c r="K301" i="7"/>
  <c r="V300" i="7"/>
  <c r="S300" i="7"/>
  <c r="P300" i="7"/>
  <c r="O300" i="7"/>
  <c r="L300" i="7"/>
  <c r="K300" i="7"/>
  <c r="V299" i="7"/>
  <c r="S299" i="7"/>
  <c r="P299" i="7"/>
  <c r="O299" i="7"/>
  <c r="L299" i="7"/>
  <c r="K299" i="7"/>
  <c r="V298" i="7"/>
  <c r="S298" i="7"/>
  <c r="P298" i="7"/>
  <c r="O298" i="7"/>
  <c r="L298" i="7"/>
  <c r="K298" i="7"/>
  <c r="V297" i="7"/>
  <c r="S297" i="7"/>
  <c r="P297" i="7"/>
  <c r="O297" i="7"/>
  <c r="L297" i="7"/>
  <c r="K297" i="7"/>
  <c r="V296" i="7"/>
  <c r="S296" i="7"/>
  <c r="P296" i="7"/>
  <c r="O296" i="7"/>
  <c r="L296" i="7"/>
  <c r="K296" i="7"/>
  <c r="V295" i="7"/>
  <c r="S295" i="7"/>
  <c r="P295" i="7"/>
  <c r="O295" i="7"/>
  <c r="L295" i="7"/>
  <c r="K295" i="7"/>
  <c r="V294" i="7"/>
  <c r="S294" i="7"/>
  <c r="P294" i="7"/>
  <c r="O294" i="7"/>
  <c r="L294" i="7"/>
  <c r="K294" i="7"/>
  <c r="V293" i="7"/>
  <c r="S293" i="7"/>
  <c r="P293" i="7"/>
  <c r="O293" i="7"/>
  <c r="L293" i="7"/>
  <c r="K293" i="7"/>
  <c r="V292" i="7"/>
  <c r="S292" i="7"/>
  <c r="P292" i="7"/>
  <c r="O292" i="7"/>
  <c r="L292" i="7"/>
  <c r="K292" i="7"/>
  <c r="V291" i="7"/>
  <c r="S291" i="7"/>
  <c r="P291" i="7"/>
  <c r="O291" i="7"/>
  <c r="L291" i="7"/>
  <c r="K291" i="7"/>
  <c r="V290" i="7"/>
  <c r="S290" i="7"/>
  <c r="P290" i="7"/>
  <c r="O290" i="7"/>
  <c r="L290" i="7"/>
  <c r="K290" i="7"/>
  <c r="V289" i="7"/>
  <c r="S289" i="7"/>
  <c r="P289" i="7"/>
  <c r="O289" i="7"/>
  <c r="L289" i="7"/>
  <c r="K289" i="7"/>
  <c r="V288" i="7"/>
  <c r="S288" i="7"/>
  <c r="P288" i="7"/>
  <c r="O288" i="7"/>
  <c r="L288" i="7"/>
  <c r="K288" i="7"/>
  <c r="V287" i="7"/>
  <c r="S287" i="7"/>
  <c r="P287" i="7"/>
  <c r="O287" i="7"/>
  <c r="L287" i="7"/>
  <c r="K287" i="7"/>
  <c r="V286" i="7"/>
  <c r="S286" i="7"/>
  <c r="P286" i="7"/>
  <c r="O286" i="7"/>
  <c r="L286" i="7"/>
  <c r="K286" i="7"/>
  <c r="V285" i="7"/>
  <c r="S285" i="7"/>
  <c r="P285" i="7"/>
  <c r="O285" i="7"/>
  <c r="L285" i="7"/>
  <c r="K285" i="7"/>
  <c r="V284" i="7"/>
  <c r="S284" i="7"/>
  <c r="P284" i="7"/>
  <c r="O284" i="7"/>
  <c r="L284" i="7"/>
  <c r="K284" i="7"/>
  <c r="V283" i="7"/>
  <c r="S283" i="7"/>
  <c r="P283" i="7"/>
  <c r="O283" i="7"/>
  <c r="L283" i="7"/>
  <c r="K283" i="7"/>
  <c r="V282" i="7"/>
  <c r="S282" i="7"/>
  <c r="P282" i="7"/>
  <c r="O282" i="7"/>
  <c r="L282" i="7"/>
  <c r="K282" i="7"/>
  <c r="V281" i="7"/>
  <c r="S281" i="7"/>
  <c r="P281" i="7"/>
  <c r="O281" i="7"/>
  <c r="L281" i="7"/>
  <c r="K281" i="7"/>
  <c r="V280" i="7"/>
  <c r="S280" i="7"/>
  <c r="P280" i="7"/>
  <c r="O280" i="7"/>
  <c r="L280" i="7"/>
  <c r="K280" i="7"/>
  <c r="V279" i="7"/>
  <c r="S279" i="7"/>
  <c r="P279" i="7"/>
  <c r="O279" i="7"/>
  <c r="L279" i="7"/>
  <c r="K279" i="7"/>
  <c r="V278" i="7"/>
  <c r="S278" i="7"/>
  <c r="P278" i="7"/>
  <c r="O278" i="7"/>
  <c r="L278" i="7"/>
  <c r="K278" i="7"/>
  <c r="V277" i="7"/>
  <c r="S277" i="7"/>
  <c r="P277" i="7"/>
  <c r="O277" i="7"/>
  <c r="L277" i="7"/>
  <c r="K277" i="7"/>
  <c r="V276" i="7"/>
  <c r="S276" i="7"/>
  <c r="P276" i="7"/>
  <c r="O276" i="7"/>
  <c r="L276" i="7"/>
  <c r="K276" i="7"/>
  <c r="V275" i="7"/>
  <c r="S275" i="7"/>
  <c r="P275" i="7"/>
  <c r="O275" i="7"/>
  <c r="L275" i="7"/>
  <c r="K275" i="7"/>
  <c r="V274" i="7"/>
  <c r="S274" i="7"/>
  <c r="P274" i="7"/>
  <c r="O274" i="7"/>
  <c r="L274" i="7"/>
  <c r="K274" i="7"/>
  <c r="V273" i="7"/>
  <c r="S273" i="7"/>
  <c r="P273" i="7"/>
  <c r="O273" i="7"/>
  <c r="L273" i="7"/>
  <c r="K273" i="7"/>
  <c r="V272" i="7"/>
  <c r="S272" i="7"/>
  <c r="P272" i="7"/>
  <c r="O272" i="7"/>
  <c r="L272" i="7"/>
  <c r="K272" i="7"/>
  <c r="V271" i="7"/>
  <c r="S271" i="7"/>
  <c r="P271" i="7"/>
  <c r="O271" i="7"/>
  <c r="L271" i="7"/>
  <c r="K271" i="7"/>
  <c r="V270" i="7"/>
  <c r="S270" i="7"/>
  <c r="P270" i="7"/>
  <c r="O270" i="7"/>
  <c r="L270" i="7"/>
  <c r="K270" i="7"/>
  <c r="V269" i="7"/>
  <c r="S269" i="7"/>
  <c r="P269" i="7"/>
  <c r="O269" i="7"/>
  <c r="L269" i="7"/>
  <c r="K269" i="7"/>
  <c r="V268" i="7"/>
  <c r="S268" i="7"/>
  <c r="P268" i="7"/>
  <c r="O268" i="7"/>
  <c r="L268" i="7"/>
  <c r="K268" i="7"/>
  <c r="V267" i="7"/>
  <c r="S267" i="7"/>
  <c r="P267" i="7"/>
  <c r="O267" i="7"/>
  <c r="L267" i="7"/>
  <c r="K267" i="7"/>
  <c r="V266" i="7"/>
  <c r="S266" i="7"/>
  <c r="P266" i="7"/>
  <c r="O266" i="7"/>
  <c r="L266" i="7"/>
  <c r="K266" i="7"/>
  <c r="V265" i="7"/>
  <c r="S265" i="7"/>
  <c r="P265" i="7"/>
  <c r="O265" i="7"/>
  <c r="L265" i="7"/>
  <c r="K265" i="7"/>
  <c r="V264" i="7"/>
  <c r="S264" i="7"/>
  <c r="P264" i="7"/>
  <c r="O264" i="7"/>
  <c r="L264" i="7"/>
  <c r="K264" i="7"/>
  <c r="V263" i="7"/>
  <c r="S263" i="7"/>
  <c r="P263" i="7"/>
  <c r="O263" i="7"/>
  <c r="L263" i="7"/>
  <c r="K263" i="7"/>
  <c r="V262" i="7"/>
  <c r="S262" i="7"/>
  <c r="P262" i="7"/>
  <c r="O262" i="7"/>
  <c r="L262" i="7"/>
  <c r="K262" i="7"/>
  <c r="V261" i="7"/>
  <c r="S261" i="7"/>
  <c r="P261" i="7"/>
  <c r="O261" i="7"/>
  <c r="L261" i="7"/>
  <c r="K261" i="7"/>
  <c r="V260" i="7"/>
  <c r="S260" i="7"/>
  <c r="P260" i="7"/>
  <c r="O260" i="7"/>
  <c r="L260" i="7"/>
  <c r="K260" i="7"/>
  <c r="V259" i="7"/>
  <c r="S259" i="7"/>
  <c r="P259" i="7"/>
  <c r="O259" i="7"/>
  <c r="L259" i="7"/>
  <c r="K259" i="7"/>
  <c r="V258" i="7"/>
  <c r="S258" i="7"/>
  <c r="P258" i="7"/>
  <c r="O258" i="7"/>
  <c r="L258" i="7"/>
  <c r="K258" i="7"/>
  <c r="V257" i="7"/>
  <c r="S257" i="7"/>
  <c r="P257" i="7"/>
  <c r="O257" i="7"/>
  <c r="L257" i="7"/>
  <c r="K257" i="7"/>
  <c r="V256" i="7"/>
  <c r="S256" i="7"/>
  <c r="P256" i="7"/>
  <c r="O256" i="7"/>
  <c r="L256" i="7"/>
  <c r="K256" i="7"/>
  <c r="V255" i="7"/>
  <c r="S255" i="7"/>
  <c r="P255" i="7"/>
  <c r="O255" i="7"/>
  <c r="L255" i="7"/>
  <c r="K255" i="7"/>
  <c r="V254" i="7"/>
  <c r="S254" i="7"/>
  <c r="P254" i="7"/>
  <c r="O254" i="7"/>
  <c r="L254" i="7"/>
  <c r="K254" i="7"/>
  <c r="V253" i="7"/>
  <c r="S253" i="7"/>
  <c r="P253" i="7"/>
  <c r="O253" i="7"/>
  <c r="L253" i="7"/>
  <c r="K253" i="7"/>
  <c r="V252" i="7"/>
  <c r="S252" i="7"/>
  <c r="P252" i="7"/>
  <c r="O252" i="7"/>
  <c r="L252" i="7"/>
  <c r="K252" i="7"/>
  <c r="V251" i="7"/>
  <c r="S251" i="7"/>
  <c r="P251" i="7"/>
  <c r="O251" i="7"/>
  <c r="L251" i="7"/>
  <c r="K251" i="7"/>
  <c r="V250" i="7"/>
  <c r="S250" i="7"/>
  <c r="P250" i="7"/>
  <c r="O250" i="7"/>
  <c r="L250" i="7"/>
  <c r="K250" i="7"/>
  <c r="V249" i="7"/>
  <c r="S249" i="7"/>
  <c r="P249" i="7"/>
  <c r="O249" i="7"/>
  <c r="L249" i="7"/>
  <c r="K249" i="7"/>
  <c r="V248" i="7"/>
  <c r="S248" i="7"/>
  <c r="P248" i="7"/>
  <c r="O248" i="7"/>
  <c r="L248" i="7"/>
  <c r="K248" i="7"/>
  <c r="V247" i="7"/>
  <c r="S247" i="7"/>
  <c r="P247" i="7"/>
  <c r="O247" i="7"/>
  <c r="L247" i="7"/>
  <c r="K247" i="7"/>
  <c r="V246" i="7"/>
  <c r="S246" i="7"/>
  <c r="P246" i="7"/>
  <c r="O246" i="7"/>
  <c r="L246" i="7"/>
  <c r="K246" i="7"/>
  <c r="V245" i="7"/>
  <c r="S245" i="7"/>
  <c r="P245" i="7"/>
  <c r="O245" i="7"/>
  <c r="L245" i="7"/>
  <c r="K245" i="7"/>
  <c r="V244" i="7"/>
  <c r="S244" i="7"/>
  <c r="P244" i="7"/>
  <c r="O244" i="7"/>
  <c r="L244" i="7"/>
  <c r="K244" i="7"/>
  <c r="V243" i="7"/>
  <c r="S243" i="7"/>
  <c r="P243" i="7"/>
  <c r="O243" i="7"/>
  <c r="L243" i="7"/>
  <c r="K243" i="7"/>
  <c r="V242" i="7"/>
  <c r="S242" i="7"/>
  <c r="P242" i="7"/>
  <c r="O242" i="7"/>
  <c r="L242" i="7"/>
  <c r="K242" i="7"/>
  <c r="V241" i="7"/>
  <c r="S241" i="7"/>
  <c r="P241" i="7"/>
  <c r="O241" i="7"/>
  <c r="L241" i="7"/>
  <c r="K241" i="7"/>
  <c r="V240" i="7"/>
  <c r="S240" i="7"/>
  <c r="P240" i="7"/>
  <c r="O240" i="7"/>
  <c r="L240" i="7"/>
  <c r="K240" i="7"/>
  <c r="V239" i="7"/>
  <c r="S239" i="7"/>
  <c r="P239" i="7"/>
  <c r="O239" i="7"/>
  <c r="L239" i="7"/>
  <c r="K239" i="7"/>
  <c r="V238" i="7"/>
  <c r="S238" i="7"/>
  <c r="P238" i="7"/>
  <c r="O238" i="7"/>
  <c r="L238" i="7"/>
  <c r="K238" i="7"/>
  <c r="V237" i="7"/>
  <c r="S237" i="7"/>
  <c r="P237" i="7"/>
  <c r="O237" i="7"/>
  <c r="L237" i="7"/>
  <c r="K237" i="7"/>
  <c r="V236" i="7"/>
  <c r="S236" i="7"/>
  <c r="P236" i="7"/>
  <c r="O236" i="7"/>
  <c r="L236" i="7"/>
  <c r="K236" i="7"/>
  <c r="V235" i="7"/>
  <c r="S235" i="7"/>
  <c r="P235" i="7"/>
  <c r="O235" i="7"/>
  <c r="L235" i="7"/>
  <c r="K235" i="7"/>
  <c r="V234" i="7"/>
  <c r="S234" i="7"/>
  <c r="P234" i="7"/>
  <c r="O234" i="7"/>
  <c r="L234" i="7"/>
  <c r="K234" i="7"/>
  <c r="V233" i="7"/>
  <c r="S233" i="7"/>
  <c r="P233" i="7"/>
  <c r="O233" i="7"/>
  <c r="L233" i="7"/>
  <c r="K233" i="7"/>
  <c r="V232" i="7"/>
  <c r="S232" i="7"/>
  <c r="P232" i="7"/>
  <c r="O232" i="7"/>
  <c r="L232" i="7"/>
  <c r="K232" i="7"/>
  <c r="V231" i="7"/>
  <c r="S231" i="7"/>
  <c r="P231" i="7"/>
  <c r="O231" i="7"/>
  <c r="L231" i="7"/>
  <c r="K231" i="7"/>
  <c r="V230" i="7"/>
  <c r="S230" i="7"/>
  <c r="P230" i="7"/>
  <c r="O230" i="7"/>
  <c r="L230" i="7"/>
  <c r="K230" i="7"/>
  <c r="V229" i="7"/>
  <c r="S229" i="7"/>
  <c r="P229" i="7"/>
  <c r="O229" i="7"/>
  <c r="L229" i="7"/>
  <c r="K229" i="7"/>
  <c r="V228" i="7"/>
  <c r="S228" i="7"/>
  <c r="P228" i="7"/>
  <c r="O228" i="7"/>
  <c r="L228" i="7"/>
  <c r="K228" i="7"/>
  <c r="V227" i="7"/>
  <c r="S227" i="7"/>
  <c r="P227" i="7"/>
  <c r="O227" i="7"/>
  <c r="L227" i="7"/>
  <c r="K227" i="7"/>
  <c r="V226" i="7"/>
  <c r="S226" i="7"/>
  <c r="P226" i="7"/>
  <c r="O226" i="7"/>
  <c r="L226" i="7"/>
  <c r="K226" i="7"/>
  <c r="V225" i="7"/>
  <c r="S225" i="7"/>
  <c r="P225" i="7"/>
  <c r="O225" i="7"/>
  <c r="L225" i="7"/>
  <c r="K225" i="7"/>
  <c r="V224" i="7"/>
  <c r="S224" i="7"/>
  <c r="P224" i="7"/>
  <c r="O224" i="7"/>
  <c r="L224" i="7"/>
  <c r="K224" i="7"/>
  <c r="V223" i="7"/>
  <c r="S223" i="7"/>
  <c r="P223" i="7"/>
  <c r="O223" i="7"/>
  <c r="L223" i="7"/>
  <c r="K223" i="7"/>
  <c r="V222" i="7"/>
  <c r="S222" i="7"/>
  <c r="P222" i="7"/>
  <c r="O222" i="7"/>
  <c r="L222" i="7"/>
  <c r="K222" i="7"/>
  <c r="V221" i="7"/>
  <c r="S221" i="7"/>
  <c r="P221" i="7"/>
  <c r="O221" i="7"/>
  <c r="L221" i="7"/>
  <c r="K221" i="7"/>
  <c r="V220" i="7"/>
  <c r="S220" i="7"/>
  <c r="P220" i="7"/>
  <c r="O220" i="7"/>
  <c r="L220" i="7"/>
  <c r="K220" i="7"/>
  <c r="V219" i="7"/>
  <c r="S219" i="7"/>
  <c r="P219" i="7"/>
  <c r="O219" i="7"/>
  <c r="L219" i="7"/>
  <c r="K219" i="7"/>
  <c r="V218" i="7"/>
  <c r="S218" i="7"/>
  <c r="P218" i="7"/>
  <c r="O218" i="7"/>
  <c r="L218" i="7"/>
  <c r="K218" i="7"/>
  <c r="V217" i="7"/>
  <c r="S217" i="7"/>
  <c r="P217" i="7"/>
  <c r="O217" i="7"/>
  <c r="L217" i="7"/>
  <c r="K217" i="7"/>
  <c r="V216" i="7"/>
  <c r="S216" i="7"/>
  <c r="P216" i="7"/>
  <c r="O216" i="7"/>
  <c r="L216" i="7"/>
  <c r="K216" i="7"/>
  <c r="V215" i="7"/>
  <c r="S215" i="7"/>
  <c r="P215" i="7"/>
  <c r="O215" i="7"/>
  <c r="L215" i="7"/>
  <c r="K215" i="7"/>
  <c r="V214" i="7"/>
  <c r="S214" i="7"/>
  <c r="P214" i="7"/>
  <c r="O214" i="7"/>
  <c r="L214" i="7"/>
  <c r="K214" i="7"/>
  <c r="V213" i="7"/>
  <c r="S213" i="7"/>
  <c r="P213" i="7"/>
  <c r="O213" i="7"/>
  <c r="L213" i="7"/>
  <c r="K213" i="7"/>
  <c r="V212" i="7"/>
  <c r="S212" i="7"/>
  <c r="P212" i="7"/>
  <c r="O212" i="7"/>
  <c r="L212" i="7"/>
  <c r="K212" i="7"/>
  <c r="V211" i="7"/>
  <c r="S211" i="7"/>
  <c r="P211" i="7"/>
  <c r="O211" i="7"/>
  <c r="L211" i="7"/>
  <c r="K211" i="7"/>
  <c r="V210" i="7"/>
  <c r="S210" i="7"/>
  <c r="P210" i="7"/>
  <c r="O210" i="7"/>
  <c r="L210" i="7"/>
  <c r="K210" i="7"/>
  <c r="V209" i="7"/>
  <c r="S209" i="7"/>
  <c r="P209" i="7"/>
  <c r="O209" i="7"/>
  <c r="L209" i="7"/>
  <c r="K209" i="7"/>
  <c r="V208" i="7"/>
  <c r="S208" i="7"/>
  <c r="P208" i="7"/>
  <c r="O208" i="7"/>
  <c r="L208" i="7"/>
  <c r="K208" i="7"/>
  <c r="V207" i="7"/>
  <c r="S207" i="7"/>
  <c r="P207" i="7"/>
  <c r="O207" i="7"/>
  <c r="L207" i="7"/>
  <c r="K207" i="7"/>
  <c r="V206" i="7"/>
  <c r="S206" i="7"/>
  <c r="P206" i="7"/>
  <c r="O206" i="7"/>
  <c r="L206" i="7"/>
  <c r="K206" i="7"/>
  <c r="V205" i="7"/>
  <c r="S205" i="7"/>
  <c r="P205" i="7"/>
  <c r="O205" i="7"/>
  <c r="L205" i="7"/>
  <c r="K205" i="7"/>
  <c r="V204" i="7"/>
  <c r="S204" i="7"/>
  <c r="P204" i="7"/>
  <c r="O204" i="7"/>
  <c r="L204" i="7"/>
  <c r="K204" i="7"/>
  <c r="V203" i="7"/>
  <c r="S203" i="7"/>
  <c r="P203" i="7"/>
  <c r="O203" i="7"/>
  <c r="L203" i="7"/>
  <c r="K203" i="7"/>
  <c r="V202" i="7"/>
  <c r="S202" i="7"/>
  <c r="P202" i="7"/>
  <c r="O202" i="7"/>
  <c r="L202" i="7"/>
  <c r="K202" i="7"/>
  <c r="V201" i="7"/>
  <c r="S201" i="7"/>
  <c r="P201" i="7"/>
  <c r="O201" i="7"/>
  <c r="L201" i="7"/>
  <c r="K201" i="7"/>
  <c r="V200" i="7"/>
  <c r="S200" i="7"/>
  <c r="P200" i="7"/>
  <c r="O200" i="7"/>
  <c r="L200" i="7"/>
  <c r="K200" i="7"/>
  <c r="V199" i="7"/>
  <c r="S199" i="7"/>
  <c r="P199" i="7"/>
  <c r="O199" i="7"/>
  <c r="L199" i="7"/>
  <c r="K199" i="7"/>
  <c r="V198" i="7"/>
  <c r="S198" i="7"/>
  <c r="P198" i="7"/>
  <c r="O198" i="7"/>
  <c r="L198" i="7"/>
  <c r="K198" i="7"/>
  <c r="V197" i="7"/>
  <c r="S197" i="7"/>
  <c r="P197" i="7"/>
  <c r="O197" i="7"/>
  <c r="L197" i="7"/>
  <c r="K197" i="7"/>
  <c r="V196" i="7"/>
  <c r="S196" i="7"/>
  <c r="P196" i="7"/>
  <c r="O196" i="7"/>
  <c r="L196" i="7"/>
  <c r="K196" i="7"/>
  <c r="V195" i="7"/>
  <c r="S195" i="7"/>
  <c r="P195" i="7"/>
  <c r="O195" i="7"/>
  <c r="L195" i="7"/>
  <c r="K195" i="7"/>
  <c r="V194" i="7"/>
  <c r="S194" i="7"/>
  <c r="P194" i="7"/>
  <c r="O194" i="7"/>
  <c r="L194" i="7"/>
  <c r="K194" i="7"/>
  <c r="V193" i="7"/>
  <c r="S193" i="7"/>
  <c r="P193" i="7"/>
  <c r="O193" i="7"/>
  <c r="L193" i="7"/>
  <c r="K193" i="7"/>
  <c r="V192" i="7"/>
  <c r="S192" i="7"/>
  <c r="P192" i="7"/>
  <c r="O192" i="7"/>
  <c r="L192" i="7"/>
  <c r="K192" i="7"/>
  <c r="V191" i="7"/>
  <c r="S191" i="7"/>
  <c r="P191" i="7"/>
  <c r="O191" i="7"/>
  <c r="L191" i="7"/>
  <c r="K191" i="7"/>
  <c r="V190" i="7"/>
  <c r="S190" i="7"/>
  <c r="P190" i="7"/>
  <c r="O190" i="7"/>
  <c r="L190" i="7"/>
  <c r="K190" i="7"/>
  <c r="V189" i="7"/>
  <c r="S189" i="7"/>
  <c r="P189" i="7"/>
  <c r="O189" i="7"/>
  <c r="L189" i="7"/>
  <c r="K189" i="7"/>
  <c r="V188" i="7"/>
  <c r="S188" i="7"/>
  <c r="P188" i="7"/>
  <c r="O188" i="7"/>
  <c r="L188" i="7"/>
  <c r="K188" i="7"/>
  <c r="V187" i="7"/>
  <c r="S187" i="7"/>
  <c r="P187" i="7"/>
  <c r="O187" i="7"/>
  <c r="L187" i="7"/>
  <c r="K187" i="7"/>
  <c r="V186" i="7"/>
  <c r="S186" i="7"/>
  <c r="P186" i="7"/>
  <c r="O186" i="7"/>
  <c r="L186" i="7"/>
  <c r="K186" i="7"/>
  <c r="V185" i="7"/>
  <c r="S185" i="7"/>
  <c r="P185" i="7"/>
  <c r="O185" i="7"/>
  <c r="L185" i="7"/>
  <c r="K185" i="7"/>
  <c r="V184" i="7"/>
  <c r="S184" i="7"/>
  <c r="P184" i="7"/>
  <c r="O184" i="7"/>
  <c r="L184" i="7"/>
  <c r="K184" i="7"/>
  <c r="V183" i="7"/>
  <c r="S183" i="7"/>
  <c r="P183" i="7"/>
  <c r="O183" i="7"/>
  <c r="L183" i="7"/>
  <c r="K183" i="7"/>
  <c r="V182" i="7"/>
  <c r="S182" i="7"/>
  <c r="P182" i="7"/>
  <c r="O182" i="7"/>
  <c r="L182" i="7"/>
  <c r="K182" i="7"/>
  <c r="V181" i="7"/>
  <c r="S181" i="7"/>
  <c r="P181" i="7"/>
  <c r="O181" i="7"/>
  <c r="L181" i="7"/>
  <c r="K181" i="7"/>
  <c r="V180" i="7"/>
  <c r="S180" i="7"/>
  <c r="P180" i="7"/>
  <c r="O180" i="7"/>
  <c r="L180" i="7"/>
  <c r="K180" i="7"/>
  <c r="V179" i="7"/>
  <c r="S179" i="7"/>
  <c r="P179" i="7"/>
  <c r="O179" i="7"/>
  <c r="L179" i="7"/>
  <c r="K179" i="7"/>
  <c r="V178" i="7"/>
  <c r="S178" i="7"/>
  <c r="P178" i="7"/>
  <c r="O178" i="7"/>
  <c r="L178" i="7"/>
  <c r="K178" i="7"/>
  <c r="V177" i="7"/>
  <c r="S177" i="7"/>
  <c r="P177" i="7"/>
  <c r="O177" i="7"/>
  <c r="L177" i="7"/>
  <c r="K177" i="7"/>
  <c r="V176" i="7"/>
  <c r="S176" i="7"/>
  <c r="P176" i="7"/>
  <c r="O176" i="7"/>
  <c r="L176" i="7"/>
  <c r="K176" i="7"/>
  <c r="V175" i="7"/>
  <c r="S175" i="7"/>
  <c r="P175" i="7"/>
  <c r="O175" i="7"/>
  <c r="L175" i="7"/>
  <c r="K175" i="7"/>
  <c r="V174" i="7"/>
  <c r="S174" i="7"/>
  <c r="P174" i="7"/>
  <c r="O174" i="7"/>
  <c r="L174" i="7"/>
  <c r="K174" i="7"/>
  <c r="V173" i="7"/>
  <c r="S173" i="7"/>
  <c r="P173" i="7"/>
  <c r="O173" i="7"/>
  <c r="L173" i="7"/>
  <c r="K173" i="7"/>
  <c r="J169" i="7"/>
  <c r="I169" i="7"/>
  <c r="G169" i="7"/>
  <c r="F169" i="7"/>
  <c r="V160" i="7"/>
  <c r="R160" i="7"/>
  <c r="P160" i="7"/>
  <c r="O160" i="7"/>
  <c r="L160" i="7"/>
  <c r="K160" i="7"/>
  <c r="V159" i="7"/>
  <c r="R159" i="7"/>
  <c r="P159" i="7"/>
  <c r="O159" i="7"/>
  <c r="L159" i="7"/>
  <c r="K159" i="7"/>
  <c r="V158" i="7"/>
  <c r="R158" i="7"/>
  <c r="P158" i="7"/>
  <c r="O158" i="7"/>
  <c r="L158" i="7"/>
  <c r="K158" i="7"/>
  <c r="V157" i="7"/>
  <c r="R157" i="7"/>
  <c r="P157" i="7"/>
  <c r="O157" i="7"/>
  <c r="L157" i="7"/>
  <c r="K157" i="7"/>
  <c r="V156" i="7"/>
  <c r="R156" i="7"/>
  <c r="P156" i="7"/>
  <c r="O156" i="7"/>
  <c r="L156" i="7"/>
  <c r="K156" i="7"/>
  <c r="V155" i="7"/>
  <c r="R155" i="7"/>
  <c r="P155" i="7"/>
  <c r="O155" i="7"/>
  <c r="L155" i="7"/>
  <c r="K155" i="7"/>
  <c r="V154" i="7"/>
  <c r="R154" i="7"/>
  <c r="P154" i="7"/>
  <c r="O154" i="7"/>
  <c r="L154" i="7"/>
  <c r="K154" i="7"/>
  <c r="V153" i="7"/>
  <c r="R153" i="7"/>
  <c r="P153" i="7"/>
  <c r="O153" i="7"/>
  <c r="L153" i="7"/>
  <c r="K153" i="7"/>
  <c r="V152" i="7"/>
  <c r="R152" i="7"/>
  <c r="P152" i="7"/>
  <c r="O152" i="7"/>
  <c r="L152" i="7"/>
  <c r="K152" i="7"/>
  <c r="V151" i="7"/>
  <c r="R151" i="7"/>
  <c r="P151" i="7"/>
  <c r="O151" i="7"/>
  <c r="L151" i="7"/>
  <c r="K151" i="7"/>
  <c r="V150" i="7"/>
  <c r="R150" i="7"/>
  <c r="P150" i="7"/>
  <c r="O150" i="7"/>
  <c r="L150" i="7"/>
  <c r="K150" i="7"/>
  <c r="V149" i="7"/>
  <c r="R149" i="7"/>
  <c r="P149" i="7"/>
  <c r="O149" i="7"/>
  <c r="L149" i="7"/>
  <c r="K149" i="7"/>
  <c r="V148" i="7"/>
  <c r="R148" i="7"/>
  <c r="P148" i="7"/>
  <c r="O148" i="7"/>
  <c r="L148" i="7"/>
  <c r="K148" i="7"/>
  <c r="V147" i="7"/>
  <c r="R147" i="7"/>
  <c r="P147" i="7"/>
  <c r="O147" i="7"/>
  <c r="L147" i="7"/>
  <c r="K147" i="7"/>
  <c r="V146" i="7"/>
  <c r="R146" i="7"/>
  <c r="P146" i="7"/>
  <c r="O146" i="7"/>
  <c r="L146" i="7"/>
  <c r="K146" i="7"/>
  <c r="V145" i="7"/>
  <c r="R145" i="7"/>
  <c r="P145" i="7"/>
  <c r="O145" i="7"/>
  <c r="L145" i="7"/>
  <c r="K145" i="7"/>
  <c r="V144" i="7"/>
  <c r="R144" i="7"/>
  <c r="P144" i="7"/>
  <c r="O144" i="7"/>
  <c r="L144" i="7"/>
  <c r="K144" i="7"/>
  <c r="V143" i="7"/>
  <c r="R143" i="7"/>
  <c r="P143" i="7"/>
  <c r="O143" i="7"/>
  <c r="L143" i="7"/>
  <c r="K143" i="7"/>
  <c r="V142" i="7"/>
  <c r="R142" i="7"/>
  <c r="P142" i="7"/>
  <c r="O142" i="7"/>
  <c r="L142" i="7"/>
  <c r="K142" i="7"/>
  <c r="V141" i="7"/>
  <c r="R141" i="7"/>
  <c r="P141" i="7"/>
  <c r="O141" i="7"/>
  <c r="L141" i="7"/>
  <c r="K141" i="7"/>
  <c r="V140" i="7"/>
  <c r="R140" i="7"/>
  <c r="P140" i="7"/>
  <c r="O140" i="7"/>
  <c r="L140" i="7"/>
  <c r="K140" i="7"/>
  <c r="V139" i="7"/>
  <c r="R139" i="7"/>
  <c r="P139" i="7"/>
  <c r="O139" i="7"/>
  <c r="L139" i="7"/>
  <c r="K139" i="7"/>
  <c r="V138" i="7"/>
  <c r="R138" i="7"/>
  <c r="P138" i="7"/>
  <c r="O138" i="7"/>
  <c r="L138" i="7"/>
  <c r="K138" i="7"/>
  <c r="V137" i="7"/>
  <c r="R137" i="7"/>
  <c r="P137" i="7"/>
  <c r="O137" i="7"/>
  <c r="L137" i="7"/>
  <c r="K137" i="7"/>
  <c r="V136" i="7"/>
  <c r="R136" i="7"/>
  <c r="P136" i="7"/>
  <c r="O136" i="7"/>
  <c r="L136" i="7"/>
  <c r="K136" i="7"/>
  <c r="V135" i="7"/>
  <c r="R135" i="7"/>
  <c r="P135" i="7"/>
  <c r="O135" i="7"/>
  <c r="L135" i="7"/>
  <c r="K135" i="7"/>
  <c r="V134" i="7"/>
  <c r="R134" i="7"/>
  <c r="P134" i="7"/>
  <c r="O134" i="7"/>
  <c r="L134" i="7"/>
  <c r="K134" i="7"/>
  <c r="V133" i="7"/>
  <c r="R133" i="7"/>
  <c r="P133" i="7"/>
  <c r="O133" i="7"/>
  <c r="L133" i="7"/>
  <c r="K133" i="7"/>
  <c r="V132" i="7"/>
  <c r="R132" i="7"/>
  <c r="P132" i="7"/>
  <c r="O132" i="7"/>
  <c r="L132" i="7"/>
  <c r="K132" i="7"/>
  <c r="V131" i="7"/>
  <c r="R131" i="7"/>
  <c r="P131" i="7"/>
  <c r="O131" i="7"/>
  <c r="L131" i="7"/>
  <c r="K131" i="7"/>
  <c r="V130" i="7"/>
  <c r="R130" i="7"/>
  <c r="P130" i="7"/>
  <c r="O130" i="7"/>
  <c r="L130" i="7"/>
  <c r="K130" i="7"/>
  <c r="V129" i="7"/>
  <c r="R129" i="7"/>
  <c r="P129" i="7"/>
  <c r="O129" i="7"/>
  <c r="L129" i="7"/>
  <c r="K129" i="7"/>
  <c r="V128" i="7"/>
  <c r="R128" i="7"/>
  <c r="P128" i="7"/>
  <c r="O128" i="7"/>
  <c r="L128" i="7"/>
  <c r="K128" i="7"/>
  <c r="V127" i="7"/>
  <c r="R127" i="7"/>
  <c r="P127" i="7"/>
  <c r="O127" i="7"/>
  <c r="L127" i="7"/>
  <c r="K127" i="7"/>
  <c r="V126" i="7"/>
  <c r="R126" i="7"/>
  <c r="P126" i="7"/>
  <c r="O126" i="7"/>
  <c r="L126" i="7"/>
  <c r="K126" i="7"/>
  <c r="V125" i="7"/>
  <c r="R125" i="7"/>
  <c r="P125" i="7"/>
  <c r="O125" i="7"/>
  <c r="L125" i="7"/>
  <c r="K125" i="7"/>
  <c r="V124" i="7"/>
  <c r="R124" i="7"/>
  <c r="P124" i="7"/>
  <c r="O124" i="7"/>
  <c r="L124" i="7"/>
  <c r="K124" i="7"/>
  <c r="V123" i="7"/>
  <c r="R123" i="7"/>
  <c r="P123" i="7"/>
  <c r="O123" i="7"/>
  <c r="L123" i="7"/>
  <c r="K123" i="7"/>
  <c r="V122" i="7"/>
  <c r="R122" i="7"/>
  <c r="P122" i="7"/>
  <c r="O122" i="7"/>
  <c r="L122" i="7"/>
  <c r="K122" i="7"/>
  <c r="V121" i="7"/>
  <c r="R121" i="7"/>
  <c r="P121" i="7"/>
  <c r="O121" i="7"/>
  <c r="L121" i="7"/>
  <c r="K121" i="7"/>
  <c r="V120" i="7"/>
  <c r="R120" i="7"/>
  <c r="P120" i="7"/>
  <c r="O120" i="7"/>
  <c r="L120" i="7"/>
  <c r="K120" i="7"/>
  <c r="V119" i="7"/>
  <c r="R119" i="7"/>
  <c r="P119" i="7"/>
  <c r="O119" i="7"/>
  <c r="L119" i="7"/>
  <c r="K119" i="7"/>
  <c r="V118" i="7"/>
  <c r="R118" i="7"/>
  <c r="P118" i="7"/>
  <c r="O118" i="7"/>
  <c r="L118" i="7"/>
  <c r="K118" i="7"/>
  <c r="V117" i="7"/>
  <c r="R117" i="7"/>
  <c r="P117" i="7"/>
  <c r="O117" i="7"/>
  <c r="L117" i="7"/>
  <c r="K117" i="7"/>
  <c r="V116" i="7"/>
  <c r="R116" i="7"/>
  <c r="P116" i="7"/>
  <c r="O116" i="7"/>
  <c r="L116" i="7"/>
  <c r="K116" i="7"/>
  <c r="V115" i="7"/>
  <c r="R115" i="7"/>
  <c r="P115" i="7"/>
  <c r="O115" i="7"/>
  <c r="L115" i="7"/>
  <c r="K115" i="7"/>
  <c r="V114" i="7"/>
  <c r="R114" i="7"/>
  <c r="P114" i="7"/>
  <c r="O114" i="7"/>
  <c r="L114" i="7"/>
  <c r="K114" i="7"/>
  <c r="V113" i="7"/>
  <c r="R113" i="7"/>
  <c r="P113" i="7"/>
  <c r="O113" i="7"/>
  <c r="L113" i="7"/>
  <c r="K113" i="7"/>
  <c r="V112" i="7"/>
  <c r="R112" i="7"/>
  <c r="P112" i="7"/>
  <c r="O112" i="7"/>
  <c r="L112" i="7"/>
  <c r="K112" i="7"/>
  <c r="V111" i="7"/>
  <c r="R111" i="7"/>
  <c r="P111" i="7"/>
  <c r="O111" i="7"/>
  <c r="L111" i="7"/>
  <c r="K111" i="7"/>
  <c r="V110" i="7"/>
  <c r="R110" i="7"/>
  <c r="P110" i="7"/>
  <c r="O110" i="7"/>
  <c r="L110" i="7"/>
  <c r="K110" i="7"/>
  <c r="V109" i="7"/>
  <c r="R109" i="7"/>
  <c r="P109" i="7"/>
  <c r="O109" i="7"/>
  <c r="L109" i="7"/>
  <c r="K109" i="7"/>
  <c r="V108" i="7"/>
  <c r="R108" i="7"/>
  <c r="P108" i="7"/>
  <c r="O108" i="7"/>
  <c r="L108" i="7"/>
  <c r="K108" i="7"/>
  <c r="V107" i="7"/>
  <c r="R107" i="7"/>
  <c r="P107" i="7"/>
  <c r="O107" i="7"/>
  <c r="L107" i="7"/>
  <c r="K107" i="7"/>
  <c r="V106" i="7"/>
  <c r="R106" i="7"/>
  <c r="P106" i="7"/>
  <c r="O106" i="7"/>
  <c r="L106" i="7"/>
  <c r="K106" i="7"/>
  <c r="V105" i="7"/>
  <c r="R105" i="7"/>
  <c r="P105" i="7"/>
  <c r="O105" i="7"/>
  <c r="L105" i="7"/>
  <c r="K105" i="7"/>
  <c r="V104" i="7"/>
  <c r="R104" i="7"/>
  <c r="P104" i="7"/>
  <c r="O104" i="7"/>
  <c r="L104" i="7"/>
  <c r="K104" i="7"/>
  <c r="V103" i="7"/>
  <c r="R103" i="7"/>
  <c r="P103" i="7"/>
  <c r="O103" i="7"/>
  <c r="L103" i="7"/>
  <c r="K103" i="7"/>
  <c r="V102" i="7"/>
  <c r="R102" i="7"/>
  <c r="P102" i="7"/>
  <c r="O102" i="7"/>
  <c r="L102" i="7"/>
  <c r="K102" i="7"/>
  <c r="V101" i="7"/>
  <c r="R101" i="7"/>
  <c r="P101" i="7"/>
  <c r="O101" i="7"/>
  <c r="L101" i="7"/>
  <c r="K101" i="7"/>
  <c r="V100" i="7"/>
  <c r="R100" i="7"/>
  <c r="P100" i="7"/>
  <c r="O100" i="7"/>
  <c r="L100" i="7"/>
  <c r="K100" i="7"/>
  <c r="V99" i="7"/>
  <c r="R99" i="7"/>
  <c r="P99" i="7"/>
  <c r="O99" i="7"/>
  <c r="L99" i="7"/>
  <c r="K99" i="7"/>
  <c r="V98" i="7"/>
  <c r="R98" i="7"/>
  <c r="P98" i="7"/>
  <c r="O98" i="7"/>
  <c r="L98" i="7"/>
  <c r="K98" i="7"/>
  <c r="V97" i="7"/>
  <c r="R97" i="7"/>
  <c r="P97" i="7"/>
  <c r="O97" i="7"/>
  <c r="L97" i="7"/>
  <c r="K97" i="7"/>
  <c r="V96" i="7"/>
  <c r="R96" i="7"/>
  <c r="P96" i="7"/>
  <c r="O96" i="7"/>
  <c r="L96" i="7"/>
  <c r="K96" i="7"/>
  <c r="V95" i="7"/>
  <c r="R95" i="7"/>
  <c r="P95" i="7"/>
  <c r="O95" i="7"/>
  <c r="L95" i="7"/>
  <c r="K95" i="7"/>
  <c r="V94" i="7"/>
  <c r="R94" i="7"/>
  <c r="P94" i="7"/>
  <c r="O94" i="7"/>
  <c r="L94" i="7"/>
  <c r="K94" i="7"/>
  <c r="V93" i="7"/>
  <c r="R93" i="7"/>
  <c r="P93" i="7"/>
  <c r="O93" i="7"/>
  <c r="L93" i="7"/>
  <c r="K93" i="7"/>
  <c r="V92" i="7"/>
  <c r="R92" i="7"/>
  <c r="P92" i="7"/>
  <c r="O92" i="7"/>
  <c r="L92" i="7"/>
  <c r="K92" i="7"/>
  <c r="V91" i="7"/>
  <c r="R91" i="7"/>
  <c r="P91" i="7"/>
  <c r="O91" i="7"/>
  <c r="L91" i="7"/>
  <c r="K91" i="7"/>
  <c r="V90" i="7"/>
  <c r="R90" i="7"/>
  <c r="P90" i="7"/>
  <c r="O90" i="7"/>
  <c r="L90" i="7"/>
  <c r="K90" i="7"/>
  <c r="V89" i="7"/>
  <c r="R89" i="7"/>
  <c r="P89" i="7"/>
  <c r="O89" i="7"/>
  <c r="L89" i="7"/>
  <c r="K89" i="7"/>
  <c r="V88" i="7"/>
  <c r="R88" i="7"/>
  <c r="P88" i="7"/>
  <c r="O88" i="7"/>
  <c r="L88" i="7"/>
  <c r="K88" i="7"/>
  <c r="V87" i="7"/>
  <c r="R87" i="7"/>
  <c r="P87" i="7"/>
  <c r="O87" i="7"/>
  <c r="L87" i="7"/>
  <c r="K87" i="7"/>
  <c r="V86" i="7"/>
  <c r="R86" i="7"/>
  <c r="P86" i="7"/>
  <c r="O86" i="7"/>
  <c r="L86" i="7"/>
  <c r="K86" i="7"/>
  <c r="V85" i="7"/>
  <c r="R85" i="7"/>
  <c r="P85" i="7"/>
  <c r="O85" i="7"/>
  <c r="L85" i="7"/>
  <c r="K85" i="7"/>
  <c r="V84" i="7"/>
  <c r="R84" i="7"/>
  <c r="P84" i="7"/>
  <c r="O84" i="7"/>
  <c r="L84" i="7"/>
  <c r="K84" i="7"/>
  <c r="V83" i="7"/>
  <c r="R83" i="7"/>
  <c r="P83" i="7"/>
  <c r="O83" i="7"/>
  <c r="L83" i="7"/>
  <c r="K83" i="7"/>
  <c r="V82" i="7"/>
  <c r="R82" i="7"/>
  <c r="P82" i="7"/>
  <c r="O82" i="7"/>
  <c r="L82" i="7"/>
  <c r="K82" i="7"/>
  <c r="V81" i="7"/>
  <c r="R81" i="7"/>
  <c r="P81" i="7"/>
  <c r="O81" i="7"/>
  <c r="L81" i="7"/>
  <c r="K81" i="7"/>
  <c r="V80" i="7"/>
  <c r="R80" i="7"/>
  <c r="P80" i="7"/>
  <c r="O80" i="7"/>
  <c r="L80" i="7"/>
  <c r="K80" i="7"/>
  <c r="V79" i="7"/>
  <c r="R79" i="7"/>
  <c r="P79" i="7"/>
  <c r="O79" i="7"/>
  <c r="L79" i="7"/>
  <c r="K79" i="7"/>
  <c r="V78" i="7"/>
  <c r="R78" i="7"/>
  <c r="P78" i="7"/>
  <c r="O78" i="7"/>
  <c r="L78" i="7"/>
  <c r="K78" i="7"/>
  <c r="V77" i="7"/>
  <c r="R77" i="7"/>
  <c r="P77" i="7"/>
  <c r="O77" i="7"/>
  <c r="L77" i="7"/>
  <c r="K77" i="7"/>
  <c r="V76" i="7"/>
  <c r="R76" i="7"/>
  <c r="P76" i="7"/>
  <c r="O76" i="7"/>
  <c r="L76" i="7"/>
  <c r="K76" i="7"/>
  <c r="V75" i="7"/>
  <c r="R75" i="7"/>
  <c r="P75" i="7"/>
  <c r="O75" i="7"/>
  <c r="L75" i="7"/>
  <c r="K75" i="7"/>
  <c r="V74" i="7"/>
  <c r="R74" i="7"/>
  <c r="P74" i="7"/>
  <c r="O74" i="7"/>
  <c r="L74" i="7"/>
  <c r="K74" i="7"/>
  <c r="V73" i="7"/>
  <c r="R73" i="7"/>
  <c r="P73" i="7"/>
  <c r="O73" i="7"/>
  <c r="L73" i="7"/>
  <c r="K73" i="7"/>
  <c r="V72" i="7"/>
  <c r="R72" i="7"/>
  <c r="P72" i="7"/>
  <c r="O72" i="7"/>
  <c r="L72" i="7"/>
  <c r="K72" i="7"/>
  <c r="V71" i="7"/>
  <c r="R71" i="7"/>
  <c r="P71" i="7"/>
  <c r="O71" i="7"/>
  <c r="L71" i="7"/>
  <c r="K71" i="7"/>
  <c r="V70" i="7"/>
  <c r="R70" i="7"/>
  <c r="P70" i="7"/>
  <c r="O70" i="7"/>
  <c r="L70" i="7"/>
  <c r="K70" i="7"/>
  <c r="V69" i="7"/>
  <c r="R69" i="7"/>
  <c r="P69" i="7"/>
  <c r="O69" i="7"/>
  <c r="L69" i="7"/>
  <c r="K69" i="7"/>
  <c r="V68" i="7"/>
  <c r="R68" i="7"/>
  <c r="P68" i="7"/>
  <c r="O68" i="7"/>
  <c r="L68" i="7"/>
  <c r="K68" i="7"/>
  <c r="V67" i="7"/>
  <c r="R67" i="7"/>
  <c r="P67" i="7"/>
  <c r="O67" i="7"/>
  <c r="L67" i="7"/>
  <c r="K67" i="7"/>
  <c r="V66" i="7"/>
  <c r="R66" i="7"/>
  <c r="P66" i="7"/>
  <c r="O66" i="7"/>
  <c r="L66" i="7"/>
  <c r="K66" i="7"/>
  <c r="V65" i="7"/>
  <c r="R65" i="7"/>
  <c r="P65" i="7"/>
  <c r="O65" i="7"/>
  <c r="L65" i="7"/>
  <c r="K65" i="7"/>
  <c r="V64" i="7"/>
  <c r="R64" i="7"/>
  <c r="P64" i="7"/>
  <c r="O64" i="7"/>
  <c r="L64" i="7"/>
  <c r="K64" i="7"/>
  <c r="V63" i="7"/>
  <c r="R63" i="7"/>
  <c r="P63" i="7"/>
  <c r="O63" i="7"/>
  <c r="L63" i="7"/>
  <c r="K63" i="7"/>
  <c r="V62" i="7"/>
  <c r="R62" i="7"/>
  <c r="P62" i="7"/>
  <c r="O62" i="7"/>
  <c r="L62" i="7"/>
  <c r="K62" i="7"/>
  <c r="V61" i="7"/>
  <c r="R61" i="7"/>
  <c r="P61" i="7"/>
  <c r="O61" i="7"/>
  <c r="L61" i="7"/>
  <c r="K61" i="7"/>
  <c r="V60" i="7"/>
  <c r="R60" i="7"/>
  <c r="P60" i="7"/>
  <c r="O60" i="7"/>
  <c r="L60" i="7"/>
  <c r="K60" i="7"/>
  <c r="V59" i="7"/>
  <c r="R59" i="7"/>
  <c r="P59" i="7"/>
  <c r="O59" i="7"/>
  <c r="L59" i="7"/>
  <c r="K59" i="7"/>
  <c r="V58" i="7"/>
  <c r="R58" i="7"/>
  <c r="P58" i="7"/>
  <c r="O58" i="7"/>
  <c r="L58" i="7"/>
  <c r="K58" i="7"/>
  <c r="V57" i="7"/>
  <c r="R57" i="7"/>
  <c r="P57" i="7"/>
  <c r="O57" i="7"/>
  <c r="L57" i="7"/>
  <c r="K57" i="7"/>
  <c r="V56" i="7"/>
  <c r="R56" i="7"/>
  <c r="P56" i="7"/>
  <c r="O56" i="7"/>
  <c r="L56" i="7"/>
  <c r="K56" i="7"/>
  <c r="V55" i="7"/>
  <c r="R55" i="7"/>
  <c r="P55" i="7"/>
  <c r="O55" i="7"/>
  <c r="L55" i="7"/>
  <c r="K55" i="7"/>
  <c r="V54" i="7"/>
  <c r="R54" i="7"/>
  <c r="P54" i="7"/>
  <c r="O54" i="7"/>
  <c r="L54" i="7"/>
  <c r="K54" i="7"/>
  <c r="V53" i="7"/>
  <c r="R53" i="7"/>
  <c r="P53" i="7"/>
  <c r="O53" i="7"/>
  <c r="L53" i="7"/>
  <c r="K53" i="7"/>
  <c r="V52" i="7"/>
  <c r="R52" i="7"/>
  <c r="P52" i="7"/>
  <c r="O52" i="7"/>
  <c r="L52" i="7"/>
  <c r="K52" i="7"/>
  <c r="V51" i="7"/>
  <c r="R51" i="7"/>
  <c r="P51" i="7"/>
  <c r="O51" i="7"/>
  <c r="L51" i="7"/>
  <c r="K51" i="7"/>
  <c r="V50" i="7"/>
  <c r="R50" i="7"/>
  <c r="P50" i="7"/>
  <c r="O50" i="7"/>
  <c r="L50" i="7"/>
  <c r="K50" i="7"/>
  <c r="V49" i="7"/>
  <c r="R49" i="7"/>
  <c r="P49" i="7"/>
  <c r="O49" i="7"/>
  <c r="L49" i="7"/>
  <c r="K49" i="7"/>
  <c r="V48" i="7"/>
  <c r="R48" i="7"/>
  <c r="P48" i="7"/>
  <c r="O48" i="7"/>
  <c r="L48" i="7"/>
  <c r="K48" i="7"/>
  <c r="V47" i="7"/>
  <c r="R47" i="7"/>
  <c r="P47" i="7"/>
  <c r="O47" i="7"/>
  <c r="L47" i="7"/>
  <c r="K47" i="7"/>
  <c r="V46" i="7"/>
  <c r="R46" i="7"/>
  <c r="P46" i="7"/>
  <c r="O46" i="7"/>
  <c r="L46" i="7"/>
  <c r="K46" i="7"/>
  <c r="V45" i="7"/>
  <c r="R45" i="7"/>
  <c r="P45" i="7"/>
  <c r="O45" i="7"/>
  <c r="L45" i="7"/>
  <c r="K45" i="7"/>
  <c r="V44" i="7"/>
  <c r="R44" i="7"/>
  <c r="P44" i="7"/>
  <c r="O44" i="7"/>
  <c r="L44" i="7"/>
  <c r="K44" i="7"/>
  <c r="V43" i="7"/>
  <c r="R43" i="7"/>
  <c r="P43" i="7"/>
  <c r="O43" i="7"/>
  <c r="L43" i="7"/>
  <c r="K43" i="7"/>
  <c r="V42" i="7"/>
  <c r="R42" i="7"/>
  <c r="P42" i="7"/>
  <c r="O42" i="7"/>
  <c r="L42" i="7"/>
  <c r="K42" i="7"/>
  <c r="V41" i="7"/>
  <c r="R41" i="7"/>
  <c r="P41" i="7"/>
  <c r="O41" i="7"/>
  <c r="L41" i="7"/>
  <c r="K41" i="7"/>
  <c r="V40" i="7"/>
  <c r="R40" i="7"/>
  <c r="P40" i="7"/>
  <c r="O40" i="7"/>
  <c r="L40" i="7"/>
  <c r="K40" i="7"/>
  <c r="V39" i="7"/>
  <c r="R39" i="7"/>
  <c r="P39" i="7"/>
  <c r="O39" i="7"/>
  <c r="L39" i="7"/>
  <c r="K39" i="7"/>
  <c r="V38" i="7"/>
  <c r="R38" i="7"/>
  <c r="P38" i="7"/>
  <c r="O38" i="7"/>
  <c r="L38" i="7"/>
  <c r="K38" i="7"/>
  <c r="V37" i="7"/>
  <c r="R37" i="7"/>
  <c r="P37" i="7"/>
  <c r="O37" i="7"/>
  <c r="L37" i="7"/>
  <c r="K37" i="7"/>
  <c r="V36" i="7"/>
  <c r="R36" i="7"/>
  <c r="P36" i="7"/>
  <c r="O36" i="7"/>
  <c r="L36" i="7"/>
  <c r="K36" i="7"/>
  <c r="V35" i="7"/>
  <c r="R35" i="7"/>
  <c r="P35" i="7"/>
  <c r="O35" i="7"/>
  <c r="L35" i="7"/>
  <c r="K35" i="7"/>
  <c r="V34" i="7"/>
  <c r="R34" i="7"/>
  <c r="P34" i="7"/>
  <c r="O34" i="7"/>
  <c r="L34" i="7"/>
  <c r="K34" i="7"/>
  <c r="V33" i="7"/>
  <c r="R33" i="7"/>
  <c r="P33" i="7"/>
  <c r="O33" i="7"/>
  <c r="L33" i="7"/>
  <c r="K33" i="7"/>
  <c r="V32" i="7"/>
  <c r="R32" i="7"/>
  <c r="P32" i="7"/>
  <c r="O32" i="7"/>
  <c r="L32" i="7"/>
  <c r="K32" i="7"/>
  <c r="V31" i="7"/>
  <c r="R31" i="7"/>
  <c r="P31" i="7"/>
  <c r="O31" i="7"/>
  <c r="L31" i="7"/>
  <c r="K31" i="7"/>
  <c r="V30" i="7"/>
  <c r="R30" i="7"/>
  <c r="P30" i="7"/>
  <c r="O30" i="7"/>
  <c r="L30" i="7"/>
  <c r="K30" i="7"/>
  <c r="V29" i="7"/>
  <c r="R29" i="7"/>
  <c r="P29" i="7"/>
  <c r="O29" i="7"/>
  <c r="L29" i="7"/>
  <c r="K29" i="7"/>
  <c r="V28" i="7"/>
  <c r="R28" i="7"/>
  <c r="P28" i="7"/>
  <c r="O28" i="7"/>
  <c r="L28" i="7"/>
  <c r="K28" i="7"/>
  <c r="V27" i="7"/>
  <c r="R27" i="7"/>
  <c r="P27" i="7"/>
  <c r="O27" i="7"/>
  <c r="L27" i="7"/>
  <c r="K27" i="7"/>
  <c r="V26" i="7"/>
  <c r="R26" i="7"/>
  <c r="P26" i="7"/>
  <c r="O26" i="7"/>
  <c r="L26" i="7"/>
  <c r="K26" i="7"/>
  <c r="V25" i="7"/>
  <c r="R25" i="7"/>
  <c r="P25" i="7"/>
  <c r="O25" i="7"/>
  <c r="L25" i="7"/>
  <c r="K25" i="7"/>
  <c r="V24" i="7"/>
  <c r="R24" i="7"/>
  <c r="P24" i="7"/>
  <c r="O24" i="7"/>
  <c r="L24" i="7"/>
  <c r="K24" i="7"/>
  <c r="V23" i="7"/>
  <c r="R23" i="7"/>
  <c r="P23" i="7"/>
  <c r="O23" i="7"/>
  <c r="L23" i="7"/>
  <c r="K23" i="7"/>
  <c r="V22" i="7"/>
  <c r="R22" i="7"/>
  <c r="P22" i="7"/>
  <c r="O22" i="7"/>
  <c r="L22" i="7"/>
  <c r="K22" i="7"/>
  <c r="V21" i="7"/>
  <c r="R21" i="7"/>
  <c r="P21" i="7"/>
  <c r="O21" i="7"/>
  <c r="L21" i="7"/>
  <c r="K21" i="7"/>
  <c r="V20" i="7"/>
  <c r="R20" i="7"/>
  <c r="P20" i="7"/>
  <c r="O20" i="7"/>
  <c r="L20" i="7"/>
  <c r="K20" i="7"/>
  <c r="V19" i="7"/>
  <c r="R19" i="7"/>
  <c r="P19" i="7"/>
  <c r="O19" i="7"/>
  <c r="L19" i="7"/>
  <c r="K19" i="7"/>
  <c r="V18" i="7"/>
  <c r="R18" i="7"/>
  <c r="P18" i="7"/>
  <c r="O18" i="7"/>
  <c r="L18" i="7"/>
  <c r="K18" i="7"/>
  <c r="V17" i="7"/>
  <c r="R17" i="7"/>
  <c r="P17" i="7"/>
  <c r="O17" i="7"/>
  <c r="L17" i="7"/>
  <c r="K17" i="7"/>
  <c r="V16" i="7"/>
  <c r="R16" i="7"/>
  <c r="P16" i="7"/>
  <c r="O16" i="7"/>
  <c r="L16" i="7"/>
  <c r="K16" i="7"/>
  <c r="V15" i="7"/>
  <c r="R15" i="7"/>
  <c r="P15" i="7"/>
  <c r="O15" i="7"/>
  <c r="L15" i="7"/>
  <c r="K15" i="7"/>
  <c r="V14" i="7"/>
  <c r="R14" i="7"/>
  <c r="P14" i="7"/>
  <c r="O14" i="7"/>
  <c r="L14" i="7"/>
  <c r="K14" i="7"/>
  <c r="V13" i="7"/>
  <c r="R13" i="7"/>
  <c r="P13" i="7"/>
  <c r="O13" i="7"/>
  <c r="L13" i="7"/>
  <c r="K13" i="7"/>
  <c r="V12" i="7"/>
  <c r="R12" i="7"/>
  <c r="P12" i="7"/>
  <c r="O12" i="7"/>
  <c r="L12" i="7"/>
  <c r="K12" i="7"/>
  <c r="V11" i="7"/>
  <c r="R11" i="7"/>
  <c r="P11" i="7"/>
  <c r="O11" i="7"/>
  <c r="L11" i="7"/>
  <c r="K11" i="7"/>
  <c r="V10" i="7"/>
  <c r="R10" i="7"/>
  <c r="P10" i="7"/>
  <c r="O10" i="7"/>
  <c r="L10" i="7"/>
  <c r="K10" i="7"/>
  <c r="V9" i="7"/>
  <c r="R9" i="7"/>
  <c r="P9" i="7"/>
  <c r="O9" i="7"/>
  <c r="L9" i="7"/>
  <c r="K9" i="7"/>
  <c r="V8" i="7"/>
  <c r="R8" i="7"/>
  <c r="P8" i="7"/>
  <c r="O8" i="7"/>
  <c r="L8" i="7"/>
  <c r="K8" i="7"/>
  <c r="U3" i="7"/>
  <c r="R775" i="7"/>
  <c r="K580" i="7"/>
  <c r="V580" i="7"/>
  <c r="H579" i="7"/>
  <c r="H580" i="7"/>
  <c r="R777" i="7"/>
  <c r="R813" i="7"/>
  <c r="S154" i="7"/>
  <c r="R548" i="7"/>
  <c r="R559" i="7"/>
  <c r="S158" i="7"/>
  <c r="R520" i="7"/>
  <c r="R555" i="7"/>
  <c r="J827" i="7"/>
  <c r="J829" i="7"/>
  <c r="L825" i="7"/>
  <c r="V825" i="7"/>
  <c r="H824" i="7"/>
  <c r="Q434" i="7"/>
  <c r="G827" i="7"/>
  <c r="V817" i="7"/>
  <c r="S157" i="7"/>
  <c r="R547" i="7"/>
  <c r="R551" i="7"/>
  <c r="R554" i="7"/>
  <c r="R558" i="7"/>
  <c r="R776" i="7"/>
  <c r="S156" i="7"/>
  <c r="R546" i="7"/>
  <c r="R550" i="7"/>
  <c r="R553" i="7"/>
  <c r="R557" i="7"/>
  <c r="R552" i="7"/>
  <c r="R778" i="7"/>
  <c r="T778" i="7"/>
  <c r="U778" i="7"/>
  <c r="R779" i="7"/>
  <c r="T779" i="7"/>
  <c r="U779" i="7"/>
  <c r="S155" i="7"/>
  <c r="S159" i="7"/>
  <c r="R523" i="7"/>
  <c r="R549" i="7"/>
  <c r="R556" i="7"/>
  <c r="I827" i="7"/>
  <c r="Q745" i="7"/>
  <c r="Q21" i="7"/>
  <c r="Q23" i="7"/>
  <c r="Q27" i="7"/>
  <c r="Q29" i="7"/>
  <c r="Q37" i="7"/>
  <c r="Q47" i="7"/>
  <c r="Q49" i="7"/>
  <c r="Q61" i="7"/>
  <c r="Q520" i="7"/>
  <c r="Q523" i="7"/>
  <c r="Q559" i="7"/>
  <c r="T559" i="7"/>
  <c r="U559" i="7"/>
  <c r="Q584" i="7"/>
  <c r="Q606" i="7"/>
  <c r="Q747" i="7"/>
  <c r="Q753" i="7"/>
  <c r="V595" i="7"/>
  <c r="H594" i="7"/>
  <c r="H595" i="7"/>
  <c r="Q551" i="7"/>
  <c r="Q627" i="7"/>
  <c r="Q629" i="7"/>
  <c r="Q665" i="7"/>
  <c r="Q685" i="7"/>
  <c r="Q689" i="7"/>
  <c r="Q260" i="7"/>
  <c r="Q737" i="7"/>
  <c r="Q73" i="7"/>
  <c r="Q741" i="7"/>
  <c r="Q93" i="7"/>
  <c r="Q62" i="7"/>
  <c r="Q90" i="7"/>
  <c r="Q94" i="7"/>
  <c r="Q106" i="7"/>
  <c r="Q108" i="7"/>
  <c r="Q112" i="7"/>
  <c r="Q114" i="7"/>
  <c r="Q116" i="7"/>
  <c r="Q652" i="7"/>
  <c r="Q746" i="7"/>
  <c r="Q752" i="7"/>
  <c r="Q754" i="7"/>
  <c r="Q760" i="7"/>
  <c r="Q787" i="7"/>
  <c r="Q789" i="7"/>
  <c r="Q791" i="7"/>
  <c r="Q795" i="7"/>
  <c r="Q797" i="7"/>
  <c r="Q799" i="7"/>
  <c r="Q807" i="7"/>
  <c r="Q231" i="7"/>
  <c r="Q241" i="7"/>
  <c r="Q247" i="7"/>
  <c r="Q249" i="7"/>
  <c r="Q251" i="7"/>
  <c r="Q259" i="7"/>
  <c r="Q279" i="7"/>
  <c r="Q281" i="7"/>
  <c r="Q433" i="7"/>
  <c r="Q440" i="7"/>
  <c r="Q456" i="7"/>
  <c r="Q553" i="7"/>
  <c r="Q557" i="7"/>
  <c r="Q601" i="7"/>
  <c r="Q743" i="7"/>
  <c r="Q58" i="7"/>
  <c r="Q155" i="7"/>
  <c r="Q159" i="7"/>
  <c r="Q229" i="7"/>
  <c r="Q278" i="7"/>
  <c r="Q439" i="7"/>
  <c r="Q525" i="7"/>
  <c r="Q541" i="7"/>
  <c r="Q589" i="7"/>
  <c r="Q591" i="7"/>
  <c r="Q593" i="7"/>
  <c r="Q622" i="7"/>
  <c r="K622" i="7"/>
  <c r="L622" i="7"/>
  <c r="Q624" i="7"/>
  <c r="K624" i="7"/>
  <c r="L624" i="7"/>
  <c r="Q107" i="7"/>
  <c r="Q113" i="7"/>
  <c r="Q521" i="7"/>
  <c r="Q610" i="7"/>
  <c r="Q658" i="7"/>
  <c r="Q53" i="7"/>
  <c r="Q55" i="7"/>
  <c r="Q602" i="7"/>
  <c r="Q75" i="7"/>
  <c r="Q77" i="7"/>
  <c r="Q81" i="7"/>
  <c r="Q85" i="7"/>
  <c r="Q87" i="7"/>
  <c r="Q89" i="7"/>
  <c r="Q466" i="7"/>
  <c r="Q470" i="7"/>
  <c r="Q472" i="7"/>
  <c r="Q480" i="7"/>
  <c r="Q486" i="7"/>
  <c r="Q488" i="7"/>
  <c r="Q492" i="7"/>
  <c r="Q494" i="7"/>
  <c r="Q496" i="7"/>
  <c r="Q498" i="7"/>
  <c r="Q509" i="7"/>
  <c r="Q511" i="7"/>
  <c r="Q513" i="7"/>
  <c r="Q515" i="7"/>
  <c r="Q603" i="7"/>
  <c r="Q642" i="7"/>
  <c r="Q646" i="7"/>
  <c r="Q648" i="7"/>
  <c r="Q650" i="7"/>
  <c r="Q765" i="7"/>
  <c r="Q767" i="7"/>
  <c r="Q769" i="7"/>
  <c r="Q773" i="7"/>
  <c r="Q775" i="7"/>
  <c r="T775" i="7"/>
  <c r="U775" i="7"/>
  <c r="Q115" i="7"/>
  <c r="Q206" i="7"/>
  <c r="Q210" i="7"/>
  <c r="Q226" i="7"/>
  <c r="Q236" i="7"/>
  <c r="Q261" i="7"/>
  <c r="Q419" i="7"/>
  <c r="Q458" i="7"/>
  <c r="Q464" i="7"/>
  <c r="Q474" i="7"/>
  <c r="Q527" i="7"/>
  <c r="Q529" i="7"/>
  <c r="Q539" i="7"/>
  <c r="Q549" i="7"/>
  <c r="Q609" i="7"/>
  <c r="Q755" i="7"/>
  <c r="Q761" i="7"/>
  <c r="Q801" i="7"/>
  <c r="Q31" i="7"/>
  <c r="Q45" i="7"/>
  <c r="Q74" i="7"/>
  <c r="Q91" i="7"/>
  <c r="Q175" i="7"/>
  <c r="Q191" i="7"/>
  <c r="Q235" i="7"/>
  <c r="Q237" i="7"/>
  <c r="Q253" i="7"/>
  <c r="Q267" i="7"/>
  <c r="Q270" i="7"/>
  <c r="Q277" i="7"/>
  <c r="Q298" i="7"/>
  <c r="Q305" i="7"/>
  <c r="Q307" i="7"/>
  <c r="Q309" i="7"/>
  <c r="Q311" i="7"/>
  <c r="Q313" i="7"/>
  <c r="Q315" i="7"/>
  <c r="Q317" i="7"/>
  <c r="Q319" i="7"/>
  <c r="Q321" i="7"/>
  <c r="Q323" i="7"/>
  <c r="Q325" i="7"/>
  <c r="Q327" i="7"/>
  <c r="Q329" i="7"/>
  <c r="Q331" i="7"/>
  <c r="Q333" i="7"/>
  <c r="Q335" i="7"/>
  <c r="Q337" i="7"/>
  <c r="Q339" i="7"/>
  <c r="Q341" i="7"/>
  <c r="Q343" i="7"/>
  <c r="Q345" i="7"/>
  <c r="Q347" i="7"/>
  <c r="Q349" i="7"/>
  <c r="Q422" i="7"/>
  <c r="Q424" i="7"/>
  <c r="Q428" i="7"/>
  <c r="Q430" i="7"/>
  <c r="Q432" i="7"/>
  <c r="Q482" i="7"/>
  <c r="Q543" i="7"/>
  <c r="Q545" i="7"/>
  <c r="Q612" i="7"/>
  <c r="Q618" i="7"/>
  <c r="K618" i="7"/>
  <c r="L618" i="7"/>
  <c r="Q802" i="7"/>
  <c r="Q806" i="7"/>
  <c r="Q809" i="7"/>
  <c r="Q10" i="7"/>
  <c r="Q12" i="7"/>
  <c r="Q14" i="7"/>
  <c r="Q20" i="7"/>
  <c r="Q34" i="7"/>
  <c r="Q44" i="7"/>
  <c r="Q46" i="7"/>
  <c r="Q65" i="7"/>
  <c r="Q69" i="7"/>
  <c r="Q71" i="7"/>
  <c r="Q78" i="7"/>
  <c r="Q97" i="7"/>
  <c r="Q101" i="7"/>
  <c r="Q103" i="7"/>
  <c r="Q105" i="7"/>
  <c r="Q157" i="7"/>
  <c r="Q190" i="7"/>
  <c r="Q202" i="7"/>
  <c r="Q204" i="7"/>
  <c r="Q252" i="7"/>
  <c r="Q258" i="7"/>
  <c r="Q274" i="7"/>
  <c r="Q284" i="7"/>
  <c r="Q288" i="7"/>
  <c r="Q296" i="7"/>
  <c r="Q304" i="7"/>
  <c r="Q306" i="7"/>
  <c r="Q308" i="7"/>
  <c r="Q310" i="7"/>
  <c r="Q312" i="7"/>
  <c r="Q314" i="7"/>
  <c r="Q316" i="7"/>
  <c r="Q318" i="7"/>
  <c r="Q320" i="7"/>
  <c r="Q322" i="7"/>
  <c r="Q444" i="7"/>
  <c r="Q446" i="7"/>
  <c r="Q448" i="7"/>
  <c r="Q450" i="7"/>
  <c r="Q505" i="7"/>
  <c r="Q554" i="7"/>
  <c r="Q558" i="7"/>
  <c r="Q586" i="7"/>
  <c r="Q600" i="7"/>
  <c r="Q617" i="7"/>
  <c r="K617" i="7"/>
  <c r="L617" i="7"/>
  <c r="Q638" i="7"/>
  <c r="Q662" i="7"/>
  <c r="Q667" i="7"/>
  <c r="Q675" i="7"/>
  <c r="Q677" i="7"/>
  <c r="Q776" i="7"/>
  <c r="Q777" i="7"/>
  <c r="T777" i="7"/>
  <c r="U777" i="7"/>
  <c r="Q810" i="7"/>
  <c r="K825" i="7"/>
  <c r="Q821" i="7"/>
  <c r="S14" i="7"/>
  <c r="Q15" i="7"/>
  <c r="Q17" i="7"/>
  <c r="Q40" i="7"/>
  <c r="Q42" i="7"/>
  <c r="S43" i="7"/>
  <c r="S60" i="7"/>
  <c r="S70" i="7"/>
  <c r="S76" i="7"/>
  <c r="S86" i="7"/>
  <c r="S92" i="7"/>
  <c r="O580" i="7"/>
  <c r="Q199" i="7"/>
  <c r="Q201" i="7"/>
  <c r="Q203" i="7"/>
  <c r="Q205" i="7"/>
  <c r="Q209" i="7"/>
  <c r="Q215" i="7"/>
  <c r="Q217" i="7"/>
  <c r="Q227" i="7"/>
  <c r="Q243" i="7"/>
  <c r="S12" i="7"/>
  <c r="S19" i="7"/>
  <c r="S64" i="7"/>
  <c r="S74" i="7"/>
  <c r="S80" i="7"/>
  <c r="S96" i="7"/>
  <c r="Q13" i="7"/>
  <c r="Q26" i="7"/>
  <c r="S30" i="7"/>
  <c r="Q33" i="7"/>
  <c r="S35" i="7"/>
  <c r="Q36" i="7"/>
  <c r="S38" i="7"/>
  <c r="Q39" i="7"/>
  <c r="Q41" i="7"/>
  <c r="Q43" i="7"/>
  <c r="Q50" i="7"/>
  <c r="S54" i="7"/>
  <c r="S59" i="7"/>
  <c r="S66" i="7"/>
  <c r="Q67" i="7"/>
  <c r="Q70" i="7"/>
  <c r="S72" i="7"/>
  <c r="S82" i="7"/>
  <c r="Q83" i="7"/>
  <c r="Q86" i="7"/>
  <c r="S88" i="7"/>
  <c r="Q99" i="7"/>
  <c r="Q109" i="7"/>
  <c r="Q111" i="7"/>
  <c r="Q118" i="7"/>
  <c r="Q120" i="7"/>
  <c r="Q122" i="7"/>
  <c r="Q124" i="7"/>
  <c r="Q126" i="7"/>
  <c r="Q128" i="7"/>
  <c r="Q130" i="7"/>
  <c r="Q132" i="7"/>
  <c r="Q134" i="7"/>
  <c r="Q136" i="7"/>
  <c r="Q138" i="7"/>
  <c r="Q140" i="7"/>
  <c r="Q142" i="7"/>
  <c r="Q144" i="7"/>
  <c r="Q146" i="7"/>
  <c r="Q148" i="7"/>
  <c r="Q150" i="7"/>
  <c r="Q152" i="7"/>
  <c r="Q154" i="7"/>
  <c r="Q158" i="7"/>
  <c r="T158" i="7"/>
  <c r="U158" i="7"/>
  <c r="S112" i="7"/>
  <c r="R821" i="7"/>
  <c r="R593" i="7"/>
  <c r="S46" i="7"/>
  <c r="S90" i="7"/>
  <c r="S8" i="7"/>
  <c r="O169" i="7"/>
  <c r="Q9" i="7"/>
  <c r="S10" i="7"/>
  <c r="Q11" i="7"/>
  <c r="Q18" i="7"/>
  <c r="S22" i="7"/>
  <c r="S27" i="7"/>
  <c r="Q30" i="7"/>
  <c r="Q35" i="7"/>
  <c r="Q38" i="7"/>
  <c r="S51" i="7"/>
  <c r="Q52" i="7"/>
  <c r="Q59" i="7"/>
  <c r="S62" i="7"/>
  <c r="Q63" i="7"/>
  <c r="Q66" i="7"/>
  <c r="S68" i="7"/>
  <c r="S78" i="7"/>
  <c r="Q79" i="7"/>
  <c r="Q82" i="7"/>
  <c r="S84" i="7"/>
  <c r="S94" i="7"/>
  <c r="Q95" i="7"/>
  <c r="Q98" i="7"/>
  <c r="Q100" i="7"/>
  <c r="Q104" i="7"/>
  <c r="Q117" i="7"/>
  <c r="Q119" i="7"/>
  <c r="Q121" i="7"/>
  <c r="Q123" i="7"/>
  <c r="Q125" i="7"/>
  <c r="Q127" i="7"/>
  <c r="Q129" i="7"/>
  <c r="Q131" i="7"/>
  <c r="Q133" i="7"/>
  <c r="Q135" i="7"/>
  <c r="Q137" i="7"/>
  <c r="Q139" i="7"/>
  <c r="Q141" i="7"/>
  <c r="Q143" i="7"/>
  <c r="Q145" i="7"/>
  <c r="Q147" i="7"/>
  <c r="Q149" i="7"/>
  <c r="Q151" i="7"/>
  <c r="Q153" i="7"/>
  <c r="Q183" i="7"/>
  <c r="Q185" i="7"/>
  <c r="Q193" i="7"/>
  <c r="Q211" i="7"/>
  <c r="Q219" i="7"/>
  <c r="Q221" i="7"/>
  <c r="Q244" i="7"/>
  <c r="Q250" i="7"/>
  <c r="Q265" i="7"/>
  <c r="Q271" i="7"/>
  <c r="Q275" i="7"/>
  <c r="Q286" i="7"/>
  <c r="Q442" i="7"/>
  <c r="Q507" i="7"/>
  <c r="L595" i="7"/>
  <c r="Q608" i="7"/>
  <c r="Q611" i="7"/>
  <c r="Q620" i="7"/>
  <c r="Q640" i="7"/>
  <c r="Q660" i="7"/>
  <c r="Q679" i="7"/>
  <c r="Q681" i="7"/>
  <c r="Q691" i="7"/>
  <c r="Q693" i="7"/>
  <c r="Q695" i="7"/>
  <c r="Q697" i="7"/>
  <c r="Q699" i="7"/>
  <c r="Q701" i="7"/>
  <c r="Q703" i="7"/>
  <c r="Q705" i="7"/>
  <c r="Q707" i="7"/>
  <c r="Q709" i="7"/>
  <c r="Q711" i="7"/>
  <c r="Q713" i="7"/>
  <c r="Q715" i="7"/>
  <c r="Q717" i="7"/>
  <c r="Q719" i="7"/>
  <c r="Q721" i="7"/>
  <c r="Q723" i="7"/>
  <c r="Q725" i="7"/>
  <c r="Q727" i="7"/>
  <c r="Q729" i="7"/>
  <c r="Q731" i="7"/>
  <c r="Q733" i="7"/>
  <c r="Q735" i="7"/>
  <c r="Q763" i="7"/>
  <c r="Q230" i="7"/>
  <c r="Q234" i="7"/>
  <c r="Q239" i="7"/>
  <c r="Q242" i="7"/>
  <c r="Q245" i="7"/>
  <c r="Q255" i="7"/>
  <c r="Q257" i="7"/>
  <c r="Q264" i="7"/>
  <c r="Q266" i="7"/>
  <c r="Q285" i="7"/>
  <c r="Q290" i="7"/>
  <c r="Q292" i="7"/>
  <c r="Q423" i="7"/>
  <c r="Q426" i="7"/>
  <c r="Q441" i="7"/>
  <c r="Q454" i="7"/>
  <c r="Q476" i="7"/>
  <c r="Q478" i="7"/>
  <c r="Q490" i="7"/>
  <c r="Q519" i="7"/>
  <c r="Q533" i="7"/>
  <c r="Q537" i="7"/>
  <c r="Q605" i="7"/>
  <c r="Q619" i="7"/>
  <c r="K619" i="7"/>
  <c r="L619" i="7"/>
  <c r="Q625" i="7"/>
  <c r="K625" i="7"/>
  <c r="L625" i="7"/>
  <c r="Q641" i="7"/>
  <c r="Q644" i="7"/>
  <c r="Q678" i="7"/>
  <c r="Q702" i="7"/>
  <c r="Q704" i="7"/>
  <c r="Q706" i="7"/>
  <c r="Q708" i="7"/>
  <c r="Q710" i="7"/>
  <c r="Q712" i="7"/>
  <c r="Q714" i="7"/>
  <c r="Q716" i="7"/>
  <c r="Q718" i="7"/>
  <c r="Q720" i="7"/>
  <c r="Q722" i="7"/>
  <c r="Q724" i="7"/>
  <c r="Q726" i="7"/>
  <c r="Q728" i="7"/>
  <c r="Q730" i="7"/>
  <c r="Q732" i="7"/>
  <c r="Q734" i="7"/>
  <c r="Q736" i="7"/>
  <c r="Q739" i="7"/>
  <c r="Q749" i="7"/>
  <c r="Q751" i="7"/>
  <c r="Q762" i="7"/>
  <c r="Q768" i="7"/>
  <c r="Q771" i="7"/>
  <c r="Q790" i="7"/>
  <c r="Q793" i="7"/>
  <c r="Q803" i="7"/>
  <c r="Q805" i="7"/>
  <c r="Q289" i="7"/>
  <c r="Q303" i="7"/>
  <c r="Q425" i="7"/>
  <c r="Q438" i="7"/>
  <c r="Q460" i="7"/>
  <c r="Q462" i="7"/>
  <c r="Q503" i="7"/>
  <c r="Q614" i="7"/>
  <c r="Q616" i="7"/>
  <c r="K616" i="7"/>
  <c r="L616" i="7"/>
  <c r="Q630" i="7"/>
  <c r="Q632" i="7"/>
  <c r="Q636" i="7"/>
  <c r="K636" i="7"/>
  <c r="L636" i="7"/>
  <c r="Q656" i="7"/>
  <c r="Q673" i="7"/>
  <c r="Q738" i="7"/>
  <c r="Q744" i="7"/>
  <c r="Q757" i="7"/>
  <c r="Q759" i="7"/>
  <c r="Q770" i="7"/>
  <c r="Q794" i="7"/>
  <c r="Q798" i="7"/>
  <c r="Q811" i="7"/>
  <c r="Q813" i="7"/>
  <c r="T813" i="7"/>
  <c r="U813" i="7"/>
  <c r="Q820" i="7"/>
  <c r="H168" i="7"/>
  <c r="H169" i="7"/>
  <c r="Q182" i="7"/>
  <c r="Q24" i="7"/>
  <c r="Q56" i="7"/>
  <c r="Q156" i="7"/>
  <c r="Q160" i="7"/>
  <c r="Q177" i="7"/>
  <c r="Q179" i="7"/>
  <c r="Q181" i="7"/>
  <c r="Q187" i="7"/>
  <c r="Q189" i="7"/>
  <c r="Q283" i="7"/>
  <c r="Q294" i="7"/>
  <c r="Q16" i="7"/>
  <c r="Q48" i="7"/>
  <c r="Q184" i="7"/>
  <c r="Q19" i="7"/>
  <c r="Q22" i="7"/>
  <c r="Q25" i="7"/>
  <c r="Q28" i="7"/>
  <c r="Q32" i="7"/>
  <c r="Q51" i="7"/>
  <c r="Q54" i="7"/>
  <c r="Q57" i="7"/>
  <c r="Q60" i="7"/>
  <c r="Q64" i="7"/>
  <c r="Q68" i="7"/>
  <c r="Q72" i="7"/>
  <c r="Q76" i="7"/>
  <c r="Q80" i="7"/>
  <c r="Q84" i="7"/>
  <c r="Q88" i="7"/>
  <c r="Q92" i="7"/>
  <c r="Q96" i="7"/>
  <c r="Q102" i="7"/>
  <c r="Q110" i="7"/>
  <c r="Q174" i="7"/>
  <c r="Q176" i="7"/>
  <c r="Q178" i="7"/>
  <c r="Q180" i="7"/>
  <c r="Q186" i="7"/>
  <c r="Q188" i="7"/>
  <c r="Q192" i="7"/>
  <c r="Q208" i="7"/>
  <c r="Q212" i="7"/>
  <c r="Q218" i="7"/>
  <c r="Q220" i="7"/>
  <c r="Q299" i="7"/>
  <c r="Q669" i="7"/>
  <c r="Q194" i="7"/>
  <c r="Q196" i="7"/>
  <c r="Q198" i="7"/>
  <c r="Q200" i="7"/>
  <c r="Q214" i="7"/>
  <c r="Q216" i="7"/>
  <c r="Q222" i="7"/>
  <c r="Q224" i="7"/>
  <c r="Q228" i="7"/>
  <c r="Q232" i="7"/>
  <c r="Q238" i="7"/>
  <c r="Q246" i="7"/>
  <c r="Q254" i="7"/>
  <c r="Q269" i="7"/>
  <c r="Q273" i="7"/>
  <c r="Q282" i="7"/>
  <c r="Q293" i="7"/>
  <c r="Q301" i="7"/>
  <c r="Q350" i="7"/>
  <c r="Q352" i="7"/>
  <c r="Q354" i="7"/>
  <c r="Q356" i="7"/>
  <c r="Q358" i="7"/>
  <c r="Q361" i="7"/>
  <c r="Q363" i="7"/>
  <c r="Q365" i="7"/>
  <c r="Q367" i="7"/>
  <c r="Q369" i="7"/>
  <c r="Q371" i="7"/>
  <c r="Q373" i="7"/>
  <c r="Q375" i="7"/>
  <c r="Q377" i="7"/>
  <c r="Q379" i="7"/>
  <c r="Q381" i="7"/>
  <c r="Q383" i="7"/>
  <c r="Q385" i="7"/>
  <c r="Q387" i="7"/>
  <c r="Q389" i="7"/>
  <c r="Q391" i="7"/>
  <c r="Q531" i="7"/>
  <c r="Q195" i="7"/>
  <c r="Q197" i="7"/>
  <c r="Q207" i="7"/>
  <c r="Q213" i="7"/>
  <c r="Q223" i="7"/>
  <c r="Q225" i="7"/>
  <c r="Q233" i="7"/>
  <c r="Q240" i="7"/>
  <c r="Q248" i="7"/>
  <c r="Q256" i="7"/>
  <c r="Q272" i="7"/>
  <c r="Q297" i="7"/>
  <c r="Q300" i="7"/>
  <c r="Q408" i="7"/>
  <c r="Q410" i="7"/>
  <c r="Q412" i="7"/>
  <c r="Q414" i="7"/>
  <c r="Q416" i="7"/>
  <c r="Q418" i="7"/>
  <c r="Q420" i="7"/>
  <c r="Q431" i="7"/>
  <c r="Q436" i="7"/>
  <c r="Q452" i="7"/>
  <c r="Q468" i="7"/>
  <c r="Q484" i="7"/>
  <c r="Q500" i="7"/>
  <c r="Q517" i="7"/>
  <c r="Q548" i="7"/>
  <c r="T548" i="7"/>
  <c r="U548" i="7"/>
  <c r="Q555" i="7"/>
  <c r="Q654" i="7"/>
  <c r="Q683" i="7"/>
  <c r="Q427" i="7"/>
  <c r="Q435" i="7"/>
  <c r="Q522" i="7"/>
  <c r="Q535" i="7"/>
  <c r="Q547" i="7"/>
  <c r="Q552" i="7"/>
  <c r="S782" i="7"/>
  <c r="Q613" i="7"/>
  <c r="K613" i="7"/>
  <c r="L613" i="7"/>
  <c r="Q621" i="7"/>
  <c r="K621" i="7"/>
  <c r="L621" i="7"/>
  <c r="Q626" i="7"/>
  <c r="Q631" i="7"/>
  <c r="Q634" i="7"/>
  <c r="K634" i="7"/>
  <c r="L634" i="7"/>
  <c r="Q671" i="7"/>
  <c r="Q687" i="7"/>
  <c r="Q748" i="7"/>
  <c r="Q756" i="7"/>
  <c r="Q764" i="7"/>
  <c r="Q772" i="7"/>
  <c r="L817" i="7"/>
  <c r="Q792" i="7"/>
  <c r="Q800" i="7"/>
  <c r="Q808" i="7"/>
  <c r="Q393" i="7"/>
  <c r="Q395" i="7"/>
  <c r="Q397" i="7"/>
  <c r="Q399" i="7"/>
  <c r="Q401" i="7"/>
  <c r="Q403" i="7"/>
  <c r="Q405" i="7"/>
  <c r="Q407" i="7"/>
  <c r="Q409" i="7"/>
  <c r="Q411" i="7"/>
  <c r="Q413" i="7"/>
  <c r="Q415" i="7"/>
  <c r="Q417" i="7"/>
  <c r="Q421" i="7"/>
  <c r="Q429" i="7"/>
  <c r="Q437" i="7"/>
  <c r="Q550" i="7"/>
  <c r="Q556" i="7"/>
  <c r="S595" i="7"/>
  <c r="Q604" i="7"/>
  <c r="Q615" i="7"/>
  <c r="K615" i="7"/>
  <c r="L615" i="7"/>
  <c r="Q623" i="7"/>
  <c r="K623" i="7"/>
  <c r="L623" i="7"/>
  <c r="Q628" i="7"/>
  <c r="Q635" i="7"/>
  <c r="Q670" i="7"/>
  <c r="Q750" i="7"/>
  <c r="Q758" i="7"/>
  <c r="Q766" i="7"/>
  <c r="Q774" i="7"/>
  <c r="K817" i="7"/>
  <c r="P817" i="7"/>
  <c r="P825" i="7"/>
  <c r="Q788" i="7"/>
  <c r="Q796" i="7"/>
  <c r="Q804" i="7"/>
  <c r="Q812" i="7"/>
  <c r="R812" i="7"/>
  <c r="R810" i="7"/>
  <c r="R808" i="7"/>
  <c r="R806" i="7"/>
  <c r="R804" i="7"/>
  <c r="R802" i="7"/>
  <c r="R800" i="7"/>
  <c r="R798" i="7"/>
  <c r="R796" i="7"/>
  <c r="R794" i="7"/>
  <c r="R792" i="7"/>
  <c r="R790" i="7"/>
  <c r="R788" i="7"/>
  <c r="R786" i="7"/>
  <c r="R774" i="7"/>
  <c r="R772" i="7"/>
  <c r="R770" i="7"/>
  <c r="R768" i="7"/>
  <c r="R766" i="7"/>
  <c r="R764" i="7"/>
  <c r="R762" i="7"/>
  <c r="R760" i="7"/>
  <c r="R758" i="7"/>
  <c r="R756" i="7"/>
  <c r="R754" i="7"/>
  <c r="R752" i="7"/>
  <c r="R750" i="7"/>
  <c r="R748" i="7"/>
  <c r="R746" i="7"/>
  <c r="R744" i="7"/>
  <c r="R742" i="7"/>
  <c r="R740" i="7"/>
  <c r="R820" i="7"/>
  <c r="R811" i="7"/>
  <c r="R809" i="7"/>
  <c r="R807" i="7"/>
  <c r="R805" i="7"/>
  <c r="R803" i="7"/>
  <c r="R801" i="7"/>
  <c r="R799" i="7"/>
  <c r="R797" i="7"/>
  <c r="R795" i="7"/>
  <c r="R793" i="7"/>
  <c r="R791" i="7"/>
  <c r="R789" i="7"/>
  <c r="R787" i="7"/>
  <c r="R773" i="7"/>
  <c r="R771" i="7"/>
  <c r="R769" i="7"/>
  <c r="R767" i="7"/>
  <c r="R765" i="7"/>
  <c r="R763" i="7"/>
  <c r="R761" i="7"/>
  <c r="R759" i="7"/>
  <c r="R757" i="7"/>
  <c r="R755" i="7"/>
  <c r="R753" i="7"/>
  <c r="R751" i="7"/>
  <c r="R749" i="7"/>
  <c r="R747" i="7"/>
  <c r="R745" i="7"/>
  <c r="R743" i="7"/>
  <c r="R741" i="7"/>
  <c r="R739" i="7"/>
  <c r="R738" i="7"/>
  <c r="R735" i="7"/>
  <c r="R733" i="7"/>
  <c r="R731" i="7"/>
  <c r="R729" i="7"/>
  <c r="R727" i="7"/>
  <c r="R725" i="7"/>
  <c r="R723" i="7"/>
  <c r="R721" i="7"/>
  <c r="R719" i="7"/>
  <c r="R717" i="7"/>
  <c r="R715" i="7"/>
  <c r="R713" i="7"/>
  <c r="R711" i="7"/>
  <c r="R709" i="7"/>
  <c r="R707" i="7"/>
  <c r="R705" i="7"/>
  <c r="R703" i="7"/>
  <c r="R701" i="7"/>
  <c r="R737" i="7"/>
  <c r="R734" i="7"/>
  <c r="R730" i="7"/>
  <c r="R726" i="7"/>
  <c r="R722" i="7"/>
  <c r="R718" i="7"/>
  <c r="R714" i="7"/>
  <c r="R710" i="7"/>
  <c r="R706" i="7"/>
  <c r="R702" i="7"/>
  <c r="R688" i="7"/>
  <c r="R684" i="7"/>
  <c r="R736" i="7"/>
  <c r="R732" i="7"/>
  <c r="R728" i="7"/>
  <c r="R724" i="7"/>
  <c r="R720" i="7"/>
  <c r="R716" i="7"/>
  <c r="R712" i="7"/>
  <c r="R708" i="7"/>
  <c r="R704" i="7"/>
  <c r="R687" i="7"/>
  <c r="R683" i="7"/>
  <c r="R679" i="7"/>
  <c r="R675" i="7"/>
  <c r="R671" i="7"/>
  <c r="R667" i="7"/>
  <c r="R663" i="7"/>
  <c r="R661" i="7"/>
  <c r="R659" i="7"/>
  <c r="R657" i="7"/>
  <c r="R655" i="7"/>
  <c r="R653" i="7"/>
  <c r="R651" i="7"/>
  <c r="R649" i="7"/>
  <c r="R647" i="7"/>
  <c r="R645" i="7"/>
  <c r="R643" i="7"/>
  <c r="R700" i="7"/>
  <c r="R699" i="7"/>
  <c r="R698" i="7"/>
  <c r="R697" i="7"/>
  <c r="R696" i="7"/>
  <c r="R695" i="7"/>
  <c r="R694" i="7"/>
  <c r="R693" i="7"/>
  <c r="R692" i="7"/>
  <c r="R691" i="7"/>
  <c r="R690" i="7"/>
  <c r="R686" i="7"/>
  <c r="R682" i="7"/>
  <c r="R678" i="7"/>
  <c r="R674" i="7"/>
  <c r="R670" i="7"/>
  <c r="R666" i="7"/>
  <c r="R689" i="7"/>
  <c r="R681" i="7"/>
  <c r="R680" i="7"/>
  <c r="R673" i="7"/>
  <c r="R672" i="7"/>
  <c r="R665" i="7"/>
  <c r="R664" i="7"/>
  <c r="R642" i="7"/>
  <c r="R636" i="7"/>
  <c r="R632" i="7"/>
  <c r="R629" i="7"/>
  <c r="R627" i="7"/>
  <c r="R624" i="7"/>
  <c r="R622" i="7"/>
  <c r="R620" i="7"/>
  <c r="R618" i="7"/>
  <c r="R616" i="7"/>
  <c r="R614" i="7"/>
  <c r="R612" i="7"/>
  <c r="R611" i="7"/>
  <c r="R610" i="7"/>
  <c r="R641" i="7"/>
  <c r="R635" i="7"/>
  <c r="R631" i="7"/>
  <c r="R677" i="7"/>
  <c r="R676" i="7"/>
  <c r="R669" i="7"/>
  <c r="R668" i="7"/>
  <c r="R640" i="7"/>
  <c r="R638" i="7"/>
  <c r="R634" i="7"/>
  <c r="R630" i="7"/>
  <c r="R628" i="7"/>
  <c r="R626" i="7"/>
  <c r="R625" i="7"/>
  <c r="R623" i="7"/>
  <c r="R621" i="7"/>
  <c r="R619" i="7"/>
  <c r="R617" i="7"/>
  <c r="R615" i="7"/>
  <c r="R613" i="7"/>
  <c r="R607" i="7"/>
  <c r="R599" i="7"/>
  <c r="R592" i="7"/>
  <c r="R590" i="7"/>
  <c r="R588" i="7"/>
  <c r="R587" i="7"/>
  <c r="R585" i="7"/>
  <c r="R685" i="7"/>
  <c r="R662" i="7"/>
  <c r="R660" i="7"/>
  <c r="R658" i="7"/>
  <c r="R656" i="7"/>
  <c r="R654" i="7"/>
  <c r="R652" i="7"/>
  <c r="R650" i="7"/>
  <c r="R648" i="7"/>
  <c r="R646" i="7"/>
  <c r="R644" i="7"/>
  <c r="R639" i="7"/>
  <c r="R637" i="7"/>
  <c r="R633" i="7"/>
  <c r="R605" i="7"/>
  <c r="R602" i="7"/>
  <c r="R601" i="7"/>
  <c r="R608" i="7"/>
  <c r="R591" i="7"/>
  <c r="R589" i="7"/>
  <c r="R586" i="7"/>
  <c r="R584" i="7"/>
  <c r="R545" i="7"/>
  <c r="R541" i="7"/>
  <c r="R537" i="7"/>
  <c r="R533" i="7"/>
  <c r="R603" i="7"/>
  <c r="R600" i="7"/>
  <c r="R544" i="7"/>
  <c r="R540" i="7"/>
  <c r="R536" i="7"/>
  <c r="R532" i="7"/>
  <c r="R528" i="7"/>
  <c r="R609" i="7"/>
  <c r="R543" i="7"/>
  <c r="R539" i="7"/>
  <c r="R535" i="7"/>
  <c r="R531" i="7"/>
  <c r="R527" i="7"/>
  <c r="R524" i="7"/>
  <c r="R522" i="7"/>
  <c r="R518" i="7"/>
  <c r="R516" i="7"/>
  <c r="R514" i="7"/>
  <c r="R512" i="7"/>
  <c r="R510" i="7"/>
  <c r="R508" i="7"/>
  <c r="R506" i="7"/>
  <c r="R504" i="7"/>
  <c r="R501" i="7"/>
  <c r="R499" i="7"/>
  <c r="R497" i="7"/>
  <c r="R495" i="7"/>
  <c r="R493" i="7"/>
  <c r="R491" i="7"/>
  <c r="R489" i="7"/>
  <c r="R487" i="7"/>
  <c r="R485" i="7"/>
  <c r="R483" i="7"/>
  <c r="R481" i="7"/>
  <c r="R479" i="7"/>
  <c r="R477" i="7"/>
  <c r="R475" i="7"/>
  <c r="R473" i="7"/>
  <c r="R471" i="7"/>
  <c r="R469" i="7"/>
  <c r="R467" i="7"/>
  <c r="R465" i="7"/>
  <c r="R463" i="7"/>
  <c r="R461" i="7"/>
  <c r="R459" i="7"/>
  <c r="R457" i="7"/>
  <c r="R455" i="7"/>
  <c r="R453" i="7"/>
  <c r="R451" i="7"/>
  <c r="R449" i="7"/>
  <c r="R447" i="7"/>
  <c r="R445" i="7"/>
  <c r="R443" i="7"/>
  <c r="R606" i="7"/>
  <c r="R604" i="7"/>
  <c r="R542" i="7"/>
  <c r="R538" i="7"/>
  <c r="R534" i="7"/>
  <c r="R530" i="7"/>
  <c r="R526" i="7"/>
  <c r="R521" i="7"/>
  <c r="R519" i="7"/>
  <c r="R517" i="7"/>
  <c r="R515" i="7"/>
  <c r="R513" i="7"/>
  <c r="R511" i="7"/>
  <c r="R509" i="7"/>
  <c r="R507" i="7"/>
  <c r="R505" i="7"/>
  <c r="R503" i="7"/>
  <c r="R500" i="7"/>
  <c r="R498" i="7"/>
  <c r="R496" i="7"/>
  <c r="R494" i="7"/>
  <c r="R492" i="7"/>
  <c r="R490" i="7"/>
  <c r="R488" i="7"/>
  <c r="R486" i="7"/>
  <c r="R484" i="7"/>
  <c r="R482" i="7"/>
  <c r="R480" i="7"/>
  <c r="R478" i="7"/>
  <c r="R476" i="7"/>
  <c r="R474" i="7"/>
  <c r="R472" i="7"/>
  <c r="R470" i="7"/>
  <c r="R468" i="7"/>
  <c r="R466" i="7"/>
  <c r="R464" i="7"/>
  <c r="R462" i="7"/>
  <c r="R460" i="7"/>
  <c r="R458" i="7"/>
  <c r="R456" i="7"/>
  <c r="R454" i="7"/>
  <c r="R452" i="7"/>
  <c r="R450" i="7"/>
  <c r="R448" i="7"/>
  <c r="R446" i="7"/>
  <c r="R444" i="7"/>
  <c r="R442" i="7"/>
  <c r="R438" i="7"/>
  <c r="R434" i="7"/>
  <c r="R430" i="7"/>
  <c r="R426" i="7"/>
  <c r="R422" i="7"/>
  <c r="S322" i="7"/>
  <c r="R441" i="7"/>
  <c r="R437" i="7"/>
  <c r="R433" i="7"/>
  <c r="R429" i="7"/>
  <c r="R425" i="7"/>
  <c r="R421" i="7"/>
  <c r="R418" i="7"/>
  <c r="R416" i="7"/>
  <c r="R414" i="7"/>
  <c r="R412" i="7"/>
  <c r="R410" i="7"/>
  <c r="R408" i="7"/>
  <c r="R406" i="7"/>
  <c r="R525" i="7"/>
  <c r="R440" i="7"/>
  <c r="R436" i="7"/>
  <c r="R432" i="7"/>
  <c r="R428" i="7"/>
  <c r="R424" i="7"/>
  <c r="R420" i="7"/>
  <c r="R439" i="7"/>
  <c r="R423" i="7"/>
  <c r="R405" i="7"/>
  <c r="R404" i="7"/>
  <c r="R403" i="7"/>
  <c r="R402" i="7"/>
  <c r="R401" i="7"/>
  <c r="R400" i="7"/>
  <c r="R399" i="7"/>
  <c r="R398" i="7"/>
  <c r="R397" i="7"/>
  <c r="R396" i="7"/>
  <c r="R395" i="7"/>
  <c r="R394" i="7"/>
  <c r="R393" i="7"/>
  <c r="R392" i="7"/>
  <c r="R391" i="7"/>
  <c r="R390" i="7"/>
  <c r="R389" i="7"/>
  <c r="R388" i="7"/>
  <c r="R387" i="7"/>
  <c r="R386" i="7"/>
  <c r="R385" i="7"/>
  <c r="R384" i="7"/>
  <c r="R383" i="7"/>
  <c r="R382" i="7"/>
  <c r="R381" i="7"/>
  <c r="R380" i="7"/>
  <c r="R379" i="7"/>
  <c r="R378" i="7"/>
  <c r="R377" i="7"/>
  <c r="R376" i="7"/>
  <c r="R375" i="7"/>
  <c r="R374" i="7"/>
  <c r="R373" i="7"/>
  <c r="R372" i="7"/>
  <c r="R371" i="7"/>
  <c r="R370" i="7"/>
  <c r="R369" i="7"/>
  <c r="R368" i="7"/>
  <c r="R367" i="7"/>
  <c r="R366" i="7"/>
  <c r="R365" i="7"/>
  <c r="R364" i="7"/>
  <c r="R363" i="7"/>
  <c r="R362" i="7"/>
  <c r="R361" i="7"/>
  <c r="R360" i="7"/>
  <c r="R358" i="7"/>
  <c r="R357" i="7"/>
  <c r="R356" i="7"/>
  <c r="R355" i="7"/>
  <c r="R354" i="7"/>
  <c r="R353" i="7"/>
  <c r="R352" i="7"/>
  <c r="R351" i="7"/>
  <c r="R350" i="7"/>
  <c r="R302" i="7"/>
  <c r="R298" i="7"/>
  <c r="R295" i="7"/>
  <c r="R291" i="7"/>
  <c r="R287" i="7"/>
  <c r="R280" i="7"/>
  <c r="R276" i="7"/>
  <c r="R435" i="7"/>
  <c r="R419" i="7"/>
  <c r="R415" i="7"/>
  <c r="R411" i="7"/>
  <c r="R407" i="7"/>
  <c r="R301" i="7"/>
  <c r="R294" i="7"/>
  <c r="R290" i="7"/>
  <c r="R286" i="7"/>
  <c r="R283" i="7"/>
  <c r="R279" i="7"/>
  <c r="R273" i="7"/>
  <c r="R269" i="7"/>
  <c r="R529" i="7"/>
  <c r="R431" i="7"/>
  <c r="R321" i="7"/>
  <c r="R320" i="7"/>
  <c r="R319" i="7"/>
  <c r="R318" i="7"/>
  <c r="R317" i="7"/>
  <c r="R316" i="7"/>
  <c r="R315" i="7"/>
  <c r="R314" i="7"/>
  <c r="R313" i="7"/>
  <c r="R312" i="7"/>
  <c r="R311" i="7"/>
  <c r="R310" i="7"/>
  <c r="R309" i="7"/>
  <c r="R308" i="7"/>
  <c r="R307" i="7"/>
  <c r="R306" i="7"/>
  <c r="R305" i="7"/>
  <c r="R304" i="7"/>
  <c r="R300" i="7"/>
  <c r="R297" i="7"/>
  <c r="R293" i="7"/>
  <c r="R289" i="7"/>
  <c r="R285" i="7"/>
  <c r="R282" i="7"/>
  <c r="R278" i="7"/>
  <c r="R275" i="7"/>
  <c r="R272" i="7"/>
  <c r="R427" i="7"/>
  <c r="R417" i="7"/>
  <c r="R413" i="7"/>
  <c r="R409" i="7"/>
  <c r="R349" i="7"/>
  <c r="R348" i="7"/>
  <c r="R347" i="7"/>
  <c r="R346" i="7"/>
  <c r="R345" i="7"/>
  <c r="R344" i="7"/>
  <c r="R343" i="7"/>
  <c r="R342" i="7"/>
  <c r="R341" i="7"/>
  <c r="R340" i="7"/>
  <c r="R339" i="7"/>
  <c r="R338" i="7"/>
  <c r="R337" i="7"/>
  <c r="R336" i="7"/>
  <c r="R335" i="7"/>
  <c r="R334" i="7"/>
  <c r="R333" i="7"/>
  <c r="R332" i="7"/>
  <c r="R331" i="7"/>
  <c r="R330" i="7"/>
  <c r="R329" i="7"/>
  <c r="R328" i="7"/>
  <c r="R327" i="7"/>
  <c r="R326" i="7"/>
  <c r="R325" i="7"/>
  <c r="R324" i="7"/>
  <c r="R323" i="7"/>
  <c r="R303" i="7"/>
  <c r="R299" i="7"/>
  <c r="R296" i="7"/>
  <c r="R292" i="7"/>
  <c r="R288" i="7"/>
  <c r="R284" i="7"/>
  <c r="R281" i="7"/>
  <c r="R277" i="7"/>
  <c r="R274" i="7"/>
  <c r="R271" i="7"/>
  <c r="R268" i="7"/>
  <c r="R267" i="7"/>
  <c r="R266" i="7"/>
  <c r="R264" i="7"/>
  <c r="R263" i="7"/>
  <c r="R257" i="7"/>
  <c r="R253" i="7"/>
  <c r="R251" i="7"/>
  <c r="R249" i="7"/>
  <c r="R247" i="7"/>
  <c r="R245" i="7"/>
  <c r="R243" i="7"/>
  <c r="R241" i="7"/>
  <c r="R239" i="7"/>
  <c r="R236" i="7"/>
  <c r="R234" i="7"/>
  <c r="R231" i="7"/>
  <c r="R229" i="7"/>
  <c r="S153" i="7"/>
  <c r="S151" i="7"/>
  <c r="S149" i="7"/>
  <c r="S147" i="7"/>
  <c r="S145" i="7"/>
  <c r="S143" i="7"/>
  <c r="S141" i="7"/>
  <c r="S139" i="7"/>
  <c r="S137" i="7"/>
  <c r="S135" i="7"/>
  <c r="S133" i="7"/>
  <c r="S131" i="7"/>
  <c r="S129" i="7"/>
  <c r="S127" i="7"/>
  <c r="S125" i="7"/>
  <c r="S123" i="7"/>
  <c r="S121" i="7"/>
  <c r="S119" i="7"/>
  <c r="S117" i="7"/>
  <c r="S115" i="7"/>
  <c r="S113" i="7"/>
  <c r="S111" i="7"/>
  <c r="S109" i="7"/>
  <c r="S107" i="7"/>
  <c r="S105" i="7"/>
  <c r="S103" i="7"/>
  <c r="S101" i="7"/>
  <c r="S99" i="7"/>
  <c r="S97" i="7"/>
  <c r="S95" i="7"/>
  <c r="S93" i="7"/>
  <c r="T93" i="7"/>
  <c r="U93" i="7"/>
  <c r="S91" i="7"/>
  <c r="S89" i="7"/>
  <c r="S87" i="7"/>
  <c r="S85" i="7"/>
  <c r="S83" i="7"/>
  <c r="S81" i="7"/>
  <c r="S79" i="7"/>
  <c r="S77" i="7"/>
  <c r="S75" i="7"/>
  <c r="S73" i="7"/>
  <c r="S71" i="7"/>
  <c r="S69" i="7"/>
  <c r="S67" i="7"/>
  <c r="S65" i="7"/>
  <c r="S63" i="7"/>
  <c r="S61" i="7"/>
  <c r="R260" i="7"/>
  <c r="R256" i="7"/>
  <c r="R227" i="7"/>
  <c r="R225" i="7"/>
  <c r="R223" i="7"/>
  <c r="R220" i="7"/>
  <c r="R218" i="7"/>
  <c r="R217" i="7"/>
  <c r="R216" i="7"/>
  <c r="R213" i="7"/>
  <c r="R212" i="7"/>
  <c r="R208" i="7"/>
  <c r="R204" i="7"/>
  <c r="R202" i="7"/>
  <c r="R197" i="7"/>
  <c r="R195" i="7"/>
  <c r="R193" i="7"/>
  <c r="R192" i="7"/>
  <c r="R191" i="7"/>
  <c r="R190" i="7"/>
  <c r="R188" i="7"/>
  <c r="R185" i="7"/>
  <c r="R183" i="7"/>
  <c r="R180" i="7"/>
  <c r="R178" i="7"/>
  <c r="R176" i="7"/>
  <c r="R175" i="7"/>
  <c r="R173" i="7"/>
  <c r="R262" i="7"/>
  <c r="R259" i="7"/>
  <c r="R255" i="7"/>
  <c r="R252" i="7"/>
  <c r="R250" i="7"/>
  <c r="R248" i="7"/>
  <c r="R246" i="7"/>
  <c r="R244" i="7"/>
  <c r="R242" i="7"/>
  <c r="R240" i="7"/>
  <c r="R238" i="7"/>
  <c r="R237" i="7"/>
  <c r="R235" i="7"/>
  <c r="R233" i="7"/>
  <c r="R232" i="7"/>
  <c r="R230" i="7"/>
  <c r="S160" i="7"/>
  <c r="S152" i="7"/>
  <c r="S150" i="7"/>
  <c r="S148" i="7"/>
  <c r="S146" i="7"/>
  <c r="S144" i="7"/>
  <c r="S142" i="7"/>
  <c r="S140" i="7"/>
  <c r="S138" i="7"/>
  <c r="S136" i="7"/>
  <c r="S134" i="7"/>
  <c r="S132" i="7"/>
  <c r="S130" i="7"/>
  <c r="S128" i="7"/>
  <c r="S126" i="7"/>
  <c r="S124" i="7"/>
  <c r="S122" i="7"/>
  <c r="S120" i="7"/>
  <c r="S118" i="7"/>
  <c r="R270" i="7"/>
  <c r="R265" i="7"/>
  <c r="R261" i="7"/>
  <c r="R258" i="7"/>
  <c r="R254" i="7"/>
  <c r="R228" i="7"/>
  <c r="R226" i="7"/>
  <c r="R224" i="7"/>
  <c r="R222" i="7"/>
  <c r="R221" i="7"/>
  <c r="R219" i="7"/>
  <c r="R215" i="7"/>
  <c r="R214" i="7"/>
  <c r="R211" i="7"/>
  <c r="R210" i="7"/>
  <c r="R209" i="7"/>
  <c r="R207" i="7"/>
  <c r="R206" i="7"/>
  <c r="R205" i="7"/>
  <c r="R203" i="7"/>
  <c r="R201" i="7"/>
  <c r="R200" i="7"/>
  <c r="R199" i="7"/>
  <c r="R198" i="7"/>
  <c r="R196" i="7"/>
  <c r="R194" i="7"/>
  <c r="R189" i="7"/>
  <c r="R187" i="7"/>
  <c r="R186" i="7"/>
  <c r="R184" i="7"/>
  <c r="R182" i="7"/>
  <c r="R181" i="7"/>
  <c r="R179" i="7"/>
  <c r="R177" i="7"/>
  <c r="R174" i="7"/>
  <c r="S33" i="7"/>
  <c r="S49" i="7"/>
  <c r="S52" i="7"/>
  <c r="S57" i="7"/>
  <c r="S102" i="7"/>
  <c r="S110" i="7"/>
  <c r="S17" i="7"/>
  <c r="S25" i="7"/>
  <c r="S36" i="7"/>
  <c r="S41" i="7"/>
  <c r="Q8" i="7"/>
  <c r="S9" i="7"/>
  <c r="S11" i="7"/>
  <c r="S18" i="7"/>
  <c r="S26" i="7"/>
  <c r="S31" i="7"/>
  <c r="T31" i="7"/>
  <c r="U31" i="7"/>
  <c r="S34" i="7"/>
  <c r="T34" i="7"/>
  <c r="U34" i="7"/>
  <c r="S39" i="7"/>
  <c r="S42" i="7"/>
  <c r="S47" i="7"/>
  <c r="S50" i="7"/>
  <c r="S55" i="7"/>
  <c r="S58" i="7"/>
  <c r="S100" i="7"/>
  <c r="S108" i="7"/>
  <c r="S116" i="7"/>
  <c r="T116" i="7"/>
  <c r="U116" i="7"/>
  <c r="S104" i="7"/>
  <c r="P169" i="7"/>
  <c r="S20" i="7"/>
  <c r="S28" i="7"/>
  <c r="S44" i="7"/>
  <c r="K169" i="7"/>
  <c r="S13" i="7"/>
  <c r="S15" i="7"/>
  <c r="S23" i="7"/>
  <c r="L169" i="7"/>
  <c r="R169" i="7"/>
  <c r="V169" i="7"/>
  <c r="S16" i="7"/>
  <c r="S21" i="7"/>
  <c r="S24" i="7"/>
  <c r="S29" i="7"/>
  <c r="S32" i="7"/>
  <c r="S37" i="7"/>
  <c r="S40" i="7"/>
  <c r="S45" i="7"/>
  <c r="S48" i="7"/>
  <c r="S53" i="7"/>
  <c r="S56" i="7"/>
  <c r="S98" i="7"/>
  <c r="S106" i="7"/>
  <c r="T106" i="7"/>
  <c r="U106" i="7"/>
  <c r="S114" i="7"/>
  <c r="T114" i="7"/>
  <c r="U114" i="7"/>
  <c r="P580" i="7"/>
  <c r="Q173" i="7"/>
  <c r="Q263" i="7"/>
  <c r="Q262" i="7"/>
  <c r="Q276" i="7"/>
  <c r="Q280" i="7"/>
  <c r="Q287" i="7"/>
  <c r="Q291" i="7"/>
  <c r="Q295" i="7"/>
  <c r="Q302" i="7"/>
  <c r="Q351" i="7"/>
  <c r="Q353" i="7"/>
  <c r="Q355" i="7"/>
  <c r="Q357" i="7"/>
  <c r="Q360" i="7"/>
  <c r="Q362" i="7"/>
  <c r="Q364" i="7"/>
  <c r="Q366" i="7"/>
  <c r="Q368" i="7"/>
  <c r="Q370" i="7"/>
  <c r="Q372" i="7"/>
  <c r="Q374" i="7"/>
  <c r="Q376" i="7"/>
  <c r="Q378" i="7"/>
  <c r="Q380" i="7"/>
  <c r="Q382" i="7"/>
  <c r="Q384" i="7"/>
  <c r="Q386" i="7"/>
  <c r="Q388" i="7"/>
  <c r="Q390" i="7"/>
  <c r="Q392" i="7"/>
  <c r="Q394" i="7"/>
  <c r="Q396" i="7"/>
  <c r="Q398" i="7"/>
  <c r="Q400" i="7"/>
  <c r="Q402" i="7"/>
  <c r="Q404" i="7"/>
  <c r="Q406" i="7"/>
  <c r="Q268" i="7"/>
  <c r="Q324" i="7"/>
  <c r="Q326" i="7"/>
  <c r="Q328" i="7"/>
  <c r="Q330" i="7"/>
  <c r="Q332" i="7"/>
  <c r="Q334" i="7"/>
  <c r="Q336" i="7"/>
  <c r="Q338" i="7"/>
  <c r="Q340" i="7"/>
  <c r="Q342" i="7"/>
  <c r="Q344" i="7"/>
  <c r="Q346" i="7"/>
  <c r="Q348" i="7"/>
  <c r="Q443" i="7"/>
  <c r="Q445" i="7"/>
  <c r="Q447" i="7"/>
  <c r="Q449" i="7"/>
  <c r="Q451" i="7"/>
  <c r="Q453" i="7"/>
  <c r="Q455" i="7"/>
  <c r="Q457" i="7"/>
  <c r="Q459" i="7"/>
  <c r="Q461" i="7"/>
  <c r="Q463" i="7"/>
  <c r="Q465" i="7"/>
  <c r="Q467" i="7"/>
  <c r="Q469" i="7"/>
  <c r="Q471" i="7"/>
  <c r="Q473" i="7"/>
  <c r="Q475" i="7"/>
  <c r="Q477" i="7"/>
  <c r="Q479" i="7"/>
  <c r="Q481" i="7"/>
  <c r="Q483" i="7"/>
  <c r="Q485" i="7"/>
  <c r="Q487" i="7"/>
  <c r="Q489" i="7"/>
  <c r="Q491" i="7"/>
  <c r="Q493" i="7"/>
  <c r="Q495" i="7"/>
  <c r="Q497" i="7"/>
  <c r="Q499" i="7"/>
  <c r="Q501" i="7"/>
  <c r="Q504" i="7"/>
  <c r="Q506" i="7"/>
  <c r="Q508" i="7"/>
  <c r="Q510" i="7"/>
  <c r="Q512" i="7"/>
  <c r="Q514" i="7"/>
  <c r="Q516" i="7"/>
  <c r="Q518" i="7"/>
  <c r="Q524" i="7"/>
  <c r="Q528" i="7"/>
  <c r="Q532" i="7"/>
  <c r="Q536" i="7"/>
  <c r="Q540" i="7"/>
  <c r="Q544" i="7"/>
  <c r="O595" i="7"/>
  <c r="O782" i="7"/>
  <c r="Q599" i="7"/>
  <c r="P595" i="7"/>
  <c r="Q585" i="7"/>
  <c r="Q587" i="7"/>
  <c r="Q588" i="7"/>
  <c r="Q590" i="7"/>
  <c r="Q592" i="7"/>
  <c r="P782" i="7"/>
  <c r="Q607" i="7"/>
  <c r="Q526" i="7"/>
  <c r="Q530" i="7"/>
  <c r="Q534" i="7"/>
  <c r="Q538" i="7"/>
  <c r="Q542" i="7"/>
  <c r="Q546" i="7"/>
  <c r="F782" i="7"/>
  <c r="F827" i="7"/>
  <c r="V782" i="7"/>
  <c r="H781" i="7"/>
  <c r="Q666" i="7"/>
  <c r="Q674" i="7"/>
  <c r="Q682" i="7"/>
  <c r="Q633" i="7"/>
  <c r="K633" i="7"/>
  <c r="L633" i="7"/>
  <c r="Q637" i="7"/>
  <c r="Q639" i="7"/>
  <c r="Q643" i="7"/>
  <c r="Q645" i="7"/>
  <c r="Q647" i="7"/>
  <c r="Q649" i="7"/>
  <c r="Q651" i="7"/>
  <c r="Q653" i="7"/>
  <c r="Q655" i="7"/>
  <c r="Q657" i="7"/>
  <c r="Q659" i="7"/>
  <c r="Q661" i="7"/>
  <c r="Q663" i="7"/>
  <c r="Q664" i="7"/>
  <c r="Q668" i="7"/>
  <c r="Q672" i="7"/>
  <c r="Q676" i="7"/>
  <c r="Q680" i="7"/>
  <c r="Q684" i="7"/>
  <c r="Q688" i="7"/>
  <c r="Q686" i="7"/>
  <c r="Q690" i="7"/>
  <c r="Q692" i="7"/>
  <c r="Q694" i="7"/>
  <c r="Q696" i="7"/>
  <c r="Q698" i="7"/>
  <c r="Q700" i="7"/>
  <c r="O817" i="7"/>
  <c r="O825" i="7"/>
  <c r="Q786" i="7"/>
  <c r="Q740" i="7"/>
  <c r="Q742" i="7"/>
  <c r="S817" i="7"/>
  <c r="S825" i="7"/>
  <c r="H816" i="7"/>
  <c r="H817" i="7"/>
  <c r="T1820" i="1"/>
  <c r="H782" i="7"/>
  <c r="AC782" i="7"/>
  <c r="T520" i="7"/>
  <c r="T555" i="7"/>
  <c r="U555" i="7"/>
  <c r="T115" i="7"/>
  <c r="U115" i="7"/>
  <c r="T685" i="7"/>
  <c r="U685" i="7"/>
  <c r="T604" i="7"/>
  <c r="U604" i="7"/>
  <c r="T53" i="7"/>
  <c r="U53" i="7"/>
  <c r="T37" i="7"/>
  <c r="U37" i="7"/>
  <c r="T21" i="7"/>
  <c r="U21" i="7"/>
  <c r="T39" i="7"/>
  <c r="U39" i="7"/>
  <c r="T124" i="7"/>
  <c r="U124" i="7"/>
  <c r="T132" i="7"/>
  <c r="U132" i="7"/>
  <c r="T140" i="7"/>
  <c r="U140" i="7"/>
  <c r="T148" i="7"/>
  <c r="U148" i="7"/>
  <c r="T434" i="7"/>
  <c r="U434" i="7"/>
  <c r="T547" i="7"/>
  <c r="U547" i="7"/>
  <c r="T33" i="7"/>
  <c r="U33" i="7"/>
  <c r="T175" i="7"/>
  <c r="T329" i="7"/>
  <c r="U329" i="7"/>
  <c r="T337" i="7"/>
  <c r="U337" i="7"/>
  <c r="T345" i="7"/>
  <c r="U345" i="7"/>
  <c r="T69" i="7"/>
  <c r="U69" i="7"/>
  <c r="T101" i="7"/>
  <c r="U101" i="7"/>
  <c r="T624" i="7"/>
  <c r="U624" i="7"/>
  <c r="T183" i="7"/>
  <c r="U183" i="7"/>
  <c r="T111" i="7"/>
  <c r="U111" i="7"/>
  <c r="T279" i="7"/>
  <c r="U279" i="7"/>
  <c r="T104" i="7"/>
  <c r="U104" i="7"/>
  <c r="T123" i="7"/>
  <c r="U123" i="7"/>
  <c r="T131" i="7"/>
  <c r="U131" i="7"/>
  <c r="T139" i="7"/>
  <c r="U139" i="7"/>
  <c r="T147" i="7"/>
  <c r="U147" i="7"/>
  <c r="T247" i="7"/>
  <c r="U247" i="7"/>
  <c r="T741" i="7"/>
  <c r="U741" i="7"/>
  <c r="T155" i="7"/>
  <c r="U155" i="7"/>
  <c r="T229" i="7"/>
  <c r="U229" i="7"/>
  <c r="T586" i="7"/>
  <c r="U586" i="7"/>
  <c r="T107" i="7"/>
  <c r="U107" i="7"/>
  <c r="T541" i="7"/>
  <c r="U541" i="7"/>
  <c r="T551" i="7"/>
  <c r="U551" i="7"/>
  <c r="T58" i="7"/>
  <c r="U58" i="7"/>
  <c r="T306" i="7"/>
  <c r="U306" i="7"/>
  <c r="T314" i="7"/>
  <c r="U314" i="7"/>
  <c r="T440" i="7"/>
  <c r="U440" i="7"/>
  <c r="T644" i="7"/>
  <c r="U644" i="7"/>
  <c r="T617" i="7"/>
  <c r="U617" i="7"/>
  <c r="T523" i="7"/>
  <c r="U523" i="7"/>
  <c r="T527" i="7"/>
  <c r="U527" i="7"/>
  <c r="T419" i="7"/>
  <c r="U419" i="7"/>
  <c r="T480" i="7"/>
  <c r="U480" i="7"/>
  <c r="T521" i="7"/>
  <c r="U521" i="7"/>
  <c r="T745" i="7"/>
  <c r="U745" i="7"/>
  <c r="T797" i="7"/>
  <c r="U797" i="7"/>
  <c r="T746" i="7"/>
  <c r="U746" i="7"/>
  <c r="T9" i="7"/>
  <c r="U9" i="7"/>
  <c r="T219" i="7"/>
  <c r="U219" i="7"/>
  <c r="T202" i="7"/>
  <c r="U202" i="7"/>
  <c r="T10" i="7"/>
  <c r="U10" i="7"/>
  <c r="T593" i="7"/>
  <c r="U593" i="7"/>
  <c r="T226" i="7"/>
  <c r="U226" i="7"/>
  <c r="T259" i="7"/>
  <c r="U259" i="7"/>
  <c r="T89" i="7"/>
  <c r="U89" i="7"/>
  <c r="T525" i="7"/>
  <c r="U525" i="7"/>
  <c r="T665" i="7"/>
  <c r="U665" i="7"/>
  <c r="T74" i="7"/>
  <c r="U74" i="7"/>
  <c r="T29" i="7"/>
  <c r="U29" i="7"/>
  <c r="T15" i="7"/>
  <c r="U15" i="7"/>
  <c r="T270" i="7"/>
  <c r="U270" i="7"/>
  <c r="T237" i="7"/>
  <c r="U237" i="7"/>
  <c r="T61" i="7"/>
  <c r="U61" i="7"/>
  <c r="T77" i="7"/>
  <c r="U77" i="7"/>
  <c r="T241" i="7"/>
  <c r="U241" i="7"/>
  <c r="T322" i="7"/>
  <c r="U322" i="7"/>
  <c r="T494" i="7"/>
  <c r="U494" i="7"/>
  <c r="T511" i="7"/>
  <c r="U511" i="7"/>
  <c r="T606" i="7"/>
  <c r="U606" i="7"/>
  <c r="T767" i="7"/>
  <c r="U767" i="7"/>
  <c r="T787" i="7"/>
  <c r="U787" i="7"/>
  <c r="T550" i="7"/>
  <c r="U550" i="7"/>
  <c r="T94" i="7"/>
  <c r="U94" i="7"/>
  <c r="T558" i="7"/>
  <c r="U558" i="7"/>
  <c r="T43" i="7"/>
  <c r="U43" i="7"/>
  <c r="T157" i="7"/>
  <c r="U157" i="7"/>
  <c r="T305" i="7"/>
  <c r="U305" i="7"/>
  <c r="T313" i="7"/>
  <c r="U313" i="7"/>
  <c r="T321" i="7"/>
  <c r="U321" i="7"/>
  <c r="T618" i="7"/>
  <c r="U618" i="7"/>
  <c r="T424" i="7"/>
  <c r="U424" i="7"/>
  <c r="T407" i="7"/>
  <c r="U407" i="7"/>
  <c r="T399" i="7"/>
  <c r="U399" i="7"/>
  <c r="T468" i="7"/>
  <c r="U468" i="7"/>
  <c r="T656" i="7"/>
  <c r="U656" i="7"/>
  <c r="T757" i="7"/>
  <c r="U757" i="7"/>
  <c r="T752" i="7"/>
  <c r="U752" i="7"/>
  <c r="T456" i="7"/>
  <c r="U456" i="7"/>
  <c r="T543" i="7"/>
  <c r="U543" i="7"/>
  <c r="T789" i="7"/>
  <c r="U789" i="7"/>
  <c r="T776" i="7"/>
  <c r="U776" i="7"/>
  <c r="T553" i="7"/>
  <c r="U553" i="7"/>
  <c r="T689" i="7"/>
  <c r="U689" i="7"/>
  <c r="T556" i="7"/>
  <c r="U556" i="7"/>
  <c r="T156" i="7"/>
  <c r="U156" i="7"/>
  <c r="T557" i="7"/>
  <c r="U557" i="7"/>
  <c r="T109" i="7"/>
  <c r="U109" i="7"/>
  <c r="T258" i="7"/>
  <c r="U258" i="7"/>
  <c r="T191" i="7"/>
  <c r="U191" i="7"/>
  <c r="T227" i="7"/>
  <c r="U227" i="7"/>
  <c r="T87" i="7"/>
  <c r="U87" i="7"/>
  <c r="T284" i="7"/>
  <c r="U284" i="7"/>
  <c r="T299" i="7"/>
  <c r="U299" i="7"/>
  <c r="T298" i="7"/>
  <c r="U298" i="7"/>
  <c r="T422" i="7"/>
  <c r="U422" i="7"/>
  <c r="T448" i="7"/>
  <c r="U448" i="7"/>
  <c r="T472" i="7"/>
  <c r="U472" i="7"/>
  <c r="T603" i="7"/>
  <c r="U603" i="7"/>
  <c r="T612" i="7"/>
  <c r="U612" i="7"/>
  <c r="T42" i="7"/>
  <c r="U42" i="7"/>
  <c r="T199" i="7"/>
  <c r="U199" i="7"/>
  <c r="T205" i="7"/>
  <c r="U205" i="7"/>
  <c r="T65" i="7"/>
  <c r="U65" i="7"/>
  <c r="T97" i="7"/>
  <c r="U97" i="7"/>
  <c r="T311" i="7"/>
  <c r="U311" i="7"/>
  <c r="T319" i="7"/>
  <c r="U319" i="7"/>
  <c r="T80" i="7"/>
  <c r="U80" i="7"/>
  <c r="T70" i="7"/>
  <c r="U70" i="7"/>
  <c r="T46" i="7"/>
  <c r="U46" i="7"/>
  <c r="T14" i="7"/>
  <c r="U14" i="7"/>
  <c r="T20" i="7"/>
  <c r="U20" i="7"/>
  <c r="T50" i="7"/>
  <c r="U50" i="7"/>
  <c r="T122" i="7"/>
  <c r="U122" i="7"/>
  <c r="T130" i="7"/>
  <c r="U130" i="7"/>
  <c r="T138" i="7"/>
  <c r="U138" i="7"/>
  <c r="T146" i="7"/>
  <c r="U146" i="7"/>
  <c r="T235" i="7"/>
  <c r="U235" i="7"/>
  <c r="T67" i="7"/>
  <c r="U67" i="7"/>
  <c r="T75" i="7"/>
  <c r="U75" i="7"/>
  <c r="T83" i="7"/>
  <c r="U83" i="7"/>
  <c r="T91" i="7"/>
  <c r="U91" i="7"/>
  <c r="T327" i="7"/>
  <c r="U327" i="7"/>
  <c r="T335" i="7"/>
  <c r="U335" i="7"/>
  <c r="T343" i="7"/>
  <c r="U343" i="7"/>
  <c r="T304" i="7"/>
  <c r="U304" i="7"/>
  <c r="T312" i="7"/>
  <c r="U312" i="7"/>
  <c r="T320" i="7"/>
  <c r="U320" i="7"/>
  <c r="T286" i="7"/>
  <c r="U286" i="7"/>
  <c r="T432" i="7"/>
  <c r="U432" i="7"/>
  <c r="T476" i="7"/>
  <c r="U476" i="7"/>
  <c r="T492" i="7"/>
  <c r="U492" i="7"/>
  <c r="T509" i="7"/>
  <c r="U509" i="7"/>
  <c r="T640" i="7"/>
  <c r="U640" i="7"/>
  <c r="T691" i="7"/>
  <c r="U691" i="7"/>
  <c r="T699" i="7"/>
  <c r="U699" i="7"/>
  <c r="T765" i="7"/>
  <c r="U765" i="7"/>
  <c r="T801" i="7"/>
  <c r="U801" i="7"/>
  <c r="T809" i="7"/>
  <c r="U809" i="7"/>
  <c r="T76" i="7"/>
  <c r="U76" i="7"/>
  <c r="T112" i="7"/>
  <c r="U112" i="7"/>
  <c r="T230" i="7"/>
  <c r="U230" i="7"/>
  <c r="T642" i="7"/>
  <c r="U642" i="7"/>
  <c r="T667" i="7"/>
  <c r="U667" i="7"/>
  <c r="T225" i="7"/>
  <c r="U225" i="7"/>
  <c r="T714" i="7"/>
  <c r="U714" i="7"/>
  <c r="T730" i="7"/>
  <c r="U730" i="7"/>
  <c r="T768" i="7"/>
  <c r="U768" i="7"/>
  <c r="T810" i="7"/>
  <c r="U810" i="7"/>
  <c r="T218" i="7"/>
  <c r="U218" i="7"/>
  <c r="T271" i="7"/>
  <c r="U271" i="7"/>
  <c r="T546" i="7"/>
  <c r="U546" i="7"/>
  <c r="T245" i="7"/>
  <c r="U245" i="7"/>
  <c r="T266" i="7"/>
  <c r="U266" i="7"/>
  <c r="T288" i="7"/>
  <c r="U288" i="7"/>
  <c r="T423" i="7"/>
  <c r="U423" i="7"/>
  <c r="T450" i="7"/>
  <c r="U450" i="7"/>
  <c r="T482" i="7"/>
  <c r="U482" i="7"/>
  <c r="T533" i="7"/>
  <c r="U533" i="7"/>
  <c r="T608" i="7"/>
  <c r="U608" i="7"/>
  <c r="T646" i="7"/>
  <c r="U646" i="7"/>
  <c r="T619" i="7"/>
  <c r="U619" i="7"/>
  <c r="T675" i="7"/>
  <c r="U675" i="7"/>
  <c r="T706" i="7"/>
  <c r="U706" i="7"/>
  <c r="T722" i="7"/>
  <c r="U722" i="7"/>
  <c r="T707" i="7"/>
  <c r="U707" i="7"/>
  <c r="T715" i="7"/>
  <c r="U715" i="7"/>
  <c r="T723" i="7"/>
  <c r="U723" i="7"/>
  <c r="T731" i="7"/>
  <c r="U731" i="7"/>
  <c r="T747" i="7"/>
  <c r="U747" i="7"/>
  <c r="T799" i="7"/>
  <c r="U799" i="7"/>
  <c r="T549" i="7"/>
  <c r="U549" i="7"/>
  <c r="T63" i="7"/>
  <c r="U63" i="7"/>
  <c r="T79" i="7"/>
  <c r="U79" i="7"/>
  <c r="T95" i="7"/>
  <c r="U95" i="7"/>
  <c r="T27" i="7"/>
  <c r="U27" i="7"/>
  <c r="T185" i="7"/>
  <c r="U185" i="7"/>
  <c r="T442" i="7"/>
  <c r="U442" i="7"/>
  <c r="T552" i="7"/>
  <c r="U552" i="7"/>
  <c r="T159" i="7"/>
  <c r="U159" i="7"/>
  <c r="T221" i="7"/>
  <c r="U221" i="7"/>
  <c r="T193" i="7"/>
  <c r="U193" i="7"/>
  <c r="T554" i="7"/>
  <c r="U554" i="7"/>
  <c r="T244" i="7"/>
  <c r="U244" i="7"/>
  <c r="T117" i="7"/>
  <c r="U117" i="7"/>
  <c r="T125" i="7"/>
  <c r="U125" i="7"/>
  <c r="T133" i="7"/>
  <c r="U133" i="7"/>
  <c r="T141" i="7"/>
  <c r="U141" i="7"/>
  <c r="T149" i="7"/>
  <c r="U149" i="7"/>
  <c r="T188" i="7"/>
  <c r="U188" i="7"/>
  <c r="T354" i="7"/>
  <c r="U354" i="7"/>
  <c r="T371" i="7"/>
  <c r="U371" i="7"/>
  <c r="T379" i="7"/>
  <c r="U379" i="7"/>
  <c r="T387" i="7"/>
  <c r="U387" i="7"/>
  <c r="T23" i="7"/>
  <c r="U23" i="7"/>
  <c r="T44" i="7"/>
  <c r="U44" i="7"/>
  <c r="T49" i="7"/>
  <c r="U49" i="7"/>
  <c r="T627" i="7"/>
  <c r="U627" i="7"/>
  <c r="T228" i="7"/>
  <c r="U228" i="7"/>
  <c r="T363" i="7"/>
  <c r="U363" i="7"/>
  <c r="T47" i="7"/>
  <c r="U47" i="7"/>
  <c r="T660" i="7"/>
  <c r="U660" i="7"/>
  <c r="T753" i="7"/>
  <c r="U753" i="7"/>
  <c r="T19" i="7"/>
  <c r="U19" i="7"/>
  <c r="T73" i="7"/>
  <c r="U73" i="7"/>
  <c r="T231" i="7"/>
  <c r="U231" i="7"/>
  <c r="T728" i="7"/>
  <c r="U728" i="7"/>
  <c r="T760" i="7"/>
  <c r="U760" i="7"/>
  <c r="T519" i="7"/>
  <c r="U519" i="7"/>
  <c r="T187" i="7"/>
  <c r="U187" i="7"/>
  <c r="T454" i="7"/>
  <c r="U454" i="7"/>
  <c r="T712" i="7"/>
  <c r="U712" i="7"/>
  <c r="T743" i="7"/>
  <c r="U743" i="7"/>
  <c r="T795" i="7"/>
  <c r="U795" i="7"/>
  <c r="T297" i="7"/>
  <c r="U297" i="7"/>
  <c r="T24" i="7"/>
  <c r="U24" i="7"/>
  <c r="T197" i="7"/>
  <c r="U197" i="7"/>
  <c r="T251" i="7"/>
  <c r="U251" i="7"/>
  <c r="T264" i="7"/>
  <c r="U264" i="7"/>
  <c r="T397" i="7"/>
  <c r="U397" i="7"/>
  <c r="T405" i="7"/>
  <c r="U405" i="7"/>
  <c r="T410" i="7"/>
  <c r="U410" i="7"/>
  <c r="T418" i="7"/>
  <c r="U418" i="7"/>
  <c r="T433" i="7"/>
  <c r="U433" i="7"/>
  <c r="T464" i="7"/>
  <c r="U464" i="7"/>
  <c r="T488" i="7"/>
  <c r="U488" i="7"/>
  <c r="T591" i="7"/>
  <c r="U591" i="7"/>
  <c r="T652" i="7"/>
  <c r="U652" i="7"/>
  <c r="T629" i="7"/>
  <c r="U629" i="7"/>
  <c r="T761" i="7"/>
  <c r="U761" i="7"/>
  <c r="T96" i="7"/>
  <c r="U96" i="7"/>
  <c r="T51" i="7"/>
  <c r="U51" i="7"/>
  <c r="T22" i="7"/>
  <c r="U22" i="7"/>
  <c r="T143" i="7"/>
  <c r="U143" i="7"/>
  <c r="T30" i="7"/>
  <c r="U30" i="7"/>
  <c r="T12" i="7"/>
  <c r="U12" i="7"/>
  <c r="T113" i="7"/>
  <c r="U113" i="7"/>
  <c r="T641" i="7"/>
  <c r="U641" i="7"/>
  <c r="T622" i="7"/>
  <c r="U622" i="7"/>
  <c r="T681" i="7"/>
  <c r="U681" i="7"/>
  <c r="T704" i="7"/>
  <c r="U704" i="7"/>
  <c r="T720" i="7"/>
  <c r="U720" i="7"/>
  <c r="T736" i="7"/>
  <c r="U736" i="7"/>
  <c r="T763" i="7"/>
  <c r="U763" i="7"/>
  <c r="T90" i="7"/>
  <c r="U90" i="7"/>
  <c r="T84" i="7"/>
  <c r="U84" i="7"/>
  <c r="T68" i="7"/>
  <c r="U68" i="7"/>
  <c r="S580" i="7"/>
  <c r="T182" i="7"/>
  <c r="U182" i="7"/>
  <c r="T56" i="7"/>
  <c r="U56" i="7"/>
  <c r="T177" i="7"/>
  <c r="U177" i="7"/>
  <c r="T242" i="7"/>
  <c r="U242" i="7"/>
  <c r="T260" i="7"/>
  <c r="U260" i="7"/>
  <c r="T292" i="7"/>
  <c r="U292" i="7"/>
  <c r="T439" i="7"/>
  <c r="U439" i="7"/>
  <c r="T293" i="7"/>
  <c r="U293" i="7"/>
  <c r="T273" i="7"/>
  <c r="U273" i="7"/>
  <c r="T32" i="7"/>
  <c r="U32" i="7"/>
  <c r="T431" i="7"/>
  <c r="U431" i="7"/>
  <c r="T693" i="7"/>
  <c r="U693" i="7"/>
  <c r="T697" i="7"/>
  <c r="U697" i="7"/>
  <c r="T705" i="7"/>
  <c r="U705" i="7"/>
  <c r="T713" i="7"/>
  <c r="U713" i="7"/>
  <c r="T721" i="7"/>
  <c r="U721" i="7"/>
  <c r="T54" i="7"/>
  <c r="U54" i="7"/>
  <c r="T409" i="7"/>
  <c r="U409" i="7"/>
  <c r="T300" i="7"/>
  <c r="U300" i="7"/>
  <c r="T737" i="7"/>
  <c r="U737" i="7"/>
  <c r="T98" i="7"/>
  <c r="U98" i="7"/>
  <c r="T45" i="7"/>
  <c r="U45" i="7"/>
  <c r="T196" i="7"/>
  <c r="U196" i="7"/>
  <c r="T214" i="7"/>
  <c r="U214" i="7"/>
  <c r="T222" i="7"/>
  <c r="U222" i="7"/>
  <c r="T181" i="7"/>
  <c r="U181" i="7"/>
  <c r="T215" i="7"/>
  <c r="U215" i="7"/>
  <c r="T118" i="7"/>
  <c r="U118" i="7"/>
  <c r="T126" i="7"/>
  <c r="U126" i="7"/>
  <c r="T134" i="7"/>
  <c r="U134" i="7"/>
  <c r="T142" i="7"/>
  <c r="U142" i="7"/>
  <c r="T150" i="7"/>
  <c r="U150" i="7"/>
  <c r="T238" i="7"/>
  <c r="U238" i="7"/>
  <c r="T71" i="7"/>
  <c r="U71" i="7"/>
  <c r="T103" i="7"/>
  <c r="U103" i="7"/>
  <c r="T119" i="7"/>
  <c r="U119" i="7"/>
  <c r="T127" i="7"/>
  <c r="U127" i="7"/>
  <c r="T135" i="7"/>
  <c r="U135" i="7"/>
  <c r="T151" i="7"/>
  <c r="U151" i="7"/>
  <c r="T243" i="7"/>
  <c r="U243" i="7"/>
  <c r="T438" i="7"/>
  <c r="U438" i="7"/>
  <c r="T496" i="7"/>
  <c r="U496" i="7"/>
  <c r="T505" i="7"/>
  <c r="U505" i="7"/>
  <c r="T513" i="7"/>
  <c r="U513" i="7"/>
  <c r="T670" i="7"/>
  <c r="U670" i="7"/>
  <c r="T702" i="7"/>
  <c r="U702" i="7"/>
  <c r="T718" i="7"/>
  <c r="U718" i="7"/>
  <c r="T734" i="7"/>
  <c r="U734" i="7"/>
  <c r="T729" i="7"/>
  <c r="U729" i="7"/>
  <c r="T738" i="7"/>
  <c r="U738" i="7"/>
  <c r="T769" i="7"/>
  <c r="U769" i="7"/>
  <c r="T754" i="7"/>
  <c r="U754" i="7"/>
  <c r="T762" i="7"/>
  <c r="U762" i="7"/>
  <c r="T770" i="7"/>
  <c r="U770" i="7"/>
  <c r="T788" i="7"/>
  <c r="U788" i="7"/>
  <c r="T796" i="7"/>
  <c r="U796" i="7"/>
  <c r="T62" i="7"/>
  <c r="U62" i="7"/>
  <c r="T108" i="7"/>
  <c r="U108" i="7"/>
  <c r="T55" i="7"/>
  <c r="U55" i="7"/>
  <c r="T41" i="7"/>
  <c r="U41" i="7"/>
  <c r="T174" i="7"/>
  <c r="U174" i="7"/>
  <c r="T11" i="7"/>
  <c r="U11" i="7"/>
  <c r="T233" i="7"/>
  <c r="U233" i="7"/>
  <c r="T248" i="7"/>
  <c r="U248" i="7"/>
  <c r="T192" i="7"/>
  <c r="U192" i="7"/>
  <c r="T220" i="7"/>
  <c r="U220" i="7"/>
  <c r="T81" i="7"/>
  <c r="U81" i="7"/>
  <c r="T236" i="7"/>
  <c r="U236" i="7"/>
  <c r="T253" i="7"/>
  <c r="U253" i="7"/>
  <c r="T307" i="7"/>
  <c r="U307" i="7"/>
  <c r="T315" i="7"/>
  <c r="U315" i="7"/>
  <c r="T529" i="7"/>
  <c r="U529" i="7"/>
  <c r="T428" i="7"/>
  <c r="U428" i="7"/>
  <c r="T458" i="7"/>
  <c r="U458" i="7"/>
  <c r="T466" i="7"/>
  <c r="U466" i="7"/>
  <c r="T507" i="7"/>
  <c r="U507" i="7"/>
  <c r="T638" i="7"/>
  <c r="U638" i="7"/>
  <c r="T632" i="7"/>
  <c r="U632" i="7"/>
  <c r="T755" i="7"/>
  <c r="U755" i="7"/>
  <c r="T791" i="7"/>
  <c r="U791" i="7"/>
  <c r="T807" i="7"/>
  <c r="U807" i="7"/>
  <c r="T748" i="7"/>
  <c r="U748" i="7"/>
  <c r="T798" i="7"/>
  <c r="U798" i="7"/>
  <c r="K595" i="7"/>
  <c r="T13" i="7"/>
  <c r="U13" i="7"/>
  <c r="T52" i="7"/>
  <c r="U52" i="7"/>
  <c r="T206" i="7"/>
  <c r="U206" i="7"/>
  <c r="T211" i="7"/>
  <c r="U211" i="7"/>
  <c r="T250" i="7"/>
  <c r="U250" i="7"/>
  <c r="T204" i="7"/>
  <c r="U204" i="7"/>
  <c r="T277" i="7"/>
  <c r="U277" i="7"/>
  <c r="T323" i="7"/>
  <c r="U323" i="7"/>
  <c r="T331" i="7"/>
  <c r="U331" i="7"/>
  <c r="T339" i="7"/>
  <c r="U339" i="7"/>
  <c r="T347" i="7"/>
  <c r="U347" i="7"/>
  <c r="T275" i="7"/>
  <c r="U275" i="7"/>
  <c r="T308" i="7"/>
  <c r="U308" i="7"/>
  <c r="T316" i="7"/>
  <c r="U316" i="7"/>
  <c r="T444" i="7"/>
  <c r="U444" i="7"/>
  <c r="T601" i="7"/>
  <c r="U601" i="7"/>
  <c r="T610" i="7"/>
  <c r="U610" i="7"/>
  <c r="T766" i="7"/>
  <c r="U766" i="7"/>
  <c r="T808" i="7"/>
  <c r="U808" i="7"/>
  <c r="T64" i="7"/>
  <c r="U64" i="7"/>
  <c r="T8" i="7"/>
  <c r="U8" i="7"/>
  <c r="T17" i="7"/>
  <c r="U17" i="7"/>
  <c r="T201" i="7"/>
  <c r="U201" i="7"/>
  <c r="T249" i="7"/>
  <c r="U249" i="7"/>
  <c r="T281" i="7"/>
  <c r="U281" i="7"/>
  <c r="T296" i="7"/>
  <c r="U296" i="7"/>
  <c r="T278" i="7"/>
  <c r="U278" i="7"/>
  <c r="T589" i="7"/>
  <c r="U589" i="7"/>
  <c r="T92" i="7"/>
  <c r="U92" i="7"/>
  <c r="T60" i="7"/>
  <c r="U60" i="7"/>
  <c r="T59" i="7"/>
  <c r="U59" i="7"/>
  <c r="T35" i="7"/>
  <c r="U35" i="7"/>
  <c r="T82" i="7"/>
  <c r="U82" i="7"/>
  <c r="T66" i="7"/>
  <c r="U66" i="7"/>
  <c r="T256" i="7"/>
  <c r="U256" i="7"/>
  <c r="T421" i="7"/>
  <c r="U421" i="7"/>
  <c r="T498" i="7"/>
  <c r="U498" i="7"/>
  <c r="T515" i="7"/>
  <c r="U515" i="7"/>
  <c r="T654" i="7"/>
  <c r="U654" i="7"/>
  <c r="T614" i="7"/>
  <c r="U614" i="7"/>
  <c r="T790" i="7"/>
  <c r="U790" i="7"/>
  <c r="T210" i="7"/>
  <c r="U210" i="7"/>
  <c r="T261" i="7"/>
  <c r="U261" i="7"/>
  <c r="T283" i="7"/>
  <c r="U283" i="7"/>
  <c r="T490" i="7"/>
  <c r="U490" i="7"/>
  <c r="T194" i="7"/>
  <c r="U194" i="7"/>
  <c r="T200" i="7"/>
  <c r="U200" i="7"/>
  <c r="T223" i="7"/>
  <c r="U223" i="7"/>
  <c r="T239" i="7"/>
  <c r="U239" i="7"/>
  <c r="T257" i="7"/>
  <c r="U257" i="7"/>
  <c r="T267" i="7"/>
  <c r="U267" i="7"/>
  <c r="T435" i="7"/>
  <c r="U435" i="7"/>
  <c r="T350" i="7"/>
  <c r="U350" i="7"/>
  <c r="T358" i="7"/>
  <c r="U358" i="7"/>
  <c r="T367" i="7"/>
  <c r="U367" i="7"/>
  <c r="T375" i="7"/>
  <c r="U375" i="7"/>
  <c r="T383" i="7"/>
  <c r="U383" i="7"/>
  <c r="T391" i="7"/>
  <c r="U391" i="7"/>
  <c r="T395" i="7"/>
  <c r="U395" i="7"/>
  <c r="T403" i="7"/>
  <c r="U403" i="7"/>
  <c r="T414" i="7"/>
  <c r="U414" i="7"/>
  <c r="T425" i="7"/>
  <c r="U425" i="7"/>
  <c r="T441" i="7"/>
  <c r="U441" i="7"/>
  <c r="T430" i="7"/>
  <c r="U430" i="7"/>
  <c r="T484" i="7"/>
  <c r="U484" i="7"/>
  <c r="T648" i="7"/>
  <c r="U648" i="7"/>
  <c r="T621" i="7"/>
  <c r="U621" i="7"/>
  <c r="T628" i="7"/>
  <c r="U628" i="7"/>
  <c r="T677" i="7"/>
  <c r="U677" i="7"/>
  <c r="T636" i="7"/>
  <c r="U636" i="7"/>
  <c r="T710" i="7"/>
  <c r="U710" i="7"/>
  <c r="T726" i="7"/>
  <c r="U726" i="7"/>
  <c r="T701" i="7"/>
  <c r="U701" i="7"/>
  <c r="T709" i="7"/>
  <c r="U709" i="7"/>
  <c r="T717" i="7"/>
  <c r="U717" i="7"/>
  <c r="T725" i="7"/>
  <c r="U725" i="7"/>
  <c r="T733" i="7"/>
  <c r="U733" i="7"/>
  <c r="T773" i="7"/>
  <c r="U773" i="7"/>
  <c r="T774" i="7"/>
  <c r="U774" i="7"/>
  <c r="T792" i="7"/>
  <c r="U792" i="7"/>
  <c r="T16" i="7"/>
  <c r="U16" i="7"/>
  <c r="T207" i="7"/>
  <c r="U207" i="7"/>
  <c r="T254" i="7"/>
  <c r="U254" i="7"/>
  <c r="T85" i="7"/>
  <c r="U85" i="7"/>
  <c r="T290" i="7"/>
  <c r="U290" i="7"/>
  <c r="T411" i="7"/>
  <c r="U411" i="7"/>
  <c r="T470" i="7"/>
  <c r="U470" i="7"/>
  <c r="T486" i="7"/>
  <c r="U486" i="7"/>
  <c r="T503" i="7"/>
  <c r="U503" i="7"/>
  <c r="T539" i="7"/>
  <c r="U539" i="7"/>
  <c r="T600" i="7"/>
  <c r="U600" i="7"/>
  <c r="T602" i="7"/>
  <c r="U602" i="7"/>
  <c r="T650" i="7"/>
  <c r="U650" i="7"/>
  <c r="T658" i="7"/>
  <c r="U658" i="7"/>
  <c r="T623" i="7"/>
  <c r="U623" i="7"/>
  <c r="T611" i="7"/>
  <c r="U611" i="7"/>
  <c r="T673" i="7"/>
  <c r="U673" i="7"/>
  <c r="T751" i="7"/>
  <c r="U751" i="7"/>
  <c r="T759" i="7"/>
  <c r="U759" i="7"/>
  <c r="T811" i="7"/>
  <c r="U811" i="7"/>
  <c r="T802" i="7"/>
  <c r="U802" i="7"/>
  <c r="T154" i="7"/>
  <c r="U154" i="7"/>
  <c r="T48" i="7"/>
  <c r="U48" i="7"/>
  <c r="T252" i="7"/>
  <c r="U252" i="7"/>
  <c r="T190" i="7"/>
  <c r="U190" i="7"/>
  <c r="T309" i="7"/>
  <c r="U309" i="7"/>
  <c r="T317" i="7"/>
  <c r="U317" i="7"/>
  <c r="T420" i="7"/>
  <c r="U420" i="7"/>
  <c r="T446" i="7"/>
  <c r="U446" i="7"/>
  <c r="T462" i="7"/>
  <c r="U462" i="7"/>
  <c r="T630" i="7"/>
  <c r="U630" i="7"/>
  <c r="T631" i="7"/>
  <c r="U631" i="7"/>
  <c r="T794" i="7"/>
  <c r="U794" i="7"/>
  <c r="T203" i="7"/>
  <c r="U203" i="7"/>
  <c r="T209" i="7"/>
  <c r="U209" i="7"/>
  <c r="T246" i="7"/>
  <c r="U246" i="7"/>
  <c r="T255" i="7"/>
  <c r="U255" i="7"/>
  <c r="T212" i="7"/>
  <c r="U212" i="7"/>
  <c r="T234" i="7"/>
  <c r="U234" i="7"/>
  <c r="T325" i="7"/>
  <c r="U325" i="7"/>
  <c r="T333" i="7"/>
  <c r="U333" i="7"/>
  <c r="T341" i="7"/>
  <c r="U341" i="7"/>
  <c r="T349" i="7"/>
  <c r="U349" i="7"/>
  <c r="T427" i="7"/>
  <c r="U427" i="7"/>
  <c r="T310" i="7"/>
  <c r="U310" i="7"/>
  <c r="T318" i="7"/>
  <c r="U318" i="7"/>
  <c r="T415" i="7"/>
  <c r="U415" i="7"/>
  <c r="T356" i="7"/>
  <c r="U356" i="7"/>
  <c r="T365" i="7"/>
  <c r="U365" i="7"/>
  <c r="T373" i="7"/>
  <c r="U373" i="7"/>
  <c r="T381" i="7"/>
  <c r="U381" i="7"/>
  <c r="T389" i="7"/>
  <c r="U389" i="7"/>
  <c r="T545" i="7"/>
  <c r="U545" i="7"/>
  <c r="T605" i="7"/>
  <c r="U605" i="7"/>
  <c r="T625" i="7"/>
  <c r="U625" i="7"/>
  <c r="T669" i="7"/>
  <c r="U669" i="7"/>
  <c r="T635" i="7"/>
  <c r="U635" i="7"/>
  <c r="T620" i="7"/>
  <c r="U620" i="7"/>
  <c r="T671" i="7"/>
  <c r="U671" i="7"/>
  <c r="T687" i="7"/>
  <c r="U687" i="7"/>
  <c r="T716" i="7"/>
  <c r="U716" i="7"/>
  <c r="T732" i="7"/>
  <c r="U732" i="7"/>
  <c r="T805" i="7"/>
  <c r="U805" i="7"/>
  <c r="T820" i="7"/>
  <c r="T812" i="7"/>
  <c r="U812" i="7"/>
  <c r="T88" i="7"/>
  <c r="U88" i="7"/>
  <c r="T72" i="7"/>
  <c r="U72" i="7"/>
  <c r="T99" i="7"/>
  <c r="U99" i="7"/>
  <c r="T18" i="7"/>
  <c r="U18" i="7"/>
  <c r="T176" i="7"/>
  <c r="U176" i="7"/>
  <c r="T105" i="7"/>
  <c r="U105" i="7"/>
  <c r="T274" i="7"/>
  <c r="U274" i="7"/>
  <c r="T303" i="7"/>
  <c r="U303" i="7"/>
  <c r="T272" i="7"/>
  <c r="U272" i="7"/>
  <c r="T301" i="7"/>
  <c r="U301" i="7"/>
  <c r="T412" i="7"/>
  <c r="U412" i="7"/>
  <c r="T437" i="7"/>
  <c r="U437" i="7"/>
  <c r="T474" i="7"/>
  <c r="U474" i="7"/>
  <c r="T609" i="7"/>
  <c r="U609" i="7"/>
  <c r="T662" i="7"/>
  <c r="U662" i="7"/>
  <c r="T739" i="7"/>
  <c r="U739" i="7"/>
  <c r="T756" i="7"/>
  <c r="U756" i="7"/>
  <c r="T772" i="7"/>
  <c r="U772" i="7"/>
  <c r="T806" i="7"/>
  <c r="U806" i="7"/>
  <c r="T78" i="7"/>
  <c r="U78" i="7"/>
  <c r="T821" i="7"/>
  <c r="U821" i="7"/>
  <c r="T100" i="7"/>
  <c r="U100" i="7"/>
  <c r="T36" i="7"/>
  <c r="U36" i="7"/>
  <c r="T189" i="7"/>
  <c r="U189" i="7"/>
  <c r="T120" i="7"/>
  <c r="U120" i="7"/>
  <c r="T128" i="7"/>
  <c r="U128" i="7"/>
  <c r="T136" i="7"/>
  <c r="U136" i="7"/>
  <c r="T144" i="7"/>
  <c r="U144" i="7"/>
  <c r="T152" i="7"/>
  <c r="U152" i="7"/>
  <c r="T240" i="7"/>
  <c r="U240" i="7"/>
  <c r="T213" i="7"/>
  <c r="U213" i="7"/>
  <c r="T121" i="7"/>
  <c r="U121" i="7"/>
  <c r="T129" i="7"/>
  <c r="U129" i="7"/>
  <c r="T137" i="7"/>
  <c r="U137" i="7"/>
  <c r="T145" i="7"/>
  <c r="U145" i="7"/>
  <c r="T153" i="7"/>
  <c r="U153" i="7"/>
  <c r="T285" i="7"/>
  <c r="U285" i="7"/>
  <c r="T426" i="7"/>
  <c r="U426" i="7"/>
  <c r="T531" i="7"/>
  <c r="U531" i="7"/>
  <c r="T626" i="7"/>
  <c r="U626" i="7"/>
  <c r="T771" i="7"/>
  <c r="U771" i="7"/>
  <c r="T764" i="7"/>
  <c r="U764" i="7"/>
  <c r="T25" i="7"/>
  <c r="U25" i="7"/>
  <c r="T184" i="7"/>
  <c r="U184" i="7"/>
  <c r="T265" i="7"/>
  <c r="U265" i="7"/>
  <c r="T178" i="7"/>
  <c r="U178" i="7"/>
  <c r="T413" i="7"/>
  <c r="U413" i="7"/>
  <c r="T289" i="7"/>
  <c r="U289" i="7"/>
  <c r="T452" i="7"/>
  <c r="U452" i="7"/>
  <c r="T460" i="7"/>
  <c r="U460" i="7"/>
  <c r="T517" i="7"/>
  <c r="U517" i="7"/>
  <c r="T535" i="7"/>
  <c r="U535" i="7"/>
  <c r="T537" i="7"/>
  <c r="U537" i="7"/>
  <c r="T616" i="7"/>
  <c r="U616" i="7"/>
  <c r="T678" i="7"/>
  <c r="U678" i="7"/>
  <c r="T695" i="7"/>
  <c r="U695" i="7"/>
  <c r="T679" i="7"/>
  <c r="U679" i="7"/>
  <c r="T708" i="7"/>
  <c r="U708" i="7"/>
  <c r="T724" i="7"/>
  <c r="U724" i="7"/>
  <c r="T749" i="7"/>
  <c r="U749" i="7"/>
  <c r="T750" i="7"/>
  <c r="U750" i="7"/>
  <c r="T800" i="7"/>
  <c r="U800" i="7"/>
  <c r="T86" i="7"/>
  <c r="U86" i="7"/>
  <c r="O827" i="7"/>
  <c r="T40" i="7"/>
  <c r="U40" i="7"/>
  <c r="T26" i="7"/>
  <c r="U26" i="7"/>
  <c r="T102" i="7"/>
  <c r="U102" i="7"/>
  <c r="T217" i="7"/>
  <c r="U217" i="7"/>
  <c r="T429" i="7"/>
  <c r="U429" i="7"/>
  <c r="T478" i="7"/>
  <c r="U478" i="7"/>
  <c r="T683" i="7"/>
  <c r="U683" i="7"/>
  <c r="T703" i="7"/>
  <c r="U703" i="7"/>
  <c r="T711" i="7"/>
  <c r="U711" i="7"/>
  <c r="T719" i="7"/>
  <c r="U719" i="7"/>
  <c r="T727" i="7"/>
  <c r="U727" i="7"/>
  <c r="T735" i="7"/>
  <c r="U735" i="7"/>
  <c r="T803" i="7"/>
  <c r="U803" i="7"/>
  <c r="T744" i="7"/>
  <c r="U744" i="7"/>
  <c r="T38" i="7"/>
  <c r="U38" i="7"/>
  <c r="T160" i="7"/>
  <c r="U160" i="7"/>
  <c r="P827" i="7"/>
  <c r="T216" i="7"/>
  <c r="U216" i="7"/>
  <c r="T269" i="7"/>
  <c r="U269" i="7"/>
  <c r="T291" i="7"/>
  <c r="U291" i="7"/>
  <c r="T500" i="7"/>
  <c r="U500" i="7"/>
  <c r="T522" i="7"/>
  <c r="U522" i="7"/>
  <c r="T613" i="7"/>
  <c r="U613" i="7"/>
  <c r="T758" i="7"/>
  <c r="U758" i="7"/>
  <c r="T436" i="7"/>
  <c r="U436" i="7"/>
  <c r="T408" i="7"/>
  <c r="U408" i="7"/>
  <c r="T416" i="7"/>
  <c r="U416" i="7"/>
  <c r="T615" i="7"/>
  <c r="U615" i="7"/>
  <c r="T179" i="7"/>
  <c r="U179" i="7"/>
  <c r="T186" i="7"/>
  <c r="U186" i="7"/>
  <c r="T180" i="7"/>
  <c r="U180" i="7"/>
  <c r="T195" i="7"/>
  <c r="U195" i="7"/>
  <c r="T208" i="7"/>
  <c r="U208" i="7"/>
  <c r="T417" i="7"/>
  <c r="U417" i="7"/>
  <c r="T28" i="7"/>
  <c r="U28" i="7"/>
  <c r="T110" i="7"/>
  <c r="U110" i="7"/>
  <c r="T57" i="7"/>
  <c r="U57" i="7"/>
  <c r="T198" i="7"/>
  <c r="U198" i="7"/>
  <c r="T224" i="7"/>
  <c r="U224" i="7"/>
  <c r="T232" i="7"/>
  <c r="U232" i="7"/>
  <c r="T282" i="7"/>
  <c r="U282" i="7"/>
  <c r="T294" i="7"/>
  <c r="U294" i="7"/>
  <c r="T352" i="7"/>
  <c r="U352" i="7"/>
  <c r="T361" i="7"/>
  <c r="U361" i="7"/>
  <c r="T369" i="7"/>
  <c r="U369" i="7"/>
  <c r="T377" i="7"/>
  <c r="U377" i="7"/>
  <c r="T385" i="7"/>
  <c r="U385" i="7"/>
  <c r="T393" i="7"/>
  <c r="U393" i="7"/>
  <c r="T401" i="7"/>
  <c r="U401" i="7"/>
  <c r="T634" i="7"/>
  <c r="U634" i="7"/>
  <c r="T804" i="7"/>
  <c r="U804" i="7"/>
  <c r="Q580" i="7"/>
  <c r="T262" i="7"/>
  <c r="U262" i="7"/>
  <c r="V827" i="7"/>
  <c r="R580" i="7"/>
  <c r="T173" i="7"/>
  <c r="T263" i="7"/>
  <c r="U263" i="7"/>
  <c r="T268" i="7"/>
  <c r="U268" i="7"/>
  <c r="T324" i="7"/>
  <c r="U324" i="7"/>
  <c r="T328" i="7"/>
  <c r="U328" i="7"/>
  <c r="T332" i="7"/>
  <c r="U332" i="7"/>
  <c r="T336" i="7"/>
  <c r="U336" i="7"/>
  <c r="T340" i="7"/>
  <c r="U340" i="7"/>
  <c r="T344" i="7"/>
  <c r="U344" i="7"/>
  <c r="T348" i="7"/>
  <c r="U348" i="7"/>
  <c r="T276" i="7"/>
  <c r="U276" i="7"/>
  <c r="T295" i="7"/>
  <c r="U295" i="7"/>
  <c r="T351" i="7"/>
  <c r="U351" i="7"/>
  <c r="T355" i="7"/>
  <c r="U355" i="7"/>
  <c r="T360" i="7"/>
  <c r="U360" i="7"/>
  <c r="T364" i="7"/>
  <c r="U364" i="7"/>
  <c r="T368" i="7"/>
  <c r="U368" i="7"/>
  <c r="T372" i="7"/>
  <c r="U372" i="7"/>
  <c r="T376" i="7"/>
  <c r="U376" i="7"/>
  <c r="T380" i="7"/>
  <c r="U380" i="7"/>
  <c r="T384" i="7"/>
  <c r="U384" i="7"/>
  <c r="T388" i="7"/>
  <c r="U388" i="7"/>
  <c r="T392" i="7"/>
  <c r="U392" i="7"/>
  <c r="T396" i="7"/>
  <c r="U396" i="7"/>
  <c r="T400" i="7"/>
  <c r="U400" i="7"/>
  <c r="T404" i="7"/>
  <c r="U404" i="7"/>
  <c r="T534" i="7"/>
  <c r="U534" i="7"/>
  <c r="T449" i="7"/>
  <c r="U449" i="7"/>
  <c r="T457" i="7"/>
  <c r="U457" i="7"/>
  <c r="T465" i="7"/>
  <c r="U465" i="7"/>
  <c r="T473" i="7"/>
  <c r="U473" i="7"/>
  <c r="T481" i="7"/>
  <c r="U481" i="7"/>
  <c r="T489" i="7"/>
  <c r="U489" i="7"/>
  <c r="T497" i="7"/>
  <c r="U497" i="7"/>
  <c r="T506" i="7"/>
  <c r="U506" i="7"/>
  <c r="T514" i="7"/>
  <c r="U514" i="7"/>
  <c r="T524" i="7"/>
  <c r="U524" i="7"/>
  <c r="T532" i="7"/>
  <c r="U532" i="7"/>
  <c r="T639" i="7"/>
  <c r="U639" i="7"/>
  <c r="T585" i="7"/>
  <c r="U585" i="7"/>
  <c r="T592" i="7"/>
  <c r="U592" i="7"/>
  <c r="T668" i="7"/>
  <c r="U668" i="7"/>
  <c r="T666" i="7"/>
  <c r="U666" i="7"/>
  <c r="T682" i="7"/>
  <c r="U682" i="7"/>
  <c r="T692" i="7"/>
  <c r="U692" i="7"/>
  <c r="T696" i="7"/>
  <c r="U696" i="7"/>
  <c r="T700" i="7"/>
  <c r="U700" i="7"/>
  <c r="T649" i="7"/>
  <c r="U649" i="7"/>
  <c r="T657" i="7"/>
  <c r="U657" i="7"/>
  <c r="T688" i="7"/>
  <c r="U688" i="7"/>
  <c r="T786" i="7"/>
  <c r="R817" i="7"/>
  <c r="R825" i="7"/>
  <c r="T280" i="7"/>
  <c r="U280" i="7"/>
  <c r="T538" i="7"/>
  <c r="U538" i="7"/>
  <c r="T443" i="7"/>
  <c r="U443" i="7"/>
  <c r="T451" i="7"/>
  <c r="U451" i="7"/>
  <c r="T459" i="7"/>
  <c r="U459" i="7"/>
  <c r="T467" i="7"/>
  <c r="U467" i="7"/>
  <c r="T475" i="7"/>
  <c r="U475" i="7"/>
  <c r="T483" i="7"/>
  <c r="U483" i="7"/>
  <c r="T491" i="7"/>
  <c r="U491" i="7"/>
  <c r="T499" i="7"/>
  <c r="U499" i="7"/>
  <c r="T508" i="7"/>
  <c r="U508" i="7"/>
  <c r="T516" i="7"/>
  <c r="U516" i="7"/>
  <c r="T536" i="7"/>
  <c r="U536" i="7"/>
  <c r="T587" i="7"/>
  <c r="U587" i="7"/>
  <c r="R782" i="7"/>
  <c r="T599" i="7"/>
  <c r="T664" i="7"/>
  <c r="U664" i="7"/>
  <c r="T680" i="7"/>
  <c r="U680" i="7"/>
  <c r="T686" i="7"/>
  <c r="U686" i="7"/>
  <c r="T643" i="7"/>
  <c r="U643" i="7"/>
  <c r="T651" i="7"/>
  <c r="U651" i="7"/>
  <c r="T659" i="7"/>
  <c r="U659" i="7"/>
  <c r="T326" i="7"/>
  <c r="U326" i="7"/>
  <c r="T330" i="7"/>
  <c r="U330" i="7"/>
  <c r="T334" i="7"/>
  <c r="U334" i="7"/>
  <c r="T338" i="7"/>
  <c r="U338" i="7"/>
  <c r="T342" i="7"/>
  <c r="U342" i="7"/>
  <c r="T346" i="7"/>
  <c r="U346" i="7"/>
  <c r="T287" i="7"/>
  <c r="U287" i="7"/>
  <c r="T302" i="7"/>
  <c r="U302" i="7"/>
  <c r="T353" i="7"/>
  <c r="U353" i="7"/>
  <c r="T357" i="7"/>
  <c r="U357" i="7"/>
  <c r="T362" i="7"/>
  <c r="U362" i="7"/>
  <c r="T366" i="7"/>
  <c r="U366" i="7"/>
  <c r="T370" i="7"/>
  <c r="U370" i="7"/>
  <c r="T374" i="7"/>
  <c r="U374" i="7"/>
  <c r="T378" i="7"/>
  <c r="U378" i="7"/>
  <c r="T382" i="7"/>
  <c r="U382" i="7"/>
  <c r="T386" i="7"/>
  <c r="U386" i="7"/>
  <c r="T390" i="7"/>
  <c r="U390" i="7"/>
  <c r="T394" i="7"/>
  <c r="U394" i="7"/>
  <c r="T398" i="7"/>
  <c r="U398" i="7"/>
  <c r="T402" i="7"/>
  <c r="U402" i="7"/>
  <c r="T526" i="7"/>
  <c r="U526" i="7"/>
  <c r="T542" i="7"/>
  <c r="U542" i="7"/>
  <c r="T445" i="7"/>
  <c r="U445" i="7"/>
  <c r="T453" i="7"/>
  <c r="U453" i="7"/>
  <c r="T461" i="7"/>
  <c r="U461" i="7"/>
  <c r="T469" i="7"/>
  <c r="U469" i="7"/>
  <c r="T477" i="7"/>
  <c r="U477" i="7"/>
  <c r="T485" i="7"/>
  <c r="U485" i="7"/>
  <c r="T493" i="7"/>
  <c r="U493" i="7"/>
  <c r="T501" i="7"/>
  <c r="U501" i="7"/>
  <c r="T510" i="7"/>
  <c r="U510" i="7"/>
  <c r="T518" i="7"/>
  <c r="U518" i="7"/>
  <c r="T540" i="7"/>
  <c r="U540" i="7"/>
  <c r="T584" i="7"/>
  <c r="R595" i="7"/>
  <c r="T633" i="7"/>
  <c r="U633" i="7"/>
  <c r="T588" i="7"/>
  <c r="U588" i="7"/>
  <c r="T607" i="7"/>
  <c r="U607" i="7"/>
  <c r="T676" i="7"/>
  <c r="U676" i="7"/>
  <c r="T674" i="7"/>
  <c r="U674" i="7"/>
  <c r="T690" i="7"/>
  <c r="U690" i="7"/>
  <c r="T694" i="7"/>
  <c r="U694" i="7"/>
  <c r="T698" i="7"/>
  <c r="U698" i="7"/>
  <c r="T645" i="7"/>
  <c r="U645" i="7"/>
  <c r="T653" i="7"/>
  <c r="U653" i="7"/>
  <c r="T661" i="7"/>
  <c r="U661" i="7"/>
  <c r="T740" i="7"/>
  <c r="U740" i="7"/>
  <c r="S169" i="7"/>
  <c r="T406" i="7"/>
  <c r="U406" i="7"/>
  <c r="T530" i="7"/>
  <c r="U530" i="7"/>
  <c r="T447" i="7"/>
  <c r="U447" i="7"/>
  <c r="T455" i="7"/>
  <c r="U455" i="7"/>
  <c r="T463" i="7"/>
  <c r="U463" i="7"/>
  <c r="T471" i="7"/>
  <c r="U471" i="7"/>
  <c r="T479" i="7"/>
  <c r="U479" i="7"/>
  <c r="T487" i="7"/>
  <c r="U487" i="7"/>
  <c r="T495" i="7"/>
  <c r="U495" i="7"/>
  <c r="T504" i="7"/>
  <c r="U504" i="7"/>
  <c r="T512" i="7"/>
  <c r="U512" i="7"/>
  <c r="T528" i="7"/>
  <c r="U528" i="7"/>
  <c r="T544" i="7"/>
  <c r="U544" i="7"/>
  <c r="T637" i="7"/>
  <c r="U637" i="7"/>
  <c r="T590" i="7"/>
  <c r="U590" i="7"/>
  <c r="T672" i="7"/>
  <c r="U672" i="7"/>
  <c r="T647" i="7"/>
  <c r="U647" i="7"/>
  <c r="T655" i="7"/>
  <c r="U655" i="7"/>
  <c r="T663" i="7"/>
  <c r="U663" i="7"/>
  <c r="T684" i="7"/>
  <c r="U684" i="7"/>
  <c r="T793" i="7"/>
  <c r="U793" i="7"/>
  <c r="T742" i="7"/>
  <c r="U742" i="7"/>
  <c r="J99" i="5"/>
  <c r="J102" i="5"/>
  <c r="V13" i="5"/>
  <c r="T13" i="5"/>
  <c r="L13" i="5"/>
  <c r="K13" i="5"/>
  <c r="J13" i="5"/>
  <c r="H13" i="5"/>
  <c r="G13" i="5"/>
  <c r="F13" i="5"/>
  <c r="S13" i="5"/>
  <c r="R13" i="5"/>
  <c r="P13" i="5"/>
  <c r="O13" i="5"/>
  <c r="I11" i="5"/>
  <c r="U11" i="5"/>
  <c r="I10" i="5"/>
  <c r="U10" i="5"/>
  <c r="I9" i="5"/>
  <c r="I13" i="5"/>
  <c r="U520" i="7"/>
  <c r="U580" i="7"/>
  <c r="T580" i="7"/>
  <c r="H827" i="7"/>
  <c r="H829" i="7"/>
  <c r="S827" i="7"/>
  <c r="T825" i="7"/>
  <c r="L580" i="7"/>
  <c r="U820" i="7"/>
  <c r="U825" i="7"/>
  <c r="U169" i="7"/>
  <c r="T169" i="7"/>
  <c r="R827" i="7"/>
  <c r="U173" i="7"/>
  <c r="T782" i="7"/>
  <c r="U599" i="7"/>
  <c r="T595" i="7"/>
  <c r="U584" i="7"/>
  <c r="U595" i="7"/>
  <c r="T817" i="7"/>
  <c r="U786" i="7"/>
  <c r="L782" i="7"/>
  <c r="K782" i="7"/>
  <c r="U9" i="5"/>
  <c r="U13" i="5"/>
  <c r="X881" i="2"/>
  <c r="J881" i="2"/>
  <c r="X649" i="2"/>
  <c r="X633" i="2"/>
  <c r="F633" i="2"/>
  <c r="J633" i="2"/>
  <c r="X163" i="2"/>
  <c r="L827" i="7"/>
  <c r="K827" i="7"/>
  <c r="T827" i="7"/>
  <c r="U782" i="7"/>
  <c r="V99" i="5"/>
  <c r="S99" i="5"/>
  <c r="R99" i="5"/>
  <c r="P99" i="5"/>
  <c r="O99" i="5"/>
  <c r="L99" i="5"/>
  <c r="K99" i="5"/>
  <c r="V98" i="5"/>
  <c r="S98" i="5"/>
  <c r="R98" i="5"/>
  <c r="P98" i="5"/>
  <c r="Q98" i="5"/>
  <c r="O98" i="5"/>
  <c r="L98" i="5"/>
  <c r="K98" i="5"/>
  <c r="V97" i="5"/>
  <c r="S97" i="5"/>
  <c r="R97" i="5"/>
  <c r="P97" i="5"/>
  <c r="O97" i="5"/>
  <c r="L97" i="5"/>
  <c r="K97" i="5"/>
  <c r="V96" i="5"/>
  <c r="S96" i="5"/>
  <c r="R96" i="5"/>
  <c r="P96" i="5"/>
  <c r="O96" i="5"/>
  <c r="L96" i="5"/>
  <c r="K96" i="5"/>
  <c r="V95" i="5"/>
  <c r="V106" i="5"/>
  <c r="V107" i="5"/>
  <c r="V108" i="5"/>
  <c r="V109" i="5"/>
  <c r="V110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J922" i="2"/>
  <c r="I922" i="2"/>
  <c r="H922" i="2"/>
  <c r="G922" i="2"/>
  <c r="F922" i="2"/>
  <c r="V919" i="2"/>
  <c r="S919" i="2"/>
  <c r="R919" i="2"/>
  <c r="P919" i="2"/>
  <c r="O919" i="2"/>
  <c r="L919" i="2"/>
  <c r="K919" i="2"/>
  <c r="V918" i="2"/>
  <c r="V922" i="2"/>
  <c r="S918" i="2"/>
  <c r="P918" i="2"/>
  <c r="Q918" i="2"/>
  <c r="O918" i="2"/>
  <c r="L918" i="2"/>
  <c r="K918" i="2"/>
  <c r="K922" i="2"/>
  <c r="V912" i="2"/>
  <c r="V911" i="2"/>
  <c r="V910" i="2"/>
  <c r="V909" i="2"/>
  <c r="V908" i="2"/>
  <c r="V907" i="2"/>
  <c r="V906" i="2"/>
  <c r="V905" i="2"/>
  <c r="V904" i="2"/>
  <c r="V903" i="2"/>
  <c r="V902" i="2"/>
  <c r="V901" i="2"/>
  <c r="V900" i="2"/>
  <c r="V899" i="2"/>
  <c r="V898" i="2"/>
  <c r="V897" i="2"/>
  <c r="V896" i="2"/>
  <c r="V895" i="2"/>
  <c r="V894" i="2"/>
  <c r="V893" i="2"/>
  <c r="V892" i="2"/>
  <c r="V891" i="2"/>
  <c r="V890" i="2"/>
  <c r="V889" i="2"/>
  <c r="V888" i="2"/>
  <c r="V887" i="2"/>
  <c r="V886" i="2"/>
  <c r="V885" i="2"/>
  <c r="V878" i="2"/>
  <c r="V877" i="2"/>
  <c r="V876" i="2"/>
  <c r="V875" i="2"/>
  <c r="V874" i="2"/>
  <c r="V873" i="2"/>
  <c r="V872" i="2"/>
  <c r="V871" i="2"/>
  <c r="V870" i="2"/>
  <c r="V869" i="2"/>
  <c r="V868" i="2"/>
  <c r="V867" i="2"/>
  <c r="V866" i="2"/>
  <c r="V865" i="2"/>
  <c r="V864" i="2"/>
  <c r="V863" i="2"/>
  <c r="V862" i="2"/>
  <c r="V861" i="2"/>
  <c r="V860" i="2"/>
  <c r="V859" i="2"/>
  <c r="V858" i="2"/>
  <c r="V857" i="2"/>
  <c r="V856" i="2"/>
  <c r="V855" i="2"/>
  <c r="V854" i="2"/>
  <c r="V853" i="2"/>
  <c r="V852" i="2"/>
  <c r="V851" i="2"/>
  <c r="V850" i="2"/>
  <c r="V849" i="2"/>
  <c r="V848" i="2"/>
  <c r="V847" i="2"/>
  <c r="V846" i="2"/>
  <c r="V845" i="2"/>
  <c r="V844" i="2"/>
  <c r="V843" i="2"/>
  <c r="V842" i="2"/>
  <c r="V841" i="2"/>
  <c r="V840" i="2"/>
  <c r="V839" i="2"/>
  <c r="V838" i="2"/>
  <c r="V837" i="2"/>
  <c r="V836" i="2"/>
  <c r="V835" i="2"/>
  <c r="V834" i="2"/>
  <c r="V833" i="2"/>
  <c r="V832" i="2"/>
  <c r="V831" i="2"/>
  <c r="V830" i="2"/>
  <c r="V829" i="2"/>
  <c r="V828" i="2"/>
  <c r="V827" i="2"/>
  <c r="V826" i="2"/>
  <c r="V825" i="2"/>
  <c r="V824" i="2"/>
  <c r="V823" i="2"/>
  <c r="V822" i="2"/>
  <c r="V821" i="2"/>
  <c r="V820" i="2"/>
  <c r="V819" i="2"/>
  <c r="V818" i="2"/>
  <c r="V817" i="2"/>
  <c r="V816" i="2"/>
  <c r="V815" i="2"/>
  <c r="V814" i="2"/>
  <c r="V813" i="2"/>
  <c r="V812" i="2"/>
  <c r="V811" i="2"/>
  <c r="V810" i="2"/>
  <c r="V809" i="2"/>
  <c r="V808" i="2"/>
  <c r="V807" i="2"/>
  <c r="V806" i="2"/>
  <c r="V805" i="2"/>
  <c r="V804" i="2"/>
  <c r="V803" i="2"/>
  <c r="V802" i="2"/>
  <c r="V801" i="2"/>
  <c r="V800" i="2"/>
  <c r="V799" i="2"/>
  <c r="V798" i="2"/>
  <c r="V797" i="2"/>
  <c r="V796" i="2"/>
  <c r="V795" i="2"/>
  <c r="V794" i="2"/>
  <c r="V793" i="2"/>
  <c r="V792" i="2"/>
  <c r="V791" i="2"/>
  <c r="V790" i="2"/>
  <c r="V789" i="2"/>
  <c r="V788" i="2"/>
  <c r="V787" i="2"/>
  <c r="V786" i="2"/>
  <c r="V785" i="2"/>
  <c r="V784" i="2"/>
  <c r="V783" i="2"/>
  <c r="V782" i="2"/>
  <c r="V781" i="2"/>
  <c r="V780" i="2"/>
  <c r="V779" i="2"/>
  <c r="V778" i="2"/>
  <c r="V777" i="2"/>
  <c r="V776" i="2"/>
  <c r="V775" i="2"/>
  <c r="V774" i="2"/>
  <c r="V773" i="2"/>
  <c r="V772" i="2"/>
  <c r="V771" i="2"/>
  <c r="V770" i="2"/>
  <c r="V769" i="2"/>
  <c r="V768" i="2"/>
  <c r="V767" i="2"/>
  <c r="V766" i="2"/>
  <c r="V765" i="2"/>
  <c r="V764" i="2"/>
  <c r="V763" i="2"/>
  <c r="V762" i="2"/>
  <c r="V761" i="2"/>
  <c r="V760" i="2"/>
  <c r="V759" i="2"/>
  <c r="V758" i="2"/>
  <c r="V757" i="2"/>
  <c r="V756" i="2"/>
  <c r="V755" i="2"/>
  <c r="V754" i="2"/>
  <c r="V753" i="2"/>
  <c r="V752" i="2"/>
  <c r="V751" i="2"/>
  <c r="V750" i="2"/>
  <c r="V749" i="2"/>
  <c r="V748" i="2"/>
  <c r="V747" i="2"/>
  <c r="V746" i="2"/>
  <c r="V745" i="2"/>
  <c r="V744" i="2"/>
  <c r="V743" i="2"/>
  <c r="V742" i="2"/>
  <c r="V741" i="2"/>
  <c r="V740" i="2"/>
  <c r="V739" i="2"/>
  <c r="V738" i="2"/>
  <c r="V737" i="2"/>
  <c r="V736" i="2"/>
  <c r="V735" i="2"/>
  <c r="V734" i="2"/>
  <c r="V733" i="2"/>
  <c r="V732" i="2"/>
  <c r="V731" i="2"/>
  <c r="V730" i="2"/>
  <c r="V729" i="2"/>
  <c r="V728" i="2"/>
  <c r="V727" i="2"/>
  <c r="V726" i="2"/>
  <c r="V725" i="2"/>
  <c r="V724" i="2"/>
  <c r="V723" i="2"/>
  <c r="V722" i="2"/>
  <c r="V721" i="2"/>
  <c r="V720" i="2"/>
  <c r="V719" i="2"/>
  <c r="V718" i="2"/>
  <c r="V717" i="2"/>
  <c r="V716" i="2"/>
  <c r="V715" i="2"/>
  <c r="V714" i="2"/>
  <c r="V713" i="2"/>
  <c r="V712" i="2"/>
  <c r="V711" i="2"/>
  <c r="V710" i="2"/>
  <c r="V709" i="2"/>
  <c r="V708" i="2"/>
  <c r="V707" i="2"/>
  <c r="V706" i="2"/>
  <c r="V705" i="2"/>
  <c r="V704" i="2"/>
  <c r="V703" i="2"/>
  <c r="V702" i="2"/>
  <c r="V701" i="2"/>
  <c r="V700" i="2"/>
  <c r="V699" i="2"/>
  <c r="V698" i="2"/>
  <c r="V697" i="2"/>
  <c r="V696" i="2"/>
  <c r="V695" i="2"/>
  <c r="V694" i="2"/>
  <c r="V693" i="2"/>
  <c r="V692" i="2"/>
  <c r="V691" i="2"/>
  <c r="V690" i="2"/>
  <c r="V689" i="2"/>
  <c r="V688" i="2"/>
  <c r="V687" i="2"/>
  <c r="V686" i="2"/>
  <c r="V685" i="2"/>
  <c r="V684" i="2"/>
  <c r="V683" i="2"/>
  <c r="V682" i="2"/>
  <c r="V681" i="2"/>
  <c r="V680" i="2"/>
  <c r="V679" i="2"/>
  <c r="V678" i="2"/>
  <c r="V677" i="2"/>
  <c r="V676" i="2"/>
  <c r="V675" i="2"/>
  <c r="V674" i="2"/>
  <c r="V673" i="2"/>
  <c r="V672" i="2"/>
  <c r="V671" i="2"/>
  <c r="V670" i="2"/>
  <c r="V669" i="2"/>
  <c r="V668" i="2"/>
  <c r="V667" i="2"/>
  <c r="V666" i="2"/>
  <c r="V665" i="2"/>
  <c r="V664" i="2"/>
  <c r="V663" i="2"/>
  <c r="V662" i="2"/>
  <c r="V661" i="2"/>
  <c r="V660" i="2"/>
  <c r="V659" i="2"/>
  <c r="V658" i="2"/>
  <c r="V657" i="2"/>
  <c r="V656" i="2"/>
  <c r="V655" i="2"/>
  <c r="V654" i="2"/>
  <c r="V653" i="2"/>
  <c r="V647" i="2"/>
  <c r="V646" i="2"/>
  <c r="V645" i="2"/>
  <c r="V644" i="2"/>
  <c r="V643" i="2"/>
  <c r="V642" i="2"/>
  <c r="V641" i="2"/>
  <c r="V640" i="2"/>
  <c r="V639" i="2"/>
  <c r="V638" i="2"/>
  <c r="V637" i="2"/>
  <c r="V649" i="2"/>
  <c r="V630" i="2"/>
  <c r="V629" i="2"/>
  <c r="V628" i="2"/>
  <c r="V627" i="2"/>
  <c r="V626" i="2"/>
  <c r="V625" i="2"/>
  <c r="V624" i="2"/>
  <c r="V623" i="2"/>
  <c r="V622" i="2"/>
  <c r="V621" i="2"/>
  <c r="V620" i="2"/>
  <c r="V619" i="2"/>
  <c r="V618" i="2"/>
  <c r="V617" i="2"/>
  <c r="V616" i="2"/>
  <c r="V615" i="2"/>
  <c r="V614" i="2"/>
  <c r="V613" i="2"/>
  <c r="V612" i="2"/>
  <c r="V611" i="2"/>
  <c r="V610" i="2"/>
  <c r="V609" i="2"/>
  <c r="V608" i="2"/>
  <c r="V607" i="2"/>
  <c r="V606" i="2"/>
  <c r="V605" i="2"/>
  <c r="V604" i="2"/>
  <c r="V603" i="2"/>
  <c r="V602" i="2"/>
  <c r="V601" i="2"/>
  <c r="V600" i="2"/>
  <c r="V599" i="2"/>
  <c r="V598" i="2"/>
  <c r="V597" i="2"/>
  <c r="V596" i="2"/>
  <c r="V595" i="2"/>
  <c r="V594" i="2"/>
  <c r="V593" i="2"/>
  <c r="V592" i="2"/>
  <c r="V591" i="2"/>
  <c r="V590" i="2"/>
  <c r="V589" i="2"/>
  <c r="V588" i="2"/>
  <c r="V587" i="2"/>
  <c r="V586" i="2"/>
  <c r="V585" i="2"/>
  <c r="V584" i="2"/>
  <c r="V583" i="2"/>
  <c r="V582" i="2"/>
  <c r="V581" i="2"/>
  <c r="V580" i="2"/>
  <c r="V579" i="2"/>
  <c r="V578" i="2"/>
  <c r="V577" i="2"/>
  <c r="V576" i="2"/>
  <c r="V575" i="2"/>
  <c r="V574" i="2"/>
  <c r="V573" i="2"/>
  <c r="V572" i="2"/>
  <c r="V571" i="2"/>
  <c r="V570" i="2"/>
  <c r="V569" i="2"/>
  <c r="V568" i="2"/>
  <c r="V567" i="2"/>
  <c r="V566" i="2"/>
  <c r="V565" i="2"/>
  <c r="V564" i="2"/>
  <c r="V563" i="2"/>
  <c r="V562" i="2"/>
  <c r="V561" i="2"/>
  <c r="V560" i="2"/>
  <c r="V559" i="2"/>
  <c r="V558" i="2"/>
  <c r="V557" i="2"/>
  <c r="V556" i="2"/>
  <c r="V555" i="2"/>
  <c r="V554" i="2"/>
  <c r="V553" i="2"/>
  <c r="V552" i="2"/>
  <c r="V551" i="2"/>
  <c r="V550" i="2"/>
  <c r="V549" i="2"/>
  <c r="V548" i="2"/>
  <c r="V547" i="2"/>
  <c r="V546" i="2"/>
  <c r="V545" i="2"/>
  <c r="V544" i="2"/>
  <c r="V543" i="2"/>
  <c r="V542" i="2"/>
  <c r="V541" i="2"/>
  <c r="V540" i="2"/>
  <c r="V539" i="2"/>
  <c r="V538" i="2"/>
  <c r="V537" i="2"/>
  <c r="V536" i="2"/>
  <c r="V535" i="2"/>
  <c r="V534" i="2"/>
  <c r="V533" i="2"/>
  <c r="V532" i="2"/>
  <c r="V531" i="2"/>
  <c r="V530" i="2"/>
  <c r="V529" i="2"/>
  <c r="V528" i="2"/>
  <c r="V527" i="2"/>
  <c r="V526" i="2"/>
  <c r="V525" i="2"/>
  <c r="V524" i="2"/>
  <c r="V523" i="2"/>
  <c r="V522" i="2"/>
  <c r="V521" i="2"/>
  <c r="V520" i="2"/>
  <c r="V519" i="2"/>
  <c r="V518" i="2"/>
  <c r="V517" i="2"/>
  <c r="V516" i="2"/>
  <c r="V515" i="2"/>
  <c r="V514" i="2"/>
  <c r="V513" i="2"/>
  <c r="V512" i="2"/>
  <c r="V511" i="2"/>
  <c r="V510" i="2"/>
  <c r="V509" i="2"/>
  <c r="V508" i="2"/>
  <c r="V507" i="2"/>
  <c r="V506" i="2"/>
  <c r="V505" i="2"/>
  <c r="V504" i="2"/>
  <c r="V503" i="2"/>
  <c r="V502" i="2"/>
  <c r="V501" i="2"/>
  <c r="V500" i="2"/>
  <c r="V499" i="2"/>
  <c r="V498" i="2"/>
  <c r="V497" i="2"/>
  <c r="V496" i="2"/>
  <c r="V495" i="2"/>
  <c r="V494" i="2"/>
  <c r="V493" i="2"/>
  <c r="V492" i="2"/>
  <c r="V491" i="2"/>
  <c r="V490" i="2"/>
  <c r="V489" i="2"/>
  <c r="V488" i="2"/>
  <c r="V487" i="2"/>
  <c r="V486" i="2"/>
  <c r="V485" i="2"/>
  <c r="V484" i="2"/>
  <c r="V483" i="2"/>
  <c r="V482" i="2"/>
  <c r="V481" i="2"/>
  <c r="V480" i="2"/>
  <c r="V479" i="2"/>
  <c r="V478" i="2"/>
  <c r="V477" i="2"/>
  <c r="V476" i="2"/>
  <c r="V475" i="2"/>
  <c r="V474" i="2"/>
  <c r="V473" i="2"/>
  <c r="V472" i="2"/>
  <c r="V471" i="2"/>
  <c r="V470" i="2"/>
  <c r="V469" i="2"/>
  <c r="V468" i="2"/>
  <c r="V467" i="2"/>
  <c r="V466" i="2"/>
  <c r="V465" i="2"/>
  <c r="V464" i="2"/>
  <c r="V463" i="2"/>
  <c r="V462" i="2"/>
  <c r="V461" i="2"/>
  <c r="V460" i="2"/>
  <c r="V459" i="2"/>
  <c r="V458" i="2"/>
  <c r="V457" i="2"/>
  <c r="V456" i="2"/>
  <c r="V455" i="2"/>
  <c r="V454" i="2"/>
  <c r="V453" i="2"/>
  <c r="V452" i="2"/>
  <c r="V451" i="2"/>
  <c r="V450" i="2"/>
  <c r="V449" i="2"/>
  <c r="V448" i="2"/>
  <c r="V447" i="2"/>
  <c r="V446" i="2"/>
  <c r="V445" i="2"/>
  <c r="V444" i="2"/>
  <c r="V443" i="2"/>
  <c r="V442" i="2"/>
  <c r="V441" i="2"/>
  <c r="V440" i="2"/>
  <c r="V439" i="2"/>
  <c r="V438" i="2"/>
  <c r="V437" i="2"/>
  <c r="V436" i="2"/>
  <c r="V435" i="2"/>
  <c r="V434" i="2"/>
  <c r="V433" i="2"/>
  <c r="V432" i="2"/>
  <c r="V431" i="2"/>
  <c r="V430" i="2"/>
  <c r="V429" i="2"/>
  <c r="V428" i="2"/>
  <c r="V427" i="2"/>
  <c r="V426" i="2"/>
  <c r="V425" i="2"/>
  <c r="V424" i="2"/>
  <c r="V423" i="2"/>
  <c r="V422" i="2"/>
  <c r="V421" i="2"/>
  <c r="V420" i="2"/>
  <c r="V419" i="2"/>
  <c r="V418" i="2"/>
  <c r="V417" i="2"/>
  <c r="V416" i="2"/>
  <c r="V415" i="2"/>
  <c r="V414" i="2"/>
  <c r="V413" i="2"/>
  <c r="V412" i="2"/>
  <c r="V411" i="2"/>
  <c r="V410" i="2"/>
  <c r="V409" i="2"/>
  <c r="V408" i="2"/>
  <c r="V407" i="2"/>
  <c r="V406" i="2"/>
  <c r="V405" i="2"/>
  <c r="V404" i="2"/>
  <c r="V403" i="2"/>
  <c r="V402" i="2"/>
  <c r="V401" i="2"/>
  <c r="V400" i="2"/>
  <c r="V399" i="2"/>
  <c r="V398" i="2"/>
  <c r="V397" i="2"/>
  <c r="V396" i="2"/>
  <c r="V395" i="2"/>
  <c r="V394" i="2"/>
  <c r="V393" i="2"/>
  <c r="V392" i="2"/>
  <c r="V391" i="2"/>
  <c r="V390" i="2"/>
  <c r="V389" i="2"/>
  <c r="V388" i="2"/>
  <c r="V387" i="2"/>
  <c r="V386" i="2"/>
  <c r="V385" i="2"/>
  <c r="V384" i="2"/>
  <c r="V383" i="2"/>
  <c r="V382" i="2"/>
  <c r="V381" i="2"/>
  <c r="V380" i="2"/>
  <c r="V379" i="2"/>
  <c r="V378" i="2"/>
  <c r="V377" i="2"/>
  <c r="V376" i="2"/>
  <c r="V375" i="2"/>
  <c r="V374" i="2"/>
  <c r="V373" i="2"/>
  <c r="V372" i="2"/>
  <c r="V371" i="2"/>
  <c r="V370" i="2"/>
  <c r="V369" i="2"/>
  <c r="V368" i="2"/>
  <c r="V367" i="2"/>
  <c r="V366" i="2"/>
  <c r="V365" i="2"/>
  <c r="V364" i="2"/>
  <c r="V363" i="2"/>
  <c r="V362" i="2"/>
  <c r="V361" i="2"/>
  <c r="V360" i="2"/>
  <c r="V359" i="2"/>
  <c r="V358" i="2"/>
  <c r="V357" i="2"/>
  <c r="V356" i="2"/>
  <c r="V355" i="2"/>
  <c r="V354" i="2"/>
  <c r="V353" i="2"/>
  <c r="V352" i="2"/>
  <c r="V351" i="2"/>
  <c r="V350" i="2"/>
  <c r="V349" i="2"/>
  <c r="V348" i="2"/>
  <c r="V347" i="2"/>
  <c r="V346" i="2"/>
  <c r="V345" i="2"/>
  <c r="V344" i="2"/>
  <c r="V343" i="2"/>
  <c r="V342" i="2"/>
  <c r="V341" i="2"/>
  <c r="V340" i="2"/>
  <c r="V339" i="2"/>
  <c r="V338" i="2"/>
  <c r="V337" i="2"/>
  <c r="V336" i="2"/>
  <c r="V335" i="2"/>
  <c r="V334" i="2"/>
  <c r="V333" i="2"/>
  <c r="V332" i="2"/>
  <c r="V331" i="2"/>
  <c r="V330" i="2"/>
  <c r="V329" i="2"/>
  <c r="V328" i="2"/>
  <c r="V327" i="2"/>
  <c r="V326" i="2"/>
  <c r="V325" i="2"/>
  <c r="V324" i="2"/>
  <c r="V323" i="2"/>
  <c r="V322" i="2"/>
  <c r="V321" i="2"/>
  <c r="V320" i="2"/>
  <c r="V319" i="2"/>
  <c r="V318" i="2"/>
  <c r="V317" i="2"/>
  <c r="V316" i="2"/>
  <c r="V315" i="2"/>
  <c r="V314" i="2"/>
  <c r="V313" i="2"/>
  <c r="V312" i="2"/>
  <c r="V311" i="2"/>
  <c r="V310" i="2"/>
  <c r="V309" i="2"/>
  <c r="V308" i="2"/>
  <c r="V307" i="2"/>
  <c r="V306" i="2"/>
  <c r="V305" i="2"/>
  <c r="V304" i="2"/>
  <c r="V303" i="2"/>
  <c r="V302" i="2"/>
  <c r="V301" i="2"/>
  <c r="V300" i="2"/>
  <c r="V299" i="2"/>
  <c r="V298" i="2"/>
  <c r="V297" i="2"/>
  <c r="V296" i="2"/>
  <c r="V295" i="2"/>
  <c r="V294" i="2"/>
  <c r="V293" i="2"/>
  <c r="V292" i="2"/>
  <c r="V291" i="2"/>
  <c r="V290" i="2"/>
  <c r="V289" i="2"/>
  <c r="V288" i="2"/>
  <c r="V287" i="2"/>
  <c r="V286" i="2"/>
  <c r="V285" i="2"/>
  <c r="V284" i="2"/>
  <c r="V283" i="2"/>
  <c r="V282" i="2"/>
  <c r="V281" i="2"/>
  <c r="V280" i="2"/>
  <c r="V279" i="2"/>
  <c r="V278" i="2"/>
  <c r="V277" i="2"/>
  <c r="V276" i="2"/>
  <c r="V275" i="2"/>
  <c r="V274" i="2"/>
  <c r="V273" i="2"/>
  <c r="V272" i="2"/>
  <c r="V271" i="2"/>
  <c r="V270" i="2"/>
  <c r="V269" i="2"/>
  <c r="V268" i="2"/>
  <c r="V267" i="2"/>
  <c r="V266" i="2"/>
  <c r="V265" i="2"/>
  <c r="V264" i="2"/>
  <c r="V263" i="2"/>
  <c r="V262" i="2"/>
  <c r="V261" i="2"/>
  <c r="V260" i="2"/>
  <c r="V259" i="2"/>
  <c r="V258" i="2"/>
  <c r="V257" i="2"/>
  <c r="V256" i="2"/>
  <c r="V255" i="2"/>
  <c r="V254" i="2"/>
  <c r="V253" i="2"/>
  <c r="V252" i="2"/>
  <c r="V251" i="2"/>
  <c r="V250" i="2"/>
  <c r="V249" i="2"/>
  <c r="V248" i="2"/>
  <c r="V247" i="2"/>
  <c r="V246" i="2"/>
  <c r="V245" i="2"/>
  <c r="V244" i="2"/>
  <c r="V243" i="2"/>
  <c r="V242" i="2"/>
  <c r="V241" i="2"/>
  <c r="V240" i="2"/>
  <c r="V239" i="2"/>
  <c r="V238" i="2"/>
  <c r="V237" i="2"/>
  <c r="V236" i="2"/>
  <c r="V235" i="2"/>
  <c r="V234" i="2"/>
  <c r="V233" i="2"/>
  <c r="V232" i="2"/>
  <c r="V231" i="2"/>
  <c r="V230" i="2"/>
  <c r="V229" i="2"/>
  <c r="V228" i="2"/>
  <c r="V227" i="2"/>
  <c r="V226" i="2"/>
  <c r="V225" i="2"/>
  <c r="V224" i="2"/>
  <c r="V223" i="2"/>
  <c r="V222" i="2"/>
  <c r="V221" i="2"/>
  <c r="V220" i="2"/>
  <c r="V219" i="2"/>
  <c r="V218" i="2"/>
  <c r="V217" i="2"/>
  <c r="V216" i="2"/>
  <c r="V215" i="2"/>
  <c r="V214" i="2"/>
  <c r="V213" i="2"/>
  <c r="V212" i="2"/>
  <c r="V211" i="2"/>
  <c r="V210" i="2"/>
  <c r="V209" i="2"/>
  <c r="V208" i="2"/>
  <c r="V207" i="2"/>
  <c r="V206" i="2"/>
  <c r="V205" i="2"/>
  <c r="V204" i="2"/>
  <c r="V203" i="2"/>
  <c r="V202" i="2"/>
  <c r="V201" i="2"/>
  <c r="V200" i="2"/>
  <c r="V199" i="2"/>
  <c r="V198" i="2"/>
  <c r="V197" i="2"/>
  <c r="V196" i="2"/>
  <c r="V195" i="2"/>
  <c r="V194" i="2"/>
  <c r="V193" i="2"/>
  <c r="V192" i="2"/>
  <c r="V191" i="2"/>
  <c r="V190" i="2"/>
  <c r="V189" i="2"/>
  <c r="V188" i="2"/>
  <c r="V187" i="2"/>
  <c r="V186" i="2"/>
  <c r="V185" i="2"/>
  <c r="V184" i="2"/>
  <c r="V183" i="2"/>
  <c r="V182" i="2"/>
  <c r="V181" i="2"/>
  <c r="V180" i="2"/>
  <c r="V179" i="2"/>
  <c r="V178" i="2"/>
  <c r="V177" i="2"/>
  <c r="V176" i="2"/>
  <c r="V175" i="2"/>
  <c r="V174" i="2"/>
  <c r="V173" i="2"/>
  <c r="V172" i="2"/>
  <c r="V171" i="2"/>
  <c r="V170" i="2"/>
  <c r="V169" i="2"/>
  <c r="V168" i="2"/>
  <c r="V167" i="2"/>
  <c r="V633" i="2"/>
  <c r="H632" i="2"/>
  <c r="H633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8" i="2"/>
  <c r="S912" i="2"/>
  <c r="R912" i="2"/>
  <c r="P912" i="2"/>
  <c r="Q912" i="2"/>
  <c r="T912" i="2"/>
  <c r="U912" i="2"/>
  <c r="O912" i="2"/>
  <c r="L912" i="2"/>
  <c r="K912" i="2"/>
  <c r="F685" i="2"/>
  <c r="F659" i="2"/>
  <c r="F658" i="2"/>
  <c r="F657" i="2"/>
  <c r="G135" i="6"/>
  <c r="I135" i="6"/>
  <c r="S876" i="2"/>
  <c r="R876" i="2"/>
  <c r="P876" i="2"/>
  <c r="O876" i="2"/>
  <c r="Q876" i="2"/>
  <c r="T876" i="2"/>
  <c r="U876" i="2"/>
  <c r="L876" i="2"/>
  <c r="K876" i="2"/>
  <c r="S878" i="2"/>
  <c r="R878" i="2"/>
  <c r="T878" i="2"/>
  <c r="P878" i="2"/>
  <c r="O878" i="2"/>
  <c r="L878" i="2"/>
  <c r="K878" i="2"/>
  <c r="S877" i="2"/>
  <c r="R877" i="2"/>
  <c r="P877" i="2"/>
  <c r="O877" i="2"/>
  <c r="Q877" i="2"/>
  <c r="T877" i="2"/>
  <c r="U877" i="2"/>
  <c r="L877" i="2"/>
  <c r="K877" i="2"/>
  <c r="S875" i="2"/>
  <c r="R875" i="2"/>
  <c r="P875" i="2"/>
  <c r="O875" i="2"/>
  <c r="Q875" i="2"/>
  <c r="L875" i="2"/>
  <c r="K875" i="2"/>
  <c r="S874" i="2"/>
  <c r="R874" i="2"/>
  <c r="P874" i="2"/>
  <c r="O874" i="2"/>
  <c r="L874" i="2"/>
  <c r="K874" i="2"/>
  <c r="S647" i="2"/>
  <c r="R647" i="2"/>
  <c r="P647" i="2"/>
  <c r="O647" i="2"/>
  <c r="L647" i="2"/>
  <c r="K647" i="2"/>
  <c r="S630" i="2"/>
  <c r="R630" i="2"/>
  <c r="P630" i="2"/>
  <c r="O630" i="2"/>
  <c r="L630" i="2"/>
  <c r="K630" i="2"/>
  <c r="S629" i="2"/>
  <c r="R629" i="2"/>
  <c r="P629" i="2"/>
  <c r="O629" i="2"/>
  <c r="L629" i="2"/>
  <c r="K629" i="2"/>
  <c r="S628" i="2"/>
  <c r="R628" i="2"/>
  <c r="P628" i="2"/>
  <c r="O628" i="2"/>
  <c r="Q628" i="2"/>
  <c r="T628" i="2"/>
  <c r="U628" i="2"/>
  <c r="L628" i="2"/>
  <c r="K628" i="2"/>
  <c r="S627" i="2"/>
  <c r="R627" i="2"/>
  <c r="P627" i="2"/>
  <c r="O627" i="2"/>
  <c r="L627" i="2"/>
  <c r="K627" i="2"/>
  <c r="S626" i="2"/>
  <c r="R626" i="2"/>
  <c r="P626" i="2"/>
  <c r="O626" i="2"/>
  <c r="L626" i="2"/>
  <c r="K626" i="2"/>
  <c r="S625" i="2"/>
  <c r="R625" i="2"/>
  <c r="T625" i="2"/>
  <c r="P625" i="2"/>
  <c r="O625" i="2"/>
  <c r="L625" i="2"/>
  <c r="K625" i="2"/>
  <c r="S624" i="2"/>
  <c r="R624" i="2"/>
  <c r="P624" i="2"/>
  <c r="O624" i="2"/>
  <c r="L624" i="2"/>
  <c r="K624" i="2"/>
  <c r="S623" i="2"/>
  <c r="R623" i="2"/>
  <c r="P623" i="2"/>
  <c r="O623" i="2"/>
  <c r="L623" i="2"/>
  <c r="K623" i="2"/>
  <c r="S620" i="2"/>
  <c r="R620" i="2"/>
  <c r="P620" i="2"/>
  <c r="O620" i="2"/>
  <c r="L620" i="2"/>
  <c r="K620" i="2"/>
  <c r="S622" i="2"/>
  <c r="R622" i="2"/>
  <c r="P622" i="2"/>
  <c r="O622" i="2"/>
  <c r="L622" i="2"/>
  <c r="K622" i="2"/>
  <c r="S621" i="2"/>
  <c r="R621" i="2"/>
  <c r="P621" i="2"/>
  <c r="O621" i="2"/>
  <c r="Q621" i="2"/>
  <c r="T621" i="2"/>
  <c r="U621" i="2"/>
  <c r="L621" i="2"/>
  <c r="K621" i="2"/>
  <c r="S619" i="2"/>
  <c r="R619" i="2"/>
  <c r="T619" i="2"/>
  <c r="P619" i="2"/>
  <c r="O619" i="2"/>
  <c r="L619" i="2"/>
  <c r="K619" i="2"/>
  <c r="S618" i="2"/>
  <c r="R618" i="2"/>
  <c r="P618" i="2"/>
  <c r="O618" i="2"/>
  <c r="Q618" i="2"/>
  <c r="T618" i="2"/>
  <c r="U618" i="2"/>
  <c r="L618" i="2"/>
  <c r="K618" i="2"/>
  <c r="S617" i="2"/>
  <c r="R617" i="2"/>
  <c r="P617" i="2"/>
  <c r="O617" i="2"/>
  <c r="L617" i="2"/>
  <c r="K617" i="2"/>
  <c r="S594" i="2"/>
  <c r="R594" i="2"/>
  <c r="P594" i="2"/>
  <c r="O594" i="2"/>
  <c r="Q594" i="2"/>
  <c r="T594" i="2"/>
  <c r="U594" i="2"/>
  <c r="L594" i="2"/>
  <c r="K594" i="2"/>
  <c r="S591" i="2"/>
  <c r="R591" i="2"/>
  <c r="P591" i="2"/>
  <c r="O591" i="2"/>
  <c r="L591" i="2"/>
  <c r="K591" i="2"/>
  <c r="K595" i="2"/>
  <c r="L595" i="2"/>
  <c r="R160" i="2"/>
  <c r="P160" i="2"/>
  <c r="O160" i="2"/>
  <c r="L160" i="2"/>
  <c r="K160" i="2"/>
  <c r="R159" i="2"/>
  <c r="P159" i="2"/>
  <c r="O159" i="2"/>
  <c r="L159" i="2"/>
  <c r="K159" i="2"/>
  <c r="S158" i="2"/>
  <c r="R158" i="2"/>
  <c r="P158" i="2"/>
  <c r="O158" i="2"/>
  <c r="L158" i="2"/>
  <c r="K158" i="2"/>
  <c r="S157" i="2"/>
  <c r="R157" i="2"/>
  <c r="P157" i="2"/>
  <c r="O157" i="2"/>
  <c r="L157" i="2"/>
  <c r="K157" i="2"/>
  <c r="S156" i="2"/>
  <c r="R156" i="2"/>
  <c r="P156" i="2"/>
  <c r="O156" i="2"/>
  <c r="L156" i="2"/>
  <c r="K156" i="2"/>
  <c r="S155" i="2"/>
  <c r="R155" i="2"/>
  <c r="P155" i="2"/>
  <c r="O155" i="2"/>
  <c r="L155" i="2"/>
  <c r="K155" i="2"/>
  <c r="S154" i="2"/>
  <c r="R154" i="2"/>
  <c r="P154" i="2"/>
  <c r="O154" i="2"/>
  <c r="L154" i="2"/>
  <c r="K154" i="2"/>
  <c r="G108" i="6"/>
  <c r="G206" i="6"/>
  <c r="G212" i="6"/>
  <c r="D179" i="6"/>
  <c r="D172" i="6"/>
  <c r="D153" i="6"/>
  <c r="G88" i="6"/>
  <c r="G74" i="6"/>
  <c r="G62" i="6"/>
  <c r="G235" i="6"/>
  <c r="F225" i="6"/>
  <c r="G228" i="6"/>
  <c r="G241" i="6"/>
  <c r="G211" i="6"/>
  <c r="G191" i="6"/>
  <c r="I178" i="6"/>
  <c r="F177" i="6"/>
  <c r="I177" i="6"/>
  <c r="I176" i="6"/>
  <c r="F175" i="6"/>
  <c r="I174" i="6"/>
  <c r="I171" i="6"/>
  <c r="F170" i="6"/>
  <c r="I170" i="6"/>
  <c r="F169" i="6"/>
  <c r="I169" i="6"/>
  <c r="F168" i="6"/>
  <c r="I168" i="6"/>
  <c r="I167" i="6"/>
  <c r="F166" i="6"/>
  <c r="I166" i="6"/>
  <c r="I165" i="6"/>
  <c r="I164" i="6"/>
  <c r="F163" i="6"/>
  <c r="I163" i="6"/>
  <c r="I162" i="6"/>
  <c r="I161" i="6"/>
  <c r="I160" i="6"/>
  <c r="I159" i="6"/>
  <c r="F158" i="6"/>
  <c r="I157" i="6"/>
  <c r="F156" i="6"/>
  <c r="I156" i="6"/>
  <c r="I152" i="6"/>
  <c r="F151" i="6"/>
  <c r="I151" i="6"/>
  <c r="F150" i="6"/>
  <c r="I150" i="6"/>
  <c r="I149" i="6"/>
  <c r="I148" i="6"/>
  <c r="I147" i="6"/>
  <c r="F146" i="6"/>
  <c r="I146" i="6"/>
  <c r="F145" i="6"/>
  <c r="I145" i="6"/>
  <c r="F144" i="6"/>
  <c r="I144" i="6"/>
  <c r="F143" i="6"/>
  <c r="F142" i="6"/>
  <c r="I142" i="6"/>
  <c r="I141" i="6"/>
  <c r="I140" i="6"/>
  <c r="I136" i="6"/>
  <c r="G129" i="6"/>
  <c r="G113" i="6"/>
  <c r="F103" i="6"/>
  <c r="G105" i="6"/>
  <c r="F10" i="6"/>
  <c r="F98" i="6"/>
  <c r="G100" i="6"/>
  <c r="F93" i="6"/>
  <c r="G95" i="6"/>
  <c r="F79" i="6"/>
  <c r="F77" i="6"/>
  <c r="G58" i="6"/>
  <c r="F43" i="6"/>
  <c r="G54" i="6"/>
  <c r="F25" i="6"/>
  <c r="G32" i="6"/>
  <c r="F14" i="6"/>
  <c r="G23" i="6"/>
  <c r="F4" i="6"/>
  <c r="F915" i="2"/>
  <c r="G915" i="2"/>
  <c r="F649" i="2"/>
  <c r="G163" i="2"/>
  <c r="F163" i="2"/>
  <c r="G102" i="5"/>
  <c r="F102" i="5"/>
  <c r="J113" i="5"/>
  <c r="J117" i="5"/>
  <c r="I113" i="5"/>
  <c r="G113" i="5"/>
  <c r="F113" i="5"/>
  <c r="S110" i="5"/>
  <c r="P110" i="5"/>
  <c r="O110" i="5"/>
  <c r="L110" i="5"/>
  <c r="K110" i="5"/>
  <c r="S109" i="5"/>
  <c r="P109" i="5"/>
  <c r="O109" i="5"/>
  <c r="L109" i="5"/>
  <c r="K109" i="5"/>
  <c r="S108" i="5"/>
  <c r="P108" i="5"/>
  <c r="O108" i="5"/>
  <c r="L108" i="5"/>
  <c r="K108" i="5"/>
  <c r="S107" i="5"/>
  <c r="P107" i="5"/>
  <c r="O107" i="5"/>
  <c r="L107" i="5"/>
  <c r="K107" i="5"/>
  <c r="P106" i="5"/>
  <c r="O106" i="5"/>
  <c r="L106" i="5"/>
  <c r="K106" i="5"/>
  <c r="J119" i="5"/>
  <c r="I102" i="5"/>
  <c r="I117" i="5"/>
  <c r="R95" i="5"/>
  <c r="P95" i="5"/>
  <c r="O95" i="5"/>
  <c r="L95" i="5"/>
  <c r="K95" i="5"/>
  <c r="R94" i="5"/>
  <c r="P94" i="5"/>
  <c r="O94" i="5"/>
  <c r="L94" i="5"/>
  <c r="K94" i="5"/>
  <c r="R93" i="5"/>
  <c r="P93" i="5"/>
  <c r="O93" i="5"/>
  <c r="L93" i="5"/>
  <c r="K93" i="5"/>
  <c r="R92" i="5"/>
  <c r="P92" i="5"/>
  <c r="O92" i="5"/>
  <c r="Q92" i="5"/>
  <c r="L92" i="5"/>
  <c r="K92" i="5"/>
  <c r="R91" i="5"/>
  <c r="P91" i="5"/>
  <c r="O91" i="5"/>
  <c r="L91" i="5"/>
  <c r="K91" i="5"/>
  <c r="R90" i="5"/>
  <c r="P90" i="5"/>
  <c r="O90" i="5"/>
  <c r="L90" i="5"/>
  <c r="K90" i="5"/>
  <c r="R89" i="5"/>
  <c r="P89" i="5"/>
  <c r="O89" i="5"/>
  <c r="L89" i="5"/>
  <c r="K89" i="5"/>
  <c r="R88" i="5"/>
  <c r="P88" i="5"/>
  <c r="O88" i="5"/>
  <c r="L88" i="5"/>
  <c r="K88" i="5"/>
  <c r="R87" i="5"/>
  <c r="P87" i="5"/>
  <c r="O87" i="5"/>
  <c r="L87" i="5"/>
  <c r="K87" i="5"/>
  <c r="R86" i="5"/>
  <c r="P86" i="5"/>
  <c r="O86" i="5"/>
  <c r="L86" i="5"/>
  <c r="K86" i="5"/>
  <c r="R85" i="5"/>
  <c r="P85" i="5"/>
  <c r="O85" i="5"/>
  <c r="L85" i="5"/>
  <c r="K85" i="5"/>
  <c r="R84" i="5"/>
  <c r="P84" i="5"/>
  <c r="O84" i="5"/>
  <c r="L84" i="5"/>
  <c r="K84" i="5"/>
  <c r="R83" i="5"/>
  <c r="P83" i="5"/>
  <c r="O83" i="5"/>
  <c r="L83" i="5"/>
  <c r="K83" i="5"/>
  <c r="R82" i="5"/>
  <c r="P82" i="5"/>
  <c r="O82" i="5"/>
  <c r="L82" i="5"/>
  <c r="K82" i="5"/>
  <c r="R81" i="5"/>
  <c r="P81" i="5"/>
  <c r="O81" i="5"/>
  <c r="L81" i="5"/>
  <c r="K81" i="5"/>
  <c r="R80" i="5"/>
  <c r="P80" i="5"/>
  <c r="O80" i="5"/>
  <c r="L80" i="5"/>
  <c r="K80" i="5"/>
  <c r="R79" i="5"/>
  <c r="P79" i="5"/>
  <c r="O79" i="5"/>
  <c r="L79" i="5"/>
  <c r="K79" i="5"/>
  <c r="R78" i="5"/>
  <c r="P78" i="5"/>
  <c r="O78" i="5"/>
  <c r="L78" i="5"/>
  <c r="K78" i="5"/>
  <c r="R77" i="5"/>
  <c r="P77" i="5"/>
  <c r="O77" i="5"/>
  <c r="L77" i="5"/>
  <c r="K77" i="5"/>
  <c r="R76" i="5"/>
  <c r="P76" i="5"/>
  <c r="O76" i="5"/>
  <c r="L76" i="5"/>
  <c r="K76" i="5"/>
  <c r="R75" i="5"/>
  <c r="P75" i="5"/>
  <c r="O75" i="5"/>
  <c r="L75" i="5"/>
  <c r="K75" i="5"/>
  <c r="R74" i="5"/>
  <c r="P74" i="5"/>
  <c r="O74" i="5"/>
  <c r="L74" i="5"/>
  <c r="K74" i="5"/>
  <c r="R73" i="5"/>
  <c r="P73" i="5"/>
  <c r="O73" i="5"/>
  <c r="L73" i="5"/>
  <c r="K73" i="5"/>
  <c r="R72" i="5"/>
  <c r="P72" i="5"/>
  <c r="O72" i="5"/>
  <c r="L72" i="5"/>
  <c r="K72" i="5"/>
  <c r="R71" i="5"/>
  <c r="P71" i="5"/>
  <c r="O71" i="5"/>
  <c r="L71" i="5"/>
  <c r="K71" i="5"/>
  <c r="R70" i="5"/>
  <c r="P70" i="5"/>
  <c r="O70" i="5"/>
  <c r="L70" i="5"/>
  <c r="K70" i="5"/>
  <c r="R69" i="5"/>
  <c r="P69" i="5"/>
  <c r="O69" i="5"/>
  <c r="L69" i="5"/>
  <c r="K69" i="5"/>
  <c r="R68" i="5"/>
  <c r="P68" i="5"/>
  <c r="O68" i="5"/>
  <c r="L68" i="5"/>
  <c r="K68" i="5"/>
  <c r="P67" i="5"/>
  <c r="O67" i="5"/>
  <c r="L67" i="5"/>
  <c r="K67" i="5"/>
  <c r="P66" i="5"/>
  <c r="O66" i="5"/>
  <c r="L66" i="5"/>
  <c r="K66" i="5"/>
  <c r="R65" i="5"/>
  <c r="P65" i="5"/>
  <c r="O65" i="5"/>
  <c r="L65" i="5"/>
  <c r="K65" i="5"/>
  <c r="R64" i="5"/>
  <c r="P64" i="5"/>
  <c r="O64" i="5"/>
  <c r="L64" i="5"/>
  <c r="K64" i="5"/>
  <c r="R63" i="5"/>
  <c r="P63" i="5"/>
  <c r="O63" i="5"/>
  <c r="L63" i="5"/>
  <c r="K63" i="5"/>
  <c r="R62" i="5"/>
  <c r="P62" i="5"/>
  <c r="O62" i="5"/>
  <c r="L62" i="5"/>
  <c r="K62" i="5"/>
  <c r="P61" i="5"/>
  <c r="O61" i="5"/>
  <c r="L61" i="5"/>
  <c r="K61" i="5"/>
  <c r="R60" i="5"/>
  <c r="P60" i="5"/>
  <c r="O60" i="5"/>
  <c r="L60" i="5"/>
  <c r="K60" i="5"/>
  <c r="R59" i="5"/>
  <c r="P59" i="5"/>
  <c r="O59" i="5"/>
  <c r="L59" i="5"/>
  <c r="K59" i="5"/>
  <c r="R58" i="5"/>
  <c r="P58" i="5"/>
  <c r="O58" i="5"/>
  <c r="L58" i="5"/>
  <c r="K58" i="5"/>
  <c r="R57" i="5"/>
  <c r="P57" i="5"/>
  <c r="O57" i="5"/>
  <c r="L57" i="5"/>
  <c r="K57" i="5"/>
  <c r="R56" i="5"/>
  <c r="P56" i="5"/>
  <c r="O56" i="5"/>
  <c r="L56" i="5"/>
  <c r="K56" i="5"/>
  <c r="R55" i="5"/>
  <c r="P55" i="5"/>
  <c r="O55" i="5"/>
  <c r="L55" i="5"/>
  <c r="K55" i="5"/>
  <c r="R54" i="5"/>
  <c r="P54" i="5"/>
  <c r="O54" i="5"/>
  <c r="L54" i="5"/>
  <c r="K54" i="5"/>
  <c r="R53" i="5"/>
  <c r="P53" i="5"/>
  <c r="O53" i="5"/>
  <c r="L53" i="5"/>
  <c r="K53" i="5"/>
  <c r="R52" i="5"/>
  <c r="P52" i="5"/>
  <c r="O52" i="5"/>
  <c r="L52" i="5"/>
  <c r="K52" i="5"/>
  <c r="R51" i="5"/>
  <c r="P51" i="5"/>
  <c r="O51" i="5"/>
  <c r="L51" i="5"/>
  <c r="K51" i="5"/>
  <c r="R50" i="5"/>
  <c r="P50" i="5"/>
  <c r="O50" i="5"/>
  <c r="L50" i="5"/>
  <c r="K50" i="5"/>
  <c r="R49" i="5"/>
  <c r="P49" i="5"/>
  <c r="O49" i="5"/>
  <c r="L49" i="5"/>
  <c r="K49" i="5"/>
  <c r="R48" i="5"/>
  <c r="P48" i="5"/>
  <c r="O48" i="5"/>
  <c r="L48" i="5"/>
  <c r="K48" i="5"/>
  <c r="R47" i="5"/>
  <c r="P47" i="5"/>
  <c r="O47" i="5"/>
  <c r="L47" i="5"/>
  <c r="K47" i="5"/>
  <c r="P46" i="5"/>
  <c r="O46" i="5"/>
  <c r="L46" i="5"/>
  <c r="K46" i="5"/>
  <c r="R45" i="5"/>
  <c r="P45" i="5"/>
  <c r="O45" i="5"/>
  <c r="L45" i="5"/>
  <c r="K45" i="5"/>
  <c r="R44" i="5"/>
  <c r="P44" i="5"/>
  <c r="O44" i="5"/>
  <c r="L44" i="5"/>
  <c r="K44" i="5"/>
  <c r="R43" i="5"/>
  <c r="P43" i="5"/>
  <c r="O43" i="5"/>
  <c r="L43" i="5"/>
  <c r="K43" i="5"/>
  <c r="P42" i="5"/>
  <c r="O42" i="5"/>
  <c r="L42" i="5"/>
  <c r="K42" i="5"/>
  <c r="P41" i="5"/>
  <c r="O41" i="5"/>
  <c r="L41" i="5"/>
  <c r="K41" i="5"/>
  <c r="R40" i="5"/>
  <c r="P40" i="5"/>
  <c r="O40" i="5"/>
  <c r="L40" i="5"/>
  <c r="K40" i="5"/>
  <c r="R39" i="5"/>
  <c r="P39" i="5"/>
  <c r="O39" i="5"/>
  <c r="L39" i="5"/>
  <c r="K39" i="5"/>
  <c r="P38" i="5"/>
  <c r="O38" i="5"/>
  <c r="L38" i="5"/>
  <c r="K38" i="5"/>
  <c r="R37" i="5"/>
  <c r="P37" i="5"/>
  <c r="O37" i="5"/>
  <c r="L37" i="5"/>
  <c r="K37" i="5"/>
  <c r="R36" i="5"/>
  <c r="P36" i="5"/>
  <c r="O36" i="5"/>
  <c r="L36" i="5"/>
  <c r="K36" i="5"/>
  <c r="P35" i="5"/>
  <c r="O35" i="5"/>
  <c r="L35" i="5"/>
  <c r="K35" i="5"/>
  <c r="R34" i="5"/>
  <c r="P34" i="5"/>
  <c r="O34" i="5"/>
  <c r="L34" i="5"/>
  <c r="K34" i="5"/>
  <c r="R33" i="5"/>
  <c r="P33" i="5"/>
  <c r="O33" i="5"/>
  <c r="L33" i="5"/>
  <c r="K33" i="5"/>
  <c r="R32" i="5"/>
  <c r="P32" i="5"/>
  <c r="O32" i="5"/>
  <c r="L32" i="5"/>
  <c r="K32" i="5"/>
  <c r="R31" i="5"/>
  <c r="P31" i="5"/>
  <c r="O31" i="5"/>
  <c r="L31" i="5"/>
  <c r="K31" i="5"/>
  <c r="R30" i="5"/>
  <c r="P30" i="5"/>
  <c r="O30" i="5"/>
  <c r="L30" i="5"/>
  <c r="K30" i="5"/>
  <c r="R29" i="5"/>
  <c r="P29" i="5"/>
  <c r="O29" i="5"/>
  <c r="L29" i="5"/>
  <c r="K29" i="5"/>
  <c r="R28" i="5"/>
  <c r="P28" i="5"/>
  <c r="O28" i="5"/>
  <c r="L28" i="5"/>
  <c r="K28" i="5"/>
  <c r="R27" i="5"/>
  <c r="P27" i="5"/>
  <c r="O27" i="5"/>
  <c r="L27" i="5"/>
  <c r="K27" i="5"/>
  <c r="R26" i="5"/>
  <c r="P26" i="5"/>
  <c r="Q26" i="5"/>
  <c r="O26" i="5"/>
  <c r="L26" i="5"/>
  <c r="K26" i="5"/>
  <c r="R25" i="5"/>
  <c r="P25" i="5"/>
  <c r="O25" i="5"/>
  <c r="L25" i="5"/>
  <c r="K25" i="5"/>
  <c r="R24" i="5"/>
  <c r="P24" i="5"/>
  <c r="O24" i="5"/>
  <c r="L24" i="5"/>
  <c r="K24" i="5"/>
  <c r="R23" i="5"/>
  <c r="P23" i="5"/>
  <c r="O23" i="5"/>
  <c r="L23" i="5"/>
  <c r="K23" i="5"/>
  <c r="R22" i="5"/>
  <c r="P22" i="5"/>
  <c r="O22" i="5"/>
  <c r="L22" i="5"/>
  <c r="K22" i="5"/>
  <c r="R21" i="5"/>
  <c r="P21" i="5"/>
  <c r="O21" i="5"/>
  <c r="L21" i="5"/>
  <c r="K21" i="5"/>
  <c r="R20" i="5"/>
  <c r="P20" i="5"/>
  <c r="O20" i="5"/>
  <c r="L20" i="5"/>
  <c r="K20" i="5"/>
  <c r="R19" i="5"/>
  <c r="P19" i="5"/>
  <c r="O19" i="5"/>
  <c r="L19" i="5"/>
  <c r="K19" i="5"/>
  <c r="R18" i="5"/>
  <c r="P18" i="5"/>
  <c r="O18" i="5"/>
  <c r="L18" i="5"/>
  <c r="K18" i="5"/>
  <c r="R17" i="5"/>
  <c r="P17" i="5"/>
  <c r="O17" i="5"/>
  <c r="L17" i="5"/>
  <c r="K17" i="5"/>
  <c r="R16" i="5"/>
  <c r="P16" i="5"/>
  <c r="O16" i="5"/>
  <c r="L16" i="5"/>
  <c r="K16" i="5"/>
  <c r="U3" i="5"/>
  <c r="R61" i="5"/>
  <c r="G106" i="4"/>
  <c r="G108" i="4"/>
  <c r="Q103" i="4"/>
  <c r="S103" i="4"/>
  <c r="M103" i="4"/>
  <c r="M106" i="4"/>
  <c r="M108" i="4"/>
  <c r="K103" i="4"/>
  <c r="I103" i="4"/>
  <c r="G103" i="4"/>
  <c r="S93" i="4"/>
  <c r="Q93" i="4"/>
  <c r="Q106" i="4"/>
  <c r="Q108" i="4"/>
  <c r="K93" i="4"/>
  <c r="I93" i="4"/>
  <c r="I106" i="4"/>
  <c r="I108" i="4"/>
  <c r="G93" i="4"/>
  <c r="J163" i="2"/>
  <c r="H162" i="2"/>
  <c r="H163" i="2"/>
  <c r="I649" i="2"/>
  <c r="I881" i="2"/>
  <c r="AC14" i="1"/>
  <c r="AD14" i="1"/>
  <c r="AA14" i="1"/>
  <c r="S911" i="2"/>
  <c r="P911" i="2"/>
  <c r="O911" i="2"/>
  <c r="L911" i="2"/>
  <c r="K911" i="2"/>
  <c r="S910" i="2"/>
  <c r="P910" i="2"/>
  <c r="O910" i="2"/>
  <c r="L910" i="2"/>
  <c r="K910" i="2"/>
  <c r="S909" i="2"/>
  <c r="P909" i="2"/>
  <c r="O909" i="2"/>
  <c r="L909" i="2"/>
  <c r="K909" i="2"/>
  <c r="S908" i="2"/>
  <c r="P908" i="2"/>
  <c r="O908" i="2"/>
  <c r="L908" i="2"/>
  <c r="K908" i="2"/>
  <c r="S907" i="2"/>
  <c r="P907" i="2"/>
  <c r="O907" i="2"/>
  <c r="L907" i="2"/>
  <c r="K907" i="2"/>
  <c r="S906" i="2"/>
  <c r="P906" i="2"/>
  <c r="O906" i="2"/>
  <c r="L906" i="2"/>
  <c r="K906" i="2"/>
  <c r="S905" i="2"/>
  <c r="P905" i="2"/>
  <c r="O905" i="2"/>
  <c r="L905" i="2"/>
  <c r="K905" i="2"/>
  <c r="S904" i="2"/>
  <c r="P904" i="2"/>
  <c r="O904" i="2"/>
  <c r="L904" i="2"/>
  <c r="K904" i="2"/>
  <c r="S903" i="2"/>
  <c r="P903" i="2"/>
  <c r="O903" i="2"/>
  <c r="L903" i="2"/>
  <c r="K903" i="2"/>
  <c r="S902" i="2"/>
  <c r="P902" i="2"/>
  <c r="O902" i="2"/>
  <c r="L902" i="2"/>
  <c r="K902" i="2"/>
  <c r="S901" i="2"/>
  <c r="P901" i="2"/>
  <c r="O901" i="2"/>
  <c r="L901" i="2"/>
  <c r="K901" i="2"/>
  <c r="S900" i="2"/>
  <c r="P900" i="2"/>
  <c r="O900" i="2"/>
  <c r="L900" i="2"/>
  <c r="K900" i="2"/>
  <c r="S899" i="2"/>
  <c r="P899" i="2"/>
  <c r="O899" i="2"/>
  <c r="L899" i="2"/>
  <c r="K899" i="2"/>
  <c r="S898" i="2"/>
  <c r="P898" i="2"/>
  <c r="O898" i="2"/>
  <c r="L898" i="2"/>
  <c r="K898" i="2"/>
  <c r="S897" i="2"/>
  <c r="P897" i="2"/>
  <c r="O897" i="2"/>
  <c r="L897" i="2"/>
  <c r="K897" i="2"/>
  <c r="S896" i="2"/>
  <c r="P896" i="2"/>
  <c r="O896" i="2"/>
  <c r="L896" i="2"/>
  <c r="K896" i="2"/>
  <c r="S895" i="2"/>
  <c r="P895" i="2"/>
  <c r="O895" i="2"/>
  <c r="L895" i="2"/>
  <c r="K895" i="2"/>
  <c r="S894" i="2"/>
  <c r="P894" i="2"/>
  <c r="O894" i="2"/>
  <c r="L894" i="2"/>
  <c r="K894" i="2"/>
  <c r="S893" i="2"/>
  <c r="P893" i="2"/>
  <c r="O893" i="2"/>
  <c r="L893" i="2"/>
  <c r="K893" i="2"/>
  <c r="S892" i="2"/>
  <c r="P892" i="2"/>
  <c r="O892" i="2"/>
  <c r="L892" i="2"/>
  <c r="K892" i="2"/>
  <c r="S891" i="2"/>
  <c r="P891" i="2"/>
  <c r="O891" i="2"/>
  <c r="L891" i="2"/>
  <c r="K891" i="2"/>
  <c r="S890" i="2"/>
  <c r="P890" i="2"/>
  <c r="O890" i="2"/>
  <c r="L890" i="2"/>
  <c r="K890" i="2"/>
  <c r="S889" i="2"/>
  <c r="P889" i="2"/>
  <c r="O889" i="2"/>
  <c r="L889" i="2"/>
  <c r="K889" i="2"/>
  <c r="S888" i="2"/>
  <c r="P888" i="2"/>
  <c r="O888" i="2"/>
  <c r="L888" i="2"/>
  <c r="K888" i="2"/>
  <c r="S887" i="2"/>
  <c r="P887" i="2"/>
  <c r="O887" i="2"/>
  <c r="L887" i="2"/>
  <c r="K887" i="2"/>
  <c r="S886" i="2"/>
  <c r="P886" i="2"/>
  <c r="O886" i="2"/>
  <c r="L886" i="2"/>
  <c r="K886" i="2"/>
  <c r="S885" i="2"/>
  <c r="P885" i="2"/>
  <c r="O885" i="2"/>
  <c r="L885" i="2"/>
  <c r="K885" i="2"/>
  <c r="S873" i="2"/>
  <c r="P873" i="2"/>
  <c r="O873" i="2"/>
  <c r="L873" i="2"/>
  <c r="K873" i="2"/>
  <c r="S872" i="2"/>
  <c r="P872" i="2"/>
  <c r="O872" i="2"/>
  <c r="L872" i="2"/>
  <c r="K872" i="2"/>
  <c r="S871" i="2"/>
  <c r="P871" i="2"/>
  <c r="O871" i="2"/>
  <c r="L871" i="2"/>
  <c r="K871" i="2"/>
  <c r="S870" i="2"/>
  <c r="P870" i="2"/>
  <c r="O870" i="2"/>
  <c r="L870" i="2"/>
  <c r="K870" i="2"/>
  <c r="S869" i="2"/>
  <c r="P869" i="2"/>
  <c r="O869" i="2"/>
  <c r="L869" i="2"/>
  <c r="K869" i="2"/>
  <c r="S868" i="2"/>
  <c r="P868" i="2"/>
  <c r="O868" i="2"/>
  <c r="L868" i="2"/>
  <c r="K868" i="2"/>
  <c r="S867" i="2"/>
  <c r="P867" i="2"/>
  <c r="O867" i="2"/>
  <c r="L867" i="2"/>
  <c r="K867" i="2"/>
  <c r="S866" i="2"/>
  <c r="P866" i="2"/>
  <c r="O866" i="2"/>
  <c r="L866" i="2"/>
  <c r="K866" i="2"/>
  <c r="S865" i="2"/>
  <c r="P865" i="2"/>
  <c r="O865" i="2"/>
  <c r="L865" i="2"/>
  <c r="K865" i="2"/>
  <c r="S864" i="2"/>
  <c r="P864" i="2"/>
  <c r="O864" i="2"/>
  <c r="L864" i="2"/>
  <c r="K864" i="2"/>
  <c r="S863" i="2"/>
  <c r="P863" i="2"/>
  <c r="O863" i="2"/>
  <c r="L863" i="2"/>
  <c r="K863" i="2"/>
  <c r="S862" i="2"/>
  <c r="P862" i="2"/>
  <c r="O862" i="2"/>
  <c r="L862" i="2"/>
  <c r="K862" i="2"/>
  <c r="S861" i="2"/>
  <c r="P861" i="2"/>
  <c r="O861" i="2"/>
  <c r="L861" i="2"/>
  <c r="K861" i="2"/>
  <c r="S860" i="2"/>
  <c r="P860" i="2"/>
  <c r="O860" i="2"/>
  <c r="L860" i="2"/>
  <c r="K860" i="2"/>
  <c r="S859" i="2"/>
  <c r="P859" i="2"/>
  <c r="O859" i="2"/>
  <c r="L859" i="2"/>
  <c r="K859" i="2"/>
  <c r="S858" i="2"/>
  <c r="P858" i="2"/>
  <c r="O858" i="2"/>
  <c r="L858" i="2"/>
  <c r="K858" i="2"/>
  <c r="S857" i="2"/>
  <c r="P857" i="2"/>
  <c r="O857" i="2"/>
  <c r="L857" i="2"/>
  <c r="K857" i="2"/>
  <c r="S856" i="2"/>
  <c r="P856" i="2"/>
  <c r="O856" i="2"/>
  <c r="L856" i="2"/>
  <c r="K856" i="2"/>
  <c r="S855" i="2"/>
  <c r="P855" i="2"/>
  <c r="O855" i="2"/>
  <c r="L855" i="2"/>
  <c r="K855" i="2"/>
  <c r="S854" i="2"/>
  <c r="P854" i="2"/>
  <c r="O854" i="2"/>
  <c r="L854" i="2"/>
  <c r="K854" i="2"/>
  <c r="S853" i="2"/>
  <c r="P853" i="2"/>
  <c r="O853" i="2"/>
  <c r="L853" i="2"/>
  <c r="K853" i="2"/>
  <c r="S852" i="2"/>
  <c r="P852" i="2"/>
  <c r="O852" i="2"/>
  <c r="L852" i="2"/>
  <c r="K852" i="2"/>
  <c r="S851" i="2"/>
  <c r="P851" i="2"/>
  <c r="O851" i="2"/>
  <c r="L851" i="2"/>
  <c r="K851" i="2"/>
  <c r="S850" i="2"/>
  <c r="P850" i="2"/>
  <c r="O850" i="2"/>
  <c r="L850" i="2"/>
  <c r="K850" i="2"/>
  <c r="S849" i="2"/>
  <c r="P849" i="2"/>
  <c r="O849" i="2"/>
  <c r="L849" i="2"/>
  <c r="K849" i="2"/>
  <c r="S848" i="2"/>
  <c r="P848" i="2"/>
  <c r="O848" i="2"/>
  <c r="L848" i="2"/>
  <c r="K848" i="2"/>
  <c r="S847" i="2"/>
  <c r="P847" i="2"/>
  <c r="O847" i="2"/>
  <c r="L847" i="2"/>
  <c r="K847" i="2"/>
  <c r="S846" i="2"/>
  <c r="P846" i="2"/>
  <c r="O846" i="2"/>
  <c r="L846" i="2"/>
  <c r="K846" i="2"/>
  <c r="S845" i="2"/>
  <c r="P845" i="2"/>
  <c r="O845" i="2"/>
  <c r="L845" i="2"/>
  <c r="K845" i="2"/>
  <c r="S844" i="2"/>
  <c r="P844" i="2"/>
  <c r="O844" i="2"/>
  <c r="L844" i="2"/>
  <c r="K844" i="2"/>
  <c r="S843" i="2"/>
  <c r="P843" i="2"/>
  <c r="O843" i="2"/>
  <c r="L843" i="2"/>
  <c r="K843" i="2"/>
  <c r="S842" i="2"/>
  <c r="P842" i="2"/>
  <c r="O842" i="2"/>
  <c r="L842" i="2"/>
  <c r="K842" i="2"/>
  <c r="S841" i="2"/>
  <c r="P841" i="2"/>
  <c r="O841" i="2"/>
  <c r="L841" i="2"/>
  <c r="K841" i="2"/>
  <c r="S840" i="2"/>
  <c r="P840" i="2"/>
  <c r="O840" i="2"/>
  <c r="L840" i="2"/>
  <c r="K840" i="2"/>
  <c r="S839" i="2"/>
  <c r="P839" i="2"/>
  <c r="O839" i="2"/>
  <c r="L839" i="2"/>
  <c r="K839" i="2"/>
  <c r="S838" i="2"/>
  <c r="P838" i="2"/>
  <c r="O838" i="2"/>
  <c r="L838" i="2"/>
  <c r="K838" i="2"/>
  <c r="S837" i="2"/>
  <c r="P837" i="2"/>
  <c r="O837" i="2"/>
  <c r="L837" i="2"/>
  <c r="K837" i="2"/>
  <c r="S836" i="2"/>
  <c r="P836" i="2"/>
  <c r="O836" i="2"/>
  <c r="L836" i="2"/>
  <c r="K836" i="2"/>
  <c r="S835" i="2"/>
  <c r="P835" i="2"/>
  <c r="O835" i="2"/>
  <c r="L835" i="2"/>
  <c r="K835" i="2"/>
  <c r="S834" i="2"/>
  <c r="P834" i="2"/>
  <c r="O834" i="2"/>
  <c r="L834" i="2"/>
  <c r="K834" i="2"/>
  <c r="S833" i="2"/>
  <c r="P833" i="2"/>
  <c r="O833" i="2"/>
  <c r="L833" i="2"/>
  <c r="K833" i="2"/>
  <c r="S832" i="2"/>
  <c r="P832" i="2"/>
  <c r="O832" i="2"/>
  <c r="L832" i="2"/>
  <c r="K832" i="2"/>
  <c r="S831" i="2"/>
  <c r="P831" i="2"/>
  <c r="O831" i="2"/>
  <c r="L831" i="2"/>
  <c r="K831" i="2"/>
  <c r="S830" i="2"/>
  <c r="P830" i="2"/>
  <c r="O830" i="2"/>
  <c r="L830" i="2"/>
  <c r="K830" i="2"/>
  <c r="S829" i="2"/>
  <c r="P829" i="2"/>
  <c r="O829" i="2"/>
  <c r="L829" i="2"/>
  <c r="K829" i="2"/>
  <c r="S828" i="2"/>
  <c r="P828" i="2"/>
  <c r="O828" i="2"/>
  <c r="L828" i="2"/>
  <c r="K828" i="2"/>
  <c r="S827" i="2"/>
  <c r="P827" i="2"/>
  <c r="O827" i="2"/>
  <c r="L827" i="2"/>
  <c r="K827" i="2"/>
  <c r="S826" i="2"/>
  <c r="P826" i="2"/>
  <c r="O826" i="2"/>
  <c r="L826" i="2"/>
  <c r="K826" i="2"/>
  <c r="S825" i="2"/>
  <c r="P825" i="2"/>
  <c r="O825" i="2"/>
  <c r="L825" i="2"/>
  <c r="K825" i="2"/>
  <c r="S824" i="2"/>
  <c r="P824" i="2"/>
  <c r="O824" i="2"/>
  <c r="L824" i="2"/>
  <c r="K824" i="2"/>
  <c r="S823" i="2"/>
  <c r="P823" i="2"/>
  <c r="O823" i="2"/>
  <c r="L823" i="2"/>
  <c r="K823" i="2"/>
  <c r="S822" i="2"/>
  <c r="P822" i="2"/>
  <c r="O822" i="2"/>
  <c r="L822" i="2"/>
  <c r="K822" i="2"/>
  <c r="S821" i="2"/>
  <c r="P821" i="2"/>
  <c r="O821" i="2"/>
  <c r="L821" i="2"/>
  <c r="K821" i="2"/>
  <c r="S820" i="2"/>
  <c r="P820" i="2"/>
  <c r="O820" i="2"/>
  <c r="L820" i="2"/>
  <c r="K820" i="2"/>
  <c r="S819" i="2"/>
  <c r="P819" i="2"/>
  <c r="O819" i="2"/>
  <c r="L819" i="2"/>
  <c r="K819" i="2"/>
  <c r="S818" i="2"/>
  <c r="P818" i="2"/>
  <c r="O818" i="2"/>
  <c r="L818" i="2"/>
  <c r="K818" i="2"/>
  <c r="S817" i="2"/>
  <c r="P817" i="2"/>
  <c r="O817" i="2"/>
  <c r="L817" i="2"/>
  <c r="K817" i="2"/>
  <c r="S816" i="2"/>
  <c r="P816" i="2"/>
  <c r="O816" i="2"/>
  <c r="L816" i="2"/>
  <c r="K816" i="2"/>
  <c r="S815" i="2"/>
  <c r="P815" i="2"/>
  <c r="O815" i="2"/>
  <c r="L815" i="2"/>
  <c r="K815" i="2"/>
  <c r="S814" i="2"/>
  <c r="P814" i="2"/>
  <c r="O814" i="2"/>
  <c r="L814" i="2"/>
  <c r="K814" i="2"/>
  <c r="S813" i="2"/>
  <c r="P813" i="2"/>
  <c r="O813" i="2"/>
  <c r="L813" i="2"/>
  <c r="K813" i="2"/>
  <c r="S812" i="2"/>
  <c r="P812" i="2"/>
  <c r="O812" i="2"/>
  <c r="L812" i="2"/>
  <c r="K812" i="2"/>
  <c r="S811" i="2"/>
  <c r="P811" i="2"/>
  <c r="O811" i="2"/>
  <c r="L811" i="2"/>
  <c r="K811" i="2"/>
  <c r="S810" i="2"/>
  <c r="P810" i="2"/>
  <c r="O810" i="2"/>
  <c r="L810" i="2"/>
  <c r="K810" i="2"/>
  <c r="S809" i="2"/>
  <c r="P809" i="2"/>
  <c r="O809" i="2"/>
  <c r="L809" i="2"/>
  <c r="K809" i="2"/>
  <c r="S808" i="2"/>
  <c r="P808" i="2"/>
  <c r="O808" i="2"/>
  <c r="L808" i="2"/>
  <c r="K808" i="2"/>
  <c r="S807" i="2"/>
  <c r="P807" i="2"/>
  <c r="O807" i="2"/>
  <c r="L807" i="2"/>
  <c r="K807" i="2"/>
  <c r="S806" i="2"/>
  <c r="P806" i="2"/>
  <c r="O806" i="2"/>
  <c r="L806" i="2"/>
  <c r="K806" i="2"/>
  <c r="S805" i="2"/>
  <c r="P805" i="2"/>
  <c r="O805" i="2"/>
  <c r="L805" i="2"/>
  <c r="K805" i="2"/>
  <c r="S804" i="2"/>
  <c r="P804" i="2"/>
  <c r="O804" i="2"/>
  <c r="L804" i="2"/>
  <c r="K804" i="2"/>
  <c r="S803" i="2"/>
  <c r="P803" i="2"/>
  <c r="Q803" i="2"/>
  <c r="O803" i="2"/>
  <c r="L803" i="2"/>
  <c r="K803" i="2"/>
  <c r="S802" i="2"/>
  <c r="P802" i="2"/>
  <c r="O802" i="2"/>
  <c r="L802" i="2"/>
  <c r="K802" i="2"/>
  <c r="S801" i="2"/>
  <c r="P801" i="2"/>
  <c r="O801" i="2"/>
  <c r="L801" i="2"/>
  <c r="K801" i="2"/>
  <c r="S800" i="2"/>
  <c r="P800" i="2"/>
  <c r="O800" i="2"/>
  <c r="L800" i="2"/>
  <c r="K800" i="2"/>
  <c r="S799" i="2"/>
  <c r="P799" i="2"/>
  <c r="O799" i="2"/>
  <c r="L799" i="2"/>
  <c r="K799" i="2"/>
  <c r="S798" i="2"/>
  <c r="P798" i="2"/>
  <c r="O798" i="2"/>
  <c r="L798" i="2"/>
  <c r="K798" i="2"/>
  <c r="S797" i="2"/>
  <c r="P797" i="2"/>
  <c r="O797" i="2"/>
  <c r="L797" i="2"/>
  <c r="K797" i="2"/>
  <c r="S796" i="2"/>
  <c r="P796" i="2"/>
  <c r="O796" i="2"/>
  <c r="L796" i="2"/>
  <c r="K796" i="2"/>
  <c r="S795" i="2"/>
  <c r="P795" i="2"/>
  <c r="O795" i="2"/>
  <c r="L795" i="2"/>
  <c r="K795" i="2"/>
  <c r="S794" i="2"/>
  <c r="P794" i="2"/>
  <c r="O794" i="2"/>
  <c r="L794" i="2"/>
  <c r="K794" i="2"/>
  <c r="S793" i="2"/>
  <c r="P793" i="2"/>
  <c r="O793" i="2"/>
  <c r="L793" i="2"/>
  <c r="K793" i="2"/>
  <c r="S792" i="2"/>
  <c r="P792" i="2"/>
  <c r="O792" i="2"/>
  <c r="L792" i="2"/>
  <c r="K792" i="2"/>
  <c r="S791" i="2"/>
  <c r="P791" i="2"/>
  <c r="O791" i="2"/>
  <c r="L791" i="2"/>
  <c r="K791" i="2"/>
  <c r="S790" i="2"/>
  <c r="P790" i="2"/>
  <c r="O790" i="2"/>
  <c r="L790" i="2"/>
  <c r="K790" i="2"/>
  <c r="S789" i="2"/>
  <c r="P789" i="2"/>
  <c r="O789" i="2"/>
  <c r="L789" i="2"/>
  <c r="K789" i="2"/>
  <c r="S788" i="2"/>
  <c r="P788" i="2"/>
  <c r="O788" i="2"/>
  <c r="L788" i="2"/>
  <c r="K788" i="2"/>
  <c r="S787" i="2"/>
  <c r="P787" i="2"/>
  <c r="Q787" i="2"/>
  <c r="O787" i="2"/>
  <c r="L787" i="2"/>
  <c r="K787" i="2"/>
  <c r="S786" i="2"/>
  <c r="P786" i="2"/>
  <c r="O786" i="2"/>
  <c r="L786" i="2"/>
  <c r="K786" i="2"/>
  <c r="S785" i="2"/>
  <c r="P785" i="2"/>
  <c r="O785" i="2"/>
  <c r="L785" i="2"/>
  <c r="K785" i="2"/>
  <c r="S784" i="2"/>
  <c r="P784" i="2"/>
  <c r="O784" i="2"/>
  <c r="L784" i="2"/>
  <c r="K784" i="2"/>
  <c r="S783" i="2"/>
  <c r="P783" i="2"/>
  <c r="O783" i="2"/>
  <c r="L783" i="2"/>
  <c r="K783" i="2"/>
  <c r="S782" i="2"/>
  <c r="P782" i="2"/>
  <c r="O782" i="2"/>
  <c r="L782" i="2"/>
  <c r="K782" i="2"/>
  <c r="S781" i="2"/>
  <c r="P781" i="2"/>
  <c r="O781" i="2"/>
  <c r="L781" i="2"/>
  <c r="K781" i="2"/>
  <c r="S780" i="2"/>
  <c r="P780" i="2"/>
  <c r="O780" i="2"/>
  <c r="L780" i="2"/>
  <c r="K780" i="2"/>
  <c r="S779" i="2"/>
  <c r="P779" i="2"/>
  <c r="O779" i="2"/>
  <c r="L779" i="2"/>
  <c r="K779" i="2"/>
  <c r="S778" i="2"/>
  <c r="P778" i="2"/>
  <c r="O778" i="2"/>
  <c r="L778" i="2"/>
  <c r="K778" i="2"/>
  <c r="S777" i="2"/>
  <c r="P777" i="2"/>
  <c r="O777" i="2"/>
  <c r="L777" i="2"/>
  <c r="K777" i="2"/>
  <c r="S776" i="2"/>
  <c r="P776" i="2"/>
  <c r="O776" i="2"/>
  <c r="L776" i="2"/>
  <c r="K776" i="2"/>
  <c r="S775" i="2"/>
  <c r="P775" i="2"/>
  <c r="O775" i="2"/>
  <c r="L775" i="2"/>
  <c r="K775" i="2"/>
  <c r="S774" i="2"/>
  <c r="P774" i="2"/>
  <c r="O774" i="2"/>
  <c r="L774" i="2"/>
  <c r="K774" i="2"/>
  <c r="S773" i="2"/>
  <c r="P773" i="2"/>
  <c r="O773" i="2"/>
  <c r="L773" i="2"/>
  <c r="K773" i="2"/>
  <c r="S772" i="2"/>
  <c r="P772" i="2"/>
  <c r="O772" i="2"/>
  <c r="L772" i="2"/>
  <c r="K772" i="2"/>
  <c r="S771" i="2"/>
  <c r="P771" i="2"/>
  <c r="Q771" i="2"/>
  <c r="O771" i="2"/>
  <c r="L771" i="2"/>
  <c r="K771" i="2"/>
  <c r="S770" i="2"/>
  <c r="P770" i="2"/>
  <c r="O770" i="2"/>
  <c r="L770" i="2"/>
  <c r="K770" i="2"/>
  <c r="S769" i="2"/>
  <c r="P769" i="2"/>
  <c r="O769" i="2"/>
  <c r="L769" i="2"/>
  <c r="K769" i="2"/>
  <c r="S768" i="2"/>
  <c r="P768" i="2"/>
  <c r="O768" i="2"/>
  <c r="L768" i="2"/>
  <c r="K768" i="2"/>
  <c r="S767" i="2"/>
  <c r="P767" i="2"/>
  <c r="O767" i="2"/>
  <c r="L767" i="2"/>
  <c r="K767" i="2"/>
  <c r="S766" i="2"/>
  <c r="P766" i="2"/>
  <c r="O766" i="2"/>
  <c r="L766" i="2"/>
  <c r="K766" i="2"/>
  <c r="S765" i="2"/>
  <c r="P765" i="2"/>
  <c r="O765" i="2"/>
  <c r="L765" i="2"/>
  <c r="K765" i="2"/>
  <c r="S764" i="2"/>
  <c r="P764" i="2"/>
  <c r="O764" i="2"/>
  <c r="L764" i="2"/>
  <c r="K764" i="2"/>
  <c r="S763" i="2"/>
  <c r="P763" i="2"/>
  <c r="O763" i="2"/>
  <c r="L763" i="2"/>
  <c r="K763" i="2"/>
  <c r="S762" i="2"/>
  <c r="P762" i="2"/>
  <c r="O762" i="2"/>
  <c r="L762" i="2"/>
  <c r="K762" i="2"/>
  <c r="S761" i="2"/>
  <c r="P761" i="2"/>
  <c r="O761" i="2"/>
  <c r="L761" i="2"/>
  <c r="K761" i="2"/>
  <c r="S760" i="2"/>
  <c r="P760" i="2"/>
  <c r="O760" i="2"/>
  <c r="L760" i="2"/>
  <c r="K760" i="2"/>
  <c r="S759" i="2"/>
  <c r="P759" i="2"/>
  <c r="O759" i="2"/>
  <c r="L759" i="2"/>
  <c r="K759" i="2"/>
  <c r="S758" i="2"/>
  <c r="P758" i="2"/>
  <c r="O758" i="2"/>
  <c r="L758" i="2"/>
  <c r="K758" i="2"/>
  <c r="S757" i="2"/>
  <c r="P757" i="2"/>
  <c r="O757" i="2"/>
  <c r="L757" i="2"/>
  <c r="K757" i="2"/>
  <c r="S756" i="2"/>
  <c r="P756" i="2"/>
  <c r="O756" i="2"/>
  <c r="L756" i="2"/>
  <c r="K756" i="2"/>
  <c r="S755" i="2"/>
  <c r="P755" i="2"/>
  <c r="Q755" i="2"/>
  <c r="O755" i="2"/>
  <c r="L755" i="2"/>
  <c r="K755" i="2"/>
  <c r="S754" i="2"/>
  <c r="P754" i="2"/>
  <c r="O754" i="2"/>
  <c r="L754" i="2"/>
  <c r="K754" i="2"/>
  <c r="S753" i="2"/>
  <c r="P753" i="2"/>
  <c r="O753" i="2"/>
  <c r="L753" i="2"/>
  <c r="K753" i="2"/>
  <c r="S752" i="2"/>
  <c r="P752" i="2"/>
  <c r="O752" i="2"/>
  <c r="L752" i="2"/>
  <c r="K752" i="2"/>
  <c r="S751" i="2"/>
  <c r="P751" i="2"/>
  <c r="O751" i="2"/>
  <c r="L751" i="2"/>
  <c r="K751" i="2"/>
  <c r="S750" i="2"/>
  <c r="P750" i="2"/>
  <c r="O750" i="2"/>
  <c r="L750" i="2"/>
  <c r="K750" i="2"/>
  <c r="S749" i="2"/>
  <c r="P749" i="2"/>
  <c r="O749" i="2"/>
  <c r="L749" i="2"/>
  <c r="K749" i="2"/>
  <c r="S748" i="2"/>
  <c r="P748" i="2"/>
  <c r="O748" i="2"/>
  <c r="L748" i="2"/>
  <c r="K748" i="2"/>
  <c r="S747" i="2"/>
  <c r="P747" i="2"/>
  <c r="O747" i="2"/>
  <c r="L747" i="2"/>
  <c r="K747" i="2"/>
  <c r="S746" i="2"/>
  <c r="P746" i="2"/>
  <c r="O746" i="2"/>
  <c r="L746" i="2"/>
  <c r="K746" i="2"/>
  <c r="S745" i="2"/>
  <c r="P745" i="2"/>
  <c r="O745" i="2"/>
  <c r="L745" i="2"/>
  <c r="K745" i="2"/>
  <c r="S744" i="2"/>
  <c r="P744" i="2"/>
  <c r="O744" i="2"/>
  <c r="L744" i="2"/>
  <c r="K744" i="2"/>
  <c r="S743" i="2"/>
  <c r="P743" i="2"/>
  <c r="Q743" i="2"/>
  <c r="O743" i="2"/>
  <c r="L743" i="2"/>
  <c r="K743" i="2"/>
  <c r="S742" i="2"/>
  <c r="P742" i="2"/>
  <c r="O742" i="2"/>
  <c r="L742" i="2"/>
  <c r="K742" i="2"/>
  <c r="S741" i="2"/>
  <c r="P741" i="2"/>
  <c r="O741" i="2"/>
  <c r="L741" i="2"/>
  <c r="K741" i="2"/>
  <c r="S740" i="2"/>
  <c r="P740" i="2"/>
  <c r="O740" i="2"/>
  <c r="L740" i="2"/>
  <c r="K740" i="2"/>
  <c r="S739" i="2"/>
  <c r="P739" i="2"/>
  <c r="Q739" i="2"/>
  <c r="O739" i="2"/>
  <c r="L739" i="2"/>
  <c r="K739" i="2"/>
  <c r="S738" i="2"/>
  <c r="P738" i="2"/>
  <c r="O738" i="2"/>
  <c r="L738" i="2"/>
  <c r="K738" i="2"/>
  <c r="S737" i="2"/>
  <c r="P737" i="2"/>
  <c r="O737" i="2"/>
  <c r="S736" i="2"/>
  <c r="P736" i="2"/>
  <c r="O736" i="2"/>
  <c r="S735" i="2"/>
  <c r="P735" i="2"/>
  <c r="O735" i="2"/>
  <c r="S734" i="2"/>
  <c r="P734" i="2"/>
  <c r="O734" i="2"/>
  <c r="Q734" i="2"/>
  <c r="K734" i="2"/>
  <c r="S733" i="2"/>
  <c r="P733" i="2"/>
  <c r="O733" i="2"/>
  <c r="L733" i="2"/>
  <c r="K733" i="2"/>
  <c r="S732" i="2"/>
  <c r="P732" i="2"/>
  <c r="O732" i="2"/>
  <c r="L732" i="2"/>
  <c r="K732" i="2"/>
  <c r="S731" i="2"/>
  <c r="P731" i="2"/>
  <c r="O731" i="2"/>
  <c r="L731" i="2"/>
  <c r="K731" i="2"/>
  <c r="S730" i="2"/>
  <c r="P730" i="2"/>
  <c r="O730" i="2"/>
  <c r="L730" i="2"/>
  <c r="K730" i="2"/>
  <c r="S729" i="2"/>
  <c r="P729" i="2"/>
  <c r="O729" i="2"/>
  <c r="L729" i="2"/>
  <c r="K729" i="2"/>
  <c r="S728" i="2"/>
  <c r="P728" i="2"/>
  <c r="O728" i="2"/>
  <c r="L728" i="2"/>
  <c r="K728" i="2"/>
  <c r="S727" i="2"/>
  <c r="P727" i="2"/>
  <c r="Q727" i="2"/>
  <c r="O727" i="2"/>
  <c r="L727" i="2"/>
  <c r="K727" i="2"/>
  <c r="S726" i="2"/>
  <c r="P726" i="2"/>
  <c r="O726" i="2"/>
  <c r="L726" i="2"/>
  <c r="K726" i="2"/>
  <c r="S725" i="2"/>
  <c r="P725" i="2"/>
  <c r="O725" i="2"/>
  <c r="L725" i="2"/>
  <c r="K725" i="2"/>
  <c r="S724" i="2"/>
  <c r="P724" i="2"/>
  <c r="O724" i="2"/>
  <c r="L724" i="2"/>
  <c r="K724" i="2"/>
  <c r="S723" i="2"/>
  <c r="P723" i="2"/>
  <c r="Q723" i="2"/>
  <c r="O723" i="2"/>
  <c r="L723" i="2"/>
  <c r="K723" i="2"/>
  <c r="S722" i="2"/>
  <c r="P722" i="2"/>
  <c r="O722" i="2"/>
  <c r="L722" i="2"/>
  <c r="K722" i="2"/>
  <c r="S721" i="2"/>
  <c r="P721" i="2"/>
  <c r="O721" i="2"/>
  <c r="L721" i="2"/>
  <c r="K721" i="2"/>
  <c r="S720" i="2"/>
  <c r="P720" i="2"/>
  <c r="O720" i="2"/>
  <c r="S719" i="2"/>
  <c r="P719" i="2"/>
  <c r="O719" i="2"/>
  <c r="L719" i="2"/>
  <c r="K719" i="2"/>
  <c r="S718" i="2"/>
  <c r="P718" i="2"/>
  <c r="O718" i="2"/>
  <c r="L718" i="2"/>
  <c r="K718" i="2"/>
  <c r="S717" i="2"/>
  <c r="P717" i="2"/>
  <c r="O717" i="2"/>
  <c r="L717" i="2"/>
  <c r="K717" i="2"/>
  <c r="S716" i="2"/>
  <c r="P716" i="2"/>
  <c r="O716" i="2"/>
  <c r="L716" i="2"/>
  <c r="K716" i="2"/>
  <c r="S715" i="2"/>
  <c r="P715" i="2"/>
  <c r="O715" i="2"/>
  <c r="L715" i="2"/>
  <c r="K715" i="2"/>
  <c r="S714" i="2"/>
  <c r="P714" i="2"/>
  <c r="O714" i="2"/>
  <c r="Q714" i="2"/>
  <c r="L714" i="2"/>
  <c r="K714" i="2"/>
  <c r="S713" i="2"/>
  <c r="P713" i="2"/>
  <c r="O713" i="2"/>
  <c r="L713" i="2"/>
  <c r="K713" i="2"/>
  <c r="S712" i="2"/>
  <c r="P712" i="2"/>
  <c r="O712" i="2"/>
  <c r="L712" i="2"/>
  <c r="K712" i="2"/>
  <c r="S711" i="2"/>
  <c r="P711" i="2"/>
  <c r="O711" i="2"/>
  <c r="L711" i="2"/>
  <c r="K711" i="2"/>
  <c r="S710" i="2"/>
  <c r="P710" i="2"/>
  <c r="O710" i="2"/>
  <c r="L710" i="2"/>
  <c r="K710" i="2"/>
  <c r="S709" i="2"/>
  <c r="P709" i="2"/>
  <c r="O709" i="2"/>
  <c r="L709" i="2"/>
  <c r="K709" i="2"/>
  <c r="S708" i="2"/>
  <c r="P708" i="2"/>
  <c r="O708" i="2"/>
  <c r="L708" i="2"/>
  <c r="K708" i="2"/>
  <c r="S707" i="2"/>
  <c r="P707" i="2"/>
  <c r="O707" i="2"/>
  <c r="L707" i="2"/>
  <c r="K707" i="2"/>
  <c r="S706" i="2"/>
  <c r="P706" i="2"/>
  <c r="O706" i="2"/>
  <c r="L706" i="2"/>
  <c r="K706" i="2"/>
  <c r="S705" i="2"/>
  <c r="P705" i="2"/>
  <c r="O705" i="2"/>
  <c r="S704" i="2"/>
  <c r="P704" i="2"/>
  <c r="O704" i="2"/>
  <c r="L704" i="2"/>
  <c r="K704" i="2"/>
  <c r="S703" i="2"/>
  <c r="P703" i="2"/>
  <c r="Q703" i="2"/>
  <c r="O703" i="2"/>
  <c r="S702" i="2"/>
  <c r="P702" i="2"/>
  <c r="O702" i="2"/>
  <c r="S701" i="2"/>
  <c r="P701" i="2"/>
  <c r="O701" i="2"/>
  <c r="S700" i="2"/>
  <c r="P700" i="2"/>
  <c r="O700" i="2"/>
  <c r="S699" i="2"/>
  <c r="P699" i="2"/>
  <c r="O699" i="2"/>
  <c r="S698" i="2"/>
  <c r="P698" i="2"/>
  <c r="O698" i="2"/>
  <c r="S697" i="2"/>
  <c r="P697" i="2"/>
  <c r="O697" i="2"/>
  <c r="S696" i="2"/>
  <c r="P696" i="2"/>
  <c r="O696" i="2"/>
  <c r="S695" i="2"/>
  <c r="P695" i="2"/>
  <c r="O695" i="2"/>
  <c r="S694" i="2"/>
  <c r="P694" i="2"/>
  <c r="O694" i="2"/>
  <c r="S693" i="2"/>
  <c r="P693" i="2"/>
  <c r="O693" i="2"/>
  <c r="S692" i="2"/>
  <c r="P692" i="2"/>
  <c r="O692" i="2"/>
  <c r="S691" i="2"/>
  <c r="P691" i="2"/>
  <c r="Q691" i="2"/>
  <c r="K691" i="2"/>
  <c r="L691" i="2"/>
  <c r="O691" i="2"/>
  <c r="S690" i="2"/>
  <c r="P690" i="2"/>
  <c r="O690" i="2"/>
  <c r="Q690" i="2"/>
  <c r="S689" i="2"/>
  <c r="P689" i="2"/>
  <c r="O689" i="2"/>
  <c r="S688" i="2"/>
  <c r="P688" i="2"/>
  <c r="O688" i="2"/>
  <c r="S687" i="2"/>
  <c r="P687" i="2"/>
  <c r="O687" i="2"/>
  <c r="S686" i="2"/>
  <c r="P686" i="2"/>
  <c r="O686" i="2"/>
  <c r="S685" i="2"/>
  <c r="P685" i="2"/>
  <c r="O685" i="2"/>
  <c r="S684" i="2"/>
  <c r="P684" i="2"/>
  <c r="O684" i="2"/>
  <c r="S683" i="2"/>
  <c r="P683" i="2"/>
  <c r="Q683" i="2"/>
  <c r="K683" i="2"/>
  <c r="L683" i="2"/>
  <c r="O683" i="2"/>
  <c r="S682" i="2"/>
  <c r="P682" i="2"/>
  <c r="O682" i="2"/>
  <c r="L682" i="2"/>
  <c r="K682" i="2"/>
  <c r="S681" i="2"/>
  <c r="P681" i="2"/>
  <c r="O681" i="2"/>
  <c r="L681" i="2"/>
  <c r="K681" i="2"/>
  <c r="S680" i="2"/>
  <c r="P680" i="2"/>
  <c r="O680" i="2"/>
  <c r="L680" i="2"/>
  <c r="K680" i="2"/>
  <c r="S679" i="2"/>
  <c r="P679" i="2"/>
  <c r="O679" i="2"/>
  <c r="S678" i="2"/>
  <c r="P678" i="2"/>
  <c r="O678" i="2"/>
  <c r="S677" i="2"/>
  <c r="P677" i="2"/>
  <c r="O677" i="2"/>
  <c r="S676" i="2"/>
  <c r="P676" i="2"/>
  <c r="O676" i="2"/>
  <c r="S675" i="2"/>
  <c r="P675" i="2"/>
  <c r="O675" i="2"/>
  <c r="S674" i="2"/>
  <c r="P674" i="2"/>
  <c r="O674" i="2"/>
  <c r="S673" i="2"/>
  <c r="P673" i="2"/>
  <c r="O673" i="2"/>
  <c r="S672" i="2"/>
  <c r="P672" i="2"/>
  <c r="O672" i="2"/>
  <c r="S671" i="2"/>
  <c r="P671" i="2"/>
  <c r="O671" i="2"/>
  <c r="S670" i="2"/>
  <c r="P670" i="2"/>
  <c r="O670" i="2"/>
  <c r="S669" i="2"/>
  <c r="P669" i="2"/>
  <c r="O669" i="2"/>
  <c r="L669" i="2"/>
  <c r="K669" i="2"/>
  <c r="S668" i="2"/>
  <c r="P668" i="2"/>
  <c r="O668" i="2"/>
  <c r="S667" i="2"/>
  <c r="P667" i="2"/>
  <c r="O667" i="2"/>
  <c r="S666" i="2"/>
  <c r="P666" i="2"/>
  <c r="O666" i="2"/>
  <c r="S665" i="2"/>
  <c r="P665" i="2"/>
  <c r="O665" i="2"/>
  <c r="S664" i="2"/>
  <c r="P664" i="2"/>
  <c r="O664" i="2"/>
  <c r="S663" i="2"/>
  <c r="P663" i="2"/>
  <c r="O663" i="2"/>
  <c r="S662" i="2"/>
  <c r="P662" i="2"/>
  <c r="O662" i="2"/>
  <c r="S661" i="2"/>
  <c r="P661" i="2"/>
  <c r="O661" i="2"/>
  <c r="S660" i="2"/>
  <c r="P660" i="2"/>
  <c r="O660" i="2"/>
  <c r="S659" i="2"/>
  <c r="P659" i="2"/>
  <c r="O659" i="2"/>
  <c r="S658" i="2"/>
  <c r="P658" i="2"/>
  <c r="O658" i="2"/>
  <c r="S657" i="2"/>
  <c r="P657" i="2"/>
  <c r="O657" i="2"/>
  <c r="S656" i="2"/>
  <c r="P656" i="2"/>
  <c r="O656" i="2"/>
  <c r="S655" i="2"/>
  <c r="P655" i="2"/>
  <c r="O655" i="2"/>
  <c r="S654" i="2"/>
  <c r="P654" i="2"/>
  <c r="O654" i="2"/>
  <c r="L654" i="2"/>
  <c r="K654" i="2"/>
  <c r="S653" i="2"/>
  <c r="P653" i="2"/>
  <c r="O653" i="2"/>
  <c r="L653" i="2"/>
  <c r="K653" i="2"/>
  <c r="S646" i="2"/>
  <c r="P646" i="2"/>
  <c r="O646" i="2"/>
  <c r="L646" i="2"/>
  <c r="K646" i="2"/>
  <c r="S645" i="2"/>
  <c r="P645" i="2"/>
  <c r="O645" i="2"/>
  <c r="L645" i="2"/>
  <c r="K645" i="2"/>
  <c r="S644" i="2"/>
  <c r="P644" i="2"/>
  <c r="O644" i="2"/>
  <c r="L644" i="2"/>
  <c r="K644" i="2"/>
  <c r="S643" i="2"/>
  <c r="P643" i="2"/>
  <c r="O643" i="2"/>
  <c r="L643" i="2"/>
  <c r="K643" i="2"/>
  <c r="S642" i="2"/>
  <c r="P642" i="2"/>
  <c r="O642" i="2"/>
  <c r="L642" i="2"/>
  <c r="K642" i="2"/>
  <c r="S641" i="2"/>
  <c r="P641" i="2"/>
  <c r="O641" i="2"/>
  <c r="S640" i="2"/>
  <c r="P640" i="2"/>
  <c r="O640" i="2"/>
  <c r="L640" i="2"/>
  <c r="K640" i="2"/>
  <c r="S639" i="2"/>
  <c r="P639" i="2"/>
  <c r="O639" i="2"/>
  <c r="L639" i="2"/>
  <c r="K639" i="2"/>
  <c r="S638" i="2"/>
  <c r="P638" i="2"/>
  <c r="O638" i="2"/>
  <c r="L638" i="2"/>
  <c r="K638" i="2"/>
  <c r="S637" i="2"/>
  <c r="P637" i="2"/>
  <c r="O637" i="2"/>
  <c r="L637" i="2"/>
  <c r="K637" i="2"/>
  <c r="S616" i="2"/>
  <c r="P616" i="2"/>
  <c r="O616" i="2"/>
  <c r="L616" i="2"/>
  <c r="K616" i="2"/>
  <c r="S615" i="2"/>
  <c r="P615" i="2"/>
  <c r="O615" i="2"/>
  <c r="L615" i="2"/>
  <c r="K615" i="2"/>
  <c r="S614" i="2"/>
  <c r="P614" i="2"/>
  <c r="O614" i="2"/>
  <c r="Q614" i="2"/>
  <c r="L614" i="2"/>
  <c r="K614" i="2"/>
  <c r="S613" i="2"/>
  <c r="P613" i="2"/>
  <c r="O613" i="2"/>
  <c r="L613" i="2"/>
  <c r="K613" i="2"/>
  <c r="S612" i="2"/>
  <c r="P612" i="2"/>
  <c r="O612" i="2"/>
  <c r="L612" i="2"/>
  <c r="K612" i="2"/>
  <c r="S611" i="2"/>
  <c r="P611" i="2"/>
  <c r="O611" i="2"/>
  <c r="L611" i="2"/>
  <c r="K611" i="2"/>
  <c r="S610" i="2"/>
  <c r="P610" i="2"/>
  <c r="O610" i="2"/>
  <c r="L610" i="2"/>
  <c r="K610" i="2"/>
  <c r="S609" i="2"/>
  <c r="P609" i="2"/>
  <c r="O609" i="2"/>
  <c r="L609" i="2"/>
  <c r="K609" i="2"/>
  <c r="S608" i="2"/>
  <c r="P608" i="2"/>
  <c r="O608" i="2"/>
  <c r="L608" i="2"/>
  <c r="K608" i="2"/>
  <c r="S607" i="2"/>
  <c r="P607" i="2"/>
  <c r="O607" i="2"/>
  <c r="L607" i="2"/>
  <c r="K607" i="2"/>
  <c r="S606" i="2"/>
  <c r="P606" i="2"/>
  <c r="O606" i="2"/>
  <c r="Q606" i="2"/>
  <c r="L606" i="2"/>
  <c r="K606" i="2"/>
  <c r="S605" i="2"/>
  <c r="P605" i="2"/>
  <c r="O605" i="2"/>
  <c r="L605" i="2"/>
  <c r="K605" i="2"/>
  <c r="S604" i="2"/>
  <c r="P604" i="2"/>
  <c r="O604" i="2"/>
  <c r="L604" i="2"/>
  <c r="K604" i="2"/>
  <c r="S603" i="2"/>
  <c r="P603" i="2"/>
  <c r="O603" i="2"/>
  <c r="L603" i="2"/>
  <c r="K603" i="2"/>
  <c r="S602" i="2"/>
  <c r="P602" i="2"/>
  <c r="O602" i="2"/>
  <c r="L602" i="2"/>
  <c r="K602" i="2"/>
  <c r="S601" i="2"/>
  <c r="P601" i="2"/>
  <c r="O601" i="2"/>
  <c r="L601" i="2"/>
  <c r="K601" i="2"/>
  <c r="S600" i="2"/>
  <c r="P600" i="2"/>
  <c r="O600" i="2"/>
  <c r="L600" i="2"/>
  <c r="K600" i="2"/>
  <c r="S599" i="2"/>
  <c r="P599" i="2"/>
  <c r="O599" i="2"/>
  <c r="L599" i="2"/>
  <c r="K599" i="2"/>
  <c r="S598" i="2"/>
  <c r="P598" i="2"/>
  <c r="O598" i="2"/>
  <c r="Q598" i="2"/>
  <c r="L598" i="2"/>
  <c r="K598" i="2"/>
  <c r="S597" i="2"/>
  <c r="P597" i="2"/>
  <c r="O597" i="2"/>
  <c r="L597" i="2"/>
  <c r="K597" i="2"/>
  <c r="S596" i="2"/>
  <c r="P596" i="2"/>
  <c r="O596" i="2"/>
  <c r="L596" i="2"/>
  <c r="K596" i="2"/>
  <c r="S595" i="2"/>
  <c r="P595" i="2"/>
  <c r="O595" i="2"/>
  <c r="S593" i="2"/>
  <c r="P593" i="2"/>
  <c r="O593" i="2"/>
  <c r="L593" i="2"/>
  <c r="K593" i="2"/>
  <c r="S592" i="2"/>
  <c r="P592" i="2"/>
  <c r="O592" i="2"/>
  <c r="L592" i="2"/>
  <c r="K592" i="2"/>
  <c r="S590" i="2"/>
  <c r="P590" i="2"/>
  <c r="O590" i="2"/>
  <c r="L590" i="2"/>
  <c r="K590" i="2"/>
  <c r="S589" i="2"/>
  <c r="P589" i="2"/>
  <c r="Q589" i="2"/>
  <c r="O589" i="2"/>
  <c r="L589" i="2"/>
  <c r="K589" i="2"/>
  <c r="S588" i="2"/>
  <c r="P588" i="2"/>
  <c r="O588" i="2"/>
  <c r="L588" i="2"/>
  <c r="K588" i="2"/>
  <c r="S587" i="2"/>
  <c r="P587" i="2"/>
  <c r="O587" i="2"/>
  <c r="L587" i="2"/>
  <c r="K587" i="2"/>
  <c r="S586" i="2"/>
  <c r="P586" i="2"/>
  <c r="O586" i="2"/>
  <c r="L586" i="2"/>
  <c r="K586" i="2"/>
  <c r="S585" i="2"/>
  <c r="P585" i="2"/>
  <c r="Q585" i="2"/>
  <c r="O585" i="2"/>
  <c r="L585" i="2"/>
  <c r="K585" i="2"/>
  <c r="S584" i="2"/>
  <c r="P584" i="2"/>
  <c r="O584" i="2"/>
  <c r="L584" i="2"/>
  <c r="K584" i="2"/>
  <c r="S583" i="2"/>
  <c r="P583" i="2"/>
  <c r="O583" i="2"/>
  <c r="L583" i="2"/>
  <c r="K583" i="2"/>
  <c r="S582" i="2"/>
  <c r="P582" i="2"/>
  <c r="O582" i="2"/>
  <c r="L582" i="2"/>
  <c r="K582" i="2"/>
  <c r="S581" i="2"/>
  <c r="P581" i="2"/>
  <c r="O581" i="2"/>
  <c r="L581" i="2"/>
  <c r="K581" i="2"/>
  <c r="S580" i="2"/>
  <c r="P580" i="2"/>
  <c r="O580" i="2"/>
  <c r="L580" i="2"/>
  <c r="K580" i="2"/>
  <c r="S579" i="2"/>
  <c r="P579" i="2"/>
  <c r="O579" i="2"/>
  <c r="L579" i="2"/>
  <c r="K579" i="2"/>
  <c r="S578" i="2"/>
  <c r="P578" i="2"/>
  <c r="O578" i="2"/>
  <c r="L578" i="2"/>
  <c r="K578" i="2"/>
  <c r="S577" i="2"/>
  <c r="P577" i="2"/>
  <c r="Q577" i="2"/>
  <c r="O577" i="2"/>
  <c r="L577" i="2"/>
  <c r="K577" i="2"/>
  <c r="S576" i="2"/>
  <c r="P576" i="2"/>
  <c r="O576" i="2"/>
  <c r="L576" i="2"/>
  <c r="K576" i="2"/>
  <c r="S575" i="2"/>
  <c r="P575" i="2"/>
  <c r="O575" i="2"/>
  <c r="L575" i="2"/>
  <c r="K575" i="2"/>
  <c r="S574" i="2"/>
  <c r="P574" i="2"/>
  <c r="O574" i="2"/>
  <c r="L574" i="2"/>
  <c r="K574" i="2"/>
  <c r="S573" i="2"/>
  <c r="P573" i="2"/>
  <c r="Q573" i="2"/>
  <c r="O573" i="2"/>
  <c r="L573" i="2"/>
  <c r="K573" i="2"/>
  <c r="S572" i="2"/>
  <c r="P572" i="2"/>
  <c r="O572" i="2"/>
  <c r="L572" i="2"/>
  <c r="K572" i="2"/>
  <c r="S571" i="2"/>
  <c r="P571" i="2"/>
  <c r="O571" i="2"/>
  <c r="L571" i="2"/>
  <c r="K571" i="2"/>
  <c r="S570" i="2"/>
  <c r="P570" i="2"/>
  <c r="O570" i="2"/>
  <c r="L570" i="2"/>
  <c r="K570" i="2"/>
  <c r="S569" i="2"/>
  <c r="P569" i="2"/>
  <c r="Q569" i="2"/>
  <c r="O569" i="2"/>
  <c r="L569" i="2"/>
  <c r="K569" i="2"/>
  <c r="S568" i="2"/>
  <c r="P568" i="2"/>
  <c r="O568" i="2"/>
  <c r="L568" i="2"/>
  <c r="K568" i="2"/>
  <c r="S567" i="2"/>
  <c r="P567" i="2"/>
  <c r="O567" i="2"/>
  <c r="L567" i="2"/>
  <c r="K567" i="2"/>
  <c r="S566" i="2"/>
  <c r="P566" i="2"/>
  <c r="O566" i="2"/>
  <c r="L566" i="2"/>
  <c r="K566" i="2"/>
  <c r="S565" i="2"/>
  <c r="P565" i="2"/>
  <c r="Q565" i="2"/>
  <c r="O565" i="2"/>
  <c r="L565" i="2"/>
  <c r="K565" i="2"/>
  <c r="S564" i="2"/>
  <c r="P564" i="2"/>
  <c r="O564" i="2"/>
  <c r="Q564" i="2"/>
  <c r="L564" i="2"/>
  <c r="K564" i="2"/>
  <c r="S563" i="2"/>
  <c r="P563" i="2"/>
  <c r="O563" i="2"/>
  <c r="L563" i="2"/>
  <c r="K563" i="2"/>
  <c r="S562" i="2"/>
  <c r="P562" i="2"/>
  <c r="O562" i="2"/>
  <c r="L562" i="2"/>
  <c r="K562" i="2"/>
  <c r="S561" i="2"/>
  <c r="P561" i="2"/>
  <c r="Q561" i="2"/>
  <c r="O561" i="2"/>
  <c r="L561" i="2"/>
  <c r="K561" i="2"/>
  <c r="S560" i="2"/>
  <c r="P560" i="2"/>
  <c r="O560" i="2"/>
  <c r="L560" i="2"/>
  <c r="K560" i="2"/>
  <c r="S559" i="2"/>
  <c r="P559" i="2"/>
  <c r="O559" i="2"/>
  <c r="L559" i="2"/>
  <c r="K559" i="2"/>
  <c r="S558" i="2"/>
  <c r="P558" i="2"/>
  <c r="O558" i="2"/>
  <c r="L558" i="2"/>
  <c r="K558" i="2"/>
  <c r="S557" i="2"/>
  <c r="P557" i="2"/>
  <c r="Q557" i="2"/>
  <c r="O557" i="2"/>
  <c r="L557" i="2"/>
  <c r="K557" i="2"/>
  <c r="S556" i="2"/>
  <c r="P556" i="2"/>
  <c r="O556" i="2"/>
  <c r="L556" i="2"/>
  <c r="K556" i="2"/>
  <c r="S555" i="2"/>
  <c r="P555" i="2"/>
  <c r="O555" i="2"/>
  <c r="L555" i="2"/>
  <c r="K555" i="2"/>
  <c r="S554" i="2"/>
  <c r="P554" i="2"/>
  <c r="O554" i="2"/>
  <c r="L554" i="2"/>
  <c r="K554" i="2"/>
  <c r="S553" i="2"/>
  <c r="P553" i="2"/>
  <c r="O553" i="2"/>
  <c r="L553" i="2"/>
  <c r="K553" i="2"/>
  <c r="S552" i="2"/>
  <c r="P552" i="2"/>
  <c r="O552" i="2"/>
  <c r="L552" i="2"/>
  <c r="K552" i="2"/>
  <c r="S551" i="2"/>
  <c r="P551" i="2"/>
  <c r="O551" i="2"/>
  <c r="L551" i="2"/>
  <c r="K551" i="2"/>
  <c r="S550" i="2"/>
  <c r="P550" i="2"/>
  <c r="O550" i="2"/>
  <c r="L550" i="2"/>
  <c r="K550" i="2"/>
  <c r="S549" i="2"/>
  <c r="P549" i="2"/>
  <c r="O549" i="2"/>
  <c r="L549" i="2"/>
  <c r="K549" i="2"/>
  <c r="S548" i="2"/>
  <c r="P548" i="2"/>
  <c r="O548" i="2"/>
  <c r="L548" i="2"/>
  <c r="K548" i="2"/>
  <c r="S547" i="2"/>
  <c r="P547" i="2"/>
  <c r="O547" i="2"/>
  <c r="L547" i="2"/>
  <c r="K547" i="2"/>
  <c r="S546" i="2"/>
  <c r="P546" i="2"/>
  <c r="O546" i="2"/>
  <c r="L546" i="2"/>
  <c r="K546" i="2"/>
  <c r="S545" i="2"/>
  <c r="P545" i="2"/>
  <c r="Q545" i="2"/>
  <c r="O545" i="2"/>
  <c r="L545" i="2"/>
  <c r="K545" i="2"/>
  <c r="S544" i="2"/>
  <c r="P544" i="2"/>
  <c r="O544" i="2"/>
  <c r="L544" i="2"/>
  <c r="K544" i="2"/>
  <c r="S543" i="2"/>
  <c r="P543" i="2"/>
  <c r="O543" i="2"/>
  <c r="L543" i="2"/>
  <c r="K543" i="2"/>
  <c r="S542" i="2"/>
  <c r="P542" i="2"/>
  <c r="O542" i="2"/>
  <c r="L542" i="2"/>
  <c r="K542" i="2"/>
  <c r="S541" i="2"/>
  <c r="P541" i="2"/>
  <c r="O541" i="2"/>
  <c r="L541" i="2"/>
  <c r="K541" i="2"/>
  <c r="S540" i="2"/>
  <c r="P540" i="2"/>
  <c r="O540" i="2"/>
  <c r="L540" i="2"/>
  <c r="K540" i="2"/>
  <c r="S539" i="2"/>
  <c r="P539" i="2"/>
  <c r="O539" i="2"/>
  <c r="L539" i="2"/>
  <c r="K539" i="2"/>
  <c r="S538" i="2"/>
  <c r="P538" i="2"/>
  <c r="O538" i="2"/>
  <c r="L538" i="2"/>
  <c r="K538" i="2"/>
  <c r="S537" i="2"/>
  <c r="P537" i="2"/>
  <c r="Q537" i="2"/>
  <c r="O537" i="2"/>
  <c r="L537" i="2"/>
  <c r="K537" i="2"/>
  <c r="S536" i="2"/>
  <c r="P536" i="2"/>
  <c r="O536" i="2"/>
  <c r="L536" i="2"/>
  <c r="K536" i="2"/>
  <c r="S535" i="2"/>
  <c r="P535" i="2"/>
  <c r="O535" i="2"/>
  <c r="L535" i="2"/>
  <c r="K535" i="2"/>
  <c r="S534" i="2"/>
  <c r="P534" i="2"/>
  <c r="O534" i="2"/>
  <c r="L534" i="2"/>
  <c r="K534" i="2"/>
  <c r="S533" i="2"/>
  <c r="P533" i="2"/>
  <c r="Q533" i="2"/>
  <c r="O533" i="2"/>
  <c r="L533" i="2"/>
  <c r="K533" i="2"/>
  <c r="S532" i="2"/>
  <c r="P532" i="2"/>
  <c r="O532" i="2"/>
  <c r="L532" i="2"/>
  <c r="K532" i="2"/>
  <c r="S531" i="2"/>
  <c r="P531" i="2"/>
  <c r="O531" i="2"/>
  <c r="L531" i="2"/>
  <c r="K531" i="2"/>
  <c r="S530" i="2"/>
  <c r="P530" i="2"/>
  <c r="O530" i="2"/>
  <c r="L530" i="2"/>
  <c r="K530" i="2"/>
  <c r="S529" i="2"/>
  <c r="P529" i="2"/>
  <c r="Q529" i="2"/>
  <c r="O529" i="2"/>
  <c r="L529" i="2"/>
  <c r="K529" i="2"/>
  <c r="S528" i="2"/>
  <c r="P528" i="2"/>
  <c r="O528" i="2"/>
  <c r="L528" i="2"/>
  <c r="K528" i="2"/>
  <c r="S527" i="2"/>
  <c r="P527" i="2"/>
  <c r="O527" i="2"/>
  <c r="L527" i="2"/>
  <c r="K527" i="2"/>
  <c r="S526" i="2"/>
  <c r="P526" i="2"/>
  <c r="O526" i="2"/>
  <c r="L526" i="2"/>
  <c r="K526" i="2"/>
  <c r="S525" i="2"/>
  <c r="P525" i="2"/>
  <c r="Q525" i="2"/>
  <c r="O525" i="2"/>
  <c r="L525" i="2"/>
  <c r="K525" i="2"/>
  <c r="S524" i="2"/>
  <c r="P524" i="2"/>
  <c r="O524" i="2"/>
  <c r="L524" i="2"/>
  <c r="K524" i="2"/>
  <c r="S523" i="2"/>
  <c r="P523" i="2"/>
  <c r="O523" i="2"/>
  <c r="L523" i="2"/>
  <c r="K523" i="2"/>
  <c r="S522" i="2"/>
  <c r="P522" i="2"/>
  <c r="O522" i="2"/>
  <c r="L522" i="2"/>
  <c r="K522" i="2"/>
  <c r="S521" i="2"/>
  <c r="P521" i="2"/>
  <c r="Q521" i="2"/>
  <c r="O521" i="2"/>
  <c r="L521" i="2"/>
  <c r="K521" i="2"/>
  <c r="S520" i="2"/>
  <c r="P520" i="2"/>
  <c r="O520" i="2"/>
  <c r="L520" i="2"/>
  <c r="K520" i="2"/>
  <c r="S519" i="2"/>
  <c r="P519" i="2"/>
  <c r="O519" i="2"/>
  <c r="L519" i="2"/>
  <c r="K519" i="2"/>
  <c r="S518" i="2"/>
  <c r="P518" i="2"/>
  <c r="O518" i="2"/>
  <c r="L518" i="2"/>
  <c r="K518" i="2"/>
  <c r="S517" i="2"/>
  <c r="P517" i="2"/>
  <c r="Q517" i="2"/>
  <c r="O517" i="2"/>
  <c r="L517" i="2"/>
  <c r="K517" i="2"/>
  <c r="S516" i="2"/>
  <c r="P516" i="2"/>
  <c r="O516" i="2"/>
  <c r="L516" i="2"/>
  <c r="K516" i="2"/>
  <c r="S515" i="2"/>
  <c r="P515" i="2"/>
  <c r="O515" i="2"/>
  <c r="L515" i="2"/>
  <c r="K515" i="2"/>
  <c r="S514" i="2"/>
  <c r="P514" i="2"/>
  <c r="O514" i="2"/>
  <c r="L514" i="2"/>
  <c r="K514" i="2"/>
  <c r="S513" i="2"/>
  <c r="P513" i="2"/>
  <c r="Q513" i="2"/>
  <c r="O513" i="2"/>
  <c r="L513" i="2"/>
  <c r="K513" i="2"/>
  <c r="S512" i="2"/>
  <c r="P512" i="2"/>
  <c r="O512" i="2"/>
  <c r="L512" i="2"/>
  <c r="K512" i="2"/>
  <c r="S511" i="2"/>
  <c r="P511" i="2"/>
  <c r="O511" i="2"/>
  <c r="L511" i="2"/>
  <c r="K511" i="2"/>
  <c r="S510" i="2"/>
  <c r="P510" i="2"/>
  <c r="O510" i="2"/>
  <c r="L510" i="2"/>
  <c r="K510" i="2"/>
  <c r="S509" i="2"/>
  <c r="P509" i="2"/>
  <c r="O509" i="2"/>
  <c r="L509" i="2"/>
  <c r="K509" i="2"/>
  <c r="S508" i="2"/>
  <c r="P508" i="2"/>
  <c r="O508" i="2"/>
  <c r="L508" i="2"/>
  <c r="K508" i="2"/>
  <c r="S507" i="2"/>
  <c r="P507" i="2"/>
  <c r="O507" i="2"/>
  <c r="L507" i="2"/>
  <c r="K507" i="2"/>
  <c r="S506" i="2"/>
  <c r="P506" i="2"/>
  <c r="O506" i="2"/>
  <c r="L506" i="2"/>
  <c r="K506" i="2"/>
  <c r="S505" i="2"/>
  <c r="P505" i="2"/>
  <c r="O505" i="2"/>
  <c r="L505" i="2"/>
  <c r="K505" i="2"/>
  <c r="S504" i="2"/>
  <c r="P504" i="2"/>
  <c r="O504" i="2"/>
  <c r="L504" i="2"/>
  <c r="K504" i="2"/>
  <c r="S503" i="2"/>
  <c r="P503" i="2"/>
  <c r="O503" i="2"/>
  <c r="L503" i="2"/>
  <c r="K503" i="2"/>
  <c r="S502" i="2"/>
  <c r="P502" i="2"/>
  <c r="O502" i="2"/>
  <c r="L502" i="2"/>
  <c r="K502" i="2"/>
  <c r="S501" i="2"/>
  <c r="P501" i="2"/>
  <c r="O501" i="2"/>
  <c r="L501" i="2"/>
  <c r="K501" i="2"/>
  <c r="S500" i="2"/>
  <c r="P500" i="2"/>
  <c r="O500" i="2"/>
  <c r="L500" i="2"/>
  <c r="K500" i="2"/>
  <c r="S499" i="2"/>
  <c r="P499" i="2"/>
  <c r="O499" i="2"/>
  <c r="L499" i="2"/>
  <c r="K499" i="2"/>
  <c r="S498" i="2"/>
  <c r="P498" i="2"/>
  <c r="O498" i="2"/>
  <c r="L498" i="2"/>
  <c r="K498" i="2"/>
  <c r="S497" i="2"/>
  <c r="P497" i="2"/>
  <c r="O497" i="2"/>
  <c r="L497" i="2"/>
  <c r="K497" i="2"/>
  <c r="S496" i="2"/>
  <c r="P496" i="2"/>
  <c r="O496" i="2"/>
  <c r="L496" i="2"/>
  <c r="K496" i="2"/>
  <c r="S495" i="2"/>
  <c r="P495" i="2"/>
  <c r="O495" i="2"/>
  <c r="L495" i="2"/>
  <c r="K495" i="2"/>
  <c r="S494" i="2"/>
  <c r="P494" i="2"/>
  <c r="O494" i="2"/>
  <c r="L494" i="2"/>
  <c r="K494" i="2"/>
  <c r="S493" i="2"/>
  <c r="P493" i="2"/>
  <c r="O493" i="2"/>
  <c r="L493" i="2"/>
  <c r="K493" i="2"/>
  <c r="S492" i="2"/>
  <c r="P492" i="2"/>
  <c r="O492" i="2"/>
  <c r="L492" i="2"/>
  <c r="K492" i="2"/>
  <c r="S491" i="2"/>
  <c r="P491" i="2"/>
  <c r="O491" i="2"/>
  <c r="L491" i="2"/>
  <c r="K491" i="2"/>
  <c r="S490" i="2"/>
  <c r="P490" i="2"/>
  <c r="O490" i="2"/>
  <c r="L490" i="2"/>
  <c r="K490" i="2"/>
  <c r="S489" i="2"/>
  <c r="P489" i="2"/>
  <c r="O489" i="2"/>
  <c r="L489" i="2"/>
  <c r="K489" i="2"/>
  <c r="S488" i="2"/>
  <c r="P488" i="2"/>
  <c r="O488" i="2"/>
  <c r="L488" i="2"/>
  <c r="K488" i="2"/>
  <c r="S487" i="2"/>
  <c r="P487" i="2"/>
  <c r="O487" i="2"/>
  <c r="L487" i="2"/>
  <c r="K487" i="2"/>
  <c r="S486" i="2"/>
  <c r="P486" i="2"/>
  <c r="O486" i="2"/>
  <c r="L486" i="2"/>
  <c r="K486" i="2"/>
  <c r="S485" i="2"/>
  <c r="P485" i="2"/>
  <c r="O485" i="2"/>
  <c r="L485" i="2"/>
  <c r="K485" i="2"/>
  <c r="S484" i="2"/>
  <c r="P484" i="2"/>
  <c r="O484" i="2"/>
  <c r="L484" i="2"/>
  <c r="K484" i="2"/>
  <c r="S483" i="2"/>
  <c r="P483" i="2"/>
  <c r="O483" i="2"/>
  <c r="L483" i="2"/>
  <c r="K483" i="2"/>
  <c r="S482" i="2"/>
  <c r="P482" i="2"/>
  <c r="O482" i="2"/>
  <c r="L482" i="2"/>
  <c r="K482" i="2"/>
  <c r="S481" i="2"/>
  <c r="P481" i="2"/>
  <c r="O481" i="2"/>
  <c r="L481" i="2"/>
  <c r="K481" i="2"/>
  <c r="S480" i="2"/>
  <c r="P480" i="2"/>
  <c r="O480" i="2"/>
  <c r="L480" i="2"/>
  <c r="K480" i="2"/>
  <c r="S479" i="2"/>
  <c r="P479" i="2"/>
  <c r="O479" i="2"/>
  <c r="L479" i="2"/>
  <c r="K479" i="2"/>
  <c r="S478" i="2"/>
  <c r="P478" i="2"/>
  <c r="O478" i="2"/>
  <c r="L478" i="2"/>
  <c r="K478" i="2"/>
  <c r="S477" i="2"/>
  <c r="P477" i="2"/>
  <c r="O477" i="2"/>
  <c r="L477" i="2"/>
  <c r="K477" i="2"/>
  <c r="S476" i="2"/>
  <c r="P476" i="2"/>
  <c r="O476" i="2"/>
  <c r="L476" i="2"/>
  <c r="K476" i="2"/>
  <c r="S475" i="2"/>
  <c r="P475" i="2"/>
  <c r="O475" i="2"/>
  <c r="L475" i="2"/>
  <c r="K475" i="2"/>
  <c r="S474" i="2"/>
  <c r="P474" i="2"/>
  <c r="O474" i="2"/>
  <c r="L474" i="2"/>
  <c r="K474" i="2"/>
  <c r="S473" i="2"/>
  <c r="P473" i="2"/>
  <c r="O473" i="2"/>
  <c r="L473" i="2"/>
  <c r="K473" i="2"/>
  <c r="S472" i="2"/>
  <c r="P472" i="2"/>
  <c r="O472" i="2"/>
  <c r="L472" i="2"/>
  <c r="K472" i="2"/>
  <c r="S471" i="2"/>
  <c r="P471" i="2"/>
  <c r="O471" i="2"/>
  <c r="L471" i="2"/>
  <c r="K471" i="2"/>
  <c r="S470" i="2"/>
  <c r="P470" i="2"/>
  <c r="O470" i="2"/>
  <c r="L470" i="2"/>
  <c r="K470" i="2"/>
  <c r="S469" i="2"/>
  <c r="P469" i="2"/>
  <c r="O469" i="2"/>
  <c r="L469" i="2"/>
  <c r="K469" i="2"/>
  <c r="S468" i="2"/>
  <c r="P468" i="2"/>
  <c r="O468" i="2"/>
  <c r="L468" i="2"/>
  <c r="K468" i="2"/>
  <c r="S467" i="2"/>
  <c r="P467" i="2"/>
  <c r="O467" i="2"/>
  <c r="L467" i="2"/>
  <c r="K467" i="2"/>
  <c r="S466" i="2"/>
  <c r="P466" i="2"/>
  <c r="O466" i="2"/>
  <c r="L466" i="2"/>
  <c r="K466" i="2"/>
  <c r="S465" i="2"/>
  <c r="P465" i="2"/>
  <c r="O465" i="2"/>
  <c r="L465" i="2"/>
  <c r="K465" i="2"/>
  <c r="S464" i="2"/>
  <c r="P464" i="2"/>
  <c r="O464" i="2"/>
  <c r="L464" i="2"/>
  <c r="K464" i="2"/>
  <c r="S463" i="2"/>
  <c r="P463" i="2"/>
  <c r="O463" i="2"/>
  <c r="L463" i="2"/>
  <c r="K463" i="2"/>
  <c r="S462" i="2"/>
  <c r="P462" i="2"/>
  <c r="O462" i="2"/>
  <c r="L462" i="2"/>
  <c r="K462" i="2"/>
  <c r="S461" i="2"/>
  <c r="P461" i="2"/>
  <c r="O461" i="2"/>
  <c r="L461" i="2"/>
  <c r="K461" i="2"/>
  <c r="S460" i="2"/>
  <c r="P460" i="2"/>
  <c r="O460" i="2"/>
  <c r="L460" i="2"/>
  <c r="K460" i="2"/>
  <c r="S459" i="2"/>
  <c r="P459" i="2"/>
  <c r="O459" i="2"/>
  <c r="L459" i="2"/>
  <c r="K459" i="2"/>
  <c r="S458" i="2"/>
  <c r="P458" i="2"/>
  <c r="O458" i="2"/>
  <c r="L458" i="2"/>
  <c r="K458" i="2"/>
  <c r="S457" i="2"/>
  <c r="P457" i="2"/>
  <c r="Q457" i="2"/>
  <c r="O457" i="2"/>
  <c r="L457" i="2"/>
  <c r="K457" i="2"/>
  <c r="S456" i="2"/>
  <c r="P456" i="2"/>
  <c r="O456" i="2"/>
  <c r="L456" i="2"/>
  <c r="K456" i="2"/>
  <c r="S455" i="2"/>
  <c r="P455" i="2"/>
  <c r="O455" i="2"/>
  <c r="L455" i="2"/>
  <c r="K455" i="2"/>
  <c r="S454" i="2"/>
  <c r="P454" i="2"/>
  <c r="O454" i="2"/>
  <c r="L454" i="2"/>
  <c r="K454" i="2"/>
  <c r="S453" i="2"/>
  <c r="P453" i="2"/>
  <c r="O453" i="2"/>
  <c r="L453" i="2"/>
  <c r="K453" i="2"/>
  <c r="S452" i="2"/>
  <c r="P452" i="2"/>
  <c r="O452" i="2"/>
  <c r="L452" i="2"/>
  <c r="K452" i="2"/>
  <c r="S451" i="2"/>
  <c r="P451" i="2"/>
  <c r="O451" i="2"/>
  <c r="L451" i="2"/>
  <c r="K451" i="2"/>
  <c r="S450" i="2"/>
  <c r="P450" i="2"/>
  <c r="O450" i="2"/>
  <c r="L450" i="2"/>
  <c r="K450" i="2"/>
  <c r="S449" i="2"/>
  <c r="P449" i="2"/>
  <c r="O449" i="2"/>
  <c r="L449" i="2"/>
  <c r="K449" i="2"/>
  <c r="S448" i="2"/>
  <c r="P448" i="2"/>
  <c r="O448" i="2"/>
  <c r="L448" i="2"/>
  <c r="K448" i="2"/>
  <c r="S447" i="2"/>
  <c r="P447" i="2"/>
  <c r="O447" i="2"/>
  <c r="L447" i="2"/>
  <c r="K447" i="2"/>
  <c r="S446" i="2"/>
  <c r="P446" i="2"/>
  <c r="O446" i="2"/>
  <c r="L446" i="2"/>
  <c r="K446" i="2"/>
  <c r="S445" i="2"/>
  <c r="P445" i="2"/>
  <c r="O445" i="2"/>
  <c r="L445" i="2"/>
  <c r="K445" i="2"/>
  <c r="S444" i="2"/>
  <c r="P444" i="2"/>
  <c r="O444" i="2"/>
  <c r="L444" i="2"/>
  <c r="K444" i="2"/>
  <c r="S443" i="2"/>
  <c r="P443" i="2"/>
  <c r="O443" i="2"/>
  <c r="L443" i="2"/>
  <c r="K443" i="2"/>
  <c r="S442" i="2"/>
  <c r="P442" i="2"/>
  <c r="O442" i="2"/>
  <c r="L442" i="2"/>
  <c r="K442" i="2"/>
  <c r="S441" i="2"/>
  <c r="P441" i="2"/>
  <c r="Q441" i="2"/>
  <c r="O441" i="2"/>
  <c r="L441" i="2"/>
  <c r="K441" i="2"/>
  <c r="S440" i="2"/>
  <c r="P440" i="2"/>
  <c r="O440" i="2"/>
  <c r="L440" i="2"/>
  <c r="K440" i="2"/>
  <c r="S439" i="2"/>
  <c r="P439" i="2"/>
  <c r="O439" i="2"/>
  <c r="L439" i="2"/>
  <c r="K439" i="2"/>
  <c r="S438" i="2"/>
  <c r="P438" i="2"/>
  <c r="O438" i="2"/>
  <c r="L438" i="2"/>
  <c r="K438" i="2"/>
  <c r="S437" i="2"/>
  <c r="P437" i="2"/>
  <c r="O437" i="2"/>
  <c r="L437" i="2"/>
  <c r="K437" i="2"/>
  <c r="S436" i="2"/>
  <c r="P436" i="2"/>
  <c r="O436" i="2"/>
  <c r="L436" i="2"/>
  <c r="K436" i="2"/>
  <c r="S435" i="2"/>
  <c r="P435" i="2"/>
  <c r="O435" i="2"/>
  <c r="L435" i="2"/>
  <c r="K435" i="2"/>
  <c r="S434" i="2"/>
  <c r="P434" i="2"/>
  <c r="O434" i="2"/>
  <c r="L434" i="2"/>
  <c r="K434" i="2"/>
  <c r="S433" i="2"/>
  <c r="P433" i="2"/>
  <c r="Q433" i="2"/>
  <c r="O433" i="2"/>
  <c r="L433" i="2"/>
  <c r="K433" i="2"/>
  <c r="S432" i="2"/>
  <c r="P432" i="2"/>
  <c r="O432" i="2"/>
  <c r="L432" i="2"/>
  <c r="K432" i="2"/>
  <c r="S431" i="2"/>
  <c r="P431" i="2"/>
  <c r="O431" i="2"/>
  <c r="L431" i="2"/>
  <c r="K431" i="2"/>
  <c r="S430" i="2"/>
  <c r="P430" i="2"/>
  <c r="O430" i="2"/>
  <c r="L430" i="2"/>
  <c r="K430" i="2"/>
  <c r="S429" i="2"/>
  <c r="P429" i="2"/>
  <c r="O429" i="2"/>
  <c r="L429" i="2"/>
  <c r="K429" i="2"/>
  <c r="S428" i="2"/>
  <c r="P428" i="2"/>
  <c r="O428" i="2"/>
  <c r="L428" i="2"/>
  <c r="K428" i="2"/>
  <c r="S427" i="2"/>
  <c r="P427" i="2"/>
  <c r="O427" i="2"/>
  <c r="L427" i="2"/>
  <c r="K427" i="2"/>
  <c r="S426" i="2"/>
  <c r="P426" i="2"/>
  <c r="O426" i="2"/>
  <c r="L426" i="2"/>
  <c r="K426" i="2"/>
  <c r="S425" i="2"/>
  <c r="P425" i="2"/>
  <c r="Q425" i="2"/>
  <c r="O425" i="2"/>
  <c r="L425" i="2"/>
  <c r="K425" i="2"/>
  <c r="S424" i="2"/>
  <c r="P424" i="2"/>
  <c r="O424" i="2"/>
  <c r="L424" i="2"/>
  <c r="K424" i="2"/>
  <c r="S423" i="2"/>
  <c r="P423" i="2"/>
  <c r="O423" i="2"/>
  <c r="L423" i="2"/>
  <c r="K423" i="2"/>
  <c r="S422" i="2"/>
  <c r="P422" i="2"/>
  <c r="O422" i="2"/>
  <c r="S421" i="2"/>
  <c r="P421" i="2"/>
  <c r="O421" i="2"/>
  <c r="L421" i="2"/>
  <c r="K421" i="2"/>
  <c r="S420" i="2"/>
  <c r="P420" i="2"/>
  <c r="O420" i="2"/>
  <c r="L420" i="2"/>
  <c r="K420" i="2"/>
  <c r="S419" i="2"/>
  <c r="P419" i="2"/>
  <c r="O419" i="2"/>
  <c r="L419" i="2"/>
  <c r="K419" i="2"/>
  <c r="S418" i="2"/>
  <c r="P418" i="2"/>
  <c r="O418" i="2"/>
  <c r="L418" i="2"/>
  <c r="K418" i="2"/>
  <c r="S417" i="2"/>
  <c r="P417" i="2"/>
  <c r="O417" i="2"/>
  <c r="L417" i="2"/>
  <c r="K417" i="2"/>
  <c r="S416" i="2"/>
  <c r="P416" i="2"/>
  <c r="O416" i="2"/>
  <c r="L416" i="2"/>
  <c r="K416" i="2"/>
  <c r="S415" i="2"/>
  <c r="P415" i="2"/>
  <c r="O415" i="2"/>
  <c r="L415" i="2"/>
  <c r="K415" i="2"/>
  <c r="S414" i="2"/>
  <c r="P414" i="2"/>
  <c r="O414" i="2"/>
  <c r="L414" i="2"/>
  <c r="K414" i="2"/>
  <c r="S413" i="2"/>
  <c r="P413" i="2"/>
  <c r="O413" i="2"/>
  <c r="L413" i="2"/>
  <c r="K413" i="2"/>
  <c r="S412" i="2"/>
  <c r="P412" i="2"/>
  <c r="O412" i="2"/>
  <c r="Q412" i="2"/>
  <c r="L412" i="2"/>
  <c r="K412" i="2"/>
  <c r="S411" i="2"/>
  <c r="P411" i="2"/>
  <c r="O411" i="2"/>
  <c r="L411" i="2"/>
  <c r="K411" i="2"/>
  <c r="S410" i="2"/>
  <c r="P410" i="2"/>
  <c r="O410" i="2"/>
  <c r="L410" i="2"/>
  <c r="K410" i="2"/>
  <c r="S409" i="2"/>
  <c r="P409" i="2"/>
  <c r="O409" i="2"/>
  <c r="L409" i="2"/>
  <c r="K409" i="2"/>
  <c r="S408" i="2"/>
  <c r="P408" i="2"/>
  <c r="O408" i="2"/>
  <c r="L408" i="2"/>
  <c r="K408" i="2"/>
  <c r="S407" i="2"/>
  <c r="P407" i="2"/>
  <c r="O407" i="2"/>
  <c r="L407" i="2"/>
  <c r="K407" i="2"/>
  <c r="S406" i="2"/>
  <c r="P406" i="2"/>
  <c r="O406" i="2"/>
  <c r="L406" i="2"/>
  <c r="K406" i="2"/>
  <c r="S405" i="2"/>
  <c r="P405" i="2"/>
  <c r="O405" i="2"/>
  <c r="L405" i="2"/>
  <c r="K405" i="2"/>
  <c r="S404" i="2"/>
  <c r="P404" i="2"/>
  <c r="O404" i="2"/>
  <c r="L404" i="2"/>
  <c r="K404" i="2"/>
  <c r="S403" i="2"/>
  <c r="P403" i="2"/>
  <c r="O403" i="2"/>
  <c r="L403" i="2"/>
  <c r="K403" i="2"/>
  <c r="S402" i="2"/>
  <c r="P402" i="2"/>
  <c r="O402" i="2"/>
  <c r="L402" i="2"/>
  <c r="K402" i="2"/>
  <c r="S401" i="2"/>
  <c r="P401" i="2"/>
  <c r="O401" i="2"/>
  <c r="L401" i="2"/>
  <c r="K401" i="2"/>
  <c r="S400" i="2"/>
  <c r="P400" i="2"/>
  <c r="O400" i="2"/>
  <c r="L400" i="2"/>
  <c r="K400" i="2"/>
  <c r="S399" i="2"/>
  <c r="P399" i="2"/>
  <c r="Q399" i="2"/>
  <c r="O399" i="2"/>
  <c r="L399" i="2"/>
  <c r="K399" i="2"/>
  <c r="S398" i="2"/>
  <c r="P398" i="2"/>
  <c r="O398" i="2"/>
  <c r="L398" i="2"/>
  <c r="K398" i="2"/>
  <c r="S397" i="2"/>
  <c r="P397" i="2"/>
  <c r="O397" i="2"/>
  <c r="L397" i="2"/>
  <c r="K397" i="2"/>
  <c r="S396" i="2"/>
  <c r="P396" i="2"/>
  <c r="O396" i="2"/>
  <c r="L396" i="2"/>
  <c r="K396" i="2"/>
  <c r="S395" i="2"/>
  <c r="P395" i="2"/>
  <c r="O395" i="2"/>
  <c r="L395" i="2"/>
  <c r="K395" i="2"/>
  <c r="R394" i="2"/>
  <c r="P394" i="2"/>
  <c r="O394" i="2"/>
  <c r="L394" i="2"/>
  <c r="K394" i="2"/>
  <c r="S393" i="2"/>
  <c r="P393" i="2"/>
  <c r="O393" i="2"/>
  <c r="L393" i="2"/>
  <c r="K393" i="2"/>
  <c r="S392" i="2"/>
  <c r="P392" i="2"/>
  <c r="O392" i="2"/>
  <c r="L392" i="2"/>
  <c r="K392" i="2"/>
  <c r="S391" i="2"/>
  <c r="P391" i="2"/>
  <c r="O391" i="2"/>
  <c r="L391" i="2"/>
  <c r="K391" i="2"/>
  <c r="S390" i="2"/>
  <c r="P390" i="2"/>
  <c r="O390" i="2"/>
  <c r="L390" i="2"/>
  <c r="K390" i="2"/>
  <c r="S389" i="2"/>
  <c r="P389" i="2"/>
  <c r="O389" i="2"/>
  <c r="L389" i="2"/>
  <c r="K389" i="2"/>
  <c r="S388" i="2"/>
  <c r="P388" i="2"/>
  <c r="O388" i="2"/>
  <c r="L388" i="2"/>
  <c r="K388" i="2"/>
  <c r="S387" i="2"/>
  <c r="P387" i="2"/>
  <c r="O387" i="2"/>
  <c r="L387" i="2"/>
  <c r="K387" i="2"/>
  <c r="S386" i="2"/>
  <c r="P386" i="2"/>
  <c r="O386" i="2"/>
  <c r="L386" i="2"/>
  <c r="K386" i="2"/>
  <c r="S385" i="2"/>
  <c r="P385" i="2"/>
  <c r="O385" i="2"/>
  <c r="L385" i="2"/>
  <c r="K385" i="2"/>
  <c r="S384" i="2"/>
  <c r="P384" i="2"/>
  <c r="O384" i="2"/>
  <c r="L384" i="2"/>
  <c r="K384" i="2"/>
  <c r="S383" i="2"/>
  <c r="P383" i="2"/>
  <c r="O383" i="2"/>
  <c r="L383" i="2"/>
  <c r="K383" i="2"/>
  <c r="S382" i="2"/>
  <c r="P382" i="2"/>
  <c r="O382" i="2"/>
  <c r="L382" i="2"/>
  <c r="K382" i="2"/>
  <c r="S381" i="2"/>
  <c r="P381" i="2"/>
  <c r="O381" i="2"/>
  <c r="L381" i="2"/>
  <c r="K381" i="2"/>
  <c r="S380" i="2"/>
  <c r="P380" i="2"/>
  <c r="O380" i="2"/>
  <c r="L380" i="2"/>
  <c r="K380" i="2"/>
  <c r="S379" i="2"/>
  <c r="P379" i="2"/>
  <c r="O379" i="2"/>
  <c r="L379" i="2"/>
  <c r="K379" i="2"/>
  <c r="S378" i="2"/>
  <c r="P378" i="2"/>
  <c r="O378" i="2"/>
  <c r="L378" i="2"/>
  <c r="K378" i="2"/>
  <c r="S377" i="2"/>
  <c r="P377" i="2"/>
  <c r="O377" i="2"/>
  <c r="L377" i="2"/>
  <c r="K377" i="2"/>
  <c r="S376" i="2"/>
  <c r="P376" i="2"/>
  <c r="O376" i="2"/>
  <c r="L376" i="2"/>
  <c r="K376" i="2"/>
  <c r="S375" i="2"/>
  <c r="P375" i="2"/>
  <c r="O375" i="2"/>
  <c r="L375" i="2"/>
  <c r="K375" i="2"/>
  <c r="S374" i="2"/>
  <c r="P374" i="2"/>
  <c r="O374" i="2"/>
  <c r="L374" i="2"/>
  <c r="K374" i="2"/>
  <c r="S373" i="2"/>
  <c r="P373" i="2"/>
  <c r="O373" i="2"/>
  <c r="L373" i="2"/>
  <c r="K373" i="2"/>
  <c r="S372" i="2"/>
  <c r="P372" i="2"/>
  <c r="O372" i="2"/>
  <c r="L372" i="2"/>
  <c r="K372" i="2"/>
  <c r="S371" i="2"/>
  <c r="P371" i="2"/>
  <c r="O371" i="2"/>
  <c r="L371" i="2"/>
  <c r="K371" i="2"/>
  <c r="S370" i="2"/>
  <c r="P370" i="2"/>
  <c r="O370" i="2"/>
  <c r="S369" i="2"/>
  <c r="P369" i="2"/>
  <c r="O369" i="2"/>
  <c r="L369" i="2"/>
  <c r="K369" i="2"/>
  <c r="S368" i="2"/>
  <c r="P368" i="2"/>
  <c r="O368" i="2"/>
  <c r="S367" i="2"/>
  <c r="P367" i="2"/>
  <c r="O367" i="2"/>
  <c r="S366" i="2"/>
  <c r="P366" i="2"/>
  <c r="O366" i="2"/>
  <c r="L366" i="2"/>
  <c r="K366" i="2"/>
  <c r="S365" i="2"/>
  <c r="P365" i="2"/>
  <c r="Q365" i="2"/>
  <c r="O365" i="2"/>
  <c r="L365" i="2"/>
  <c r="K365" i="2"/>
  <c r="S364" i="2"/>
  <c r="P364" i="2"/>
  <c r="O364" i="2"/>
  <c r="L364" i="2"/>
  <c r="K364" i="2"/>
  <c r="S363" i="2"/>
  <c r="P363" i="2"/>
  <c r="O363" i="2"/>
  <c r="L363" i="2"/>
  <c r="K363" i="2"/>
  <c r="S362" i="2"/>
  <c r="P362" i="2"/>
  <c r="O362" i="2"/>
  <c r="L362" i="2"/>
  <c r="K362" i="2"/>
  <c r="S361" i="2"/>
  <c r="P361" i="2"/>
  <c r="O361" i="2"/>
  <c r="L361" i="2"/>
  <c r="K361" i="2"/>
  <c r="S360" i="2"/>
  <c r="P360" i="2"/>
  <c r="O360" i="2"/>
  <c r="L360" i="2"/>
  <c r="K360" i="2"/>
  <c r="S359" i="2"/>
  <c r="P359" i="2"/>
  <c r="O359" i="2"/>
  <c r="L359" i="2"/>
  <c r="K359" i="2"/>
  <c r="S358" i="2"/>
  <c r="P358" i="2"/>
  <c r="O358" i="2"/>
  <c r="Q358" i="2"/>
  <c r="L358" i="2"/>
  <c r="K358" i="2"/>
  <c r="S357" i="2"/>
  <c r="P357" i="2"/>
  <c r="Q357" i="2"/>
  <c r="O357" i="2"/>
  <c r="L357" i="2"/>
  <c r="K357" i="2"/>
  <c r="S356" i="2"/>
  <c r="P356" i="2"/>
  <c r="O356" i="2"/>
  <c r="L356" i="2"/>
  <c r="K356" i="2"/>
  <c r="S355" i="2"/>
  <c r="P355" i="2"/>
  <c r="O355" i="2"/>
  <c r="L355" i="2"/>
  <c r="K355" i="2"/>
  <c r="S354" i="2"/>
  <c r="P354" i="2"/>
  <c r="O354" i="2"/>
  <c r="L354" i="2"/>
  <c r="K354" i="2"/>
  <c r="S353" i="2"/>
  <c r="P353" i="2"/>
  <c r="Q353" i="2"/>
  <c r="O353" i="2"/>
  <c r="L353" i="2"/>
  <c r="K353" i="2"/>
  <c r="S352" i="2"/>
  <c r="P352" i="2"/>
  <c r="O352" i="2"/>
  <c r="S351" i="2"/>
  <c r="P351" i="2"/>
  <c r="Q351" i="2"/>
  <c r="O351" i="2"/>
  <c r="S350" i="2"/>
  <c r="P350" i="2"/>
  <c r="O350" i="2"/>
  <c r="Q350" i="2"/>
  <c r="S349" i="2"/>
  <c r="P349" i="2"/>
  <c r="O349" i="2"/>
  <c r="L349" i="2"/>
  <c r="K349" i="2"/>
  <c r="S348" i="2"/>
  <c r="P348" i="2"/>
  <c r="O348" i="2"/>
  <c r="L348" i="2"/>
  <c r="K348" i="2"/>
  <c r="S347" i="2"/>
  <c r="P347" i="2"/>
  <c r="O347" i="2"/>
  <c r="L347" i="2"/>
  <c r="K347" i="2"/>
  <c r="S346" i="2"/>
  <c r="P346" i="2"/>
  <c r="O346" i="2"/>
  <c r="L346" i="2"/>
  <c r="K346" i="2"/>
  <c r="S345" i="2"/>
  <c r="P345" i="2"/>
  <c r="O345" i="2"/>
  <c r="L345" i="2"/>
  <c r="K345" i="2"/>
  <c r="S344" i="2"/>
  <c r="P344" i="2"/>
  <c r="O344" i="2"/>
  <c r="L344" i="2"/>
  <c r="K344" i="2"/>
  <c r="S343" i="2"/>
  <c r="P343" i="2"/>
  <c r="O343" i="2"/>
  <c r="L343" i="2"/>
  <c r="K343" i="2"/>
  <c r="S342" i="2"/>
  <c r="P342" i="2"/>
  <c r="O342" i="2"/>
  <c r="L342" i="2"/>
  <c r="K342" i="2"/>
  <c r="S341" i="2"/>
  <c r="P341" i="2"/>
  <c r="O341" i="2"/>
  <c r="S340" i="2"/>
  <c r="P340" i="2"/>
  <c r="O340" i="2"/>
  <c r="L340" i="2"/>
  <c r="K340" i="2"/>
  <c r="S339" i="2"/>
  <c r="P339" i="2"/>
  <c r="O339" i="2"/>
  <c r="L339" i="2"/>
  <c r="K339" i="2"/>
  <c r="S338" i="2"/>
  <c r="P338" i="2"/>
  <c r="O338" i="2"/>
  <c r="S337" i="2"/>
  <c r="P337" i="2"/>
  <c r="O337" i="2"/>
  <c r="S336" i="2"/>
  <c r="P336" i="2"/>
  <c r="O336" i="2"/>
  <c r="S335" i="2"/>
  <c r="P335" i="2"/>
  <c r="O335" i="2"/>
  <c r="L335" i="2"/>
  <c r="K335" i="2"/>
  <c r="S334" i="2"/>
  <c r="P334" i="2"/>
  <c r="O334" i="2"/>
  <c r="L334" i="2"/>
  <c r="K334" i="2"/>
  <c r="S333" i="2"/>
  <c r="P333" i="2"/>
  <c r="O333" i="2"/>
  <c r="L333" i="2"/>
  <c r="K333" i="2"/>
  <c r="S332" i="2"/>
  <c r="P332" i="2"/>
  <c r="O332" i="2"/>
  <c r="S331" i="2"/>
  <c r="P331" i="2"/>
  <c r="O331" i="2"/>
  <c r="L331" i="2"/>
  <c r="K331" i="2"/>
  <c r="S330" i="2"/>
  <c r="P330" i="2"/>
  <c r="O330" i="2"/>
  <c r="Q330" i="2"/>
  <c r="L330" i="2"/>
  <c r="K330" i="2"/>
  <c r="S329" i="2"/>
  <c r="P329" i="2"/>
  <c r="O329" i="2"/>
  <c r="S328" i="2"/>
  <c r="P328" i="2"/>
  <c r="O328" i="2"/>
  <c r="L328" i="2"/>
  <c r="K328" i="2"/>
  <c r="S327" i="2"/>
  <c r="P327" i="2"/>
  <c r="O327" i="2"/>
  <c r="S326" i="2"/>
  <c r="P326" i="2"/>
  <c r="O326" i="2"/>
  <c r="Q326" i="2"/>
  <c r="S325" i="2"/>
  <c r="P325" i="2"/>
  <c r="O325" i="2"/>
  <c r="S324" i="2"/>
  <c r="P324" i="2"/>
  <c r="O324" i="2"/>
  <c r="S323" i="2"/>
  <c r="P323" i="2"/>
  <c r="O323" i="2"/>
  <c r="S322" i="2"/>
  <c r="P322" i="2"/>
  <c r="O322" i="2"/>
  <c r="L322" i="2"/>
  <c r="K322" i="2"/>
  <c r="S321" i="2"/>
  <c r="P321" i="2"/>
  <c r="Q321" i="2"/>
  <c r="O321" i="2"/>
  <c r="S320" i="2"/>
  <c r="P320" i="2"/>
  <c r="O320" i="2"/>
  <c r="L320" i="2"/>
  <c r="K320" i="2"/>
  <c r="S319" i="2"/>
  <c r="P319" i="2"/>
  <c r="O319" i="2"/>
  <c r="L319" i="2"/>
  <c r="K319" i="2"/>
  <c r="S318" i="2"/>
  <c r="P318" i="2"/>
  <c r="O318" i="2"/>
  <c r="L318" i="2"/>
  <c r="K318" i="2"/>
  <c r="S317" i="2"/>
  <c r="P317" i="2"/>
  <c r="O317" i="2"/>
  <c r="L317" i="2"/>
  <c r="K317" i="2"/>
  <c r="S316" i="2"/>
  <c r="P316" i="2"/>
  <c r="O316" i="2"/>
  <c r="S315" i="2"/>
  <c r="P315" i="2"/>
  <c r="O315" i="2"/>
  <c r="L315" i="2"/>
  <c r="K315" i="2"/>
  <c r="S314" i="2"/>
  <c r="P314" i="2"/>
  <c r="O314" i="2"/>
  <c r="S313" i="2"/>
  <c r="P313" i="2"/>
  <c r="O313" i="2"/>
  <c r="S312" i="2"/>
  <c r="P312" i="2"/>
  <c r="O312" i="2"/>
  <c r="S311" i="2"/>
  <c r="P311" i="2"/>
  <c r="O311" i="2"/>
  <c r="L311" i="2"/>
  <c r="K311" i="2"/>
  <c r="S310" i="2"/>
  <c r="P310" i="2"/>
  <c r="O310" i="2"/>
  <c r="L310" i="2"/>
  <c r="K310" i="2"/>
  <c r="S309" i="2"/>
  <c r="P309" i="2"/>
  <c r="O309" i="2"/>
  <c r="L309" i="2"/>
  <c r="K309" i="2"/>
  <c r="S308" i="2"/>
  <c r="P308" i="2"/>
  <c r="O308" i="2"/>
  <c r="L308" i="2"/>
  <c r="K308" i="2"/>
  <c r="S307" i="2"/>
  <c r="P307" i="2"/>
  <c r="O307" i="2"/>
  <c r="L307" i="2"/>
  <c r="K307" i="2"/>
  <c r="S306" i="2"/>
  <c r="P306" i="2"/>
  <c r="O306" i="2"/>
  <c r="L306" i="2"/>
  <c r="K306" i="2"/>
  <c r="S305" i="2"/>
  <c r="P305" i="2"/>
  <c r="O305" i="2"/>
  <c r="L305" i="2"/>
  <c r="K305" i="2"/>
  <c r="S304" i="2"/>
  <c r="P304" i="2"/>
  <c r="O304" i="2"/>
  <c r="L304" i="2"/>
  <c r="K304" i="2"/>
  <c r="S303" i="2"/>
  <c r="P303" i="2"/>
  <c r="O303" i="2"/>
  <c r="L303" i="2"/>
  <c r="K303" i="2"/>
  <c r="S302" i="2"/>
  <c r="P302" i="2"/>
  <c r="O302" i="2"/>
  <c r="L302" i="2"/>
  <c r="K302" i="2"/>
  <c r="S301" i="2"/>
  <c r="P301" i="2"/>
  <c r="O301" i="2"/>
  <c r="L301" i="2"/>
  <c r="K301" i="2"/>
  <c r="S300" i="2"/>
  <c r="P300" i="2"/>
  <c r="O300" i="2"/>
  <c r="L300" i="2"/>
  <c r="K300" i="2"/>
  <c r="S299" i="2"/>
  <c r="P299" i="2"/>
  <c r="O299" i="2"/>
  <c r="L299" i="2"/>
  <c r="K299" i="2"/>
  <c r="S298" i="2"/>
  <c r="P298" i="2"/>
  <c r="O298" i="2"/>
  <c r="L298" i="2"/>
  <c r="K298" i="2"/>
  <c r="S297" i="2"/>
  <c r="P297" i="2"/>
  <c r="O297" i="2"/>
  <c r="L297" i="2"/>
  <c r="K297" i="2"/>
  <c r="S296" i="2"/>
  <c r="P296" i="2"/>
  <c r="O296" i="2"/>
  <c r="L296" i="2"/>
  <c r="K296" i="2"/>
  <c r="S295" i="2"/>
  <c r="P295" i="2"/>
  <c r="O295" i="2"/>
  <c r="L295" i="2"/>
  <c r="K295" i="2"/>
  <c r="S294" i="2"/>
  <c r="P294" i="2"/>
  <c r="O294" i="2"/>
  <c r="L294" i="2"/>
  <c r="K294" i="2"/>
  <c r="S293" i="2"/>
  <c r="P293" i="2"/>
  <c r="O293" i="2"/>
  <c r="L293" i="2"/>
  <c r="K293" i="2"/>
  <c r="S292" i="2"/>
  <c r="P292" i="2"/>
  <c r="O292" i="2"/>
  <c r="L292" i="2"/>
  <c r="K292" i="2"/>
  <c r="S291" i="2"/>
  <c r="P291" i="2"/>
  <c r="O291" i="2"/>
  <c r="S290" i="2"/>
  <c r="P290" i="2"/>
  <c r="O290" i="2"/>
  <c r="S289" i="2"/>
  <c r="P289" i="2"/>
  <c r="O289" i="2"/>
  <c r="L289" i="2"/>
  <c r="K289" i="2"/>
  <c r="S288" i="2"/>
  <c r="P288" i="2"/>
  <c r="O288" i="2"/>
  <c r="L288" i="2"/>
  <c r="K288" i="2"/>
  <c r="S287" i="2"/>
  <c r="P287" i="2"/>
  <c r="Q287" i="2"/>
  <c r="O287" i="2"/>
  <c r="L287" i="2"/>
  <c r="K287" i="2"/>
  <c r="S286" i="2"/>
  <c r="P286" i="2"/>
  <c r="O286" i="2"/>
  <c r="S285" i="2"/>
  <c r="P285" i="2"/>
  <c r="O285" i="2"/>
  <c r="S284" i="2"/>
  <c r="P284" i="2"/>
  <c r="O284" i="2"/>
  <c r="S283" i="2"/>
  <c r="P283" i="2"/>
  <c r="O283" i="2"/>
  <c r="L283" i="2"/>
  <c r="K283" i="2"/>
  <c r="S282" i="2"/>
  <c r="P282" i="2"/>
  <c r="O282" i="2"/>
  <c r="Q282" i="2"/>
  <c r="L282" i="2"/>
  <c r="K282" i="2"/>
  <c r="S281" i="2"/>
  <c r="P281" i="2"/>
  <c r="Q281" i="2"/>
  <c r="O281" i="2"/>
  <c r="L281" i="2"/>
  <c r="K281" i="2"/>
  <c r="S280" i="2"/>
  <c r="P280" i="2"/>
  <c r="O280" i="2"/>
  <c r="L280" i="2"/>
  <c r="K280" i="2"/>
  <c r="S279" i="2"/>
  <c r="P279" i="2"/>
  <c r="O279" i="2"/>
  <c r="L279" i="2"/>
  <c r="K279" i="2"/>
  <c r="S278" i="2"/>
  <c r="P278" i="2"/>
  <c r="O278" i="2"/>
  <c r="S277" i="2"/>
  <c r="P277" i="2"/>
  <c r="O277" i="2"/>
  <c r="S276" i="2"/>
  <c r="P276" i="2"/>
  <c r="O276" i="2"/>
  <c r="S275" i="2"/>
  <c r="P275" i="2"/>
  <c r="O275" i="2"/>
  <c r="L275" i="2"/>
  <c r="K275" i="2"/>
  <c r="S274" i="2"/>
  <c r="P274" i="2"/>
  <c r="O274" i="2"/>
  <c r="L274" i="2"/>
  <c r="K274" i="2"/>
  <c r="S273" i="2"/>
  <c r="P273" i="2"/>
  <c r="O273" i="2"/>
  <c r="L273" i="2"/>
  <c r="K273" i="2"/>
  <c r="S272" i="2"/>
  <c r="P272" i="2"/>
  <c r="O272" i="2"/>
  <c r="S271" i="2"/>
  <c r="P271" i="2"/>
  <c r="O271" i="2"/>
  <c r="S270" i="2"/>
  <c r="P270" i="2"/>
  <c r="O270" i="2"/>
  <c r="L270" i="2"/>
  <c r="K270" i="2"/>
  <c r="S269" i="2"/>
  <c r="P269" i="2"/>
  <c r="O269" i="2"/>
  <c r="S268" i="2"/>
  <c r="P268" i="2"/>
  <c r="O268" i="2"/>
  <c r="S267" i="2"/>
  <c r="P267" i="2"/>
  <c r="O267" i="2"/>
  <c r="S266" i="2"/>
  <c r="P266" i="2"/>
  <c r="O266" i="2"/>
  <c r="S265" i="2"/>
  <c r="P265" i="2"/>
  <c r="O265" i="2"/>
  <c r="S264" i="2"/>
  <c r="P264" i="2"/>
  <c r="O264" i="2"/>
  <c r="S263" i="2"/>
  <c r="P263" i="2"/>
  <c r="O263" i="2"/>
  <c r="S262" i="2"/>
  <c r="P262" i="2"/>
  <c r="O262" i="2"/>
  <c r="Q262" i="2"/>
  <c r="S261" i="2"/>
  <c r="P261" i="2"/>
  <c r="O261" i="2"/>
  <c r="S260" i="2"/>
  <c r="P260" i="2"/>
  <c r="O260" i="2"/>
  <c r="L260" i="2"/>
  <c r="K260" i="2"/>
  <c r="S259" i="2"/>
  <c r="P259" i="2"/>
  <c r="O259" i="2"/>
  <c r="S258" i="2"/>
  <c r="P258" i="2"/>
  <c r="O258" i="2"/>
  <c r="S257" i="2"/>
  <c r="P257" i="2"/>
  <c r="Q257" i="2"/>
  <c r="O257" i="2"/>
  <c r="L257" i="2"/>
  <c r="K257" i="2"/>
  <c r="S256" i="2"/>
  <c r="P256" i="2"/>
  <c r="O256" i="2"/>
  <c r="L256" i="2"/>
  <c r="K256" i="2"/>
  <c r="S255" i="2"/>
  <c r="P255" i="2"/>
  <c r="O255" i="2"/>
  <c r="S254" i="2"/>
  <c r="P254" i="2"/>
  <c r="O254" i="2"/>
  <c r="S253" i="2"/>
  <c r="P253" i="2"/>
  <c r="Q253" i="2"/>
  <c r="O253" i="2"/>
  <c r="L253" i="2"/>
  <c r="K253" i="2"/>
  <c r="S252" i="2"/>
  <c r="P252" i="2"/>
  <c r="O252" i="2"/>
  <c r="L252" i="2"/>
  <c r="K252" i="2"/>
  <c r="S251" i="2"/>
  <c r="P251" i="2"/>
  <c r="O251" i="2"/>
  <c r="L251" i="2"/>
  <c r="K251" i="2"/>
  <c r="S250" i="2"/>
  <c r="P250" i="2"/>
  <c r="O250" i="2"/>
  <c r="Q250" i="2"/>
  <c r="L250" i="2"/>
  <c r="K250" i="2"/>
  <c r="S249" i="2"/>
  <c r="P249" i="2"/>
  <c r="Q249" i="2"/>
  <c r="O249" i="2"/>
  <c r="S248" i="2"/>
  <c r="P248" i="2"/>
  <c r="O248" i="2"/>
  <c r="L248" i="2"/>
  <c r="K248" i="2"/>
  <c r="S247" i="2"/>
  <c r="P247" i="2"/>
  <c r="Q247" i="2"/>
  <c r="O247" i="2"/>
  <c r="L247" i="2"/>
  <c r="K247" i="2"/>
  <c r="S246" i="2"/>
  <c r="P246" i="2"/>
  <c r="O246" i="2"/>
  <c r="L246" i="2"/>
  <c r="K246" i="2"/>
  <c r="S245" i="2"/>
  <c r="P245" i="2"/>
  <c r="O245" i="2"/>
  <c r="L245" i="2"/>
  <c r="K245" i="2"/>
  <c r="S244" i="2"/>
  <c r="P244" i="2"/>
  <c r="O244" i="2"/>
  <c r="Q244" i="2"/>
  <c r="K244" i="2"/>
  <c r="L244" i="2"/>
  <c r="S243" i="2"/>
  <c r="P243" i="2"/>
  <c r="O243" i="2"/>
  <c r="L243" i="2"/>
  <c r="K243" i="2"/>
  <c r="S242" i="2"/>
  <c r="P242" i="2"/>
  <c r="O242" i="2"/>
  <c r="Q242" i="2"/>
  <c r="K242" i="2"/>
  <c r="L242" i="2"/>
  <c r="S241" i="2"/>
  <c r="P241" i="2"/>
  <c r="O241" i="2"/>
  <c r="L241" i="2"/>
  <c r="K241" i="2"/>
  <c r="S240" i="2"/>
  <c r="P240" i="2"/>
  <c r="O240" i="2"/>
  <c r="L240" i="2"/>
  <c r="K240" i="2"/>
  <c r="S239" i="2"/>
  <c r="P239" i="2"/>
  <c r="O239" i="2"/>
  <c r="S238" i="2"/>
  <c r="P238" i="2"/>
  <c r="O238" i="2"/>
  <c r="L238" i="2"/>
  <c r="K238" i="2"/>
  <c r="S237" i="2"/>
  <c r="P237" i="2"/>
  <c r="Q237" i="2"/>
  <c r="O237" i="2"/>
  <c r="L237" i="2"/>
  <c r="K237" i="2"/>
  <c r="S236" i="2"/>
  <c r="P236" i="2"/>
  <c r="O236" i="2"/>
  <c r="S235" i="2"/>
  <c r="P235" i="2"/>
  <c r="Q235" i="2"/>
  <c r="O235" i="2"/>
  <c r="L235" i="2"/>
  <c r="K235" i="2"/>
  <c r="S234" i="2"/>
  <c r="P234" i="2"/>
  <c r="O234" i="2"/>
  <c r="L234" i="2"/>
  <c r="K234" i="2"/>
  <c r="S233" i="2"/>
  <c r="P233" i="2"/>
  <c r="O233" i="2"/>
  <c r="S232" i="2"/>
  <c r="P232" i="2"/>
  <c r="O232" i="2"/>
  <c r="L232" i="2"/>
  <c r="K232" i="2"/>
  <c r="S231" i="2"/>
  <c r="P231" i="2"/>
  <c r="O231" i="2"/>
  <c r="S230" i="2"/>
  <c r="P230" i="2"/>
  <c r="O230" i="2"/>
  <c r="L230" i="2"/>
  <c r="K230" i="2"/>
  <c r="S229" i="2"/>
  <c r="P229" i="2"/>
  <c r="O229" i="2"/>
  <c r="S228" i="2"/>
  <c r="P228" i="2"/>
  <c r="O228" i="2"/>
  <c r="S227" i="2"/>
  <c r="P227" i="2"/>
  <c r="O227" i="2"/>
  <c r="L227" i="2"/>
  <c r="K227" i="2"/>
  <c r="S226" i="2"/>
  <c r="P226" i="2"/>
  <c r="O226" i="2"/>
  <c r="L226" i="2"/>
  <c r="K226" i="2"/>
  <c r="S225" i="2"/>
  <c r="P225" i="2"/>
  <c r="O225" i="2"/>
  <c r="S224" i="2"/>
  <c r="P224" i="2"/>
  <c r="O224" i="2"/>
  <c r="L224" i="2"/>
  <c r="K224" i="2"/>
  <c r="S223" i="2"/>
  <c r="P223" i="2"/>
  <c r="O223" i="2"/>
  <c r="S222" i="2"/>
  <c r="P222" i="2"/>
  <c r="O222" i="2"/>
  <c r="L222" i="2"/>
  <c r="K222" i="2"/>
  <c r="S221" i="2"/>
  <c r="P221" i="2"/>
  <c r="O221" i="2"/>
  <c r="L221" i="2"/>
  <c r="K221" i="2"/>
  <c r="S220" i="2"/>
  <c r="P220" i="2"/>
  <c r="O220" i="2"/>
  <c r="L220" i="2"/>
  <c r="K220" i="2"/>
  <c r="S219" i="2"/>
  <c r="P219" i="2"/>
  <c r="O219" i="2"/>
  <c r="L219" i="2"/>
  <c r="K219" i="2"/>
  <c r="S218" i="2"/>
  <c r="P218" i="2"/>
  <c r="O218" i="2"/>
  <c r="L218" i="2"/>
  <c r="K218" i="2"/>
  <c r="S217" i="2"/>
  <c r="P217" i="2"/>
  <c r="O217" i="2"/>
  <c r="S216" i="2"/>
  <c r="P216" i="2"/>
  <c r="O216" i="2"/>
  <c r="L216" i="2"/>
  <c r="K216" i="2"/>
  <c r="S215" i="2"/>
  <c r="P215" i="2"/>
  <c r="O215" i="2"/>
  <c r="S214" i="2"/>
  <c r="P214" i="2"/>
  <c r="O214" i="2"/>
  <c r="S213" i="2"/>
  <c r="P213" i="2"/>
  <c r="Q213" i="2"/>
  <c r="K213" i="2"/>
  <c r="L213" i="2"/>
  <c r="O213" i="2"/>
  <c r="S212" i="2"/>
  <c r="P212" i="2"/>
  <c r="O212" i="2"/>
  <c r="L212" i="2"/>
  <c r="K212" i="2"/>
  <c r="S211" i="2"/>
  <c r="P211" i="2"/>
  <c r="O211" i="2"/>
  <c r="S210" i="2"/>
  <c r="P210" i="2"/>
  <c r="O210" i="2"/>
  <c r="Q210" i="2"/>
  <c r="L210" i="2"/>
  <c r="K210" i="2"/>
  <c r="S209" i="2"/>
  <c r="P209" i="2"/>
  <c r="O209" i="2"/>
  <c r="L209" i="2"/>
  <c r="K209" i="2"/>
  <c r="S208" i="2"/>
  <c r="P208" i="2"/>
  <c r="O208" i="2"/>
  <c r="L208" i="2"/>
  <c r="K208" i="2"/>
  <c r="S207" i="2"/>
  <c r="P207" i="2"/>
  <c r="O207" i="2"/>
  <c r="L207" i="2"/>
  <c r="K207" i="2"/>
  <c r="S206" i="2"/>
  <c r="P206" i="2"/>
  <c r="O206" i="2"/>
  <c r="L206" i="2"/>
  <c r="K206" i="2"/>
  <c r="S205" i="2"/>
  <c r="P205" i="2"/>
  <c r="O205" i="2"/>
  <c r="L205" i="2"/>
  <c r="K205" i="2"/>
  <c r="S204" i="2"/>
  <c r="P204" i="2"/>
  <c r="O204" i="2"/>
  <c r="S203" i="2"/>
  <c r="P203" i="2"/>
  <c r="O203" i="2"/>
  <c r="L203" i="2"/>
  <c r="K203" i="2"/>
  <c r="S202" i="2"/>
  <c r="P202" i="2"/>
  <c r="O202" i="2"/>
  <c r="S201" i="2"/>
  <c r="P201" i="2"/>
  <c r="O201" i="2"/>
  <c r="L201" i="2"/>
  <c r="K201" i="2"/>
  <c r="S200" i="2"/>
  <c r="P200" i="2"/>
  <c r="O200" i="2"/>
  <c r="S199" i="2"/>
  <c r="P199" i="2"/>
  <c r="O199" i="2"/>
  <c r="S198" i="2"/>
  <c r="P198" i="2"/>
  <c r="O198" i="2"/>
  <c r="S197" i="2"/>
  <c r="P197" i="2"/>
  <c r="O197" i="2"/>
  <c r="S196" i="2"/>
  <c r="P196" i="2"/>
  <c r="O196" i="2"/>
  <c r="S195" i="2"/>
  <c r="P195" i="2"/>
  <c r="O195" i="2"/>
  <c r="L195" i="2"/>
  <c r="K195" i="2"/>
  <c r="S194" i="2"/>
  <c r="P194" i="2"/>
  <c r="O194" i="2"/>
  <c r="S193" i="2"/>
  <c r="P193" i="2"/>
  <c r="Q193" i="2"/>
  <c r="K193" i="2"/>
  <c r="L193" i="2"/>
  <c r="O193" i="2"/>
  <c r="S192" i="2"/>
  <c r="P192" i="2"/>
  <c r="O192" i="2"/>
  <c r="L192" i="2"/>
  <c r="K192" i="2"/>
  <c r="S191" i="2"/>
  <c r="P191" i="2"/>
  <c r="O191" i="2"/>
  <c r="S190" i="2"/>
  <c r="P190" i="2"/>
  <c r="O190" i="2"/>
  <c r="S189" i="2"/>
  <c r="P189" i="2"/>
  <c r="O189" i="2"/>
  <c r="S188" i="2"/>
  <c r="P188" i="2"/>
  <c r="O188" i="2"/>
  <c r="S187" i="2"/>
  <c r="P187" i="2"/>
  <c r="Q187" i="2"/>
  <c r="O187" i="2"/>
  <c r="L187" i="2"/>
  <c r="K187" i="2"/>
  <c r="S186" i="2"/>
  <c r="P186" i="2"/>
  <c r="O186" i="2"/>
  <c r="L186" i="2"/>
  <c r="K186" i="2"/>
  <c r="S185" i="2"/>
  <c r="P185" i="2"/>
  <c r="O185" i="2"/>
  <c r="S184" i="2"/>
  <c r="P184" i="2"/>
  <c r="O184" i="2"/>
  <c r="L184" i="2"/>
  <c r="K184" i="2"/>
  <c r="S183" i="2"/>
  <c r="P183" i="2"/>
  <c r="O183" i="2"/>
  <c r="S182" i="2"/>
  <c r="P182" i="2"/>
  <c r="O182" i="2"/>
  <c r="S181" i="2"/>
  <c r="P181" i="2"/>
  <c r="O181" i="2"/>
  <c r="L181" i="2"/>
  <c r="K181" i="2"/>
  <c r="S180" i="2"/>
  <c r="P180" i="2"/>
  <c r="O180" i="2"/>
  <c r="L180" i="2"/>
  <c r="K180" i="2"/>
  <c r="S179" i="2"/>
  <c r="P179" i="2"/>
  <c r="O179" i="2"/>
  <c r="L179" i="2"/>
  <c r="K179" i="2"/>
  <c r="S178" i="2"/>
  <c r="P178" i="2"/>
  <c r="O178" i="2"/>
  <c r="Q178" i="2"/>
  <c r="L178" i="2"/>
  <c r="K178" i="2"/>
  <c r="S177" i="2"/>
  <c r="P177" i="2"/>
  <c r="O177" i="2"/>
  <c r="S176" i="2"/>
  <c r="P176" i="2"/>
  <c r="O176" i="2"/>
  <c r="Q176" i="2"/>
  <c r="L176" i="2"/>
  <c r="K176" i="2"/>
  <c r="S175" i="2"/>
  <c r="P175" i="2"/>
  <c r="O175" i="2"/>
  <c r="L175" i="2"/>
  <c r="K175" i="2"/>
  <c r="S174" i="2"/>
  <c r="P174" i="2"/>
  <c r="O174" i="2"/>
  <c r="L174" i="2"/>
  <c r="K174" i="2"/>
  <c r="S173" i="2"/>
  <c r="P173" i="2"/>
  <c r="O173" i="2"/>
  <c r="L173" i="2"/>
  <c r="K173" i="2"/>
  <c r="S172" i="2"/>
  <c r="P172" i="2"/>
  <c r="O172" i="2"/>
  <c r="L172" i="2"/>
  <c r="K172" i="2"/>
  <c r="S171" i="2"/>
  <c r="P171" i="2"/>
  <c r="O171" i="2"/>
  <c r="L171" i="2"/>
  <c r="K171" i="2"/>
  <c r="S170" i="2"/>
  <c r="P170" i="2"/>
  <c r="O170" i="2"/>
  <c r="S169" i="2"/>
  <c r="P169" i="2"/>
  <c r="O169" i="2"/>
  <c r="L169" i="2"/>
  <c r="K169" i="2"/>
  <c r="S168" i="2"/>
  <c r="P168" i="2"/>
  <c r="O168" i="2"/>
  <c r="L168" i="2"/>
  <c r="K168" i="2"/>
  <c r="S167" i="2"/>
  <c r="P167" i="2"/>
  <c r="O167" i="2"/>
  <c r="L167" i="2"/>
  <c r="K167" i="2"/>
  <c r="R153" i="2"/>
  <c r="P153" i="2"/>
  <c r="O153" i="2"/>
  <c r="Q153" i="2"/>
  <c r="L153" i="2"/>
  <c r="K153" i="2"/>
  <c r="R152" i="2"/>
  <c r="P152" i="2"/>
  <c r="Q152" i="2"/>
  <c r="O152" i="2"/>
  <c r="L152" i="2"/>
  <c r="K152" i="2"/>
  <c r="R151" i="2"/>
  <c r="P151" i="2"/>
  <c r="O151" i="2"/>
  <c r="L151" i="2"/>
  <c r="K151" i="2"/>
  <c r="R150" i="2"/>
  <c r="P150" i="2"/>
  <c r="O150" i="2"/>
  <c r="L150" i="2"/>
  <c r="K150" i="2"/>
  <c r="R149" i="2"/>
  <c r="P149" i="2"/>
  <c r="O149" i="2"/>
  <c r="Q149" i="2"/>
  <c r="L149" i="2"/>
  <c r="K149" i="2"/>
  <c r="R148" i="2"/>
  <c r="P148" i="2"/>
  <c r="Q148" i="2"/>
  <c r="O148" i="2"/>
  <c r="L148" i="2"/>
  <c r="K148" i="2"/>
  <c r="R147" i="2"/>
  <c r="P147" i="2"/>
  <c r="O147" i="2"/>
  <c r="L147" i="2"/>
  <c r="K147" i="2"/>
  <c r="R146" i="2"/>
  <c r="P146" i="2"/>
  <c r="O146" i="2"/>
  <c r="L146" i="2"/>
  <c r="K146" i="2"/>
  <c r="R145" i="2"/>
  <c r="P145" i="2"/>
  <c r="O145" i="2"/>
  <c r="L145" i="2"/>
  <c r="K145" i="2"/>
  <c r="R144" i="2"/>
  <c r="P144" i="2"/>
  <c r="Q144" i="2"/>
  <c r="O144" i="2"/>
  <c r="L144" i="2"/>
  <c r="K144" i="2"/>
  <c r="R143" i="2"/>
  <c r="P143" i="2"/>
  <c r="O143" i="2"/>
  <c r="L143" i="2"/>
  <c r="K143" i="2"/>
  <c r="R142" i="2"/>
  <c r="P142" i="2"/>
  <c r="O142" i="2"/>
  <c r="L142" i="2"/>
  <c r="K142" i="2"/>
  <c r="R141" i="2"/>
  <c r="P141" i="2"/>
  <c r="O141" i="2"/>
  <c r="Q141" i="2"/>
  <c r="L141" i="2"/>
  <c r="K141" i="2"/>
  <c r="R140" i="2"/>
  <c r="P140" i="2"/>
  <c r="Q140" i="2"/>
  <c r="O140" i="2"/>
  <c r="L140" i="2"/>
  <c r="K140" i="2"/>
  <c r="R139" i="2"/>
  <c r="P139" i="2"/>
  <c r="O139" i="2"/>
  <c r="L139" i="2"/>
  <c r="K139" i="2"/>
  <c r="R138" i="2"/>
  <c r="P138" i="2"/>
  <c r="O138" i="2"/>
  <c r="L138" i="2"/>
  <c r="K138" i="2"/>
  <c r="R137" i="2"/>
  <c r="P137" i="2"/>
  <c r="O137" i="2"/>
  <c r="L137" i="2"/>
  <c r="K137" i="2"/>
  <c r="R136" i="2"/>
  <c r="P136" i="2"/>
  <c r="Q136" i="2"/>
  <c r="O136" i="2"/>
  <c r="L136" i="2"/>
  <c r="K136" i="2"/>
  <c r="R135" i="2"/>
  <c r="P135" i="2"/>
  <c r="O135" i="2"/>
  <c r="L135" i="2"/>
  <c r="K135" i="2"/>
  <c r="R134" i="2"/>
  <c r="P134" i="2"/>
  <c r="O134" i="2"/>
  <c r="L134" i="2"/>
  <c r="K134" i="2"/>
  <c r="R133" i="2"/>
  <c r="P133" i="2"/>
  <c r="O133" i="2"/>
  <c r="Q133" i="2"/>
  <c r="L133" i="2"/>
  <c r="K133" i="2"/>
  <c r="R132" i="2"/>
  <c r="P132" i="2"/>
  <c r="Q132" i="2"/>
  <c r="O132" i="2"/>
  <c r="L132" i="2"/>
  <c r="K132" i="2"/>
  <c r="R131" i="2"/>
  <c r="P131" i="2"/>
  <c r="O131" i="2"/>
  <c r="L131" i="2"/>
  <c r="K131" i="2"/>
  <c r="R130" i="2"/>
  <c r="P130" i="2"/>
  <c r="O130" i="2"/>
  <c r="L130" i="2"/>
  <c r="K130" i="2"/>
  <c r="R129" i="2"/>
  <c r="P129" i="2"/>
  <c r="O129" i="2"/>
  <c r="L129" i="2"/>
  <c r="K129" i="2"/>
  <c r="R128" i="2"/>
  <c r="P128" i="2"/>
  <c r="Q128" i="2"/>
  <c r="O128" i="2"/>
  <c r="L128" i="2"/>
  <c r="K128" i="2"/>
  <c r="R127" i="2"/>
  <c r="P127" i="2"/>
  <c r="O127" i="2"/>
  <c r="L127" i="2"/>
  <c r="K127" i="2"/>
  <c r="R126" i="2"/>
  <c r="P126" i="2"/>
  <c r="O126" i="2"/>
  <c r="L126" i="2"/>
  <c r="K126" i="2"/>
  <c r="R125" i="2"/>
  <c r="P125" i="2"/>
  <c r="O125" i="2"/>
  <c r="Q125" i="2"/>
  <c r="L125" i="2"/>
  <c r="K125" i="2"/>
  <c r="R124" i="2"/>
  <c r="P124" i="2"/>
  <c r="Q124" i="2"/>
  <c r="O124" i="2"/>
  <c r="L124" i="2"/>
  <c r="K124" i="2"/>
  <c r="R123" i="2"/>
  <c r="P123" i="2"/>
  <c r="O123" i="2"/>
  <c r="L123" i="2"/>
  <c r="K123" i="2"/>
  <c r="R122" i="2"/>
  <c r="P122" i="2"/>
  <c r="O122" i="2"/>
  <c r="L122" i="2"/>
  <c r="K122" i="2"/>
  <c r="R121" i="2"/>
  <c r="P121" i="2"/>
  <c r="O121" i="2"/>
  <c r="L121" i="2"/>
  <c r="K121" i="2"/>
  <c r="R120" i="2"/>
  <c r="P120" i="2"/>
  <c r="O120" i="2"/>
  <c r="L120" i="2"/>
  <c r="K120" i="2"/>
  <c r="R119" i="2"/>
  <c r="P119" i="2"/>
  <c r="O119" i="2"/>
  <c r="L119" i="2"/>
  <c r="K119" i="2"/>
  <c r="R118" i="2"/>
  <c r="P118" i="2"/>
  <c r="O118" i="2"/>
  <c r="L118" i="2"/>
  <c r="K118" i="2"/>
  <c r="R117" i="2"/>
  <c r="P117" i="2"/>
  <c r="O117" i="2"/>
  <c r="L117" i="2"/>
  <c r="K117" i="2"/>
  <c r="R116" i="2"/>
  <c r="P116" i="2"/>
  <c r="O116" i="2"/>
  <c r="L116" i="2"/>
  <c r="K116" i="2"/>
  <c r="R115" i="2"/>
  <c r="P115" i="2"/>
  <c r="O115" i="2"/>
  <c r="L115" i="2"/>
  <c r="K115" i="2"/>
  <c r="R114" i="2"/>
  <c r="P114" i="2"/>
  <c r="O114" i="2"/>
  <c r="L114" i="2"/>
  <c r="K114" i="2"/>
  <c r="R113" i="2"/>
  <c r="P113" i="2"/>
  <c r="O113" i="2"/>
  <c r="Q113" i="2"/>
  <c r="L113" i="2"/>
  <c r="K113" i="2"/>
  <c r="R112" i="2"/>
  <c r="P112" i="2"/>
  <c r="Q112" i="2"/>
  <c r="O112" i="2"/>
  <c r="L112" i="2"/>
  <c r="K112" i="2"/>
  <c r="R111" i="2"/>
  <c r="P111" i="2"/>
  <c r="O111" i="2"/>
  <c r="L111" i="2"/>
  <c r="K111" i="2"/>
  <c r="R110" i="2"/>
  <c r="P110" i="2"/>
  <c r="O110" i="2"/>
  <c r="L110" i="2"/>
  <c r="K110" i="2"/>
  <c r="R109" i="2"/>
  <c r="P109" i="2"/>
  <c r="O109" i="2"/>
  <c r="Q109" i="2"/>
  <c r="L109" i="2"/>
  <c r="K109" i="2"/>
  <c r="R108" i="2"/>
  <c r="P108" i="2"/>
  <c r="Q108" i="2"/>
  <c r="O108" i="2"/>
  <c r="L108" i="2"/>
  <c r="K108" i="2"/>
  <c r="R107" i="2"/>
  <c r="P107" i="2"/>
  <c r="O107" i="2"/>
  <c r="L107" i="2"/>
  <c r="K107" i="2"/>
  <c r="R106" i="2"/>
  <c r="P106" i="2"/>
  <c r="O106" i="2"/>
  <c r="L106" i="2"/>
  <c r="K106" i="2"/>
  <c r="R105" i="2"/>
  <c r="P105" i="2"/>
  <c r="O105" i="2"/>
  <c r="L105" i="2"/>
  <c r="K105" i="2"/>
  <c r="R104" i="2"/>
  <c r="P104" i="2"/>
  <c r="Q104" i="2"/>
  <c r="O104" i="2"/>
  <c r="L104" i="2"/>
  <c r="K104" i="2"/>
  <c r="R103" i="2"/>
  <c r="P103" i="2"/>
  <c r="O103" i="2"/>
  <c r="L103" i="2"/>
  <c r="K103" i="2"/>
  <c r="R102" i="2"/>
  <c r="P102" i="2"/>
  <c r="O102" i="2"/>
  <c r="L102" i="2"/>
  <c r="K102" i="2"/>
  <c r="R101" i="2"/>
  <c r="P101" i="2"/>
  <c r="O101" i="2"/>
  <c r="Q101" i="2"/>
  <c r="L101" i="2"/>
  <c r="K101" i="2"/>
  <c r="R100" i="2"/>
  <c r="P100" i="2"/>
  <c r="Q100" i="2"/>
  <c r="O100" i="2"/>
  <c r="L100" i="2"/>
  <c r="K100" i="2"/>
  <c r="R99" i="2"/>
  <c r="P99" i="2"/>
  <c r="O99" i="2"/>
  <c r="L99" i="2"/>
  <c r="K99" i="2"/>
  <c r="R98" i="2"/>
  <c r="P98" i="2"/>
  <c r="O98" i="2"/>
  <c r="L98" i="2"/>
  <c r="K98" i="2"/>
  <c r="R97" i="2"/>
  <c r="P97" i="2"/>
  <c r="O97" i="2"/>
  <c r="Q97" i="2"/>
  <c r="L97" i="2"/>
  <c r="K97" i="2"/>
  <c r="R96" i="2"/>
  <c r="P96" i="2"/>
  <c r="Q96" i="2"/>
  <c r="O96" i="2"/>
  <c r="L96" i="2"/>
  <c r="K96" i="2"/>
  <c r="R95" i="2"/>
  <c r="P95" i="2"/>
  <c r="O95" i="2"/>
  <c r="L95" i="2"/>
  <c r="K95" i="2"/>
  <c r="R94" i="2"/>
  <c r="P94" i="2"/>
  <c r="O94" i="2"/>
  <c r="L94" i="2"/>
  <c r="K94" i="2"/>
  <c r="R93" i="2"/>
  <c r="P93" i="2"/>
  <c r="O93" i="2"/>
  <c r="L93" i="2"/>
  <c r="K93" i="2"/>
  <c r="R92" i="2"/>
  <c r="P92" i="2"/>
  <c r="Q92" i="2"/>
  <c r="O92" i="2"/>
  <c r="L92" i="2"/>
  <c r="K92" i="2"/>
  <c r="R91" i="2"/>
  <c r="P91" i="2"/>
  <c r="O91" i="2"/>
  <c r="L91" i="2"/>
  <c r="K91" i="2"/>
  <c r="R90" i="2"/>
  <c r="P90" i="2"/>
  <c r="O90" i="2"/>
  <c r="L90" i="2"/>
  <c r="K90" i="2"/>
  <c r="R89" i="2"/>
  <c r="P89" i="2"/>
  <c r="O89" i="2"/>
  <c r="Q89" i="2"/>
  <c r="L89" i="2"/>
  <c r="K89" i="2"/>
  <c r="R88" i="2"/>
  <c r="P88" i="2"/>
  <c r="O88" i="2"/>
  <c r="L88" i="2"/>
  <c r="K88" i="2"/>
  <c r="R87" i="2"/>
  <c r="P87" i="2"/>
  <c r="O87" i="2"/>
  <c r="L87" i="2"/>
  <c r="K87" i="2"/>
  <c r="R86" i="2"/>
  <c r="P86" i="2"/>
  <c r="O86" i="2"/>
  <c r="L86" i="2"/>
  <c r="K86" i="2"/>
  <c r="R85" i="2"/>
  <c r="P85" i="2"/>
  <c r="O85" i="2"/>
  <c r="Q85" i="2"/>
  <c r="L85" i="2"/>
  <c r="K85" i="2"/>
  <c r="R84" i="2"/>
  <c r="P84" i="2"/>
  <c r="Q84" i="2"/>
  <c r="O84" i="2"/>
  <c r="L84" i="2"/>
  <c r="K84" i="2"/>
  <c r="R83" i="2"/>
  <c r="P83" i="2"/>
  <c r="O83" i="2"/>
  <c r="L83" i="2"/>
  <c r="K83" i="2"/>
  <c r="R82" i="2"/>
  <c r="P82" i="2"/>
  <c r="O82" i="2"/>
  <c r="L82" i="2"/>
  <c r="K82" i="2"/>
  <c r="R81" i="2"/>
  <c r="P81" i="2"/>
  <c r="O81" i="2"/>
  <c r="Q81" i="2"/>
  <c r="L81" i="2"/>
  <c r="K81" i="2"/>
  <c r="R80" i="2"/>
  <c r="P80" i="2"/>
  <c r="Q80" i="2"/>
  <c r="O80" i="2"/>
  <c r="L80" i="2"/>
  <c r="K80" i="2"/>
  <c r="R79" i="2"/>
  <c r="P79" i="2"/>
  <c r="O79" i="2"/>
  <c r="L79" i="2"/>
  <c r="K79" i="2"/>
  <c r="R78" i="2"/>
  <c r="P78" i="2"/>
  <c r="O78" i="2"/>
  <c r="L78" i="2"/>
  <c r="K78" i="2"/>
  <c r="R77" i="2"/>
  <c r="P77" i="2"/>
  <c r="O77" i="2"/>
  <c r="Q77" i="2"/>
  <c r="L77" i="2"/>
  <c r="K77" i="2"/>
  <c r="R76" i="2"/>
  <c r="P76" i="2"/>
  <c r="O76" i="2"/>
  <c r="L76" i="2"/>
  <c r="K76" i="2"/>
  <c r="R75" i="2"/>
  <c r="P75" i="2"/>
  <c r="O75" i="2"/>
  <c r="L75" i="2"/>
  <c r="K75" i="2"/>
  <c r="R74" i="2"/>
  <c r="P74" i="2"/>
  <c r="O74" i="2"/>
  <c r="L74" i="2"/>
  <c r="K74" i="2"/>
  <c r="R73" i="2"/>
  <c r="P73" i="2"/>
  <c r="O73" i="2"/>
  <c r="Q73" i="2"/>
  <c r="L73" i="2"/>
  <c r="K73" i="2"/>
  <c r="R72" i="2"/>
  <c r="P72" i="2"/>
  <c r="O72" i="2"/>
  <c r="L72" i="2"/>
  <c r="K72" i="2"/>
  <c r="R71" i="2"/>
  <c r="P71" i="2"/>
  <c r="O71" i="2"/>
  <c r="L71" i="2"/>
  <c r="K71" i="2"/>
  <c r="R70" i="2"/>
  <c r="P70" i="2"/>
  <c r="O70" i="2"/>
  <c r="L70" i="2"/>
  <c r="K70" i="2"/>
  <c r="R69" i="2"/>
  <c r="P69" i="2"/>
  <c r="O69" i="2"/>
  <c r="L69" i="2"/>
  <c r="K69" i="2"/>
  <c r="R68" i="2"/>
  <c r="P68" i="2"/>
  <c r="Q68" i="2"/>
  <c r="O68" i="2"/>
  <c r="L68" i="2"/>
  <c r="K68" i="2"/>
  <c r="R67" i="2"/>
  <c r="P67" i="2"/>
  <c r="O67" i="2"/>
  <c r="L67" i="2"/>
  <c r="K67" i="2"/>
  <c r="R66" i="2"/>
  <c r="P66" i="2"/>
  <c r="O66" i="2"/>
  <c r="L66" i="2"/>
  <c r="K66" i="2"/>
  <c r="R65" i="2"/>
  <c r="P65" i="2"/>
  <c r="O65" i="2"/>
  <c r="L65" i="2"/>
  <c r="K65" i="2"/>
  <c r="R64" i="2"/>
  <c r="P64" i="2"/>
  <c r="Q64" i="2"/>
  <c r="O64" i="2"/>
  <c r="L64" i="2"/>
  <c r="K64" i="2"/>
  <c r="R63" i="2"/>
  <c r="P63" i="2"/>
  <c r="O63" i="2"/>
  <c r="L63" i="2"/>
  <c r="K63" i="2"/>
  <c r="R62" i="2"/>
  <c r="P62" i="2"/>
  <c r="O62" i="2"/>
  <c r="L62" i="2"/>
  <c r="K62" i="2"/>
  <c r="R61" i="2"/>
  <c r="P61" i="2"/>
  <c r="O61" i="2"/>
  <c r="Q61" i="2"/>
  <c r="L61" i="2"/>
  <c r="K61" i="2"/>
  <c r="R60" i="2"/>
  <c r="P60" i="2"/>
  <c r="Q60" i="2"/>
  <c r="O60" i="2"/>
  <c r="L60" i="2"/>
  <c r="K60" i="2"/>
  <c r="R59" i="2"/>
  <c r="P59" i="2"/>
  <c r="O59" i="2"/>
  <c r="L59" i="2"/>
  <c r="K59" i="2"/>
  <c r="R58" i="2"/>
  <c r="P58" i="2"/>
  <c r="O58" i="2"/>
  <c r="L58" i="2"/>
  <c r="K58" i="2"/>
  <c r="R57" i="2"/>
  <c r="P57" i="2"/>
  <c r="O57" i="2"/>
  <c r="Q57" i="2"/>
  <c r="L57" i="2"/>
  <c r="K57" i="2"/>
  <c r="R56" i="2"/>
  <c r="P56" i="2"/>
  <c r="O56" i="2"/>
  <c r="L56" i="2"/>
  <c r="K56" i="2"/>
  <c r="R55" i="2"/>
  <c r="P55" i="2"/>
  <c r="O55" i="2"/>
  <c r="L55" i="2"/>
  <c r="K55" i="2"/>
  <c r="R54" i="2"/>
  <c r="P54" i="2"/>
  <c r="O54" i="2"/>
  <c r="L54" i="2"/>
  <c r="K54" i="2"/>
  <c r="R53" i="2"/>
  <c r="P53" i="2"/>
  <c r="O53" i="2"/>
  <c r="L53" i="2"/>
  <c r="K53" i="2"/>
  <c r="R52" i="2"/>
  <c r="P52" i="2"/>
  <c r="O52" i="2"/>
  <c r="L52" i="2"/>
  <c r="K52" i="2"/>
  <c r="R51" i="2"/>
  <c r="P51" i="2"/>
  <c r="O51" i="2"/>
  <c r="L51" i="2"/>
  <c r="K51" i="2"/>
  <c r="R50" i="2"/>
  <c r="P50" i="2"/>
  <c r="O50" i="2"/>
  <c r="L50" i="2"/>
  <c r="K50" i="2"/>
  <c r="R49" i="2"/>
  <c r="P49" i="2"/>
  <c r="O49" i="2"/>
  <c r="Q49" i="2"/>
  <c r="L49" i="2"/>
  <c r="K49" i="2"/>
  <c r="R48" i="2"/>
  <c r="P48" i="2"/>
  <c r="O48" i="2"/>
  <c r="L48" i="2"/>
  <c r="K48" i="2"/>
  <c r="R47" i="2"/>
  <c r="P47" i="2"/>
  <c r="O47" i="2"/>
  <c r="L47" i="2"/>
  <c r="K47" i="2"/>
  <c r="R46" i="2"/>
  <c r="P46" i="2"/>
  <c r="O46" i="2"/>
  <c r="L46" i="2"/>
  <c r="K46" i="2"/>
  <c r="R45" i="2"/>
  <c r="P45" i="2"/>
  <c r="O45" i="2"/>
  <c r="Q45" i="2"/>
  <c r="L45" i="2"/>
  <c r="K45" i="2"/>
  <c r="R44" i="2"/>
  <c r="P44" i="2"/>
  <c r="O44" i="2"/>
  <c r="L44" i="2"/>
  <c r="K44" i="2"/>
  <c r="R43" i="2"/>
  <c r="P43" i="2"/>
  <c r="O43" i="2"/>
  <c r="L43" i="2"/>
  <c r="K43" i="2"/>
  <c r="R42" i="2"/>
  <c r="P42" i="2"/>
  <c r="O42" i="2"/>
  <c r="L42" i="2"/>
  <c r="K42" i="2"/>
  <c r="R41" i="2"/>
  <c r="P41" i="2"/>
  <c r="O41" i="2"/>
  <c r="Q41" i="2"/>
  <c r="L41" i="2"/>
  <c r="K41" i="2"/>
  <c r="R40" i="2"/>
  <c r="P40" i="2"/>
  <c r="O40" i="2"/>
  <c r="L40" i="2"/>
  <c r="K40" i="2"/>
  <c r="R39" i="2"/>
  <c r="P39" i="2"/>
  <c r="O39" i="2"/>
  <c r="L39" i="2"/>
  <c r="K39" i="2"/>
  <c r="R38" i="2"/>
  <c r="P38" i="2"/>
  <c r="O38" i="2"/>
  <c r="L38" i="2"/>
  <c r="K38" i="2"/>
  <c r="R37" i="2"/>
  <c r="P37" i="2"/>
  <c r="O37" i="2"/>
  <c r="Q37" i="2"/>
  <c r="L37" i="2"/>
  <c r="K37" i="2"/>
  <c r="R36" i="2"/>
  <c r="P36" i="2"/>
  <c r="O36" i="2"/>
  <c r="L36" i="2"/>
  <c r="K36" i="2"/>
  <c r="R35" i="2"/>
  <c r="P35" i="2"/>
  <c r="O35" i="2"/>
  <c r="L35" i="2"/>
  <c r="K35" i="2"/>
  <c r="R34" i="2"/>
  <c r="P34" i="2"/>
  <c r="O34" i="2"/>
  <c r="L34" i="2"/>
  <c r="K34" i="2"/>
  <c r="R33" i="2"/>
  <c r="P33" i="2"/>
  <c r="O33" i="2"/>
  <c r="Q33" i="2"/>
  <c r="L33" i="2"/>
  <c r="K33" i="2"/>
  <c r="R32" i="2"/>
  <c r="P32" i="2"/>
  <c r="Q32" i="2"/>
  <c r="O32" i="2"/>
  <c r="L32" i="2"/>
  <c r="K32" i="2"/>
  <c r="R31" i="2"/>
  <c r="P31" i="2"/>
  <c r="O31" i="2"/>
  <c r="L31" i="2"/>
  <c r="K31" i="2"/>
  <c r="R30" i="2"/>
  <c r="P30" i="2"/>
  <c r="O30" i="2"/>
  <c r="L30" i="2"/>
  <c r="K30" i="2"/>
  <c r="R29" i="2"/>
  <c r="P29" i="2"/>
  <c r="O29" i="2"/>
  <c r="Q29" i="2"/>
  <c r="L29" i="2"/>
  <c r="K29" i="2"/>
  <c r="R28" i="2"/>
  <c r="P28" i="2"/>
  <c r="O28" i="2"/>
  <c r="L28" i="2"/>
  <c r="K28" i="2"/>
  <c r="R27" i="2"/>
  <c r="P27" i="2"/>
  <c r="O27" i="2"/>
  <c r="L27" i="2"/>
  <c r="K27" i="2"/>
  <c r="R26" i="2"/>
  <c r="P26" i="2"/>
  <c r="O26" i="2"/>
  <c r="L26" i="2"/>
  <c r="K26" i="2"/>
  <c r="R25" i="2"/>
  <c r="P25" i="2"/>
  <c r="O25" i="2"/>
  <c r="Q25" i="2"/>
  <c r="L25" i="2"/>
  <c r="K25" i="2"/>
  <c r="R24" i="2"/>
  <c r="P24" i="2"/>
  <c r="O24" i="2"/>
  <c r="L24" i="2"/>
  <c r="K24" i="2"/>
  <c r="R23" i="2"/>
  <c r="P23" i="2"/>
  <c r="O23" i="2"/>
  <c r="L23" i="2"/>
  <c r="K23" i="2"/>
  <c r="R22" i="2"/>
  <c r="P22" i="2"/>
  <c r="O22" i="2"/>
  <c r="L22" i="2"/>
  <c r="K22" i="2"/>
  <c r="R21" i="2"/>
  <c r="P21" i="2"/>
  <c r="O21" i="2"/>
  <c r="L21" i="2"/>
  <c r="K21" i="2"/>
  <c r="R20" i="2"/>
  <c r="P20" i="2"/>
  <c r="Q20" i="2"/>
  <c r="O20" i="2"/>
  <c r="L20" i="2"/>
  <c r="K20" i="2"/>
  <c r="R19" i="2"/>
  <c r="P19" i="2"/>
  <c r="O19" i="2"/>
  <c r="L19" i="2"/>
  <c r="K19" i="2"/>
  <c r="R18" i="2"/>
  <c r="P18" i="2"/>
  <c r="O18" i="2"/>
  <c r="L18" i="2"/>
  <c r="K18" i="2"/>
  <c r="R17" i="2"/>
  <c r="P17" i="2"/>
  <c r="O17" i="2"/>
  <c r="L17" i="2"/>
  <c r="K17" i="2"/>
  <c r="R16" i="2"/>
  <c r="P16" i="2"/>
  <c r="O16" i="2"/>
  <c r="L16" i="2"/>
  <c r="K16" i="2"/>
  <c r="R15" i="2"/>
  <c r="P15" i="2"/>
  <c r="O15" i="2"/>
  <c r="L15" i="2"/>
  <c r="K15" i="2"/>
  <c r="R14" i="2"/>
  <c r="P14" i="2"/>
  <c r="O14" i="2"/>
  <c r="L14" i="2"/>
  <c r="K14" i="2"/>
  <c r="R13" i="2"/>
  <c r="P13" i="2"/>
  <c r="O13" i="2"/>
  <c r="Q13" i="2"/>
  <c r="L13" i="2"/>
  <c r="K13" i="2"/>
  <c r="R12" i="2"/>
  <c r="P12" i="2"/>
  <c r="O12" i="2"/>
  <c r="L12" i="2"/>
  <c r="K12" i="2"/>
  <c r="R11" i="2"/>
  <c r="P11" i="2"/>
  <c r="O11" i="2"/>
  <c r="L11" i="2"/>
  <c r="K11" i="2"/>
  <c r="R10" i="2"/>
  <c r="P10" i="2"/>
  <c r="O10" i="2"/>
  <c r="L10" i="2"/>
  <c r="K10" i="2"/>
  <c r="R9" i="2"/>
  <c r="P9" i="2"/>
  <c r="O9" i="2"/>
  <c r="Q9" i="2"/>
  <c r="L9" i="2"/>
  <c r="K9" i="2"/>
  <c r="R8" i="2"/>
  <c r="P8" i="2"/>
  <c r="Q8" i="2"/>
  <c r="O8" i="2"/>
  <c r="L8" i="2"/>
  <c r="K8" i="2"/>
  <c r="J915" i="2"/>
  <c r="I915" i="2"/>
  <c r="G881" i="2"/>
  <c r="J649" i="2"/>
  <c r="G649" i="2"/>
  <c r="I633" i="2"/>
  <c r="G633" i="2"/>
  <c r="I163" i="2"/>
  <c r="U3" i="2"/>
  <c r="S58" i="2"/>
  <c r="R657" i="2"/>
  <c r="R641" i="2"/>
  <c r="R278" i="2"/>
  <c r="R190" i="2"/>
  <c r="R350" i="2"/>
  <c r="R262" i="2"/>
  <c r="R194" i="2"/>
  <c r="R258" i="2"/>
  <c r="Q16" i="5"/>
  <c r="S38" i="5"/>
  <c r="S42" i="5"/>
  <c r="S46" i="5"/>
  <c r="S66" i="5"/>
  <c r="S35" i="5"/>
  <c r="S67" i="5"/>
  <c r="R106" i="5"/>
  <c r="S41" i="5"/>
  <c r="S61" i="5"/>
  <c r="Q54" i="5"/>
  <c r="Q77" i="5"/>
  <c r="R110" i="5"/>
  <c r="S24" i="5"/>
  <c r="S51" i="5"/>
  <c r="S19" i="5"/>
  <c r="S62" i="5"/>
  <c r="S30" i="5"/>
  <c r="S85" i="5"/>
  <c r="S37" i="5"/>
  <c r="S21" i="5"/>
  <c r="R107" i="5"/>
  <c r="S84" i="5"/>
  <c r="S68" i="5"/>
  <c r="S52" i="5"/>
  <c r="S20" i="5"/>
  <c r="S79" i="5"/>
  <c r="S63" i="5"/>
  <c r="S31" i="5"/>
  <c r="S93" i="5"/>
  <c r="S88" i="5"/>
  <c r="S58" i="5"/>
  <c r="S26" i="5"/>
  <c r="R41" i="5"/>
  <c r="S106" i="5"/>
  <c r="S81" i="5"/>
  <c r="S65" i="5"/>
  <c r="S33" i="5"/>
  <c r="S17" i="5"/>
  <c r="S94" i="5"/>
  <c r="S80" i="5"/>
  <c r="S64" i="5"/>
  <c r="S48" i="5"/>
  <c r="S16" i="5"/>
  <c r="S75" i="5"/>
  <c r="S59" i="5"/>
  <c r="S27" i="5"/>
  <c r="S92" i="5"/>
  <c r="S70" i="5"/>
  <c r="S54" i="5"/>
  <c r="S22" i="5"/>
  <c r="R67" i="5"/>
  <c r="R38" i="5"/>
  <c r="S57" i="5"/>
  <c r="S87" i="5"/>
  <c r="S72" i="5"/>
  <c r="S40" i="5"/>
  <c r="R42" i="5"/>
  <c r="S53" i="5"/>
  <c r="S77" i="5"/>
  <c r="S29" i="5"/>
  <c r="R108" i="5"/>
  <c r="R109" i="5"/>
  <c r="S76" i="5"/>
  <c r="S60" i="5"/>
  <c r="S28" i="5"/>
  <c r="S83" i="5"/>
  <c r="S71" i="5"/>
  <c r="S55" i="5"/>
  <c r="S39" i="5"/>
  <c r="S23" i="5"/>
  <c r="S90" i="5"/>
  <c r="S82" i="5"/>
  <c r="S50" i="5"/>
  <c r="S34" i="5"/>
  <c r="S18" i="5"/>
  <c r="R35" i="5"/>
  <c r="R46" i="5"/>
  <c r="Q919" i="2"/>
  <c r="Q878" i="2"/>
  <c r="Q629" i="2"/>
  <c r="Q647" i="2"/>
  <c r="Q630" i="2"/>
  <c r="T630" i="2"/>
  <c r="U630" i="2"/>
  <c r="Q536" i="2"/>
  <c r="Q626" i="2"/>
  <c r="T626" i="2"/>
  <c r="U626" i="2"/>
  <c r="Q549" i="2"/>
  <c r="Q581" i="2"/>
  <c r="R660" i="2"/>
  <c r="R687" i="2"/>
  <c r="R696" i="2"/>
  <c r="R242" i="2"/>
  <c r="R316" i="2"/>
  <c r="R291" i="2"/>
  <c r="R198" i="2"/>
  <c r="R213" i="2"/>
  <c r="R662" i="2"/>
  <c r="R727" i="2"/>
  <c r="R200" i="2"/>
  <c r="R183" i="2"/>
  <c r="R338" i="2"/>
  <c r="R266" i="2"/>
  <c r="R214" i="2"/>
  <c r="R326" i="2"/>
  <c r="R332" i="2"/>
  <c r="R290" i="2"/>
  <c r="R370" i="2"/>
  <c r="R703" i="2"/>
  <c r="R196" i="2"/>
  <c r="R233" i="2"/>
  <c r="R202" i="2"/>
  <c r="R324" i="2"/>
  <c r="S29" i="2"/>
  <c r="S88" i="2"/>
  <c r="R261" i="2"/>
  <c r="R170" i="2"/>
  <c r="R717" i="2"/>
  <c r="Q610" i="2"/>
  <c r="Q670" i="2"/>
  <c r="K670" i="2"/>
  <c r="L670" i="2"/>
  <c r="K690" i="2"/>
  <c r="L690" i="2"/>
  <c r="Q702" i="2"/>
  <c r="K702" i="2"/>
  <c r="L702" i="2"/>
  <c r="L734" i="2"/>
  <c r="Q742" i="2"/>
  <c r="Q746" i="2"/>
  <c r="Q774" i="2"/>
  <c r="Q786" i="2"/>
  <c r="Q810" i="2"/>
  <c r="Q838" i="2"/>
  <c r="Q846" i="2"/>
  <c r="Q889" i="2"/>
  <c r="Q905" i="2"/>
  <c r="Q591" i="2"/>
  <c r="Q576" i="2"/>
  <c r="Q580" i="2"/>
  <c r="Q584" i="2"/>
  <c r="Q588" i="2"/>
  <c r="R524" i="2"/>
  <c r="Q615" i="2"/>
  <c r="Q623" i="2"/>
  <c r="Q625" i="2"/>
  <c r="Q627" i="2"/>
  <c r="Q593" i="2"/>
  <c r="Q624" i="2"/>
  <c r="T624" i="2"/>
  <c r="U624" i="2"/>
  <c r="Q595" i="2"/>
  <c r="Q599" i="2"/>
  <c r="Q611" i="2"/>
  <c r="Q645" i="2"/>
  <c r="Q663" i="2"/>
  <c r="K663" i="2"/>
  <c r="L663" i="2"/>
  <c r="Q667" i="2"/>
  <c r="K667" i="2"/>
  <c r="L667" i="2"/>
  <c r="Q671" i="2"/>
  <c r="K671" i="2"/>
  <c r="L671" i="2"/>
  <c r="Q675" i="2"/>
  <c r="K675" i="2"/>
  <c r="L675" i="2"/>
  <c r="Q679" i="2"/>
  <c r="K679" i="2"/>
  <c r="L679" i="2"/>
  <c r="Q687" i="2"/>
  <c r="Q695" i="2"/>
  <c r="K695" i="2"/>
  <c r="L695" i="2"/>
  <c r="Q699" i="2"/>
  <c r="K699" i="2"/>
  <c r="L699" i="2"/>
  <c r="K703" i="2"/>
  <c r="L703" i="2"/>
  <c r="Q707" i="2"/>
  <c r="Q711" i="2"/>
  <c r="Q715" i="2"/>
  <c r="Q719" i="2"/>
  <c r="Q731" i="2"/>
  <c r="Q735" i="2"/>
  <c r="K735" i="2"/>
  <c r="L735" i="2"/>
  <c r="Q747" i="2"/>
  <c r="Q751" i="2"/>
  <c r="Q759" i="2"/>
  <c r="Q763" i="2"/>
  <c r="Q767" i="2"/>
  <c r="Q775" i="2"/>
  <c r="Q779" i="2"/>
  <c r="Q783" i="2"/>
  <c r="Q791" i="2"/>
  <c r="Q795" i="2"/>
  <c r="Q799" i="2"/>
  <c r="Q807" i="2"/>
  <c r="Q811" i="2"/>
  <c r="Q815" i="2"/>
  <c r="Q819" i="2"/>
  <c r="Q823" i="2"/>
  <c r="Q827" i="2"/>
  <c r="Q831" i="2"/>
  <c r="Q835" i="2"/>
  <c r="Q839" i="2"/>
  <c r="Q843" i="2"/>
  <c r="Q847" i="2"/>
  <c r="Q851" i="2"/>
  <c r="Q855" i="2"/>
  <c r="Q859" i="2"/>
  <c r="Q863" i="2"/>
  <c r="Q867" i="2"/>
  <c r="Q871" i="2"/>
  <c r="Q886" i="2"/>
  <c r="Q890" i="2"/>
  <c r="Q894" i="2"/>
  <c r="Q898" i="2"/>
  <c r="Q902" i="2"/>
  <c r="Q906" i="2"/>
  <c r="Q910" i="2"/>
  <c r="Q116" i="2"/>
  <c r="Q173" i="2"/>
  <c r="Q185" i="2"/>
  <c r="K185" i="2"/>
  <c r="L185" i="2"/>
  <c r="Q189" i="2"/>
  <c r="K189" i="2"/>
  <c r="L189" i="2"/>
  <c r="Q201" i="2"/>
  <c r="Q217" i="2"/>
  <c r="K217" i="2"/>
  <c r="L217" i="2"/>
  <c r="Q229" i="2"/>
  <c r="K229" i="2"/>
  <c r="L229" i="2"/>
  <c r="Q233" i="2"/>
  <c r="K233" i="2"/>
  <c r="L233" i="2"/>
  <c r="Q241" i="2"/>
  <c r="Q245" i="2"/>
  <c r="K249" i="2"/>
  <c r="L249" i="2"/>
  <c r="Q261" i="2"/>
  <c r="K261" i="2"/>
  <c r="L261" i="2"/>
  <c r="Q265" i="2"/>
  <c r="K265" i="2"/>
  <c r="L265" i="2"/>
  <c r="Q269" i="2"/>
  <c r="K269" i="2"/>
  <c r="L269" i="2"/>
  <c r="Q277" i="2"/>
  <c r="K277" i="2"/>
  <c r="L277" i="2"/>
  <c r="Q301" i="2"/>
  <c r="Q553" i="2"/>
  <c r="Q602" i="2"/>
  <c r="Q644" i="2"/>
  <c r="Q658" i="2"/>
  <c r="K658" i="2"/>
  <c r="L658" i="2"/>
  <c r="Q674" i="2"/>
  <c r="K674" i="2"/>
  <c r="L674" i="2"/>
  <c r="Q678" i="2"/>
  <c r="K678" i="2"/>
  <c r="L678" i="2"/>
  <c r="Q694" i="2"/>
  <c r="K694" i="2"/>
  <c r="L694" i="2"/>
  <c r="Q706" i="2"/>
  <c r="Q710" i="2"/>
  <c r="Q718" i="2"/>
  <c r="Q722" i="2"/>
  <c r="Q730" i="2"/>
  <c r="Q738" i="2"/>
  <c r="Q750" i="2"/>
  <c r="Q754" i="2"/>
  <c r="Q758" i="2"/>
  <c r="Q622" i="2"/>
  <c r="Q620" i="2"/>
  <c r="T620" i="2"/>
  <c r="U620" i="2"/>
  <c r="Q619" i="2"/>
  <c r="Q617" i="2"/>
  <c r="R294" i="2"/>
  <c r="S36" i="2"/>
  <c r="R304" i="2"/>
  <c r="T304" i="2"/>
  <c r="U304" i="2"/>
  <c r="R352" i="2"/>
  <c r="R642" i="2"/>
  <c r="R193" i="2"/>
  <c r="T193" i="2"/>
  <c r="R217" i="2"/>
  <c r="R249" i="2"/>
  <c r="T249" i="2"/>
  <c r="R277" i="2"/>
  <c r="R477" i="2"/>
  <c r="R182" i="2"/>
  <c r="R240" i="2"/>
  <c r="R264" i="2"/>
  <c r="R295" i="2"/>
  <c r="R323" i="2"/>
  <c r="R357" i="2"/>
  <c r="R185" i="2"/>
  <c r="R223" i="2"/>
  <c r="R255" i="2"/>
  <c r="R489" i="2"/>
  <c r="R686" i="2"/>
  <c r="R430" i="2"/>
  <c r="T430" i="2"/>
  <c r="U430" i="2"/>
  <c r="R675" i="2"/>
  <c r="T675" i="2"/>
  <c r="U675" i="2"/>
  <c r="R488" i="2"/>
  <c r="R659" i="2"/>
  <c r="R685" i="2"/>
  <c r="R720" i="2"/>
  <c r="R888" i="2"/>
  <c r="S22" i="2"/>
  <c r="S96" i="2"/>
  <c r="R312" i="2"/>
  <c r="R167" i="2"/>
  <c r="R197" i="2"/>
  <c r="R229" i="2"/>
  <c r="R244" i="2"/>
  <c r="R276" i="2"/>
  <c r="R299" i="2"/>
  <c r="R327" i="2"/>
  <c r="R341" i="2"/>
  <c r="R191" i="2"/>
  <c r="R231" i="2"/>
  <c r="R267" i="2"/>
  <c r="R553" i="2"/>
  <c r="R656" i="2"/>
  <c r="R773" i="2"/>
  <c r="R679" i="2"/>
  <c r="R554" i="2"/>
  <c r="R735" i="2"/>
  <c r="S136" i="2"/>
  <c r="R724" i="2"/>
  <c r="R676" i="2"/>
  <c r="R744" i="2"/>
  <c r="R697" i="2"/>
  <c r="R799" i="2"/>
  <c r="R791" i="2"/>
  <c r="R695" i="2"/>
  <c r="R661" i="2"/>
  <c r="R534" i="2"/>
  <c r="R777" i="2"/>
  <c r="R678" i="2"/>
  <c r="R575" i="2"/>
  <c r="R453" i="2"/>
  <c r="T453" i="2"/>
  <c r="U453" i="2"/>
  <c r="R271" i="2"/>
  <c r="R215" i="2"/>
  <c r="R646" i="2"/>
  <c r="R363" i="2"/>
  <c r="R325" i="2"/>
  <c r="R293" i="2"/>
  <c r="R272" i="2"/>
  <c r="R248" i="2"/>
  <c r="R228" i="2"/>
  <c r="R208" i="2"/>
  <c r="R461" i="2"/>
  <c r="R286" i="2"/>
  <c r="R265" i="2"/>
  <c r="T265" i="2"/>
  <c r="U265" i="2"/>
  <c r="R225" i="2"/>
  <c r="R201" i="2"/>
  <c r="R368" i="2"/>
  <c r="R254" i="2"/>
  <c r="S86" i="2"/>
  <c r="Q304" i="2"/>
  <c r="Q541" i="2"/>
  <c r="R808" i="2"/>
  <c r="R615" i="2"/>
  <c r="T615" i="2"/>
  <c r="R813" i="2"/>
  <c r="R595" i="2"/>
  <c r="Q285" i="2"/>
  <c r="K285" i="2"/>
  <c r="L285" i="2"/>
  <c r="Q289" i="2"/>
  <c r="Q293" i="2"/>
  <c r="Q297" i="2"/>
  <c r="Q305" i="2"/>
  <c r="Q309" i="2"/>
  <c r="Q313" i="2"/>
  <c r="K313" i="2"/>
  <c r="L313" i="2"/>
  <c r="Q317" i="2"/>
  <c r="K321" i="2"/>
  <c r="L321" i="2"/>
  <c r="Q325" i="2"/>
  <c r="K325" i="2"/>
  <c r="L325" i="2"/>
  <c r="Q329" i="2"/>
  <c r="K329" i="2"/>
  <c r="L329" i="2"/>
  <c r="Q333" i="2"/>
  <c r="Q337" i="2"/>
  <c r="K337" i="2"/>
  <c r="L337" i="2"/>
  <c r="Q341" i="2"/>
  <c r="K341" i="2"/>
  <c r="L341" i="2"/>
  <c r="Q345" i="2"/>
  <c r="Q349" i="2"/>
  <c r="Q361" i="2"/>
  <c r="Q369" i="2"/>
  <c r="Q373" i="2"/>
  <c r="Q377" i="2"/>
  <c r="Q381" i="2"/>
  <c r="Q385" i="2"/>
  <c r="Q389" i="2"/>
  <c r="Q393" i="2"/>
  <c r="Q397" i="2"/>
  <c r="Q401" i="2"/>
  <c r="Q405" i="2"/>
  <c r="Q409" i="2"/>
  <c r="Q413" i="2"/>
  <c r="Q417" i="2"/>
  <c r="Q421" i="2"/>
  <c r="Q429" i="2"/>
  <c r="Q437" i="2"/>
  <c r="Q445" i="2"/>
  <c r="Q449" i="2"/>
  <c r="Q453" i="2"/>
  <c r="Q461" i="2"/>
  <c r="Q465" i="2"/>
  <c r="Q469" i="2"/>
  <c r="Q473" i="2"/>
  <c r="Q477" i="2"/>
  <c r="Q481" i="2"/>
  <c r="Q485" i="2"/>
  <c r="Q489" i="2"/>
  <c r="Q493" i="2"/>
  <c r="Q497" i="2"/>
  <c r="Q501" i="2"/>
  <c r="Q505" i="2"/>
  <c r="Q509" i="2"/>
  <c r="Q664" i="2"/>
  <c r="K664" i="2"/>
  <c r="L664" i="2"/>
  <c r="Q872" i="2"/>
  <c r="Q348" i="2"/>
  <c r="Q496" i="2"/>
  <c r="Q500" i="2"/>
  <c r="Q504" i="2"/>
  <c r="Q508" i="2"/>
  <c r="Q516" i="2"/>
  <c r="Q520" i="2"/>
  <c r="Q524" i="2"/>
  <c r="Q528" i="2"/>
  <c r="Q532" i="2"/>
  <c r="Q540" i="2"/>
  <c r="Q544" i="2"/>
  <c r="Q552" i="2"/>
  <c r="Q556" i="2"/>
  <c r="Q560" i="2"/>
  <c r="Q572" i="2"/>
  <c r="Q762" i="2"/>
  <c r="Q766" i="2"/>
  <c r="Q770" i="2"/>
  <c r="Q778" i="2"/>
  <c r="Q782" i="2"/>
  <c r="Q790" i="2"/>
  <c r="Q794" i="2"/>
  <c r="Q798" i="2"/>
  <c r="Q802" i="2"/>
  <c r="Q806" i="2"/>
  <c r="Q814" i="2"/>
  <c r="Q818" i="2"/>
  <c r="Q822" i="2"/>
  <c r="Q826" i="2"/>
  <c r="Q830" i="2"/>
  <c r="Q834" i="2"/>
  <c r="Q850" i="2"/>
  <c r="Q854" i="2"/>
  <c r="Q858" i="2"/>
  <c r="Q862" i="2"/>
  <c r="Q866" i="2"/>
  <c r="Q870" i="2"/>
  <c r="Q885" i="2"/>
  <c r="Q893" i="2"/>
  <c r="Q897" i="2"/>
  <c r="Q901" i="2"/>
  <c r="Q909" i="2"/>
  <c r="Q167" i="2"/>
  <c r="Q613" i="2"/>
  <c r="R704" i="2"/>
  <c r="R810" i="2"/>
  <c r="R865" i="2"/>
  <c r="S146" i="2"/>
  <c r="R593" i="2"/>
  <c r="Q88" i="5"/>
  <c r="Q76" i="2"/>
  <c r="Q603" i="2"/>
  <c r="Q607" i="2"/>
  <c r="Q639" i="2"/>
  <c r="Q641" i="2"/>
  <c r="K641" i="2"/>
  <c r="K649" i="2"/>
  <c r="Q655" i="2"/>
  <c r="K655" i="2"/>
  <c r="L655" i="2"/>
  <c r="Q659" i="2"/>
  <c r="K659" i="2"/>
  <c r="L659" i="2"/>
  <c r="Q34" i="2"/>
  <c r="Q50" i="2"/>
  <c r="Q255" i="2"/>
  <c r="K255" i="2"/>
  <c r="L255" i="2"/>
  <c r="Q307" i="2"/>
  <c r="Q319" i="2"/>
  <c r="Q331" i="2"/>
  <c r="Q343" i="2"/>
  <c r="K351" i="2"/>
  <c r="L351" i="2"/>
  <c r="Q367" i="2"/>
  <c r="K367" i="2"/>
  <c r="L367" i="2"/>
  <c r="Q375" i="2"/>
  <c r="Q407" i="2"/>
  <c r="Q419" i="2"/>
  <c r="Q609" i="2"/>
  <c r="Q637" i="2"/>
  <c r="Q669" i="2"/>
  <c r="Q681" i="2"/>
  <c r="Q693" i="2"/>
  <c r="K693" i="2"/>
  <c r="L693" i="2"/>
  <c r="Q697" i="2"/>
  <c r="K697" i="2"/>
  <c r="L697" i="2"/>
  <c r="Q705" i="2"/>
  <c r="K705" i="2"/>
  <c r="L705" i="2"/>
  <c r="Q733" i="2"/>
  <c r="Q737" i="2"/>
  <c r="K737" i="2"/>
  <c r="L737" i="2"/>
  <c r="Q745" i="2"/>
  <c r="Q749" i="2"/>
  <c r="Q757" i="2"/>
  <c r="Q777" i="2"/>
  <c r="Q789" i="2"/>
  <c r="Q793" i="2"/>
  <c r="Q801" i="2"/>
  <c r="Q805" i="2"/>
  <c r="Q809" i="2"/>
  <c r="Q821" i="2"/>
  <c r="Q837" i="2"/>
  <c r="Q841" i="2"/>
  <c r="Q845" i="2"/>
  <c r="Q849" i="2"/>
  <c r="Q857" i="2"/>
  <c r="Q861" i="2"/>
  <c r="U615" i="2"/>
  <c r="Q616" i="2"/>
  <c r="S124" i="2"/>
  <c r="Q151" i="2"/>
  <c r="Q548" i="2"/>
  <c r="Q713" i="2"/>
  <c r="Q717" i="2"/>
  <c r="Q721" i="2"/>
  <c r="Q761" i="2"/>
  <c r="Q781" i="2"/>
  <c r="Q865" i="2"/>
  <c r="Q79" i="2"/>
  <c r="Q83" i="2"/>
  <c r="Q87" i="2"/>
  <c r="Q91" i="2"/>
  <c r="Q95" i="2"/>
  <c r="Q99" i="2"/>
  <c r="Q103" i="2"/>
  <c r="Q107" i="2"/>
  <c r="Q111" i="2"/>
  <c r="Q115" i="2"/>
  <c r="Q119" i="2"/>
  <c r="Q123" i="2"/>
  <c r="Q127" i="2"/>
  <c r="Q131" i="2"/>
  <c r="Q135" i="2"/>
  <c r="Q139" i="2"/>
  <c r="Q143" i="2"/>
  <c r="Q147" i="2"/>
  <c r="Q172" i="2"/>
  <c r="Q180" i="2"/>
  <c r="Q184" i="2"/>
  <c r="Q188" i="2"/>
  <c r="K188" i="2"/>
  <c r="L188" i="2"/>
  <c r="Q192" i="2"/>
  <c r="Q196" i="2"/>
  <c r="K196" i="2"/>
  <c r="L196" i="2"/>
  <c r="Q200" i="2"/>
  <c r="K200" i="2"/>
  <c r="L200" i="2"/>
  <c r="Q204" i="2"/>
  <c r="K204" i="2"/>
  <c r="L204" i="2"/>
  <c r="Q208" i="2"/>
  <c r="Q212" i="2"/>
  <c r="Q216" i="2"/>
  <c r="Q220" i="2"/>
  <c r="Q224" i="2"/>
  <c r="Q228" i="2"/>
  <c r="T228" i="2"/>
  <c r="Q232" i="2"/>
  <c r="Q236" i="2"/>
  <c r="K236" i="2"/>
  <c r="L236" i="2"/>
  <c r="Q240" i="2"/>
  <c r="Q248" i="2"/>
  <c r="Q252" i="2"/>
  <c r="Q512" i="2"/>
  <c r="Q654" i="2"/>
  <c r="Q698" i="2"/>
  <c r="K698" i="2"/>
  <c r="L698" i="2"/>
  <c r="Q726" i="2"/>
  <c r="Q17" i="2"/>
  <c r="Q53" i="2"/>
  <c r="Q65" i="2"/>
  <c r="Q66" i="2"/>
  <c r="Q69" i="2"/>
  <c r="Q82" i="2"/>
  <c r="Q93" i="2"/>
  <c r="Q98" i="2"/>
  <c r="Q105" i="2"/>
  <c r="Q110" i="2"/>
  <c r="Q117" i="2"/>
  <c r="Q118" i="2"/>
  <c r="Q121" i="2"/>
  <c r="Q129" i="2"/>
  <c r="Q137" i="2"/>
  <c r="Q145" i="2"/>
  <c r="Q150" i="2"/>
  <c r="Q174" i="2"/>
  <c r="Q179" i="2"/>
  <c r="Q182" i="2"/>
  <c r="K182" i="2"/>
  <c r="L182" i="2"/>
  <c r="Q186" i="2"/>
  <c r="Q190" i="2"/>
  <c r="Q194" i="2"/>
  <c r="Q198" i="2"/>
  <c r="Q202" i="2"/>
  <c r="K202" i="2"/>
  <c r="L202" i="2"/>
  <c r="Q206" i="2"/>
  <c r="Q214" i="2"/>
  <c r="K214" i="2"/>
  <c r="L214" i="2"/>
  <c r="Q218" i="2"/>
  <c r="Q222" i="2"/>
  <c r="Q223" i="2"/>
  <c r="K223" i="2"/>
  <c r="L223" i="2"/>
  <c r="Q226" i="2"/>
  <c r="Q230" i="2"/>
  <c r="Q234" i="2"/>
  <c r="Q238" i="2"/>
  <c r="Q246" i="2"/>
  <c r="Q254" i="2"/>
  <c r="K254" i="2"/>
  <c r="L254" i="2"/>
  <c r="Q258" i="2"/>
  <c r="Q266" i="2"/>
  <c r="K266" i="2"/>
  <c r="L266" i="2"/>
  <c r="Q270" i="2"/>
  <c r="Q274" i="2"/>
  <c r="Q278" i="2"/>
  <c r="T278" i="2"/>
  <c r="Q286" i="2"/>
  <c r="K286" i="2"/>
  <c r="L286" i="2"/>
  <c r="Q290" i="2"/>
  <c r="K290" i="2"/>
  <c r="L290" i="2"/>
  <c r="Q294" i="2"/>
  <c r="Q298" i="2"/>
  <c r="Q302" i="2"/>
  <c r="Q306" i="2"/>
  <c r="Q310" i="2"/>
  <c r="Q314" i="2"/>
  <c r="Q318" i="2"/>
  <c r="Q322" i="2"/>
  <c r="K326" i="2"/>
  <c r="L326" i="2"/>
  <c r="Q334" i="2"/>
  <c r="Q338" i="2"/>
  <c r="K338" i="2"/>
  <c r="L338" i="2"/>
  <c r="Q342" i="2"/>
  <c r="Q346" i="2"/>
  <c r="Q354" i="2"/>
  <c r="Q362" i="2"/>
  <c r="Q366" i="2"/>
  <c r="Q370" i="2"/>
  <c r="K370" i="2"/>
  <c r="L370" i="2"/>
  <c r="Q374" i="2"/>
  <c r="Q378" i="2"/>
  <c r="Q382" i="2"/>
  <c r="Q386" i="2"/>
  <c r="Q390" i="2"/>
  <c r="Q394" i="2"/>
  <c r="Q398" i="2"/>
  <c r="Q402" i="2"/>
  <c r="Q406" i="2"/>
  <c r="Q410" i="2"/>
  <c r="Q414" i="2"/>
  <c r="Q418" i="2"/>
  <c r="Q422" i="2"/>
  <c r="K422" i="2"/>
  <c r="L422" i="2"/>
  <c r="Q426" i="2"/>
  <c r="Q430" i="2"/>
  <c r="Q431" i="2"/>
  <c r="Q434" i="2"/>
  <c r="Q438" i="2"/>
  <c r="Q442" i="2"/>
  <c r="Q446" i="2"/>
  <c r="Q447" i="2"/>
  <c r="Q450" i="2"/>
  <c r="Q451" i="2"/>
  <c r="Q454" i="2"/>
  <c r="Q458" i="2"/>
  <c r="Q462" i="2"/>
  <c r="Q466" i="2"/>
  <c r="Q467" i="2"/>
  <c r="Q470" i="2"/>
  <c r="Q471" i="2"/>
  <c r="Q474" i="2"/>
  <c r="Q478" i="2"/>
  <c r="Q482" i="2"/>
  <c r="Q483" i="2"/>
  <c r="Q486" i="2"/>
  <c r="Q490" i="2"/>
  <c r="Q491" i="2"/>
  <c r="Q494" i="2"/>
  <c r="Q498" i="2"/>
  <c r="Q499" i="2"/>
  <c r="Q502" i="2"/>
  <c r="Q503" i="2"/>
  <c r="Q506" i="2"/>
  <c r="Q510" i="2"/>
  <c r="Q514" i="2"/>
  <c r="Q515" i="2"/>
  <c r="Q518" i="2"/>
  <c r="Q519" i="2"/>
  <c r="Q522" i="2"/>
  <c r="Q523" i="2"/>
  <c r="Q526" i="2"/>
  <c r="Q527" i="2"/>
  <c r="Q530" i="2"/>
  <c r="Q534" i="2"/>
  <c r="T534" i="2"/>
  <c r="U534" i="2"/>
  <c r="Q538" i="2"/>
  <c r="Q539" i="2"/>
  <c r="Q542" i="2"/>
  <c r="Q543" i="2"/>
  <c r="Q546" i="2"/>
  <c r="Q547" i="2"/>
  <c r="Q550" i="2"/>
  <c r="Q554" i="2"/>
  <c r="Q555" i="2"/>
  <c r="Q558" i="2"/>
  <c r="Q559" i="2"/>
  <c r="Q562" i="2"/>
  <c r="Q563" i="2"/>
  <c r="Q566" i="2"/>
  <c r="Q567" i="2"/>
  <c r="Q570" i="2"/>
  <c r="Q574" i="2"/>
  <c r="Q575" i="2"/>
  <c r="Q578" i="2"/>
  <c r="Q579" i="2"/>
  <c r="Q582" i="2"/>
  <c r="Q583" i="2"/>
  <c r="Q586" i="2"/>
  <c r="Q590" i="2"/>
  <c r="Q596" i="2"/>
  <c r="Q597" i="2"/>
  <c r="Q600" i="2"/>
  <c r="Q601" i="2"/>
  <c r="Q604" i="2"/>
  <c r="Q608" i="2"/>
  <c r="Q612" i="2"/>
  <c r="Q640" i="2"/>
  <c r="Q642" i="2"/>
  <c r="Q646" i="2"/>
  <c r="Q660" i="2"/>
  <c r="K660" i="2"/>
  <c r="L660" i="2"/>
  <c r="Q668" i="2"/>
  <c r="K668" i="2"/>
  <c r="L668" i="2"/>
  <c r="Q672" i="2"/>
  <c r="K672" i="2"/>
  <c r="L672" i="2"/>
  <c r="Q676" i="2"/>
  <c r="Q680" i="2"/>
  <c r="Q684" i="2"/>
  <c r="K684" i="2"/>
  <c r="L684" i="2"/>
  <c r="Q688" i="2"/>
  <c r="K688" i="2"/>
  <c r="L688" i="2"/>
  <c r="Q692" i="2"/>
  <c r="Q696" i="2"/>
  <c r="K696" i="2"/>
  <c r="L696" i="2"/>
  <c r="Q700" i="2"/>
  <c r="K700" i="2"/>
  <c r="L700" i="2"/>
  <c r="Q704" i="2"/>
  <c r="Q708" i="2"/>
  <c r="Q709" i="2"/>
  <c r="Q712" i="2"/>
  <c r="Q716" i="2"/>
  <c r="Q720" i="2"/>
  <c r="K720" i="2"/>
  <c r="Q724" i="2"/>
  <c r="Q728" i="2"/>
  <c r="Q732" i="2"/>
  <c r="Q736" i="2"/>
  <c r="K736" i="2"/>
  <c r="L736" i="2"/>
  <c r="Q740" i="2"/>
  <c r="Q744" i="2"/>
  <c r="Q748" i="2"/>
  <c r="Q752" i="2"/>
  <c r="Q756" i="2"/>
  <c r="Q760" i="2"/>
  <c r="Q764" i="2"/>
  <c r="Q768" i="2"/>
  <c r="Q772" i="2"/>
  <c r="Q776" i="2"/>
  <c r="Q780" i="2"/>
  <c r="Q784" i="2"/>
  <c r="Q788" i="2"/>
  <c r="Q792" i="2"/>
  <c r="Q796" i="2"/>
  <c r="Q800" i="2"/>
  <c r="Q804" i="2"/>
  <c r="Q808" i="2"/>
  <c r="Q812" i="2"/>
  <c r="Q813" i="2"/>
  <c r="Q816" i="2"/>
  <c r="Q817" i="2"/>
  <c r="Q820" i="2"/>
  <c r="Q824" i="2"/>
  <c r="Q825" i="2"/>
  <c r="Q828" i="2"/>
  <c r="Q832" i="2"/>
  <c r="Q833" i="2"/>
  <c r="Q836" i="2"/>
  <c r="Q840" i="2"/>
  <c r="Q844" i="2"/>
  <c r="Q848" i="2"/>
  <c r="Q852" i="2"/>
  <c r="Q856" i="2"/>
  <c r="Q860" i="2"/>
  <c r="Q864" i="2"/>
  <c r="Q868" i="2"/>
  <c r="L915" i="2"/>
  <c r="K915" i="2"/>
  <c r="S915" i="2"/>
  <c r="Q887" i="2"/>
  <c r="Q888" i="2"/>
  <c r="Q891" i="2"/>
  <c r="Q892" i="2"/>
  <c r="Q895" i="2"/>
  <c r="Q896" i="2"/>
  <c r="Q899" i="2"/>
  <c r="Q900" i="2"/>
  <c r="Q903" i="2"/>
  <c r="Q904" i="2"/>
  <c r="Q907" i="2"/>
  <c r="Q908" i="2"/>
  <c r="Q911" i="2"/>
  <c r="Q666" i="2"/>
  <c r="K666" i="2"/>
  <c r="L666" i="2"/>
  <c r="R347" i="2"/>
  <c r="R401" i="2"/>
  <c r="R177" i="2"/>
  <c r="R199" i="2"/>
  <c r="R219" i="2"/>
  <c r="R239" i="2"/>
  <c r="R263" i="2"/>
  <c r="R284" i="2"/>
  <c r="R392" i="2"/>
  <c r="R457" i="2"/>
  <c r="R654" i="2"/>
  <c r="R664" i="2"/>
  <c r="R710" i="2"/>
  <c r="R671" i="2"/>
  <c r="R753" i="2"/>
  <c r="R422" i="2"/>
  <c r="R462" i="2"/>
  <c r="R552" i="2"/>
  <c r="R691" i="2"/>
  <c r="R734" i="2"/>
  <c r="T734" i="2"/>
  <c r="U734" i="2"/>
  <c r="R424" i="2"/>
  <c r="R508" i="2"/>
  <c r="R663" i="2"/>
  <c r="R701" i="2"/>
  <c r="R803" i="2"/>
  <c r="R767" i="2"/>
  <c r="R863" i="2"/>
  <c r="R824" i="2"/>
  <c r="R896" i="2"/>
  <c r="R899" i="2"/>
  <c r="S153" i="2"/>
  <c r="S159" i="2"/>
  <c r="R900" i="2"/>
  <c r="R590" i="2"/>
  <c r="S129" i="2"/>
  <c r="T129" i="2"/>
  <c r="U129" i="2"/>
  <c r="S128" i="2"/>
  <c r="T128" i="2"/>
  <c r="U128" i="2"/>
  <c r="R910" i="2"/>
  <c r="T910" i="2"/>
  <c r="U910" i="2"/>
  <c r="R588" i="2"/>
  <c r="S117" i="2"/>
  <c r="R903" i="2"/>
  <c r="S150" i="2"/>
  <c r="R851" i="2"/>
  <c r="R857" i="2"/>
  <c r="R897" i="2"/>
  <c r="R847" i="2"/>
  <c r="R806" i="2"/>
  <c r="R759" i="2"/>
  <c r="R700" i="2"/>
  <c r="R688" i="2"/>
  <c r="R672" i="2"/>
  <c r="R740" i="2"/>
  <c r="R693" i="2"/>
  <c r="R677" i="2"/>
  <c r="R794" i="2"/>
  <c r="R655" i="2"/>
  <c r="R578" i="2"/>
  <c r="R516" i="2"/>
  <c r="T516" i="2"/>
  <c r="S145" i="2"/>
  <c r="S126" i="2"/>
  <c r="R613" i="2"/>
  <c r="T613" i="2"/>
  <c r="U613" i="2"/>
  <c r="R869" i="2"/>
  <c r="R838" i="2"/>
  <c r="R821" i="2"/>
  <c r="R887" i="2"/>
  <c r="R844" i="2"/>
  <c r="R818" i="2"/>
  <c r="R755" i="2"/>
  <c r="R712" i="2"/>
  <c r="R684" i="2"/>
  <c r="R668" i="2"/>
  <c r="R789" i="2"/>
  <c r="R736" i="2"/>
  <c r="R705" i="2"/>
  <c r="R673" i="2"/>
  <c r="R783" i="2"/>
  <c r="R574" i="2"/>
  <c r="R528" i="2"/>
  <c r="R480" i="2"/>
  <c r="R436" i="2"/>
  <c r="R762" i="2"/>
  <c r="R715" i="2"/>
  <c r="T715" i="2"/>
  <c r="U715" i="2"/>
  <c r="R699" i="2"/>
  <c r="T699" i="2"/>
  <c r="U699" i="2"/>
  <c r="R683" i="2"/>
  <c r="T683" i="2"/>
  <c r="U683" i="2"/>
  <c r="R665" i="2"/>
  <c r="R576" i="2"/>
  <c r="R548" i="2"/>
  <c r="R498" i="2"/>
  <c r="R466" i="2"/>
  <c r="T466" i="2"/>
  <c r="R418" i="2"/>
  <c r="R737" i="2"/>
  <c r="R698" i="2"/>
  <c r="R667" i="2"/>
  <c r="T667" i="2"/>
  <c r="U667" i="2"/>
  <c r="R702" i="2"/>
  <c r="T702" i="2"/>
  <c r="R666" i="2"/>
  <c r="R658" i="2"/>
  <c r="R579" i="2"/>
  <c r="R555" i="2"/>
  <c r="R537" i="2"/>
  <c r="R455" i="2"/>
  <c r="R447" i="2"/>
  <c r="R431" i="2"/>
  <c r="R398" i="2"/>
  <c r="R275" i="2"/>
  <c r="R259" i="2"/>
  <c r="R211" i="2"/>
  <c r="R195" i="2"/>
  <c r="R181" i="2"/>
  <c r="R670" i="2"/>
  <c r="R523" i="2"/>
  <c r="R491" i="2"/>
  <c r="R459" i="2"/>
  <c r="R375" i="2"/>
  <c r="R367" i="2"/>
  <c r="R351" i="2"/>
  <c r="R337" i="2"/>
  <c r="R329" i="2"/>
  <c r="R321" i="2"/>
  <c r="R313" i="2"/>
  <c r="R305" i="2"/>
  <c r="R285" i="2"/>
  <c r="R268" i="2"/>
  <c r="R236" i="2"/>
  <c r="R220" i="2"/>
  <c r="R204" i="2"/>
  <c r="R188" i="2"/>
  <c r="R533" i="2"/>
  <c r="T533" i="2"/>
  <c r="U533" i="2"/>
  <c r="R501" i="2"/>
  <c r="R469" i="2"/>
  <c r="R282" i="2"/>
  <c r="R269" i="2"/>
  <c r="R221" i="2"/>
  <c r="R189" i="2"/>
  <c r="R171" i="2"/>
  <c r="R360" i="2"/>
  <c r="R336" i="2"/>
  <c r="R246" i="2"/>
  <c r="Q15" i="2"/>
  <c r="Q19" i="2"/>
  <c r="Q23" i="2"/>
  <c r="Q27" i="2"/>
  <c r="Q31" i="2"/>
  <c r="Q35" i="2"/>
  <c r="Q39" i="2"/>
  <c r="Q43" i="2"/>
  <c r="Q47" i="2"/>
  <c r="Q51" i="2"/>
  <c r="Q55" i="2"/>
  <c r="Q59" i="2"/>
  <c r="Q63" i="2"/>
  <c r="Q67" i="2"/>
  <c r="Q71" i="2"/>
  <c r="Q75" i="2"/>
  <c r="Q256" i="2"/>
  <c r="Q260" i="2"/>
  <c r="Q264" i="2"/>
  <c r="K264" i="2"/>
  <c r="L264" i="2"/>
  <c r="Q268" i="2"/>
  <c r="K268" i="2"/>
  <c r="L268" i="2"/>
  <c r="Q272" i="2"/>
  <c r="K272" i="2"/>
  <c r="L272" i="2"/>
  <c r="Q276" i="2"/>
  <c r="K276" i="2"/>
  <c r="L276" i="2"/>
  <c r="Q280" i="2"/>
  <c r="Q284" i="2"/>
  <c r="K284" i="2"/>
  <c r="L284" i="2"/>
  <c r="Q288" i="2"/>
  <c r="Q292" i="2"/>
  <c r="Q296" i="2"/>
  <c r="Q300" i="2"/>
  <c r="Q308" i="2"/>
  <c r="Q312" i="2"/>
  <c r="K312" i="2"/>
  <c r="L312" i="2"/>
  <c r="Q316" i="2"/>
  <c r="K316" i="2"/>
  <c r="L316" i="2"/>
  <c r="Q320" i="2"/>
  <c r="Q324" i="2"/>
  <c r="K324" i="2"/>
  <c r="L324" i="2"/>
  <c r="Q328" i="2"/>
  <c r="Q332" i="2"/>
  <c r="K332" i="2"/>
  <c r="L332" i="2"/>
  <c r="Q336" i="2"/>
  <c r="K336" i="2"/>
  <c r="L336" i="2"/>
  <c r="Q340" i="2"/>
  <c r="Q344" i="2"/>
  <c r="Q352" i="2"/>
  <c r="K352" i="2"/>
  <c r="L352" i="2"/>
  <c r="Q356" i="2"/>
  <c r="Q360" i="2"/>
  <c r="Q364" i="2"/>
  <c r="Q368" i="2"/>
  <c r="K368" i="2"/>
  <c r="L368" i="2"/>
  <c r="Q372" i="2"/>
  <c r="Q376" i="2"/>
  <c r="Q380" i="2"/>
  <c r="Q384" i="2"/>
  <c r="Q388" i="2"/>
  <c r="Q416" i="2"/>
  <c r="Q420" i="2"/>
  <c r="Q460" i="2"/>
  <c r="Q468" i="2"/>
  <c r="Q472" i="2"/>
  <c r="Q476" i="2"/>
  <c r="Q492" i="2"/>
  <c r="Q568" i="2"/>
  <c r="Q638" i="2"/>
  <c r="Q662" i="2"/>
  <c r="K662" i="2"/>
  <c r="L662" i="2"/>
  <c r="Q682" i="2"/>
  <c r="Q686" i="2"/>
  <c r="Q154" i="2"/>
  <c r="T154" i="2"/>
  <c r="U154" i="2"/>
  <c r="Q160" i="2"/>
  <c r="P915" i="2"/>
  <c r="Q170" i="2"/>
  <c r="K170" i="2"/>
  <c r="L170" i="2"/>
  <c r="P633" i="2"/>
  <c r="P881" i="2"/>
  <c r="Q656" i="2"/>
  <c r="K656" i="2"/>
  <c r="L656" i="2"/>
  <c r="O915" i="2"/>
  <c r="P649" i="2"/>
  <c r="Q94" i="2"/>
  <c r="Q102" i="2"/>
  <c r="Q106" i="2"/>
  <c r="Q114" i="2"/>
  <c r="Q122" i="2"/>
  <c r="Q126" i="2"/>
  <c r="Q130" i="2"/>
  <c r="Q134" i="2"/>
  <c r="Q138" i="2"/>
  <c r="Q142" i="2"/>
  <c r="Q146" i="2"/>
  <c r="Q171" i="2"/>
  <c r="Q175" i="2"/>
  <c r="Q183" i="2"/>
  <c r="T183" i="2"/>
  <c r="Q191" i="2"/>
  <c r="K191" i="2"/>
  <c r="L191" i="2"/>
  <c r="Q195" i="2"/>
  <c r="Q199" i="2"/>
  <c r="K199" i="2"/>
  <c r="L199" i="2"/>
  <c r="Q203" i="2"/>
  <c r="Q207" i="2"/>
  <c r="Q211" i="2"/>
  <c r="K211" i="2"/>
  <c r="L211" i="2"/>
  <c r="Q215" i="2"/>
  <c r="K215" i="2"/>
  <c r="L215" i="2"/>
  <c r="Q219" i="2"/>
  <c r="Q227" i="2"/>
  <c r="Q231" i="2"/>
  <c r="K231" i="2"/>
  <c r="L231" i="2"/>
  <c r="Q239" i="2"/>
  <c r="K239" i="2"/>
  <c r="L239" i="2"/>
  <c r="Q243" i="2"/>
  <c r="Q251" i="2"/>
  <c r="Q259" i="2"/>
  <c r="K259" i="2"/>
  <c r="L259" i="2"/>
  <c r="Q263" i="2"/>
  <c r="K263" i="2"/>
  <c r="L263" i="2"/>
  <c r="Q267" i="2"/>
  <c r="T267" i="2"/>
  <c r="Q271" i="2"/>
  <c r="K271" i="2"/>
  <c r="L271" i="2"/>
  <c r="Q275" i="2"/>
  <c r="Q279" i="2"/>
  <c r="Q283" i="2"/>
  <c r="Q291" i="2"/>
  <c r="K291" i="2"/>
  <c r="L291" i="2"/>
  <c r="Q295" i="2"/>
  <c r="Q299" i="2"/>
  <c r="Q303" i="2"/>
  <c r="Q311" i="2"/>
  <c r="Q315" i="2"/>
  <c r="Q323" i="2"/>
  <c r="Q327" i="2"/>
  <c r="T327" i="2"/>
  <c r="Q335" i="2"/>
  <c r="Q36" i="2"/>
  <c r="Q155" i="2"/>
  <c r="T155" i="2"/>
  <c r="U155" i="2"/>
  <c r="Q159" i="2"/>
  <c r="Q14" i="2"/>
  <c r="Q18" i="2"/>
  <c r="Q22" i="2"/>
  <c r="T22" i="2"/>
  <c r="U22" i="2"/>
  <c r="Q26" i="2"/>
  <c r="Q30" i="2"/>
  <c r="Q38" i="2"/>
  <c r="Q42" i="2"/>
  <c r="Q46" i="2"/>
  <c r="Q54" i="2"/>
  <c r="Q58" i="2"/>
  <c r="Q62" i="2"/>
  <c r="Q70" i="2"/>
  <c r="Q74" i="2"/>
  <c r="Q78" i="2"/>
  <c r="Q86" i="2"/>
  <c r="T86" i="2"/>
  <c r="U86" i="2"/>
  <c r="Q90" i="2"/>
  <c r="O633" i="2"/>
  <c r="Q168" i="2"/>
  <c r="Q21" i="2"/>
  <c r="Q12" i="2"/>
  <c r="Q16" i="2"/>
  <c r="Q24" i="2"/>
  <c r="Q28" i="2"/>
  <c r="Q40" i="2"/>
  <c r="Q44" i="2"/>
  <c r="Q48" i="2"/>
  <c r="Q52" i="2"/>
  <c r="Q56" i="2"/>
  <c r="Q72" i="2"/>
  <c r="Q88" i="2"/>
  <c r="T88" i="2"/>
  <c r="U88" i="2"/>
  <c r="Q120" i="2"/>
  <c r="Q169" i="2"/>
  <c r="Q177" i="2"/>
  <c r="K177" i="2"/>
  <c r="L177" i="2"/>
  <c r="Q181" i="2"/>
  <c r="Q197" i="2"/>
  <c r="K197" i="2"/>
  <c r="L197" i="2"/>
  <c r="Q205" i="2"/>
  <c r="Q209" i="2"/>
  <c r="Q221" i="2"/>
  <c r="Q225" i="2"/>
  <c r="K225" i="2"/>
  <c r="L225" i="2"/>
  <c r="Q273" i="2"/>
  <c r="Q339" i="2"/>
  <c r="Q347" i="2"/>
  <c r="Q355" i="2"/>
  <c r="Q359" i="2"/>
  <c r="Q363" i="2"/>
  <c r="T363" i="2"/>
  <c r="Q371" i="2"/>
  <c r="Q379" i="2"/>
  <c r="Q383" i="2"/>
  <c r="Q387" i="2"/>
  <c r="Q391" i="2"/>
  <c r="Q392" i="2"/>
  <c r="Q395" i="2"/>
  <c r="Q396" i="2"/>
  <c r="Q400" i="2"/>
  <c r="Q403" i="2"/>
  <c r="Q404" i="2"/>
  <c r="Q408" i="2"/>
  <c r="Q411" i="2"/>
  <c r="Q415" i="2"/>
  <c r="Q423" i="2"/>
  <c r="Q424" i="2"/>
  <c r="Q427" i="2"/>
  <c r="Q428" i="2"/>
  <c r="Q432" i="2"/>
  <c r="Q435" i="2"/>
  <c r="Q436" i="2"/>
  <c r="Q439" i="2"/>
  <c r="Q440" i="2"/>
  <c r="Q443" i="2"/>
  <c r="Q444" i="2"/>
  <c r="Q448" i="2"/>
  <c r="Q452" i="2"/>
  <c r="Q455" i="2"/>
  <c r="Q456" i="2"/>
  <c r="Q459" i="2"/>
  <c r="Q463" i="2"/>
  <c r="Q464" i="2"/>
  <c r="Q475" i="2"/>
  <c r="Q479" i="2"/>
  <c r="Q480" i="2"/>
  <c r="Q484" i="2"/>
  <c r="Q487" i="2"/>
  <c r="Q488" i="2"/>
  <c r="Q495" i="2"/>
  <c r="Q507" i="2"/>
  <c r="Q511" i="2"/>
  <c r="Q531" i="2"/>
  <c r="Q535" i="2"/>
  <c r="Q551" i="2"/>
  <c r="Q571" i="2"/>
  <c r="Q587" i="2"/>
  <c r="Q592" i="2"/>
  <c r="Q605" i="2"/>
  <c r="S649" i="2"/>
  <c r="Q643" i="2"/>
  <c r="Q653" i="2"/>
  <c r="S881" i="2"/>
  <c r="Q657" i="2"/>
  <c r="K657" i="2"/>
  <c r="L657" i="2"/>
  <c r="Q661" i="2"/>
  <c r="K661" i="2"/>
  <c r="L661" i="2"/>
  <c r="Q665" i="2"/>
  <c r="K665" i="2"/>
  <c r="L665" i="2"/>
  <c r="Q673" i="2"/>
  <c r="K673" i="2"/>
  <c r="L673" i="2"/>
  <c r="Q677" i="2"/>
  <c r="K677" i="2"/>
  <c r="L677" i="2"/>
  <c r="Q685" i="2"/>
  <c r="T685" i="2"/>
  <c r="Q689" i="2"/>
  <c r="Q701" i="2"/>
  <c r="K701" i="2"/>
  <c r="L701" i="2"/>
  <c r="Q725" i="2"/>
  <c r="Q729" i="2"/>
  <c r="Q741" i="2"/>
  <c r="Q753" i="2"/>
  <c r="Q765" i="2"/>
  <c r="Q769" i="2"/>
  <c r="Q773" i="2"/>
  <c r="T773" i="2"/>
  <c r="Q785" i="2"/>
  <c r="Q797" i="2"/>
  <c r="Q829" i="2"/>
  <c r="Q842" i="2"/>
  <c r="Q853" i="2"/>
  <c r="Q869" i="2"/>
  <c r="Q873" i="2"/>
  <c r="Q156" i="2"/>
  <c r="T156" i="2"/>
  <c r="U156" i="2"/>
  <c r="Q157" i="2"/>
  <c r="Q158" i="2"/>
  <c r="T158" i="2"/>
  <c r="U158" i="2"/>
  <c r="Q10" i="2"/>
  <c r="P163" i="2"/>
  <c r="Q11" i="2"/>
  <c r="O163" i="2"/>
  <c r="O649" i="2"/>
  <c r="G12" i="6"/>
  <c r="G82" i="6"/>
  <c r="G153" i="6"/>
  <c r="G179" i="6"/>
  <c r="I175" i="6"/>
  <c r="G172" i="6"/>
  <c r="I143" i="6"/>
  <c r="I158" i="6"/>
  <c r="S113" i="5"/>
  <c r="T194" i="2"/>
  <c r="K194" i="2"/>
  <c r="L194" i="2"/>
  <c r="T350" i="2"/>
  <c r="K350" i="2"/>
  <c r="L350" i="2"/>
  <c r="K314" i="2"/>
  <c r="L314" i="2"/>
  <c r="K278" i="2"/>
  <c r="L278" i="2"/>
  <c r="T269" i="2"/>
  <c r="U269" i="2"/>
  <c r="T262" i="2"/>
  <c r="K262" i="2"/>
  <c r="L262" i="2"/>
  <c r="T258" i="2"/>
  <c r="K258" i="2"/>
  <c r="L258" i="2"/>
  <c r="U249" i="2"/>
  <c r="K228" i="2"/>
  <c r="L228" i="2"/>
  <c r="T198" i="2"/>
  <c r="K198" i="2"/>
  <c r="L198" i="2"/>
  <c r="T190" i="2"/>
  <c r="K190" i="2"/>
  <c r="L190" i="2"/>
  <c r="K183" i="2"/>
  <c r="L183" i="2"/>
  <c r="T305" i="2"/>
  <c r="U305" i="2"/>
  <c r="T337" i="2"/>
  <c r="U337" i="2"/>
  <c r="T705" i="2"/>
  <c r="U705" i="2"/>
  <c r="T401" i="2"/>
  <c r="U401" i="2"/>
  <c r="T727" i="2"/>
  <c r="U727" i="2"/>
  <c r="T720" i="2"/>
  <c r="L720" i="2"/>
  <c r="K689" i="2"/>
  <c r="L689" i="2"/>
  <c r="K692" i="2"/>
  <c r="L692" i="2"/>
  <c r="T687" i="2"/>
  <c r="K687" i="2"/>
  <c r="L687" i="2"/>
  <c r="T676" i="2"/>
  <c r="K676" i="2"/>
  <c r="L676" i="2"/>
  <c r="T657" i="2"/>
  <c r="T332" i="2"/>
  <c r="U332" i="2"/>
  <c r="T316" i="2"/>
  <c r="U316" i="2"/>
  <c r="T710" i="2"/>
  <c r="U710" i="2"/>
  <c r="T326" i="2"/>
  <c r="U326" i="2"/>
  <c r="T124" i="2"/>
  <c r="U124" i="2"/>
  <c r="T524" i="2"/>
  <c r="U524" i="2"/>
  <c r="T201" i="2"/>
  <c r="U201" i="2"/>
  <c r="T197" i="2"/>
  <c r="U197" i="2"/>
  <c r="T737" i="2"/>
  <c r="U737" i="2"/>
  <c r="T759" i="2"/>
  <c r="U759" i="2"/>
  <c r="T508" i="2"/>
  <c r="U508" i="2"/>
  <c r="T457" i="2"/>
  <c r="U457" i="2"/>
  <c r="T290" i="2"/>
  <c r="U290" i="2"/>
  <c r="T717" i="2"/>
  <c r="U717" i="2"/>
  <c r="T595" i="2"/>
  <c r="U595" i="2"/>
  <c r="T671" i="2"/>
  <c r="U671" i="2"/>
  <c r="T233" i="2"/>
  <c r="U233" i="2"/>
  <c r="T213" i="2"/>
  <c r="U213" i="2"/>
  <c r="T58" i="2"/>
  <c r="U58" i="2"/>
  <c r="T329" i="2"/>
  <c r="U329" i="2"/>
  <c r="T670" i="2"/>
  <c r="U670" i="2"/>
  <c r="T663" i="2"/>
  <c r="U663" i="2"/>
  <c r="T214" i="2"/>
  <c r="U214" i="2"/>
  <c r="T200" i="2"/>
  <c r="U200" i="2"/>
  <c r="T593" i="2"/>
  <c r="U593" i="2"/>
  <c r="T810" i="2"/>
  <c r="U810" i="2"/>
  <c r="T791" i="2"/>
  <c r="U791" i="2"/>
  <c r="T679" i="2"/>
  <c r="U679" i="2"/>
  <c r="U702" i="2"/>
  <c r="T821" i="2"/>
  <c r="U821" i="2"/>
  <c r="T277" i="2"/>
  <c r="U277" i="2"/>
  <c r="T660" i="2"/>
  <c r="U660" i="2"/>
  <c r="T370" i="2"/>
  <c r="U370" i="2"/>
  <c r="T576" i="2"/>
  <c r="U576" i="2"/>
  <c r="T590" i="2"/>
  <c r="U590" i="2"/>
  <c r="T261" i="2"/>
  <c r="U261" i="2"/>
  <c r="T189" i="2"/>
  <c r="U189" i="2"/>
  <c r="T642" i="2"/>
  <c r="U642" i="2"/>
  <c r="T701" i="2"/>
  <c r="U701" i="2"/>
  <c r="T312" i="2"/>
  <c r="U312" i="2"/>
  <c r="T150" i="2"/>
  <c r="U150" i="2"/>
  <c r="T537" i="2"/>
  <c r="U537" i="2"/>
  <c r="U516" i="2"/>
  <c r="T266" i="2"/>
  <c r="U266" i="2"/>
  <c r="T244" i="2"/>
  <c r="U244" i="2"/>
  <c r="T295" i="2"/>
  <c r="U295" i="2"/>
  <c r="T286" i="2"/>
  <c r="U286" i="2"/>
  <c r="T799" i="2"/>
  <c r="U799" i="2"/>
  <c r="T299" i="2"/>
  <c r="U299" i="2"/>
  <c r="T96" i="2"/>
  <c r="U96" i="2"/>
  <c r="T255" i="2"/>
  <c r="U255" i="2"/>
  <c r="T703" i="2"/>
  <c r="U703" i="2"/>
  <c r="T291" i="2"/>
  <c r="U291" i="2"/>
  <c r="T146" i="2"/>
  <c r="U146" i="2"/>
  <c r="T170" i="2"/>
  <c r="U170" i="2"/>
  <c r="T696" i="2"/>
  <c r="U696" i="2"/>
  <c r="T242" i="2"/>
  <c r="U242" i="2"/>
  <c r="T202" i="2"/>
  <c r="U202" i="2"/>
  <c r="K267" i="2"/>
  <c r="T217" i="2"/>
  <c r="U217" i="2"/>
  <c r="T398" i="2"/>
  <c r="U398" i="2"/>
  <c r="T554" i="2"/>
  <c r="U554" i="2"/>
  <c r="T553" i="2"/>
  <c r="U553" i="2"/>
  <c r="T188" i="2"/>
  <c r="U188" i="2"/>
  <c r="U466" i="2"/>
  <c r="T783" i="2"/>
  <c r="U783" i="2"/>
  <c r="T588" i="2"/>
  <c r="U588" i="2"/>
  <c r="T36" i="2"/>
  <c r="U36" i="2"/>
  <c r="T838" i="2"/>
  <c r="U838" i="2"/>
  <c r="T847" i="2"/>
  <c r="U847" i="2"/>
  <c r="T888" i="2"/>
  <c r="U888" i="2"/>
  <c r="T294" i="2"/>
  <c r="U294" i="2"/>
  <c r="T29" i="2"/>
  <c r="U29" i="2"/>
  <c r="T196" i="2"/>
  <c r="U196" i="2"/>
  <c r="T271" i="2"/>
  <c r="U271" i="2"/>
  <c r="T191" i="2"/>
  <c r="U191" i="2"/>
  <c r="T469" i="2"/>
  <c r="U469" i="2"/>
  <c r="T367" i="2"/>
  <c r="U367" i="2"/>
  <c r="T818" i="2"/>
  <c r="U818" i="2"/>
  <c r="T248" i="2"/>
  <c r="U248" i="2"/>
  <c r="T662" i="2"/>
  <c r="U662" i="2"/>
  <c r="T455" i="2"/>
  <c r="U455" i="2"/>
  <c r="U363" i="2"/>
  <c r="T220" i="2"/>
  <c r="U220" i="2"/>
  <c r="T523" i="2"/>
  <c r="U523" i="2"/>
  <c r="T844" i="2"/>
  <c r="U844" i="2"/>
  <c r="T646" i="2"/>
  <c r="U646" i="2"/>
  <c r="T575" i="2"/>
  <c r="U575" i="2"/>
  <c r="T338" i="2"/>
  <c r="U338" i="2"/>
  <c r="T240" i="2"/>
  <c r="U240" i="2"/>
  <c r="T659" i="2"/>
  <c r="U659" i="2"/>
  <c r="T167" i="2"/>
  <c r="U167" i="2"/>
  <c r="T489" i="2"/>
  <c r="U489" i="2"/>
  <c r="T695" i="2"/>
  <c r="U695" i="2"/>
  <c r="T900" i="2"/>
  <c r="U900" i="2"/>
  <c r="T254" i="2"/>
  <c r="U254" i="2"/>
  <c r="T704" i="2"/>
  <c r="U704" i="2"/>
  <c r="T229" i="2"/>
  <c r="U229" i="2"/>
  <c r="T136" i="2"/>
  <c r="U136" i="2"/>
  <c r="T461" i="2"/>
  <c r="U461" i="2"/>
  <c r="T208" i="2"/>
  <c r="U208" i="2"/>
  <c r="T735" i="2"/>
  <c r="U735" i="2"/>
  <c r="T813" i="2"/>
  <c r="U813" i="2"/>
  <c r="T661" i="2"/>
  <c r="U661" i="2"/>
  <c r="T488" i="2"/>
  <c r="U488" i="2"/>
  <c r="T239" i="2"/>
  <c r="U239" i="2"/>
  <c r="T215" i="2"/>
  <c r="U215" i="2"/>
  <c r="T285" i="2"/>
  <c r="U285" i="2"/>
  <c r="T321" i="2"/>
  <c r="U321" i="2"/>
  <c r="T794" i="2"/>
  <c r="U794" i="2"/>
  <c r="T806" i="2"/>
  <c r="U806" i="2"/>
  <c r="T863" i="2"/>
  <c r="U863" i="2"/>
  <c r="T767" i="2"/>
  <c r="U767" i="2"/>
  <c r="T803" i="2"/>
  <c r="U803" i="2"/>
  <c r="T664" i="2"/>
  <c r="U664" i="2"/>
  <c r="T182" i="2"/>
  <c r="U182" i="2"/>
  <c r="T777" i="2"/>
  <c r="U777" i="2"/>
  <c r="T293" i="2"/>
  <c r="U293" i="2"/>
  <c r="T753" i="2"/>
  <c r="U753" i="2"/>
  <c r="T808" i="2"/>
  <c r="U808" i="2"/>
  <c r="T744" i="2"/>
  <c r="U744" i="2"/>
  <c r="T357" i="2"/>
  <c r="U357" i="2"/>
  <c r="U773" i="2"/>
  <c r="T231" i="2"/>
  <c r="U231" i="2"/>
  <c r="T352" i="2"/>
  <c r="U352" i="2"/>
  <c r="T264" i="2"/>
  <c r="U264" i="2"/>
  <c r="T204" i="2"/>
  <c r="U204" i="2"/>
  <c r="T313" i="2"/>
  <c r="U313" i="2"/>
  <c r="T375" i="2"/>
  <c r="U375" i="2"/>
  <c r="T693" i="2"/>
  <c r="U693" i="2"/>
  <c r="T897" i="2"/>
  <c r="U897" i="2"/>
  <c r="T851" i="2"/>
  <c r="U851" i="2"/>
  <c r="T552" i="2"/>
  <c r="U552" i="2"/>
  <c r="T641" i="2"/>
  <c r="T656" i="2"/>
  <c r="U656" i="2"/>
  <c r="T236" i="2"/>
  <c r="U236" i="2"/>
  <c r="T658" i="2"/>
  <c r="U658" i="2"/>
  <c r="T762" i="2"/>
  <c r="U762" i="2"/>
  <c r="T528" i="2"/>
  <c r="U528" i="2"/>
  <c r="T755" i="2"/>
  <c r="U755" i="2"/>
  <c r="T691" i="2"/>
  <c r="U691" i="2"/>
  <c r="T724" i="2"/>
  <c r="U724" i="2"/>
  <c r="T341" i="2"/>
  <c r="U341" i="2"/>
  <c r="T325" i="2"/>
  <c r="U325" i="2"/>
  <c r="H62" i="6"/>
  <c r="T368" i="2"/>
  <c r="U368" i="2"/>
  <c r="T225" i="2"/>
  <c r="U225" i="2"/>
  <c r="T276" i="2"/>
  <c r="U276" i="2"/>
  <c r="T223" i="2"/>
  <c r="U223" i="2"/>
  <c r="T697" i="2"/>
  <c r="U697" i="2"/>
  <c r="T272" i="2"/>
  <c r="U272" i="2"/>
  <c r="T501" i="2"/>
  <c r="U501" i="2"/>
  <c r="T347" i="2"/>
  <c r="U347" i="2"/>
  <c r="T181" i="2"/>
  <c r="U181" i="2"/>
  <c r="T424" i="2"/>
  <c r="U424" i="2"/>
  <c r="T246" i="2"/>
  <c r="U246" i="2"/>
  <c r="T491" i="2"/>
  <c r="U491" i="2"/>
  <c r="T698" i="2"/>
  <c r="U698" i="2"/>
  <c r="T548" i="2"/>
  <c r="U548" i="2"/>
  <c r="T712" i="2"/>
  <c r="U712" i="2"/>
  <c r="T145" i="2"/>
  <c r="U145" i="2"/>
  <c r="T655" i="2"/>
  <c r="U655" i="2"/>
  <c r="T857" i="2"/>
  <c r="U857" i="2"/>
  <c r="T865" i="2"/>
  <c r="U865" i="2"/>
  <c r="T498" i="2"/>
  <c r="U498" i="2"/>
  <c r="T736" i="2"/>
  <c r="U736" i="2"/>
  <c r="T824" i="2"/>
  <c r="U824" i="2"/>
  <c r="T555" i="2"/>
  <c r="U555" i="2"/>
  <c r="T574" i="2"/>
  <c r="U574" i="2"/>
  <c r="T177" i="2"/>
  <c r="U177" i="2"/>
  <c r="T418" i="2"/>
  <c r="U418" i="2"/>
  <c r="T789" i="2"/>
  <c r="U789" i="2"/>
  <c r="T887" i="2"/>
  <c r="U887" i="2"/>
  <c r="T263" i="2"/>
  <c r="U263" i="2"/>
  <c r="T431" i="2"/>
  <c r="U431" i="2"/>
  <c r="L641" i="2"/>
  <c r="L649" i="2"/>
  <c r="T869" i="2"/>
  <c r="U869" i="2"/>
  <c r="T480" i="2"/>
  <c r="U480" i="2"/>
  <c r="T677" i="2"/>
  <c r="U677" i="2"/>
  <c r="T459" i="2"/>
  <c r="U459" i="2"/>
  <c r="T219" i="2"/>
  <c r="U219" i="2"/>
  <c r="T351" i="2"/>
  <c r="U351" i="2"/>
  <c r="T899" i="2"/>
  <c r="U899" i="2"/>
  <c r="T654" i="2"/>
  <c r="U654" i="2"/>
  <c r="T211" i="2"/>
  <c r="U211" i="2"/>
  <c r="T275" i="2"/>
  <c r="U275" i="2"/>
  <c r="T159" i="2"/>
  <c r="U159" i="2"/>
  <c r="T668" i="2"/>
  <c r="U668" i="2"/>
  <c r="T578" i="2"/>
  <c r="U578" i="2"/>
  <c r="T447" i="2"/>
  <c r="U447" i="2"/>
  <c r="T117" i="2"/>
  <c r="U117" i="2"/>
  <c r="T903" i="2"/>
  <c r="U903" i="2"/>
  <c r="T740" i="2"/>
  <c r="U740" i="2"/>
  <c r="P924" i="2"/>
  <c r="T392" i="2"/>
  <c r="U392" i="2"/>
  <c r="T259" i="2"/>
  <c r="U259" i="2"/>
  <c r="T195" i="2"/>
  <c r="U195" i="2"/>
  <c r="T171" i="2"/>
  <c r="U171" i="2"/>
  <c r="T126" i="2"/>
  <c r="U126" i="2"/>
  <c r="T700" i="2"/>
  <c r="U700" i="2"/>
  <c r="T153" i="2"/>
  <c r="U153" i="2"/>
  <c r="T896" i="2"/>
  <c r="U896" i="2"/>
  <c r="T422" i="2"/>
  <c r="U422" i="2"/>
  <c r="T199" i="2"/>
  <c r="U199" i="2"/>
  <c r="T665" i="2"/>
  <c r="U665" i="2"/>
  <c r="T221" i="2"/>
  <c r="U221" i="2"/>
  <c r="T684" i="2"/>
  <c r="U684" i="2"/>
  <c r="T688" i="2"/>
  <c r="U688" i="2"/>
  <c r="T672" i="2"/>
  <c r="U672" i="2"/>
  <c r="T462" i="2"/>
  <c r="U462" i="2"/>
  <c r="T282" i="2"/>
  <c r="U282" i="2"/>
  <c r="T673" i="2"/>
  <c r="U673" i="2"/>
  <c r="T666" i="2"/>
  <c r="U666" i="2"/>
  <c r="T436" i="2"/>
  <c r="U436" i="2"/>
  <c r="T268" i="2"/>
  <c r="U268" i="2"/>
  <c r="T579" i="2"/>
  <c r="U579" i="2"/>
  <c r="T336" i="2"/>
  <c r="U336" i="2"/>
  <c r="T284" i="2"/>
  <c r="U284" i="2"/>
  <c r="T360" i="2"/>
  <c r="U360" i="2"/>
  <c r="Q633" i="2"/>
  <c r="G121" i="6"/>
  <c r="I121" i="6"/>
  <c r="J121" i="6"/>
  <c r="G185" i="6"/>
  <c r="U194" i="2"/>
  <c r="U350" i="2"/>
  <c r="U278" i="2"/>
  <c r="U262" i="2"/>
  <c r="U258" i="2"/>
  <c r="U198" i="2"/>
  <c r="U190" i="2"/>
  <c r="U183" i="2"/>
  <c r="U687" i="2"/>
  <c r="U720" i="2"/>
  <c r="U676" i="2"/>
  <c r="U657" i="2"/>
  <c r="L267" i="2"/>
  <c r="U641" i="2"/>
  <c r="U827" i="7"/>
  <c r="U833" i="7"/>
  <c r="Z782" i="7"/>
  <c r="L829" i="7"/>
  <c r="K685" i="2"/>
  <c r="K327" i="2"/>
  <c r="L327" i="2"/>
  <c r="U228" i="2"/>
  <c r="K686" i="2"/>
  <c r="L686" i="2"/>
  <c r="T686" i="2"/>
  <c r="U686" i="2"/>
  <c r="G924" i="2"/>
  <c r="U619" i="2"/>
  <c r="U625" i="2"/>
  <c r="T629" i="2"/>
  <c r="U629" i="2"/>
  <c r="Q874" i="2"/>
  <c r="T874" i="2"/>
  <c r="U874" i="2"/>
  <c r="O881" i="2"/>
  <c r="O924" i="2"/>
  <c r="U878" i="2"/>
  <c r="R503" i="2"/>
  <c r="T503" i="2"/>
  <c r="U503" i="2"/>
  <c r="R237" i="2"/>
  <c r="T237" i="2"/>
  <c r="U237" i="2"/>
  <c r="R386" i="2"/>
  <c r="T386" i="2"/>
  <c r="U386" i="2"/>
  <c r="R252" i="2"/>
  <c r="T252" i="2"/>
  <c r="U252" i="2"/>
  <c r="R345" i="2"/>
  <c r="T345" i="2"/>
  <c r="U345" i="2"/>
  <c r="R383" i="2"/>
  <c r="T383" i="2"/>
  <c r="U383" i="2"/>
  <c r="R243" i="2"/>
  <c r="T243" i="2"/>
  <c r="U243" i="2"/>
  <c r="R423" i="2"/>
  <c r="T423" i="2"/>
  <c r="U423" i="2"/>
  <c r="R481" i="2"/>
  <c r="T481" i="2"/>
  <c r="U481" i="2"/>
  <c r="R571" i="2"/>
  <c r="T571" i="2"/>
  <c r="U571" i="2"/>
  <c r="R434" i="2"/>
  <c r="T434" i="2"/>
  <c r="U434" i="2"/>
  <c r="R530" i="2"/>
  <c r="T530" i="2"/>
  <c r="U530" i="2"/>
  <c r="R645" i="2"/>
  <c r="T645" i="2"/>
  <c r="U645" i="2"/>
  <c r="R774" i="2"/>
  <c r="T774" i="2"/>
  <c r="U774" i="2"/>
  <c r="R512" i="2"/>
  <c r="T512" i="2"/>
  <c r="U512" i="2"/>
  <c r="R643" i="2"/>
  <c r="T643" i="2"/>
  <c r="U643" i="2"/>
  <c r="R689" i="2"/>
  <c r="T689" i="2"/>
  <c r="U689" i="2"/>
  <c r="R752" i="2"/>
  <c r="T752" i="2"/>
  <c r="U752" i="2"/>
  <c r="R784" i="2"/>
  <c r="T784" i="2"/>
  <c r="U784" i="2"/>
  <c r="R830" i="2"/>
  <c r="T830" i="2"/>
  <c r="U830" i="2"/>
  <c r="R895" i="2"/>
  <c r="T895" i="2"/>
  <c r="U895" i="2"/>
  <c r="R812" i="2"/>
  <c r="T812" i="2"/>
  <c r="U812" i="2"/>
  <c r="R873" i="2"/>
  <c r="T873" i="2"/>
  <c r="U873" i="2"/>
  <c r="R607" i="2"/>
  <c r="T607" i="2"/>
  <c r="U607" i="2"/>
  <c r="S125" i="2"/>
  <c r="T125" i="2"/>
  <c r="U125" i="2"/>
  <c r="R906" i="2"/>
  <c r="T906" i="2"/>
  <c r="U906" i="2"/>
  <c r="R709" i="2"/>
  <c r="T709" i="2"/>
  <c r="U709" i="2"/>
  <c r="R786" i="2"/>
  <c r="T786" i="2"/>
  <c r="U786" i="2"/>
  <c r="R868" i="2"/>
  <c r="T868" i="2"/>
  <c r="U868" i="2"/>
  <c r="R829" i="2"/>
  <c r="T829" i="2"/>
  <c r="U829" i="2"/>
  <c r="S134" i="2"/>
  <c r="T134" i="2"/>
  <c r="U134" i="2"/>
  <c r="R872" i="2"/>
  <c r="T872" i="2"/>
  <c r="U872" i="2"/>
  <c r="R612" i="2"/>
  <c r="T612" i="2"/>
  <c r="U612" i="2"/>
  <c r="S121" i="2"/>
  <c r="T121" i="2"/>
  <c r="U121" i="2"/>
  <c r="R608" i="2"/>
  <c r="T608" i="2"/>
  <c r="U608" i="2"/>
  <c r="S111" i="2"/>
  <c r="T111" i="2"/>
  <c r="U111" i="2"/>
  <c r="R867" i="2"/>
  <c r="T867" i="2"/>
  <c r="U867" i="2"/>
  <c r="R814" i="2"/>
  <c r="T814" i="2"/>
  <c r="U814" i="2"/>
  <c r="R732" i="2"/>
  <c r="T732" i="2"/>
  <c r="U732" i="2"/>
  <c r="R570" i="2"/>
  <c r="T570" i="2"/>
  <c r="U570" i="2"/>
  <c r="R754" i="2"/>
  <c r="T754" i="2"/>
  <c r="U754" i="2"/>
  <c r="R506" i="2"/>
  <c r="T506" i="2"/>
  <c r="U506" i="2"/>
  <c r="R569" i="2"/>
  <c r="T569" i="2"/>
  <c r="U569" i="2"/>
  <c r="R435" i="2"/>
  <c r="T435" i="2"/>
  <c r="U435" i="2"/>
  <c r="R499" i="2"/>
  <c r="T499" i="2"/>
  <c r="U499" i="2"/>
  <c r="R596" i="2"/>
  <c r="T596" i="2"/>
  <c r="U596" i="2"/>
  <c r="R864" i="2"/>
  <c r="T864" i="2"/>
  <c r="U864" i="2"/>
  <c r="S123" i="2"/>
  <c r="T123" i="2"/>
  <c r="U123" i="2"/>
  <c r="R604" i="2"/>
  <c r="T604" i="2"/>
  <c r="U604" i="2"/>
  <c r="S102" i="2"/>
  <c r="T102" i="2"/>
  <c r="U102" i="2"/>
  <c r="R535" i="2"/>
  <c r="T535" i="2"/>
  <c r="U535" i="2"/>
  <c r="R640" i="2"/>
  <c r="T640" i="2"/>
  <c r="U640" i="2"/>
  <c r="R335" i="2"/>
  <c r="T335" i="2"/>
  <c r="U335" i="2"/>
  <c r="R545" i="2"/>
  <c r="T545" i="2"/>
  <c r="U545" i="2"/>
  <c r="R726" i="2"/>
  <c r="T726" i="2"/>
  <c r="U726" i="2"/>
  <c r="R492" i="2"/>
  <c r="T492" i="2"/>
  <c r="U492" i="2"/>
  <c r="S141" i="2"/>
  <c r="T141" i="2"/>
  <c r="U141" i="2"/>
  <c r="R713" i="2"/>
  <c r="R438" i="2"/>
  <c r="T438" i="2"/>
  <c r="U438" i="2"/>
  <c r="R433" i="2"/>
  <c r="T433" i="2"/>
  <c r="U433" i="2"/>
  <c r="R467" i="2"/>
  <c r="T467" i="2"/>
  <c r="U467" i="2"/>
  <c r="S54" i="2"/>
  <c r="T54" i="2"/>
  <c r="U54" i="2"/>
  <c r="R707" i="2"/>
  <c r="T707" i="2"/>
  <c r="U707" i="2"/>
  <c r="S72" i="2"/>
  <c r="T72" i="2"/>
  <c r="U72" i="2"/>
  <c r="R362" i="2"/>
  <c r="T362" i="2"/>
  <c r="U362" i="2"/>
  <c r="R301" i="2"/>
  <c r="T301" i="2"/>
  <c r="U301" i="2"/>
  <c r="S106" i="2"/>
  <c r="T106" i="2"/>
  <c r="U106" i="2"/>
  <c r="T713" i="2"/>
  <c r="U713" i="2"/>
  <c r="T477" i="2"/>
  <c r="U477" i="2"/>
  <c r="R918" i="2"/>
  <c r="T918" i="2"/>
  <c r="R828" i="2"/>
  <c r="T828" i="2"/>
  <c r="U828" i="2"/>
  <c r="R565" i="2"/>
  <c r="T565" i="2"/>
  <c r="U565" i="2"/>
  <c r="R317" i="2"/>
  <c r="T317" i="2"/>
  <c r="U317" i="2"/>
  <c r="R471" i="2"/>
  <c r="T471" i="2"/>
  <c r="U471" i="2"/>
  <c r="S18" i="2"/>
  <c r="T18" i="2"/>
  <c r="U18" i="2"/>
  <c r="S13" i="2"/>
  <c r="T13" i="2"/>
  <c r="U13" i="2"/>
  <c r="R287" i="2"/>
  <c r="S103" i="2"/>
  <c r="T103" i="2"/>
  <c r="U103" i="2"/>
  <c r="S55" i="2"/>
  <c r="T55" i="2"/>
  <c r="U55" i="2"/>
  <c r="S12" i="2"/>
  <c r="T12" i="2"/>
  <c r="U12" i="2"/>
  <c r="R340" i="2"/>
  <c r="T340" i="2"/>
  <c r="U340" i="2"/>
  <c r="R168" i="2"/>
  <c r="S16" i="2"/>
  <c r="T16" i="2"/>
  <c r="U16" i="2"/>
  <c r="R411" i="2"/>
  <c r="T411" i="2"/>
  <c r="U411" i="2"/>
  <c r="R465" i="2"/>
  <c r="T465" i="2"/>
  <c r="U465" i="2"/>
  <c r="S35" i="2"/>
  <c r="R356" i="2"/>
  <c r="T356" i="2"/>
  <c r="U356" i="2"/>
  <c r="S27" i="2"/>
  <c r="T27" i="2"/>
  <c r="U27" i="2"/>
  <c r="R283" i="2"/>
  <c r="T283" i="2"/>
  <c r="U283" i="2"/>
  <c r="R296" i="2"/>
  <c r="T296" i="2"/>
  <c r="U296" i="2"/>
  <c r="R319" i="2"/>
  <c r="R845" i="2"/>
  <c r="T845" i="2"/>
  <c r="U845" i="2"/>
  <c r="R776" i="2"/>
  <c r="T776" i="2"/>
  <c r="U776" i="2"/>
  <c r="R653" i="2"/>
  <c r="R741" i="2"/>
  <c r="T741" i="2"/>
  <c r="U741" i="2"/>
  <c r="R288" i="2"/>
  <c r="T288" i="2"/>
  <c r="U288" i="2"/>
  <c r="R333" i="2"/>
  <c r="T333" i="2"/>
  <c r="U333" i="2"/>
  <c r="R517" i="2"/>
  <c r="T517" i="2"/>
  <c r="U517" i="2"/>
  <c r="R344" i="2"/>
  <c r="T344" i="2"/>
  <c r="U344" i="2"/>
  <c r="S42" i="2"/>
  <c r="T42" i="2"/>
  <c r="U42" i="2"/>
  <c r="R358" i="2"/>
  <c r="T358" i="2"/>
  <c r="U358" i="2"/>
  <c r="S11" i="2"/>
  <c r="T11" i="2"/>
  <c r="S39" i="2"/>
  <c r="T39" i="2"/>
  <c r="U39" i="2"/>
  <c r="R234" i="2"/>
  <c r="T234" i="2"/>
  <c r="U234" i="2"/>
  <c r="R300" i="2"/>
  <c r="T300" i="2"/>
  <c r="U300" i="2"/>
  <c r="S21" i="2"/>
  <c r="T21" i="2"/>
  <c r="U21" i="2"/>
  <c r="R577" i="2"/>
  <c r="T577" i="2"/>
  <c r="U577" i="2"/>
  <c r="R331" i="2"/>
  <c r="T331" i="2"/>
  <c r="U331" i="2"/>
  <c r="R175" i="2"/>
  <c r="T175" i="2"/>
  <c r="U175" i="2"/>
  <c r="S40" i="2"/>
  <c r="T40" i="2"/>
  <c r="U40" i="2"/>
  <c r="R463" i="2"/>
  <c r="R751" i="2"/>
  <c r="T751" i="2"/>
  <c r="U751" i="2"/>
  <c r="R644" i="2"/>
  <c r="T644" i="2"/>
  <c r="U644" i="2"/>
  <c r="R342" i="2"/>
  <c r="T342" i="2"/>
  <c r="U342" i="2"/>
  <c r="S47" i="2"/>
  <c r="T47" i="2"/>
  <c r="U47" i="2"/>
  <c r="S144" i="2"/>
  <c r="T144" i="2"/>
  <c r="U144" i="2"/>
  <c r="R415" i="2"/>
  <c r="T415" i="2"/>
  <c r="U415" i="2"/>
  <c r="R289" i="2"/>
  <c r="S90" i="2"/>
  <c r="T90" i="2"/>
  <c r="U90" i="2"/>
  <c r="S75" i="2"/>
  <c r="T75" i="2"/>
  <c r="U75" i="2"/>
  <c r="R389" i="2"/>
  <c r="T389" i="2"/>
  <c r="U389" i="2"/>
  <c r="R230" i="2"/>
  <c r="S81" i="2"/>
  <c r="T81" i="2"/>
  <c r="U81" i="2"/>
  <c r="S41" i="2"/>
  <c r="T41" i="2"/>
  <c r="U41" i="2"/>
  <c r="R391" i="2"/>
  <c r="T391" i="2"/>
  <c r="U391" i="2"/>
  <c r="R308" i="2"/>
  <c r="S83" i="2"/>
  <c r="R270" i="2"/>
  <c r="T270" i="2"/>
  <c r="U270" i="2"/>
  <c r="S66" i="2"/>
  <c r="T66" i="2"/>
  <c r="U66" i="2"/>
  <c r="R224" i="2"/>
  <c r="T224" i="2"/>
  <c r="U224" i="2"/>
  <c r="R520" i="2"/>
  <c r="T520" i="2"/>
  <c r="U520" i="2"/>
  <c r="S93" i="2"/>
  <c r="T93" i="2"/>
  <c r="U93" i="2"/>
  <c r="R487" i="2"/>
  <c r="T487" i="2"/>
  <c r="U487" i="2"/>
  <c r="S43" i="2"/>
  <c r="T43" i="2"/>
  <c r="U43" i="2"/>
  <c r="R238" i="2"/>
  <c r="T238" i="2"/>
  <c r="U238" i="2"/>
  <c r="S79" i="2"/>
  <c r="T79" i="2"/>
  <c r="U79" i="2"/>
  <c r="R403" i="2"/>
  <c r="R426" i="2"/>
  <c r="T426" i="2"/>
  <c r="U426" i="2"/>
  <c r="S114" i="2"/>
  <c r="T114" i="2"/>
  <c r="U114" i="2"/>
  <c r="R638" i="2"/>
  <c r="T638" i="2"/>
  <c r="U638" i="2"/>
  <c r="R538" i="2"/>
  <c r="T538" i="2"/>
  <c r="U538" i="2"/>
  <c r="R583" i="2"/>
  <c r="T583" i="2"/>
  <c r="U583" i="2"/>
  <c r="R207" i="2"/>
  <c r="T207" i="2"/>
  <c r="U207" i="2"/>
  <c r="R307" i="2"/>
  <c r="T307" i="2"/>
  <c r="U307" i="2"/>
  <c r="R384" i="2"/>
  <c r="T384" i="2"/>
  <c r="U384" i="2"/>
  <c r="S100" i="2"/>
  <c r="T100" i="2"/>
  <c r="U100" i="2"/>
  <c r="S26" i="2"/>
  <c r="T26" i="2"/>
  <c r="U26" i="2"/>
  <c r="R226" i="2"/>
  <c r="T226" i="2"/>
  <c r="U226" i="2"/>
  <c r="R306" i="2"/>
  <c r="T306" i="2"/>
  <c r="U306" i="2"/>
  <c r="S85" i="2"/>
  <c r="T85" i="2"/>
  <c r="U85" i="2"/>
  <c r="S25" i="2"/>
  <c r="T25" i="2"/>
  <c r="U25" i="2"/>
  <c r="R400" i="2"/>
  <c r="T400" i="2"/>
  <c r="U400" i="2"/>
  <c r="R184" i="2"/>
  <c r="T184" i="2"/>
  <c r="U184" i="2"/>
  <c r="R318" i="2"/>
  <c r="T318" i="2"/>
  <c r="U318" i="2"/>
  <c r="R279" i="2"/>
  <c r="R256" i="2"/>
  <c r="T256" i="2"/>
  <c r="U256" i="2"/>
  <c r="R328" i="2"/>
  <c r="T328" i="2"/>
  <c r="U328" i="2"/>
  <c r="S97" i="2"/>
  <c r="T97" i="2"/>
  <c r="U97" i="2"/>
  <c r="R729" i="2"/>
  <c r="T729" i="2"/>
  <c r="U729" i="2"/>
  <c r="R522" i="2"/>
  <c r="T522" i="2"/>
  <c r="U522" i="2"/>
  <c r="R437" i="2"/>
  <c r="T437" i="2"/>
  <c r="U437" i="2"/>
  <c r="R330" i="2"/>
  <c r="T330" i="2"/>
  <c r="U330" i="2"/>
  <c r="S105" i="2"/>
  <c r="T105" i="2"/>
  <c r="U105" i="2"/>
  <c r="R692" i="2"/>
  <c r="T692" i="2"/>
  <c r="U692" i="2"/>
  <c r="R494" i="2"/>
  <c r="T494" i="2"/>
  <c r="U494" i="2"/>
  <c r="R173" i="2"/>
  <c r="T173" i="2"/>
  <c r="U173" i="2"/>
  <c r="R178" i="2"/>
  <c r="S50" i="2"/>
  <c r="T50" i="2"/>
  <c r="U50" i="2"/>
  <c r="S23" i="2"/>
  <c r="R354" i="2"/>
  <c r="T354" i="2"/>
  <c r="U354" i="2"/>
  <c r="R222" i="2"/>
  <c r="T222" i="2"/>
  <c r="U222" i="2"/>
  <c r="S77" i="2"/>
  <c r="T77" i="2"/>
  <c r="U77" i="2"/>
  <c r="S37" i="2"/>
  <c r="T37" i="2"/>
  <c r="U37" i="2"/>
  <c r="R334" i="2"/>
  <c r="T334" i="2"/>
  <c r="U334" i="2"/>
  <c r="R380" i="2"/>
  <c r="T380" i="2"/>
  <c r="U380" i="2"/>
  <c r="S73" i="2"/>
  <c r="R218" i="2"/>
  <c r="T218" i="2"/>
  <c r="U218" i="2"/>
  <c r="R180" i="2"/>
  <c r="T180" i="2"/>
  <c r="U180" i="2"/>
  <c r="R390" i="2"/>
  <c r="T390" i="2"/>
  <c r="U390" i="2"/>
  <c r="R410" i="2"/>
  <c r="T410" i="2"/>
  <c r="U410" i="2"/>
  <c r="S63" i="2"/>
  <c r="T63" i="2"/>
  <c r="U63" i="2"/>
  <c r="R322" i="2"/>
  <c r="T322" i="2"/>
  <c r="U322" i="2"/>
  <c r="S34" i="2"/>
  <c r="R419" i="2"/>
  <c r="T419" i="2"/>
  <c r="U419" i="2"/>
  <c r="R251" i="2"/>
  <c r="R572" i="2"/>
  <c r="T572" i="2"/>
  <c r="U572" i="2"/>
  <c r="R843" i="2"/>
  <c r="T843" i="2"/>
  <c r="U843" i="2"/>
  <c r="R472" i="2"/>
  <c r="T472" i="2"/>
  <c r="U472" i="2"/>
  <c r="R458" i="2"/>
  <c r="T458" i="2"/>
  <c r="U458" i="2"/>
  <c r="R543" i="2"/>
  <c r="T543" i="2"/>
  <c r="U543" i="2"/>
  <c r="R507" i="2"/>
  <c r="T507" i="2"/>
  <c r="U507" i="2"/>
  <c r="R260" i="2"/>
  <c r="T260" i="2"/>
  <c r="U260" i="2"/>
  <c r="R241" i="2"/>
  <c r="T241" i="2"/>
  <c r="U241" i="2"/>
  <c r="S80" i="2"/>
  <c r="T80" i="2"/>
  <c r="U80" i="2"/>
  <c r="S99" i="2"/>
  <c r="R495" i="2"/>
  <c r="T495" i="2"/>
  <c r="U495" i="2"/>
  <c r="S67" i="2"/>
  <c r="T67" i="2"/>
  <c r="U67" i="2"/>
  <c r="R420" i="2"/>
  <c r="T420" i="2"/>
  <c r="U420" i="2"/>
  <c r="R364" i="2"/>
  <c r="T364" i="2"/>
  <c r="U364" i="2"/>
  <c r="S101" i="2"/>
  <c r="T101" i="2"/>
  <c r="U101" i="2"/>
  <c r="S17" i="2"/>
  <c r="T17" i="2"/>
  <c r="U17" i="2"/>
  <c r="R203" i="2"/>
  <c r="T203" i="2"/>
  <c r="U203" i="2"/>
  <c r="R493" i="2"/>
  <c r="T493" i="2"/>
  <c r="U493" i="2"/>
  <c r="S98" i="2"/>
  <c r="T98" i="2"/>
  <c r="U98" i="2"/>
  <c r="S49" i="2"/>
  <c r="T49" i="2"/>
  <c r="U49" i="2"/>
  <c r="R298" i="2"/>
  <c r="T298" i="2"/>
  <c r="U298" i="2"/>
  <c r="R566" i="2"/>
  <c r="T566" i="2"/>
  <c r="U566" i="2"/>
  <c r="R745" i="2"/>
  <c r="T745" i="2"/>
  <c r="U745" i="2"/>
  <c r="R475" i="2"/>
  <c r="T475" i="2"/>
  <c r="U475" i="2"/>
  <c r="S76" i="2"/>
  <c r="T76" i="2"/>
  <c r="U76" i="2"/>
  <c r="R250" i="2"/>
  <c r="T250" i="2"/>
  <c r="U250" i="2"/>
  <c r="R302" i="2"/>
  <c r="T302" i="2"/>
  <c r="U302" i="2"/>
  <c r="S71" i="2"/>
  <c r="T71" i="2"/>
  <c r="U71" i="2"/>
  <c r="R346" i="2"/>
  <c r="T346" i="2"/>
  <c r="U346" i="2"/>
  <c r="S48" i="2"/>
  <c r="T48" i="2"/>
  <c r="U48" i="2"/>
  <c r="R407" i="2"/>
  <c r="T407" i="2"/>
  <c r="U407" i="2"/>
  <c r="R778" i="2"/>
  <c r="T778" i="2"/>
  <c r="U778" i="2"/>
  <c r="R738" i="2"/>
  <c r="T738" i="2"/>
  <c r="U738" i="2"/>
  <c r="R798" i="2"/>
  <c r="T798" i="2"/>
  <c r="U798" i="2"/>
  <c r="S32" i="2"/>
  <c r="T32" i="2"/>
  <c r="U32" i="2"/>
  <c r="S61" i="2"/>
  <c r="T61" i="2"/>
  <c r="U61" i="2"/>
  <c r="S33" i="2"/>
  <c r="T33" i="2"/>
  <c r="U33" i="2"/>
  <c r="R209" i="2"/>
  <c r="T209" i="2"/>
  <c r="U209" i="2"/>
  <c r="R232" i="2"/>
  <c r="T232" i="2"/>
  <c r="U232" i="2"/>
  <c r="R861" i="2"/>
  <c r="T861" i="2"/>
  <c r="U861" i="2"/>
  <c r="R371" i="2"/>
  <c r="T371" i="2"/>
  <c r="U371" i="2"/>
  <c r="S57" i="2"/>
  <c r="T57" i="2"/>
  <c r="U57" i="2"/>
  <c r="S59" i="2"/>
  <c r="S56" i="2"/>
  <c r="T56" i="2"/>
  <c r="U56" i="2"/>
  <c r="R432" i="2"/>
  <c r="T432" i="2"/>
  <c r="U432" i="2"/>
  <c r="R511" i="2"/>
  <c r="T511" i="2"/>
  <c r="U511" i="2"/>
  <c r="S8" i="2"/>
  <c r="R206" i="2"/>
  <c r="T206" i="2"/>
  <c r="U206" i="2"/>
  <c r="S14" i="2"/>
  <c r="T14" i="2"/>
  <c r="U14" i="2"/>
  <c r="R557" i="2"/>
  <c r="T557" i="2"/>
  <c r="U557" i="2"/>
  <c r="R891" i="2"/>
  <c r="T891" i="2"/>
  <c r="U891" i="2"/>
  <c r="R448" i="2"/>
  <c r="T448" i="2"/>
  <c r="U448" i="2"/>
  <c r="R785" i="2"/>
  <c r="T785" i="2"/>
  <c r="U785" i="2"/>
  <c r="R210" i="2"/>
  <c r="T210" i="2"/>
  <c r="U210" i="2"/>
  <c r="S65" i="2"/>
  <c r="T65" i="2"/>
  <c r="U65" i="2"/>
  <c r="S28" i="2"/>
  <c r="T28" i="2"/>
  <c r="U28" i="2"/>
  <c r="S60" i="2"/>
  <c r="T60" i="2"/>
  <c r="U60" i="2"/>
  <c r="S104" i="2"/>
  <c r="T104" i="2"/>
  <c r="U104" i="2"/>
  <c r="R525" i="2"/>
  <c r="T525" i="2"/>
  <c r="U525" i="2"/>
  <c r="R339" i="2"/>
  <c r="T339" i="2"/>
  <c r="U339" i="2"/>
  <c r="R515" i="2"/>
  <c r="T515" i="2"/>
  <c r="U515" i="2"/>
  <c r="R385" i="2"/>
  <c r="T385" i="2"/>
  <c r="U385" i="2"/>
  <c r="R551" i="2"/>
  <c r="T551" i="2"/>
  <c r="U551" i="2"/>
  <c r="R757" i="2"/>
  <c r="T757" i="2"/>
  <c r="U757" i="2"/>
  <c r="R470" i="2"/>
  <c r="T470" i="2"/>
  <c r="U470" i="2"/>
  <c r="R456" i="2"/>
  <c r="T456" i="2"/>
  <c r="U456" i="2"/>
  <c r="R788" i="2"/>
  <c r="T788" i="2"/>
  <c r="U788" i="2"/>
  <c r="S110" i="2"/>
  <c r="T110" i="2"/>
  <c r="U110" i="2"/>
  <c r="S69" i="2"/>
  <c r="T69" i="2"/>
  <c r="U69" i="2"/>
  <c r="S30" i="2"/>
  <c r="T30" i="2"/>
  <c r="U30" i="2"/>
  <c r="S64" i="2"/>
  <c r="T64" i="2"/>
  <c r="U64" i="2"/>
  <c r="R172" i="2"/>
  <c r="T172" i="2"/>
  <c r="U172" i="2"/>
  <c r="R399" i="2"/>
  <c r="T399" i="2"/>
  <c r="U399" i="2"/>
  <c r="R216" i="2"/>
  <c r="T216" i="2"/>
  <c r="U216" i="2"/>
  <c r="R311" i="2"/>
  <c r="R381" i="2"/>
  <c r="T381" i="2"/>
  <c r="U381" i="2"/>
  <c r="R451" i="2"/>
  <c r="T451" i="2"/>
  <c r="U451" i="2"/>
  <c r="R573" i="2"/>
  <c r="T573" i="2"/>
  <c r="U573" i="2"/>
  <c r="R722" i="2"/>
  <c r="T722" i="2"/>
  <c r="U722" i="2"/>
  <c r="R478" i="2"/>
  <c r="T478" i="2"/>
  <c r="U478" i="2"/>
  <c r="R719" i="2"/>
  <c r="T719" i="2"/>
  <c r="U719" i="2"/>
  <c r="R504" i="2"/>
  <c r="T504" i="2"/>
  <c r="U504" i="2"/>
  <c r="R760" i="2"/>
  <c r="T760" i="2"/>
  <c r="U760" i="2"/>
  <c r="R904" i="2"/>
  <c r="T904" i="2"/>
  <c r="U904" i="2"/>
  <c r="R886" i="2"/>
  <c r="T886" i="2"/>
  <c r="U886" i="2"/>
  <c r="R825" i="2"/>
  <c r="T825" i="2"/>
  <c r="U825" i="2"/>
  <c r="R780" i="2"/>
  <c r="T780" i="2"/>
  <c r="U780" i="2"/>
  <c r="R582" i="2"/>
  <c r="T582" i="2"/>
  <c r="U582" i="2"/>
  <c r="R440" i="2"/>
  <c r="R560" i="2"/>
  <c r="T560" i="2"/>
  <c r="U560" i="2"/>
  <c r="R446" i="2"/>
  <c r="T446" i="2"/>
  <c r="U446" i="2"/>
  <c r="R781" i="2"/>
  <c r="T781" i="2"/>
  <c r="U781" i="2"/>
  <c r="R476" i="2"/>
  <c r="T476" i="2"/>
  <c r="U476" i="2"/>
  <c r="R353" i="2"/>
  <c r="T353" i="2"/>
  <c r="U353" i="2"/>
  <c r="R314" i="2"/>
  <c r="T314" i="2"/>
  <c r="U314" i="2"/>
  <c r="R479" i="2"/>
  <c r="T479" i="2"/>
  <c r="U479" i="2"/>
  <c r="R366" i="2"/>
  <c r="T366" i="2"/>
  <c r="U366" i="2"/>
  <c r="S68" i="2"/>
  <c r="T68" i="2"/>
  <c r="U68" i="2"/>
  <c r="R761" i="2"/>
  <c r="T761" i="2"/>
  <c r="U761" i="2"/>
  <c r="R369" i="2"/>
  <c r="T369" i="2"/>
  <c r="U369" i="2"/>
  <c r="R718" i="2"/>
  <c r="T718" i="2"/>
  <c r="U718" i="2"/>
  <c r="S24" i="2"/>
  <c r="T24" i="2"/>
  <c r="U24" i="2"/>
  <c r="R372" i="2"/>
  <c r="T372" i="2"/>
  <c r="U372" i="2"/>
  <c r="S51" i="2"/>
  <c r="T51" i="2"/>
  <c r="U51" i="2"/>
  <c r="S9" i="2"/>
  <c r="T9" i="2"/>
  <c r="U9" i="2"/>
  <c r="R417" i="2"/>
  <c r="T417" i="2"/>
  <c r="U417" i="2"/>
  <c r="R343" i="2"/>
  <c r="T343" i="2"/>
  <c r="U343" i="2"/>
  <c r="R490" i="2"/>
  <c r="T490" i="2"/>
  <c r="U490" i="2"/>
  <c r="R681" i="2"/>
  <c r="R395" i="2"/>
  <c r="T395" i="2"/>
  <c r="U395" i="2"/>
  <c r="R374" i="2"/>
  <c r="T374" i="2"/>
  <c r="U374" i="2"/>
  <c r="S15" i="2"/>
  <c r="T15" i="2"/>
  <c r="U15" i="2"/>
  <c r="S44" i="2"/>
  <c r="T44" i="2"/>
  <c r="U44" i="2"/>
  <c r="S82" i="2"/>
  <c r="T82" i="2"/>
  <c r="U82" i="2"/>
  <c r="R393" i="2"/>
  <c r="T393" i="2"/>
  <c r="U393" i="2"/>
  <c r="R212" i="2"/>
  <c r="T212" i="2"/>
  <c r="U212" i="2"/>
  <c r="R309" i="2"/>
  <c r="T309" i="2"/>
  <c r="U309" i="2"/>
  <c r="R373" i="2"/>
  <c r="T373" i="2"/>
  <c r="U373" i="2"/>
  <c r="R449" i="2"/>
  <c r="T449" i="2"/>
  <c r="U449" i="2"/>
  <c r="R585" i="2"/>
  <c r="T585" i="2"/>
  <c r="U585" i="2"/>
  <c r="R388" i="2"/>
  <c r="T388" i="2"/>
  <c r="U388" i="2"/>
  <c r="R544" i="2"/>
  <c r="T544" i="2"/>
  <c r="U544" i="2"/>
  <c r="R742" i="2"/>
  <c r="T742" i="2"/>
  <c r="U742" i="2"/>
  <c r="R550" i="2"/>
  <c r="T550" i="2"/>
  <c r="U550" i="2"/>
  <c r="R833" i="2"/>
  <c r="T833" i="2"/>
  <c r="U833" i="2"/>
  <c r="R787" i="2"/>
  <c r="R382" i="2"/>
  <c r="T382" i="2"/>
  <c r="U382" i="2"/>
  <c r="S10" i="2"/>
  <c r="T10" i="2"/>
  <c r="U10" i="2"/>
  <c r="S46" i="2"/>
  <c r="T46" i="2"/>
  <c r="U46" i="2"/>
  <c r="S84" i="2"/>
  <c r="T84" i="2"/>
  <c r="U84" i="2"/>
  <c r="R376" i="2"/>
  <c r="T376" i="2"/>
  <c r="U376" i="2"/>
  <c r="R257" i="2"/>
  <c r="T257" i="2"/>
  <c r="U257" i="2"/>
  <c r="R541" i="2"/>
  <c r="T541" i="2"/>
  <c r="U541" i="2"/>
  <c r="R531" i="2"/>
  <c r="T531" i="2"/>
  <c r="U531" i="2"/>
  <c r="R405" i="2"/>
  <c r="T405" i="2"/>
  <c r="U405" i="2"/>
  <c r="R694" i="2"/>
  <c r="T694" i="2"/>
  <c r="U694" i="2"/>
  <c r="R404" i="2"/>
  <c r="T404" i="2"/>
  <c r="U404" i="2"/>
  <c r="R556" i="2"/>
  <c r="T556" i="2"/>
  <c r="U556" i="2"/>
  <c r="R682" i="2"/>
  <c r="T682" i="2"/>
  <c r="U682" i="2"/>
  <c r="S19" i="2"/>
  <c r="T19" i="2"/>
  <c r="U19" i="2"/>
  <c r="R348" i="2"/>
  <c r="T348" i="2"/>
  <c r="U348" i="2"/>
  <c r="R568" i="2"/>
  <c r="T568" i="2"/>
  <c r="U568" i="2"/>
  <c r="R409" i="2"/>
  <c r="T409" i="2"/>
  <c r="U409" i="2"/>
  <c r="R766" i="2"/>
  <c r="T766" i="2"/>
  <c r="U766" i="2"/>
  <c r="R519" i="2"/>
  <c r="T519" i="2"/>
  <c r="U519" i="2"/>
  <c r="R402" i="2"/>
  <c r="T402" i="2"/>
  <c r="U402" i="2"/>
  <c r="R280" i="2"/>
  <c r="T280" i="2"/>
  <c r="U280" i="2"/>
  <c r="R527" i="2"/>
  <c r="T527" i="2"/>
  <c r="U527" i="2"/>
  <c r="S20" i="2"/>
  <c r="T20" i="2"/>
  <c r="U20" i="2"/>
  <c r="S92" i="2"/>
  <c r="T92" i="2"/>
  <c r="U92" i="2"/>
  <c r="R416" i="2"/>
  <c r="T416" i="2"/>
  <c r="U416" i="2"/>
  <c r="R429" i="2"/>
  <c r="T429" i="2"/>
  <c r="U429" i="2"/>
  <c r="R690" i="2"/>
  <c r="T690" i="2"/>
  <c r="U690" i="2"/>
  <c r="R839" i="2"/>
  <c r="T839" i="2"/>
  <c r="U839" i="2"/>
  <c r="S89" i="2"/>
  <c r="T89" i="2"/>
  <c r="U89" i="2"/>
  <c r="S74" i="2"/>
  <c r="T74" i="2"/>
  <c r="U74" i="2"/>
  <c r="R192" i="2"/>
  <c r="T192" i="2"/>
  <c r="U192" i="2"/>
  <c r="R521" i="2"/>
  <c r="T521" i="2"/>
  <c r="U521" i="2"/>
  <c r="R758" i="2"/>
  <c r="T758" i="2"/>
  <c r="U758" i="2"/>
  <c r="R815" i="2"/>
  <c r="T815" i="2"/>
  <c r="U815" i="2"/>
  <c r="R819" i="2"/>
  <c r="T819" i="2"/>
  <c r="U819" i="2"/>
  <c r="S149" i="2"/>
  <c r="T149" i="2"/>
  <c r="U149" i="2"/>
  <c r="R817" i="2"/>
  <c r="T817" i="2"/>
  <c r="U817" i="2"/>
  <c r="R536" i="2"/>
  <c r="T536" i="2"/>
  <c r="U536" i="2"/>
  <c r="R750" i="2"/>
  <c r="T750" i="2"/>
  <c r="U750" i="2"/>
  <c r="R584" i="2"/>
  <c r="T584" i="2"/>
  <c r="U584" i="2"/>
  <c r="R414" i="2"/>
  <c r="T414" i="2"/>
  <c r="U414" i="2"/>
  <c r="R561" i="2"/>
  <c r="T561" i="2"/>
  <c r="U561" i="2"/>
  <c r="R441" i="2"/>
  <c r="T441" i="2"/>
  <c r="U441" i="2"/>
  <c r="R247" i="2"/>
  <c r="T247" i="2"/>
  <c r="U247" i="2"/>
  <c r="R483" i="2"/>
  <c r="T483" i="2"/>
  <c r="U483" i="2"/>
  <c r="R349" i="2"/>
  <c r="T349" i="2"/>
  <c r="U349" i="2"/>
  <c r="R303" i="2"/>
  <c r="T303" i="2"/>
  <c r="U303" i="2"/>
  <c r="R509" i="2"/>
  <c r="T509" i="2"/>
  <c r="U509" i="2"/>
  <c r="S94" i="2"/>
  <c r="T94" i="2"/>
  <c r="U94" i="2"/>
  <c r="S62" i="2"/>
  <c r="T62" i="2"/>
  <c r="U62" i="2"/>
  <c r="R854" i="2"/>
  <c r="T854" i="2"/>
  <c r="U854" i="2"/>
  <c r="S109" i="2"/>
  <c r="T109" i="2"/>
  <c r="U109" i="2"/>
  <c r="R820" i="2"/>
  <c r="T820" i="2"/>
  <c r="U820" i="2"/>
  <c r="R905" i="2"/>
  <c r="T905" i="2"/>
  <c r="U905" i="2"/>
  <c r="R782" i="2"/>
  <c r="T782" i="2"/>
  <c r="U782" i="2"/>
  <c r="R797" i="2"/>
  <c r="T797" i="2"/>
  <c r="U797" i="2"/>
  <c r="S116" i="2"/>
  <c r="T116" i="2"/>
  <c r="U116" i="2"/>
  <c r="S119" i="2"/>
  <c r="T119" i="2"/>
  <c r="U119" i="2"/>
  <c r="R355" i="2"/>
  <c r="T355" i="2"/>
  <c r="U355" i="2"/>
  <c r="R421" i="2"/>
  <c r="T421" i="2"/>
  <c r="U421" i="2"/>
  <c r="R445" i="2"/>
  <c r="T445" i="2"/>
  <c r="U445" i="2"/>
  <c r="R549" i="2"/>
  <c r="T549" i="2"/>
  <c r="U549" i="2"/>
  <c r="R581" i="2"/>
  <c r="T581" i="2"/>
  <c r="U581" i="2"/>
  <c r="R749" i="2"/>
  <c r="T749" i="2"/>
  <c r="U749" i="2"/>
  <c r="S394" i="2"/>
  <c r="R486" i="2"/>
  <c r="T486" i="2"/>
  <c r="U486" i="2"/>
  <c r="R853" i="2"/>
  <c r="T853" i="2"/>
  <c r="U853" i="2"/>
  <c r="R444" i="2"/>
  <c r="T444" i="2"/>
  <c r="U444" i="2"/>
  <c r="R540" i="2"/>
  <c r="T540" i="2"/>
  <c r="U540" i="2"/>
  <c r="R680" i="2"/>
  <c r="T680" i="2"/>
  <c r="U680" i="2"/>
  <c r="R792" i="2"/>
  <c r="T792" i="2"/>
  <c r="U792" i="2"/>
  <c r="R893" i="2"/>
  <c r="T893" i="2"/>
  <c r="U893" i="2"/>
  <c r="R846" i="2"/>
  <c r="T846" i="2"/>
  <c r="U846" i="2"/>
  <c r="S138" i="2"/>
  <c r="T138" i="2"/>
  <c r="U138" i="2"/>
  <c r="S122" i="2"/>
  <c r="T122" i="2"/>
  <c r="U122" i="2"/>
  <c r="R606" i="2"/>
  <c r="T606" i="2"/>
  <c r="U606" i="2"/>
  <c r="R614" i="2"/>
  <c r="T614" i="2"/>
  <c r="U614" i="2"/>
  <c r="S151" i="2"/>
  <c r="T151" i="2"/>
  <c r="U151" i="2"/>
  <c r="S112" i="2"/>
  <c r="T112" i="2"/>
  <c r="U112" i="2"/>
  <c r="R898" i="2"/>
  <c r="T898" i="2"/>
  <c r="U898" i="2"/>
  <c r="S147" i="2"/>
  <c r="T147" i="2"/>
  <c r="U147" i="2"/>
  <c r="S107" i="2"/>
  <c r="T107" i="2"/>
  <c r="U107" i="2"/>
  <c r="R609" i="2"/>
  <c r="T609" i="2"/>
  <c r="U609" i="2"/>
  <c r="S142" i="2"/>
  <c r="T142" i="2"/>
  <c r="U142" i="2"/>
  <c r="R892" i="2"/>
  <c r="T892" i="2"/>
  <c r="U892" i="2"/>
  <c r="R840" i="2"/>
  <c r="T840" i="2"/>
  <c r="U840" i="2"/>
  <c r="R827" i="2"/>
  <c r="T827" i="2"/>
  <c r="U827" i="2"/>
  <c r="R889" i="2"/>
  <c r="T889" i="2"/>
  <c r="U889" i="2"/>
  <c r="R836" i="2"/>
  <c r="T836" i="2"/>
  <c r="U836" i="2"/>
  <c r="R800" i="2"/>
  <c r="T800" i="2"/>
  <c r="U800" i="2"/>
  <c r="R743" i="2"/>
  <c r="T743" i="2"/>
  <c r="U743" i="2"/>
  <c r="R756" i="2"/>
  <c r="T756" i="2"/>
  <c r="U756" i="2"/>
  <c r="R532" i="2"/>
  <c r="T532" i="2"/>
  <c r="U532" i="2"/>
  <c r="R616" i="2"/>
  <c r="T616" i="2"/>
  <c r="U616" i="2"/>
  <c r="R586" i="2"/>
  <c r="T586" i="2"/>
  <c r="U586" i="2"/>
  <c r="S115" i="2"/>
  <c r="T115" i="2"/>
  <c r="U115" i="2"/>
  <c r="R901" i="2"/>
  <c r="T901" i="2"/>
  <c r="U901" i="2"/>
  <c r="R599" i="2"/>
  <c r="T599" i="2"/>
  <c r="U599" i="2"/>
  <c r="S140" i="2"/>
  <c r="T140" i="2"/>
  <c r="U140" i="2"/>
  <c r="R890" i="2"/>
  <c r="T890" i="2"/>
  <c r="U890" i="2"/>
  <c r="R848" i="2"/>
  <c r="T848" i="2"/>
  <c r="U848" i="2"/>
  <c r="R849" i="2"/>
  <c r="T849" i="2"/>
  <c r="U849" i="2"/>
  <c r="R790" i="2"/>
  <c r="T790" i="2"/>
  <c r="U790" i="2"/>
  <c r="R855" i="2"/>
  <c r="T855" i="2"/>
  <c r="U855" i="2"/>
  <c r="R802" i="2"/>
  <c r="T802" i="2"/>
  <c r="U802" i="2"/>
  <c r="R771" i="2"/>
  <c r="T771" i="2"/>
  <c r="U771" i="2"/>
  <c r="R768" i="2"/>
  <c r="T768" i="2"/>
  <c r="U768" i="2"/>
  <c r="R558" i="2"/>
  <c r="T558" i="2"/>
  <c r="U558" i="2"/>
  <c r="R496" i="2"/>
  <c r="T496" i="2"/>
  <c r="U496" i="2"/>
  <c r="R804" i="2"/>
  <c r="T804" i="2"/>
  <c r="U804" i="2"/>
  <c r="R730" i="2"/>
  <c r="T730" i="2"/>
  <c r="U730" i="2"/>
  <c r="R564" i="2"/>
  <c r="T564" i="2"/>
  <c r="U564" i="2"/>
  <c r="R514" i="2"/>
  <c r="T514" i="2"/>
  <c r="U514" i="2"/>
  <c r="R450" i="2"/>
  <c r="T450" i="2"/>
  <c r="U450" i="2"/>
  <c r="R769" i="2"/>
  <c r="T769" i="2"/>
  <c r="U769" i="2"/>
  <c r="R765" i="2"/>
  <c r="T765" i="2"/>
  <c r="U765" i="2"/>
  <c r="R563" i="2"/>
  <c r="T563" i="2"/>
  <c r="U563" i="2"/>
  <c r="R513" i="2"/>
  <c r="T513" i="2"/>
  <c r="U513" i="2"/>
  <c r="R439" i="2"/>
  <c r="T439" i="2"/>
  <c r="U439" i="2"/>
  <c r="R292" i="2"/>
  <c r="T292" i="2"/>
  <c r="U292" i="2"/>
  <c r="R227" i="2"/>
  <c r="T227" i="2"/>
  <c r="U227" i="2"/>
  <c r="R408" i="2"/>
  <c r="T408" i="2"/>
  <c r="U408" i="2"/>
  <c r="R359" i="2"/>
  <c r="T359" i="2"/>
  <c r="U359" i="2"/>
  <c r="R297" i="2"/>
  <c r="T297" i="2"/>
  <c r="U297" i="2"/>
  <c r="R174" i="2"/>
  <c r="T174" i="2"/>
  <c r="U174" i="2"/>
  <c r="R406" i="2"/>
  <c r="T406" i="2"/>
  <c r="U406" i="2"/>
  <c r="R253" i="2"/>
  <c r="T253" i="2"/>
  <c r="U253" i="2"/>
  <c r="R205" i="2"/>
  <c r="T205" i="2"/>
  <c r="U205" i="2"/>
  <c r="R412" i="2"/>
  <c r="T412" i="2"/>
  <c r="U412" i="2"/>
  <c r="R176" i="2"/>
  <c r="R235" i="2"/>
  <c r="S91" i="2"/>
  <c r="T91" i="2"/>
  <c r="U91" i="2"/>
  <c r="R473" i="2"/>
  <c r="T473" i="2"/>
  <c r="U473" i="2"/>
  <c r="R443" i="2"/>
  <c r="T443" i="2"/>
  <c r="U443" i="2"/>
  <c r="R378" i="2"/>
  <c r="T378" i="2"/>
  <c r="U378" i="2"/>
  <c r="S53" i="2"/>
  <c r="T53" i="2"/>
  <c r="U53" i="2"/>
  <c r="S95" i="2"/>
  <c r="T95" i="2"/>
  <c r="U95" i="2"/>
  <c r="R674" i="2"/>
  <c r="T674" i="2"/>
  <c r="U674" i="2"/>
  <c r="R763" i="2"/>
  <c r="T763" i="2"/>
  <c r="U763" i="2"/>
  <c r="S31" i="2"/>
  <c r="T31" i="2"/>
  <c r="U31" i="2"/>
  <c r="S52" i="2"/>
  <c r="T52" i="2"/>
  <c r="U52" i="2"/>
  <c r="R567" i="2"/>
  <c r="T567" i="2"/>
  <c r="U567" i="2"/>
  <c r="R510" i="2"/>
  <c r="T510" i="2"/>
  <c r="U510" i="2"/>
  <c r="R796" i="2"/>
  <c r="T796" i="2"/>
  <c r="U796" i="2"/>
  <c r="R748" i="2"/>
  <c r="T748" i="2"/>
  <c r="U748" i="2"/>
  <c r="R310" i="2"/>
  <c r="T310" i="2"/>
  <c r="U310" i="2"/>
  <c r="S38" i="2"/>
  <c r="T38" i="2"/>
  <c r="U38" i="2"/>
  <c r="R281" i="2"/>
  <c r="T281" i="2"/>
  <c r="U281" i="2"/>
  <c r="R361" i="2"/>
  <c r="T361" i="2"/>
  <c r="U361" i="2"/>
  <c r="R518" i="2"/>
  <c r="T518" i="2"/>
  <c r="U518" i="2"/>
  <c r="R460" i="2"/>
  <c r="T460" i="2"/>
  <c r="U460" i="2"/>
  <c r="R837" i="2"/>
  <c r="T837" i="2"/>
  <c r="U837" i="2"/>
  <c r="R834" i="2"/>
  <c r="T834" i="2"/>
  <c r="U834" i="2"/>
  <c r="R597" i="2"/>
  <c r="T597" i="2"/>
  <c r="U597" i="2"/>
  <c r="R779" i="2"/>
  <c r="T779" i="2"/>
  <c r="U779" i="2"/>
  <c r="R468" i="2"/>
  <c r="T468" i="2"/>
  <c r="U468" i="2"/>
  <c r="R502" i="2"/>
  <c r="T502" i="2"/>
  <c r="U502" i="2"/>
  <c r="R714" i="2"/>
  <c r="R639" i="2"/>
  <c r="T639" i="2"/>
  <c r="U639" i="2"/>
  <c r="R505" i="2"/>
  <c r="T505" i="2"/>
  <c r="U505" i="2"/>
  <c r="R387" i="2"/>
  <c r="T387" i="2"/>
  <c r="U387" i="2"/>
  <c r="R187" i="2"/>
  <c r="T187" i="2"/>
  <c r="U187" i="2"/>
  <c r="R379" i="2"/>
  <c r="T379" i="2"/>
  <c r="U379" i="2"/>
  <c r="R186" i="2"/>
  <c r="T186" i="2"/>
  <c r="U186" i="2"/>
  <c r="R397" i="2"/>
  <c r="T397" i="2"/>
  <c r="U397" i="2"/>
  <c r="R245" i="2"/>
  <c r="T245" i="2"/>
  <c r="U245" i="2"/>
  <c r="R179" i="2"/>
  <c r="T179" i="2"/>
  <c r="U179" i="2"/>
  <c r="S78" i="2"/>
  <c r="T78" i="2"/>
  <c r="U78" i="2"/>
  <c r="S152" i="2"/>
  <c r="T152" i="2"/>
  <c r="U152" i="2"/>
  <c r="R870" i="2"/>
  <c r="T870" i="2"/>
  <c r="U870" i="2"/>
  <c r="S120" i="2"/>
  <c r="T120" i="2"/>
  <c r="U120" i="2"/>
  <c r="R902" i="2"/>
  <c r="T902" i="2"/>
  <c r="U902" i="2"/>
  <c r="R747" i="2"/>
  <c r="T747" i="2"/>
  <c r="U747" i="2"/>
  <c r="R850" i="2"/>
  <c r="T850" i="2"/>
  <c r="U850" i="2"/>
  <c r="R835" i="2"/>
  <c r="R603" i="2"/>
  <c r="T603" i="2"/>
  <c r="U603" i="2"/>
  <c r="S139" i="2"/>
  <c r="T139" i="2"/>
  <c r="U139" i="2"/>
  <c r="R377" i="2"/>
  <c r="T377" i="2"/>
  <c r="U377" i="2"/>
  <c r="R539" i="2"/>
  <c r="T539" i="2"/>
  <c r="U539" i="2"/>
  <c r="R425" i="2"/>
  <c r="T425" i="2"/>
  <c r="U425" i="2"/>
  <c r="R497" i="2"/>
  <c r="T497" i="2"/>
  <c r="U497" i="2"/>
  <c r="R559" i="2"/>
  <c r="T559" i="2"/>
  <c r="U559" i="2"/>
  <c r="R706" i="2"/>
  <c r="T706" i="2"/>
  <c r="U706" i="2"/>
  <c r="R442" i="2"/>
  <c r="T442" i="2"/>
  <c r="U442" i="2"/>
  <c r="R526" i="2"/>
  <c r="T526" i="2"/>
  <c r="U526" i="2"/>
  <c r="R711" i="2"/>
  <c r="T711" i="2"/>
  <c r="U711" i="2"/>
  <c r="R770" i="2"/>
  <c r="T770" i="2"/>
  <c r="U770" i="2"/>
  <c r="R484" i="2"/>
  <c r="T484" i="2"/>
  <c r="U484" i="2"/>
  <c r="R764" i="2"/>
  <c r="T764" i="2"/>
  <c r="U764" i="2"/>
  <c r="R739" i="2"/>
  <c r="T739" i="2"/>
  <c r="U739" i="2"/>
  <c r="R842" i="2"/>
  <c r="T842" i="2"/>
  <c r="U842" i="2"/>
  <c r="R841" i="2"/>
  <c r="T841" i="2"/>
  <c r="U841" i="2"/>
  <c r="R605" i="2"/>
  <c r="T605" i="2"/>
  <c r="U605" i="2"/>
  <c r="S131" i="2"/>
  <c r="T131" i="2"/>
  <c r="U131" i="2"/>
  <c r="R908" i="2"/>
  <c r="T908" i="2"/>
  <c r="U908" i="2"/>
  <c r="R600" i="2"/>
  <c r="T600" i="2"/>
  <c r="U600" i="2"/>
  <c r="S135" i="2"/>
  <c r="T135" i="2"/>
  <c r="U135" i="2"/>
  <c r="S113" i="2"/>
  <c r="T113" i="2"/>
  <c r="U113" i="2"/>
  <c r="S160" i="2"/>
  <c r="T160" i="2"/>
  <c r="U160" i="2"/>
  <c r="R602" i="2"/>
  <c r="T602" i="2"/>
  <c r="U602" i="2"/>
  <c r="S127" i="2"/>
  <c r="T127" i="2"/>
  <c r="U127" i="2"/>
  <c r="R911" i="2"/>
  <c r="T911" i="2"/>
  <c r="U911" i="2"/>
  <c r="R592" i="2"/>
  <c r="T592" i="2"/>
  <c r="U592" i="2"/>
  <c r="S108" i="2"/>
  <c r="T108" i="2"/>
  <c r="U108" i="2"/>
  <c r="R862" i="2"/>
  <c r="T862" i="2"/>
  <c r="U862" i="2"/>
  <c r="R816" i="2"/>
  <c r="T816" i="2"/>
  <c r="U816" i="2"/>
  <c r="R793" i="2"/>
  <c r="T793" i="2"/>
  <c r="U793" i="2"/>
  <c r="R858" i="2"/>
  <c r="T858" i="2"/>
  <c r="U858" i="2"/>
  <c r="R822" i="2"/>
  <c r="T822" i="2"/>
  <c r="U822" i="2"/>
  <c r="R775" i="2"/>
  <c r="T775" i="2"/>
  <c r="U775" i="2"/>
  <c r="R716" i="2"/>
  <c r="T716" i="2"/>
  <c r="U716" i="2"/>
  <c r="R823" i="2"/>
  <c r="T823" i="2"/>
  <c r="U823" i="2"/>
  <c r="R725" i="2"/>
  <c r="T725" i="2"/>
  <c r="U725" i="2"/>
  <c r="R831" i="2"/>
  <c r="T831" i="2"/>
  <c r="U831" i="2"/>
  <c r="R562" i="2"/>
  <c r="T562" i="2"/>
  <c r="U562" i="2"/>
  <c r="R500" i="2"/>
  <c r="T500" i="2"/>
  <c r="U500" i="2"/>
  <c r="R610" i="2"/>
  <c r="T610" i="2"/>
  <c r="U610" i="2"/>
  <c r="S133" i="2"/>
  <c r="T133" i="2"/>
  <c r="U133" i="2"/>
  <c r="S132" i="2"/>
  <c r="T132" i="2"/>
  <c r="U132" i="2"/>
  <c r="R589" i="2"/>
  <c r="T589" i="2"/>
  <c r="U589" i="2"/>
  <c r="S130" i="2"/>
  <c r="T130" i="2"/>
  <c r="U130" i="2"/>
  <c r="R859" i="2"/>
  <c r="T859" i="2"/>
  <c r="U859" i="2"/>
  <c r="R826" i="2"/>
  <c r="T826" i="2"/>
  <c r="U826" i="2"/>
  <c r="T8" i="2"/>
  <c r="U8" i="2"/>
  <c r="T23" i="2"/>
  <c r="U23" i="2"/>
  <c r="T59" i="2"/>
  <c r="U59" i="2"/>
  <c r="T73" i="2"/>
  <c r="U73" i="2"/>
  <c r="T176" i="2"/>
  <c r="U176" i="2"/>
  <c r="T178" i="2"/>
  <c r="U178" i="2"/>
  <c r="T235" i="2"/>
  <c r="U235" i="2"/>
  <c r="T287" i="2"/>
  <c r="U287" i="2"/>
  <c r="T653" i="2"/>
  <c r="T463" i="2"/>
  <c r="U463" i="2"/>
  <c r="T440" i="2"/>
  <c r="U440" i="2"/>
  <c r="T403" i="2"/>
  <c r="U403" i="2"/>
  <c r="T311" i="2"/>
  <c r="U311" i="2"/>
  <c r="T279" i="2"/>
  <c r="U279" i="2"/>
  <c r="T251" i="2"/>
  <c r="U251" i="2"/>
  <c r="T308" i="2"/>
  <c r="U308" i="2"/>
  <c r="T35" i="2"/>
  <c r="U35" i="2"/>
  <c r="R547" i="2"/>
  <c r="T547" i="2"/>
  <c r="U547" i="2"/>
  <c r="R637" i="2"/>
  <c r="R733" i="2"/>
  <c r="T733" i="2"/>
  <c r="U733" i="2"/>
  <c r="R396" i="2"/>
  <c r="T396" i="2"/>
  <c r="U396" i="2"/>
  <c r="R482" i="2"/>
  <c r="T482" i="2"/>
  <c r="U482" i="2"/>
  <c r="R746" i="2"/>
  <c r="T746" i="2"/>
  <c r="U746" i="2"/>
  <c r="R452" i="2"/>
  <c r="T452" i="2"/>
  <c r="U452" i="2"/>
  <c r="R542" i="2"/>
  <c r="T542" i="2"/>
  <c r="U542" i="2"/>
  <c r="R811" i="2"/>
  <c r="T811" i="2"/>
  <c r="U811" i="2"/>
  <c r="R721" i="2"/>
  <c r="T721" i="2"/>
  <c r="U721" i="2"/>
  <c r="R807" i="2"/>
  <c r="T807" i="2"/>
  <c r="U807" i="2"/>
  <c r="R728" i="2"/>
  <c r="T728" i="2"/>
  <c r="U728" i="2"/>
  <c r="R795" i="2"/>
  <c r="T795" i="2"/>
  <c r="U795" i="2"/>
  <c r="R866" i="2"/>
  <c r="T866" i="2"/>
  <c r="U866" i="2"/>
  <c r="R805" i="2"/>
  <c r="T805" i="2"/>
  <c r="U805" i="2"/>
  <c r="S148" i="2"/>
  <c r="T148" i="2"/>
  <c r="U148" i="2"/>
  <c r="R909" i="2"/>
  <c r="T909" i="2"/>
  <c r="U909" i="2"/>
  <c r="R598" i="2"/>
  <c r="T598" i="2"/>
  <c r="U598" i="2"/>
  <c r="R546" i="2"/>
  <c r="T546" i="2"/>
  <c r="U546" i="2"/>
  <c r="R772" i="2"/>
  <c r="T772" i="2"/>
  <c r="U772" i="2"/>
  <c r="R731" i="2"/>
  <c r="T731" i="2"/>
  <c r="U731" i="2"/>
  <c r="R809" i="2"/>
  <c r="T809" i="2"/>
  <c r="U809" i="2"/>
  <c r="R871" i="2"/>
  <c r="T871" i="2"/>
  <c r="U871" i="2"/>
  <c r="R601" i="2"/>
  <c r="T601" i="2"/>
  <c r="U601" i="2"/>
  <c r="S137" i="2"/>
  <c r="T137" i="2"/>
  <c r="U137" i="2"/>
  <c r="S118" i="2"/>
  <c r="T118" i="2"/>
  <c r="U118" i="2"/>
  <c r="S143" i="2"/>
  <c r="T143" i="2"/>
  <c r="U143" i="2"/>
  <c r="R587" i="2"/>
  <c r="T587" i="2"/>
  <c r="U587" i="2"/>
  <c r="R801" i="2"/>
  <c r="T801" i="2"/>
  <c r="U801" i="2"/>
  <c r="R708" i="2"/>
  <c r="T708" i="2"/>
  <c r="U708" i="2"/>
  <c r="R669" i="2"/>
  <c r="T669" i="2"/>
  <c r="U669" i="2"/>
  <c r="R464" i="2"/>
  <c r="T464" i="2"/>
  <c r="U464" i="2"/>
  <c r="R529" i="2"/>
  <c r="T529" i="2"/>
  <c r="U529" i="2"/>
  <c r="R365" i="2"/>
  <c r="T365" i="2"/>
  <c r="U365" i="2"/>
  <c r="R907" i="2"/>
  <c r="T907" i="2"/>
  <c r="U907" i="2"/>
  <c r="R885" i="2"/>
  <c r="R856" i="2"/>
  <c r="T856" i="2"/>
  <c r="U856" i="2"/>
  <c r="R894" i="2"/>
  <c r="T894" i="2"/>
  <c r="U894" i="2"/>
  <c r="S70" i="2"/>
  <c r="T70" i="2"/>
  <c r="U70" i="2"/>
  <c r="R320" i="2"/>
  <c r="T320" i="2"/>
  <c r="U320" i="2"/>
  <c r="R315" i="2"/>
  <c r="T315" i="2"/>
  <c r="U315" i="2"/>
  <c r="R413" i="2"/>
  <c r="T413" i="2"/>
  <c r="U413" i="2"/>
  <c r="R427" i="2"/>
  <c r="T427" i="2"/>
  <c r="U427" i="2"/>
  <c r="T678" i="2"/>
  <c r="U678" i="2"/>
  <c r="R474" i="2"/>
  <c r="T474" i="2"/>
  <c r="U474" i="2"/>
  <c r="R723" i="2"/>
  <c r="T723" i="2"/>
  <c r="U723" i="2"/>
  <c r="R860" i="2"/>
  <c r="T860" i="2"/>
  <c r="U860" i="2"/>
  <c r="R852" i="2"/>
  <c r="T852" i="2"/>
  <c r="U852" i="2"/>
  <c r="R428" i="2"/>
  <c r="T428" i="2"/>
  <c r="U428" i="2"/>
  <c r="R485" i="2"/>
  <c r="T485" i="2"/>
  <c r="U485" i="2"/>
  <c r="S45" i="2"/>
  <c r="T45" i="2"/>
  <c r="U45" i="2"/>
  <c r="R580" i="2"/>
  <c r="T580" i="2"/>
  <c r="U580" i="2"/>
  <c r="S87" i="2"/>
  <c r="T87" i="2"/>
  <c r="U87" i="2"/>
  <c r="R611" i="2"/>
  <c r="T611" i="2"/>
  <c r="U611" i="2"/>
  <c r="R169" i="2"/>
  <c r="T169" i="2"/>
  <c r="U169" i="2"/>
  <c r="R274" i="2"/>
  <c r="T274" i="2"/>
  <c r="U274" i="2"/>
  <c r="R832" i="2"/>
  <c r="T832" i="2"/>
  <c r="U832" i="2"/>
  <c r="R454" i="2"/>
  <c r="T454" i="2"/>
  <c r="U454" i="2"/>
  <c r="R273" i="2"/>
  <c r="T273" i="2"/>
  <c r="U273" i="2"/>
  <c r="T230" i="2"/>
  <c r="U230" i="2"/>
  <c r="T99" i="2"/>
  <c r="U99" i="2"/>
  <c r="T83" i="2"/>
  <c r="U83" i="2"/>
  <c r="T681" i="2"/>
  <c r="U681" i="2"/>
  <c r="T34" i="2"/>
  <c r="U34" i="2"/>
  <c r="T289" i="2"/>
  <c r="U289" i="2"/>
  <c r="T591" i="2"/>
  <c r="U591" i="2"/>
  <c r="T617" i="2"/>
  <c r="U617" i="2"/>
  <c r="T622" i="2"/>
  <c r="U622" i="2"/>
  <c r="T627" i="2"/>
  <c r="U627" i="2"/>
  <c r="T623" i="2"/>
  <c r="U623" i="2"/>
  <c r="I924" i="2"/>
  <c r="S106" i="4"/>
  <c r="S108" i="4"/>
  <c r="V915" i="2"/>
  <c r="H914" i="2"/>
  <c r="H915" i="2"/>
  <c r="Q58" i="5"/>
  <c r="T875" i="2"/>
  <c r="U875" i="2"/>
  <c r="L922" i="2"/>
  <c r="T647" i="2"/>
  <c r="U647" i="2"/>
  <c r="K106" i="4"/>
  <c r="K108" i="4"/>
  <c r="V881" i="2"/>
  <c r="H880" i="2"/>
  <c r="H881" i="2"/>
  <c r="U327" i="2"/>
  <c r="U653" i="2"/>
  <c r="K323" i="2"/>
  <c r="T323" i="2"/>
  <c r="T324" i="2"/>
  <c r="U324" i="2"/>
  <c r="U193" i="2"/>
  <c r="U918" i="2"/>
  <c r="T787" i="2"/>
  <c r="U787" i="2"/>
  <c r="O922" i="2"/>
  <c r="T319" i="2"/>
  <c r="U319" i="2"/>
  <c r="P922" i="2"/>
  <c r="H921" i="2"/>
  <c r="T835" i="2"/>
  <c r="U835" i="2"/>
  <c r="T714" i="2"/>
  <c r="U714" i="2"/>
  <c r="T185" i="2"/>
  <c r="U185" i="2"/>
  <c r="S922" i="2"/>
  <c r="L163" i="2"/>
  <c r="S163" i="2"/>
  <c r="V163" i="2"/>
  <c r="V924" i="2"/>
  <c r="Q19" i="5"/>
  <c r="Q23" i="5"/>
  <c r="Q36" i="5"/>
  <c r="Q60" i="5"/>
  <c r="Q65" i="5"/>
  <c r="Q71" i="5"/>
  <c r="Q87" i="5"/>
  <c r="T87" i="5"/>
  <c r="U87" i="5"/>
  <c r="Q91" i="5"/>
  <c r="Q95" i="5"/>
  <c r="Q108" i="5"/>
  <c r="T108" i="5"/>
  <c r="U108" i="5"/>
  <c r="T919" i="2"/>
  <c r="U919" i="2"/>
  <c r="H648" i="2"/>
  <c r="H649" i="2"/>
  <c r="F117" i="5"/>
  <c r="G65" i="6"/>
  <c r="F881" i="2"/>
  <c r="F924" i="2"/>
  <c r="J924" i="2"/>
  <c r="J926" i="2"/>
  <c r="Q109" i="5"/>
  <c r="G117" i="5"/>
  <c r="K163" i="2"/>
  <c r="T157" i="2"/>
  <c r="Q24" i="5"/>
  <c r="Q85" i="5"/>
  <c r="T85" i="5"/>
  <c r="U85" i="5"/>
  <c r="Q96" i="5"/>
  <c r="T96" i="5"/>
  <c r="U96" i="5"/>
  <c r="Q97" i="5"/>
  <c r="T97" i="5"/>
  <c r="U97" i="5"/>
  <c r="Q94" i="5"/>
  <c r="T94" i="5"/>
  <c r="U94" i="5"/>
  <c r="O113" i="5"/>
  <c r="L113" i="5"/>
  <c r="Q99" i="5"/>
  <c r="T99" i="5"/>
  <c r="Q59" i="5"/>
  <c r="T59" i="5"/>
  <c r="U59" i="5"/>
  <c r="Q37" i="5"/>
  <c r="Q44" i="5"/>
  <c r="Q49" i="5"/>
  <c r="Q53" i="5"/>
  <c r="T53" i="5"/>
  <c r="U53" i="5"/>
  <c r="Q57" i="5"/>
  <c r="Q61" i="5"/>
  <c r="T61" i="5"/>
  <c r="U61" i="5"/>
  <c r="Q66" i="5"/>
  <c r="Q67" i="5"/>
  <c r="T67" i="5"/>
  <c r="U67" i="5"/>
  <c r="Q72" i="5"/>
  <c r="V102" i="5"/>
  <c r="V113" i="5"/>
  <c r="H112" i="5"/>
  <c r="H113" i="5"/>
  <c r="T57" i="5"/>
  <c r="U57" i="5"/>
  <c r="Q25" i="5"/>
  <c r="Q29" i="5"/>
  <c r="T29" i="5"/>
  <c r="U29" i="5"/>
  <c r="T98" i="5"/>
  <c r="U98" i="5"/>
  <c r="Q106" i="5"/>
  <c r="T106" i="5"/>
  <c r="Q107" i="5"/>
  <c r="T107" i="5"/>
  <c r="U107" i="5"/>
  <c r="K113" i="5"/>
  <c r="Q110" i="5"/>
  <c r="T110" i="5"/>
  <c r="U110" i="5"/>
  <c r="T24" i="5"/>
  <c r="U24" i="5"/>
  <c r="Q45" i="5"/>
  <c r="T109" i="5"/>
  <c r="U109" i="5"/>
  <c r="T19" i="5"/>
  <c r="U19" i="5"/>
  <c r="P102" i="5"/>
  <c r="Q22" i="5"/>
  <c r="T22" i="5"/>
  <c r="U22" i="5"/>
  <c r="Q46" i="5"/>
  <c r="T46" i="5"/>
  <c r="U46" i="5"/>
  <c r="Q82" i="5"/>
  <c r="T82" i="5"/>
  <c r="U82" i="5"/>
  <c r="Q86" i="5"/>
  <c r="Q89" i="5"/>
  <c r="Q90" i="5"/>
  <c r="T90" i="5"/>
  <c r="U90" i="5"/>
  <c r="T92" i="5"/>
  <c r="U92" i="5"/>
  <c r="Q93" i="5"/>
  <c r="T93" i="5"/>
  <c r="U93" i="5"/>
  <c r="R113" i="5"/>
  <c r="Q33" i="5"/>
  <c r="T33" i="5"/>
  <c r="U33" i="5"/>
  <c r="Q74" i="5"/>
  <c r="T77" i="5"/>
  <c r="U77" i="5"/>
  <c r="O102" i="5"/>
  <c r="T54" i="5"/>
  <c r="U54" i="5"/>
  <c r="S44" i="5"/>
  <c r="T44" i="5"/>
  <c r="U44" i="5"/>
  <c r="S45" i="5"/>
  <c r="T45" i="5"/>
  <c r="U45" i="5"/>
  <c r="S89" i="5"/>
  <c r="S25" i="5"/>
  <c r="S86" i="5"/>
  <c r="S43" i="5"/>
  <c r="S32" i="5"/>
  <c r="S95" i="5"/>
  <c r="T95" i="5"/>
  <c r="U95" i="5"/>
  <c r="S49" i="5"/>
  <c r="R66" i="5"/>
  <c r="S74" i="5"/>
  <c r="S47" i="5"/>
  <c r="S36" i="5"/>
  <c r="T36" i="5"/>
  <c r="U36" i="5"/>
  <c r="S91" i="5"/>
  <c r="S69" i="5"/>
  <c r="S78" i="5"/>
  <c r="S56" i="5"/>
  <c r="S73" i="5"/>
  <c r="P113" i="5"/>
  <c r="Q20" i="5"/>
  <c r="T20" i="5"/>
  <c r="U20" i="5"/>
  <c r="Q35" i="5"/>
  <c r="T35" i="5"/>
  <c r="U35" i="5"/>
  <c r="T37" i="5"/>
  <c r="U37" i="5"/>
  <c r="Q40" i="5"/>
  <c r="Q50" i="5"/>
  <c r="T50" i="5"/>
  <c r="U50" i="5"/>
  <c r="Q69" i="5"/>
  <c r="T71" i="5"/>
  <c r="U71" i="5"/>
  <c r="Q76" i="5"/>
  <c r="T76" i="5"/>
  <c r="U76" i="5"/>
  <c r="Q80" i="5"/>
  <c r="T80" i="5"/>
  <c r="U80" i="5"/>
  <c r="Q84" i="5"/>
  <c r="T84" i="5"/>
  <c r="U84" i="5"/>
  <c r="T23" i="5"/>
  <c r="U23" i="5"/>
  <c r="Q28" i="5"/>
  <c r="T28" i="5"/>
  <c r="U28" i="5"/>
  <c r="Q32" i="5"/>
  <c r="Q41" i="5"/>
  <c r="T41" i="5"/>
  <c r="U41" i="5"/>
  <c r="Q42" i="5"/>
  <c r="T42" i="5"/>
  <c r="U42" i="5"/>
  <c r="Q43" i="5"/>
  <c r="Q47" i="5"/>
  <c r="Q64" i="5"/>
  <c r="T64" i="5"/>
  <c r="U64" i="5"/>
  <c r="Q70" i="5"/>
  <c r="T70" i="5"/>
  <c r="U70" i="5"/>
  <c r="Q17" i="5"/>
  <c r="T17" i="5"/>
  <c r="U17" i="5"/>
  <c r="Q30" i="5"/>
  <c r="T30" i="5"/>
  <c r="U30" i="5"/>
  <c r="Q51" i="5"/>
  <c r="T51" i="5"/>
  <c r="U51" i="5"/>
  <c r="Q73" i="5"/>
  <c r="Q83" i="5"/>
  <c r="T83" i="5"/>
  <c r="U83" i="5"/>
  <c r="L102" i="5"/>
  <c r="L117" i="5"/>
  <c r="T26" i="5"/>
  <c r="U26" i="5"/>
  <c r="T60" i="5"/>
  <c r="U60" i="5"/>
  <c r="T16" i="5"/>
  <c r="U16" i="5"/>
  <c r="Q18" i="5"/>
  <c r="T18" i="5"/>
  <c r="U18" i="5"/>
  <c r="Q21" i="5"/>
  <c r="T21" i="5"/>
  <c r="U21" i="5"/>
  <c r="Q56" i="5"/>
  <c r="Q75" i="5"/>
  <c r="T75" i="5"/>
  <c r="U75" i="5"/>
  <c r="Q79" i="5"/>
  <c r="T79" i="5"/>
  <c r="U79" i="5"/>
  <c r="T58" i="5"/>
  <c r="U58" i="5"/>
  <c r="Q27" i="5"/>
  <c r="T27" i="5"/>
  <c r="U27" i="5"/>
  <c r="Q31" i="5"/>
  <c r="T31" i="5"/>
  <c r="U31" i="5"/>
  <c r="Q34" i="5"/>
  <c r="T34" i="5"/>
  <c r="U34" i="5"/>
  <c r="Q38" i="5"/>
  <c r="T38" i="5"/>
  <c r="U38" i="5"/>
  <c r="Q39" i="5"/>
  <c r="T39" i="5"/>
  <c r="U39" i="5"/>
  <c r="Q48" i="5"/>
  <c r="T48" i="5"/>
  <c r="U48" i="5"/>
  <c r="Q52" i="5"/>
  <c r="T52" i="5"/>
  <c r="U52" i="5"/>
  <c r="Q55" i="5"/>
  <c r="T55" i="5"/>
  <c r="U55" i="5"/>
  <c r="Q63" i="5"/>
  <c r="T63" i="5"/>
  <c r="U63" i="5"/>
  <c r="Q78" i="5"/>
  <c r="Q81" i="5"/>
  <c r="T81" i="5"/>
  <c r="U81" i="5"/>
  <c r="K102" i="5"/>
  <c r="K117" i="5"/>
  <c r="T40" i="5"/>
  <c r="U40" i="5"/>
  <c r="Q62" i="5"/>
  <c r="T62" i="5"/>
  <c r="U62" i="5"/>
  <c r="T72" i="5"/>
  <c r="U72" i="5"/>
  <c r="T88" i="5"/>
  <c r="U88" i="5"/>
  <c r="T65" i="5"/>
  <c r="U65" i="5"/>
  <c r="Q68" i="5"/>
  <c r="T68" i="5"/>
  <c r="U68" i="5"/>
  <c r="U157" i="2"/>
  <c r="R163" i="2"/>
  <c r="U11" i="2"/>
  <c r="T163" i="2"/>
  <c r="H924" i="2"/>
  <c r="H926" i="2"/>
  <c r="T91" i="5"/>
  <c r="U91" i="5"/>
  <c r="T66" i="5"/>
  <c r="U66" i="5"/>
  <c r="T89" i="5"/>
  <c r="U89" i="5"/>
  <c r="R649" i="2"/>
  <c r="T637" i="2"/>
  <c r="T394" i="2"/>
  <c r="U394" i="2"/>
  <c r="S633" i="2"/>
  <c r="S924" i="2"/>
  <c r="T49" i="5"/>
  <c r="U49" i="5"/>
  <c r="T885" i="2"/>
  <c r="R915" i="2"/>
  <c r="R922" i="2"/>
  <c r="R881" i="2"/>
  <c r="T168" i="2"/>
  <c r="U168" i="2"/>
  <c r="R633" i="2"/>
  <c r="R924" i="2"/>
  <c r="L685" i="2"/>
  <c r="L881" i="2"/>
  <c r="K881" i="2"/>
  <c r="U163" i="2"/>
  <c r="T922" i="2"/>
  <c r="T881" i="2"/>
  <c r="U922" i="2"/>
  <c r="U323" i="2"/>
  <c r="U633" i="2"/>
  <c r="T633" i="2"/>
  <c r="L323" i="2"/>
  <c r="L633" i="2"/>
  <c r="L924" i="2"/>
  <c r="K633" i="2"/>
  <c r="K924" i="2"/>
  <c r="L926" i="2"/>
  <c r="H101" i="5"/>
  <c r="V117" i="5"/>
  <c r="U99" i="5"/>
  <c r="T56" i="5"/>
  <c r="U56" i="5"/>
  <c r="T25" i="5"/>
  <c r="U25" i="5"/>
  <c r="O117" i="5"/>
  <c r="T86" i="5"/>
  <c r="U86" i="5"/>
  <c r="R102" i="5"/>
  <c r="R117" i="5"/>
  <c r="P117" i="5"/>
  <c r="S102" i="5"/>
  <c r="S117" i="5"/>
  <c r="Q113" i="5"/>
  <c r="T73" i="5"/>
  <c r="U73" i="5"/>
  <c r="L119" i="5"/>
  <c r="L120" i="5"/>
  <c r="T32" i="5"/>
  <c r="U32" i="5"/>
  <c r="T47" i="5"/>
  <c r="U47" i="5"/>
  <c r="T78" i="5"/>
  <c r="U78" i="5"/>
  <c r="T43" i="5"/>
  <c r="U43" i="5"/>
  <c r="T69" i="5"/>
  <c r="U69" i="5"/>
  <c r="T74" i="5"/>
  <c r="U74" i="5"/>
  <c r="T113" i="5"/>
  <c r="U106" i="5"/>
  <c r="U113" i="5"/>
  <c r="U685" i="2"/>
  <c r="U881" i="2"/>
  <c r="U885" i="2"/>
  <c r="U915" i="2"/>
  <c r="T915" i="2"/>
  <c r="T649" i="2"/>
  <c r="T924" i="2"/>
  <c r="U637" i="2"/>
  <c r="U649" i="2"/>
  <c r="U924" i="2"/>
  <c r="T102" i="5"/>
  <c r="T117" i="5"/>
  <c r="U102" i="5"/>
  <c r="U117" i="5"/>
  <c r="H102" i="5"/>
  <c r="H117" i="5"/>
  <c r="H119" i="5"/>
  <c r="V118" i="5"/>
  <c r="V120" i="5"/>
  <c r="W114" i="11" l="1" a="1"/>
  <c r="W114" i="11" s="1"/>
  <c r="U123" i="11"/>
  <c r="W123" i="11" s="1" a="1"/>
  <c r="W123" i="11" s="1"/>
  <c r="Q95" i="11"/>
  <c r="Q94" i="11"/>
  <c r="T94" i="11" s="1"/>
  <c r="U94" i="11" s="1"/>
  <c r="Q93" i="11"/>
  <c r="T93" i="11" s="1"/>
  <c r="U93" i="11" s="1"/>
  <c r="T80" i="11"/>
  <c r="U80" i="11" s="1"/>
  <c r="T66" i="11"/>
  <c r="U66" i="11" s="1"/>
  <c r="Q41" i="11"/>
  <c r="T41" i="11" s="1"/>
  <c r="U41" i="11" s="1"/>
  <c r="Q40" i="11"/>
  <c r="T40" i="11" s="1"/>
  <c r="U40" i="11" s="1"/>
  <c r="Q39" i="11"/>
  <c r="Q19" i="11"/>
  <c r="Q18" i="11"/>
  <c r="Q17" i="11"/>
  <c r="T17" i="11" s="1"/>
  <c r="U17" i="11" s="1"/>
  <c r="Q69" i="11"/>
  <c r="T69" i="11" s="1"/>
  <c r="U69" i="11" s="1"/>
  <c r="Q68" i="11"/>
  <c r="Q67" i="11"/>
  <c r="Q62" i="11"/>
  <c r="T62" i="11" s="1"/>
  <c r="U62" i="11" s="1"/>
  <c r="T54" i="11"/>
  <c r="U54" i="11" s="1"/>
  <c r="Q33" i="11"/>
  <c r="Q32" i="11"/>
  <c r="Q31" i="11"/>
  <c r="T31" i="11" s="1"/>
  <c r="U31" i="11" s="1"/>
  <c r="Q29" i="11"/>
  <c r="Q28" i="11"/>
  <c r="T18" i="11"/>
  <c r="U18" i="11" s="1"/>
  <c r="Q87" i="11"/>
  <c r="T87" i="11" s="1"/>
  <c r="U87" i="11" s="1"/>
  <c r="Q56" i="11"/>
  <c r="T56" i="11" s="1"/>
  <c r="U56" i="11" s="1"/>
  <c r="Q55" i="11"/>
  <c r="Q46" i="11"/>
  <c r="T46" i="11" s="1"/>
  <c r="U46" i="11" s="1"/>
  <c r="T32" i="11"/>
  <c r="U32" i="11" s="1"/>
  <c r="Q24" i="11"/>
  <c r="I127" i="11"/>
  <c r="G127" i="11"/>
  <c r="T25" i="11"/>
  <c r="U25" i="11" s="1"/>
  <c r="Q85" i="11"/>
  <c r="T85" i="11" s="1"/>
  <c r="U85" i="11" s="1"/>
  <c r="Q76" i="11"/>
  <c r="T76" i="11" s="1"/>
  <c r="U76" i="11" s="1"/>
  <c r="T74" i="11"/>
  <c r="U74" i="11" s="1"/>
  <c r="T71" i="11"/>
  <c r="U71" i="11" s="1"/>
  <c r="T68" i="11"/>
  <c r="U68" i="11" s="1"/>
  <c r="Q65" i="11"/>
  <c r="Q64" i="11"/>
  <c r="T48" i="11"/>
  <c r="U48" i="11" s="1"/>
  <c r="Q45" i="11"/>
  <c r="Q37" i="11"/>
  <c r="T37" i="11" s="1"/>
  <c r="U37" i="11" s="1"/>
  <c r="Q36" i="11"/>
  <c r="T34" i="11"/>
  <c r="U34" i="11" s="1"/>
  <c r="T33" i="11"/>
  <c r="U33" i="11" s="1"/>
  <c r="Q26" i="11"/>
  <c r="T24" i="11"/>
  <c r="U24" i="11" s="1"/>
  <c r="T21" i="11"/>
  <c r="U21" i="11" s="1"/>
  <c r="T19" i="11"/>
  <c r="U19" i="11" s="1"/>
  <c r="Q27" i="11"/>
  <c r="Q88" i="11"/>
  <c r="T88" i="11" s="1"/>
  <c r="U88" i="11" s="1"/>
  <c r="T84" i="11"/>
  <c r="U84" i="11" s="1"/>
  <c r="Q73" i="11"/>
  <c r="T73" i="11" s="1"/>
  <c r="U73" i="11" s="1"/>
  <c r="Q72" i="11"/>
  <c r="T72" i="11" s="1"/>
  <c r="U72" i="11" s="1"/>
  <c r="Q70" i="11"/>
  <c r="T70" i="11" s="1"/>
  <c r="U70" i="11" s="1"/>
  <c r="T64" i="11"/>
  <c r="U64" i="11" s="1"/>
  <c r="Q61" i="11"/>
  <c r="Q53" i="11"/>
  <c r="T53" i="11" s="1"/>
  <c r="U53" i="11" s="1"/>
  <c r="Q52" i="11"/>
  <c r="Q50" i="11"/>
  <c r="T50" i="11" s="1"/>
  <c r="U50" i="11" s="1"/>
  <c r="T49" i="11"/>
  <c r="U49" i="11" s="1"/>
  <c r="Q44" i="11"/>
  <c r="T44" i="11" s="1"/>
  <c r="U44" i="11" s="1"/>
  <c r="Q42" i="11"/>
  <c r="T42" i="11" s="1"/>
  <c r="U42" i="11" s="1"/>
  <c r="T39" i="11"/>
  <c r="U39" i="11" s="1"/>
  <c r="T36" i="11"/>
  <c r="U36" i="11" s="1"/>
  <c r="Q23" i="11"/>
  <c r="T23" i="11" s="1"/>
  <c r="U23" i="11" s="1"/>
  <c r="Q22" i="11"/>
  <c r="T22" i="11" s="1"/>
  <c r="U22" i="11" s="1"/>
  <c r="Q20" i="11"/>
  <c r="T20" i="11" s="1"/>
  <c r="U20" i="11" s="1"/>
  <c r="T98" i="11"/>
  <c r="U98" i="11" s="1"/>
  <c r="T97" i="11"/>
  <c r="U97" i="11" s="1"/>
  <c r="T90" i="11"/>
  <c r="U90" i="11" s="1"/>
  <c r="T89" i="11"/>
  <c r="U89" i="11" s="1"/>
  <c r="T81" i="11"/>
  <c r="U81" i="11" s="1"/>
  <c r="Q78" i="11"/>
  <c r="T78" i="11" s="1"/>
  <c r="U78" i="11" s="1"/>
  <c r="T65" i="11"/>
  <c r="U65" i="11" s="1"/>
  <c r="Q58" i="11"/>
  <c r="T58" i="11" s="1"/>
  <c r="U58" i="11" s="1"/>
  <c r="T55" i="11"/>
  <c r="U55" i="11" s="1"/>
  <c r="T52" i="11"/>
  <c r="U52" i="11" s="1"/>
  <c r="Q38" i="11"/>
  <c r="T38" i="11" s="1"/>
  <c r="U38" i="11" s="1"/>
  <c r="Q30" i="11"/>
  <c r="T30" i="11" s="1"/>
  <c r="U30" i="11" s="1"/>
  <c r="T116" i="11"/>
  <c r="O123" i="11"/>
  <c r="T96" i="11"/>
  <c r="U96" i="11" s="1"/>
  <c r="T99" i="11"/>
  <c r="U99" i="11" s="1"/>
  <c r="U101" i="11"/>
  <c r="U105" i="11"/>
  <c r="U104" i="11"/>
  <c r="K110" i="11"/>
  <c r="K127" i="11" s="1"/>
  <c r="U16" i="11"/>
  <c r="R110" i="11"/>
  <c r="R127" i="11" s="1"/>
  <c r="T95" i="11"/>
  <c r="U95" i="11" s="1"/>
  <c r="T91" i="11"/>
  <c r="U91" i="11" s="1"/>
  <c r="Q82" i="11"/>
  <c r="T82" i="11" s="1"/>
  <c r="U82" i="11" s="1"/>
  <c r="T75" i="11"/>
  <c r="U75" i="11" s="1"/>
  <c r="T59" i="11"/>
  <c r="U59" i="11" s="1"/>
  <c r="T43" i="11"/>
  <c r="U43" i="11" s="1"/>
  <c r="T28" i="11"/>
  <c r="U28" i="11" s="1"/>
  <c r="V123" i="11"/>
  <c r="H122" i="11" s="1"/>
  <c r="J127" i="11"/>
  <c r="J129" i="11" s="1"/>
  <c r="L110" i="11"/>
  <c r="L127" i="11" s="1"/>
  <c r="Q86" i="11"/>
  <c r="T86" i="11" s="1"/>
  <c r="U86" i="11" s="1"/>
  <c r="T79" i="11"/>
  <c r="U79" i="11" s="1"/>
  <c r="T63" i="11"/>
  <c r="U63" i="11" s="1"/>
  <c r="T57" i="11"/>
  <c r="U57" i="11" s="1"/>
  <c r="T47" i="11"/>
  <c r="U47" i="11" s="1"/>
  <c r="T29" i="11"/>
  <c r="U29" i="11" s="1"/>
  <c r="T26" i="11"/>
  <c r="U26" i="11" s="1"/>
  <c r="V110" i="11"/>
  <c r="T83" i="11"/>
  <c r="U83" i="11" s="1"/>
  <c r="T77" i="11"/>
  <c r="U77" i="11" s="1"/>
  <c r="T67" i="11"/>
  <c r="U67" i="11" s="1"/>
  <c r="T61" i="11"/>
  <c r="U61" i="11" s="1"/>
  <c r="T51" i="11"/>
  <c r="U51" i="11" s="1"/>
  <c r="T45" i="11"/>
  <c r="U45" i="11" s="1"/>
  <c r="T35" i="11"/>
  <c r="U35" i="11" s="1"/>
  <c r="S110" i="11"/>
  <c r="S127" i="11" s="1"/>
  <c r="O110" i="11"/>
  <c r="P110" i="11"/>
  <c r="P127" i="11" s="1"/>
  <c r="Q603" i="10"/>
  <c r="Q507" i="10"/>
  <c r="Q258" i="10"/>
  <c r="Q599" i="10"/>
  <c r="F839" i="10"/>
  <c r="H836" i="10"/>
  <c r="Q52" i="10"/>
  <c r="Q36" i="10"/>
  <c r="Q32" i="10"/>
  <c r="V829" i="10"/>
  <c r="H828" i="10" s="1"/>
  <c r="H829" i="10" s="1"/>
  <c r="Q759" i="10"/>
  <c r="Q615" i="10"/>
  <c r="Q611" i="10"/>
  <c r="Q139" i="10"/>
  <c r="Q135" i="10"/>
  <c r="Q123" i="10"/>
  <c r="T123" i="10" s="1"/>
  <c r="U123" i="10" s="1"/>
  <c r="Q119" i="10"/>
  <c r="Q115" i="10"/>
  <c r="Q55" i="10"/>
  <c r="Q602" i="10"/>
  <c r="Q598" i="10"/>
  <c r="Q594" i="10"/>
  <c r="Q570" i="10"/>
  <c r="Q552" i="10"/>
  <c r="Q548" i="10"/>
  <c r="Q532" i="10"/>
  <c r="Q512" i="10"/>
  <c r="Q509" i="10"/>
  <c r="Q501" i="10"/>
  <c r="Q497" i="10"/>
  <c r="Q327" i="10"/>
  <c r="Q311" i="10"/>
  <c r="Q298" i="10"/>
  <c r="Q273" i="10"/>
  <c r="Q9" i="10"/>
  <c r="Q503" i="10"/>
  <c r="Q250" i="10"/>
  <c r="K250" i="10" s="1"/>
  <c r="L250" i="10" s="1"/>
  <c r="J839" i="10"/>
  <c r="Q78" i="10"/>
  <c r="Q74" i="10"/>
  <c r="Q62" i="10"/>
  <c r="Q58" i="10"/>
  <c r="Q54" i="10"/>
  <c r="Q330" i="10"/>
  <c r="Q225" i="10"/>
  <c r="Q222" i="10"/>
  <c r="K222" i="10" s="1"/>
  <c r="L222" i="10" s="1"/>
  <c r="Q734" i="10"/>
  <c r="Q730" i="10"/>
  <c r="Q726" i="10"/>
  <c r="Q722" i="10"/>
  <c r="Q718" i="10"/>
  <c r="Q714" i="10"/>
  <c r="Q702" i="10"/>
  <c r="Q645" i="10"/>
  <c r="Q641" i="10"/>
  <c r="Q623" i="10"/>
  <c r="K623" i="10" s="1"/>
  <c r="L623" i="10" s="1"/>
  <c r="Q620" i="10"/>
  <c r="K620" i="10" s="1"/>
  <c r="L620" i="10" s="1"/>
  <c r="Q612" i="10"/>
  <c r="Q97" i="10"/>
  <c r="Q89" i="10"/>
  <c r="Q57" i="10"/>
  <c r="Q451" i="10"/>
  <c r="Q333" i="10"/>
  <c r="Q249" i="10"/>
  <c r="K249" i="10" s="1"/>
  <c r="L249" i="10" s="1"/>
  <c r="Q245" i="10"/>
  <c r="K245" i="10" s="1"/>
  <c r="L245" i="10" s="1"/>
  <c r="Q230" i="10"/>
  <c r="K230" i="10" s="1"/>
  <c r="L230" i="10" s="1"/>
  <c r="Q229" i="10"/>
  <c r="K229" i="10" s="1"/>
  <c r="L229" i="10" s="1"/>
  <c r="Q209" i="10"/>
  <c r="Q197" i="10"/>
  <c r="Q187" i="10"/>
  <c r="Q177" i="10"/>
  <c r="O172" i="10"/>
  <c r="Q624" i="10"/>
  <c r="Q485" i="10"/>
  <c r="Q461" i="10"/>
  <c r="Q445" i="10"/>
  <c r="Q562" i="10"/>
  <c r="K562" i="10" s="1"/>
  <c r="L562" i="10" s="1"/>
  <c r="V607" i="10"/>
  <c r="H607" i="10" s="1"/>
  <c r="Q762" i="10"/>
  <c r="Q669" i="10"/>
  <c r="Q665" i="10"/>
  <c r="Q653" i="10"/>
  <c r="Q116" i="10"/>
  <c r="Q100" i="10"/>
  <c r="Q96" i="10"/>
  <c r="Q22" i="10"/>
  <c r="Q14" i="10"/>
  <c r="L172" i="10"/>
  <c r="Q10" i="10"/>
  <c r="Q573" i="10"/>
  <c r="Q374" i="10"/>
  <c r="Q339" i="10"/>
  <c r="Q329" i="10"/>
  <c r="Q326" i="10"/>
  <c r="Q314" i="10"/>
  <c r="Q301" i="10"/>
  <c r="Q285" i="10"/>
  <c r="Q282" i="10"/>
  <c r="K282" i="10" s="1"/>
  <c r="L282" i="10" s="1"/>
  <c r="Q261" i="10"/>
  <c r="Q243" i="10"/>
  <c r="K243" i="10" s="1"/>
  <c r="L243" i="10" s="1"/>
  <c r="Q237" i="10"/>
  <c r="Q231" i="10"/>
  <c r="Q190" i="10"/>
  <c r="Q186" i="10"/>
  <c r="V793" i="10"/>
  <c r="H792" i="10" s="1"/>
  <c r="Q812" i="10"/>
  <c r="Q808" i="10"/>
  <c r="Q804" i="10"/>
  <c r="Q777" i="10"/>
  <c r="Q685" i="10"/>
  <c r="Q681" i="10"/>
  <c r="Q71" i="10"/>
  <c r="Q49" i="10"/>
  <c r="Q45" i="10"/>
  <c r="Q33" i="10"/>
  <c r="Q25" i="10"/>
  <c r="Q499" i="10"/>
  <c r="Q448" i="10"/>
  <c r="Q436" i="10"/>
  <c r="Q420" i="10"/>
  <c r="Q294" i="10"/>
  <c r="Q289" i="10"/>
  <c r="Q277" i="10"/>
  <c r="Q246" i="10"/>
  <c r="K246" i="10" s="1"/>
  <c r="L246" i="10" s="1"/>
  <c r="Q238" i="10"/>
  <c r="K238" i="10" s="1"/>
  <c r="L238" i="10" s="1"/>
  <c r="Q189" i="10"/>
  <c r="Q815" i="10"/>
  <c r="Q634" i="10"/>
  <c r="L634" i="10" s="1"/>
  <c r="Q165" i="10"/>
  <c r="Q142" i="10"/>
  <c r="Q138" i="10"/>
  <c r="Q126" i="10"/>
  <c r="Q118" i="10"/>
  <c r="Q86" i="10"/>
  <c r="Q73" i="10"/>
  <c r="Q494" i="10"/>
  <c r="Q478" i="10"/>
  <c r="Q474" i="10"/>
  <c r="Q206" i="10"/>
  <c r="Q194" i="10"/>
  <c r="I839" i="10"/>
  <c r="O829" i="10"/>
  <c r="O837" i="10" s="1"/>
  <c r="V590" i="10"/>
  <c r="H589" i="10" s="1"/>
  <c r="H590" i="10" s="1"/>
  <c r="Q814" i="10"/>
  <c r="Q811" i="10"/>
  <c r="Q761" i="10"/>
  <c r="Q758" i="10"/>
  <c r="Q754" i="10"/>
  <c r="Q750" i="10"/>
  <c r="Q713" i="10"/>
  <c r="Q698" i="10"/>
  <c r="Q694" i="10"/>
  <c r="Q690" i="10"/>
  <c r="Q667" i="10"/>
  <c r="Q664" i="10"/>
  <c r="Q649" i="10"/>
  <c r="Q153" i="10"/>
  <c r="Q107" i="10"/>
  <c r="Q81" i="10"/>
  <c r="Q77" i="10"/>
  <c r="Q65" i="10"/>
  <c r="Q39" i="10"/>
  <c r="Q17" i="10"/>
  <c r="Q13" i="10"/>
  <c r="Q576" i="10"/>
  <c r="Q534" i="10"/>
  <c r="Q531" i="10"/>
  <c r="Q523" i="10"/>
  <c r="Q508" i="10"/>
  <c r="Q404" i="10"/>
  <c r="Q400" i="10"/>
  <c r="Q392" i="10"/>
  <c r="Q265" i="10"/>
  <c r="Q217" i="10"/>
  <c r="K217" i="10" s="1"/>
  <c r="L217" i="10" s="1"/>
  <c r="U178" i="10"/>
  <c r="S793" i="10"/>
  <c r="P590" i="10"/>
  <c r="Q809" i="10"/>
  <c r="Q771" i="10"/>
  <c r="Q767" i="10"/>
  <c r="T767" i="10" s="1"/>
  <c r="U767" i="10" s="1"/>
  <c r="Q711" i="10"/>
  <c r="Q704" i="10"/>
  <c r="Q662" i="10"/>
  <c r="Q658" i="10"/>
  <c r="Q642" i="10"/>
  <c r="Q159" i="10"/>
  <c r="Q155" i="10"/>
  <c r="Q151" i="10"/>
  <c r="Q147" i="10"/>
  <c r="Q132" i="10"/>
  <c r="Q131" i="10"/>
  <c r="Q110" i="10"/>
  <c r="Q94" i="10"/>
  <c r="Q90" i="10"/>
  <c r="Q84" i="10"/>
  <c r="Q68" i="10"/>
  <c r="Q64" i="10"/>
  <c r="Q46" i="10"/>
  <c r="Q42" i="10"/>
  <c r="Q41" i="10"/>
  <c r="Q30" i="10"/>
  <c r="Q26" i="10"/>
  <c r="Q23" i="10"/>
  <c r="Q20" i="10"/>
  <c r="Q561" i="10"/>
  <c r="Q557" i="10"/>
  <c r="Q536" i="10"/>
  <c r="Q529" i="10"/>
  <c r="Q481" i="10"/>
  <c r="Q477" i="10"/>
  <c r="Q473" i="10"/>
  <c r="Q465" i="10"/>
  <c r="Q433" i="10"/>
  <c r="Q429" i="10"/>
  <c r="Q422" i="10"/>
  <c r="Q419" i="10"/>
  <c r="Q372" i="10"/>
  <c r="Q368" i="10"/>
  <c r="Q319" i="10"/>
  <c r="Q262" i="10"/>
  <c r="Q239" i="10"/>
  <c r="Q214" i="10"/>
  <c r="K214" i="10" s="1"/>
  <c r="L214" i="10" s="1"/>
  <c r="Q181" i="10"/>
  <c r="Q699" i="10"/>
  <c r="Q650" i="10"/>
  <c r="Q134" i="10"/>
  <c r="Q70" i="10"/>
  <c r="Q564" i="10"/>
  <c r="Q498" i="10"/>
  <c r="Q424" i="10"/>
  <c r="Q417" i="10"/>
  <c r="Q413" i="10"/>
  <c r="Q401" i="10"/>
  <c r="Q306" i="10"/>
  <c r="Q293" i="10"/>
  <c r="K293" i="10" s="1"/>
  <c r="L293" i="10" s="1"/>
  <c r="Q184" i="10"/>
  <c r="H171" i="10"/>
  <c r="H172" i="10" s="1"/>
  <c r="R172" i="10"/>
  <c r="Q824" i="10"/>
  <c r="Q820" i="10"/>
  <c r="Q802" i="10"/>
  <c r="Q799" i="10"/>
  <c r="Q773" i="10"/>
  <c r="Q770" i="10"/>
  <c r="Q763" i="10"/>
  <c r="Q729" i="10"/>
  <c r="Q700" i="10"/>
  <c r="Q697" i="10"/>
  <c r="Q677" i="10"/>
  <c r="Q673" i="10"/>
  <c r="Q651" i="10"/>
  <c r="Q648" i="10"/>
  <c r="Q643" i="10"/>
  <c r="Q640" i="10"/>
  <c r="Q637" i="10"/>
  <c r="K637" i="10" s="1"/>
  <c r="L637" i="10" s="1"/>
  <c r="Q633" i="10"/>
  <c r="L633" i="10" s="1"/>
  <c r="Q109" i="10"/>
  <c r="Q80" i="10"/>
  <c r="Q48" i="10"/>
  <c r="P172" i="10"/>
  <c r="Q572" i="10"/>
  <c r="Q480" i="10"/>
  <c r="Q403" i="10"/>
  <c r="Q353" i="10"/>
  <c r="K353" i="10" s="1"/>
  <c r="L353" i="10" s="1"/>
  <c r="Q349" i="10"/>
  <c r="Q226" i="10"/>
  <c r="K226" i="10" s="1"/>
  <c r="L226" i="10" s="1"/>
  <c r="K172" i="10"/>
  <c r="K829" i="10"/>
  <c r="Q800" i="10"/>
  <c r="Q798" i="10"/>
  <c r="P829" i="10"/>
  <c r="P837" i="10" s="1"/>
  <c r="Q776" i="10"/>
  <c r="Q769" i="10"/>
  <c r="Q768" i="10"/>
  <c r="Q766" i="10"/>
  <c r="Q749" i="10"/>
  <c r="Q742" i="10"/>
  <c r="Q738" i="10"/>
  <c r="Q727" i="10"/>
  <c r="Q717" i="10"/>
  <c r="Q710" i="10"/>
  <c r="Q706" i="10"/>
  <c r="Q695" i="10"/>
  <c r="Q691" i="10"/>
  <c r="Q683" i="10"/>
  <c r="Q682" i="10"/>
  <c r="Q680" i="10"/>
  <c r="Q661" i="10"/>
  <c r="Q657" i="10"/>
  <c r="Q619" i="10"/>
  <c r="K619" i="10" s="1"/>
  <c r="L619" i="10" s="1"/>
  <c r="Q164" i="10"/>
  <c r="Q160" i="10"/>
  <c r="Q156" i="10"/>
  <c r="Q122" i="10"/>
  <c r="Q93" i="10"/>
  <c r="Q61" i="10"/>
  <c r="Q29" i="10"/>
  <c r="Q519" i="10"/>
  <c r="Q505" i="10"/>
  <c r="Q487" i="10"/>
  <c r="Q483" i="10"/>
  <c r="Q440" i="10"/>
  <c r="Q418" i="10"/>
  <c r="Q406" i="10"/>
  <c r="Q360" i="10"/>
  <c r="Q825" i="10"/>
  <c r="L829" i="10"/>
  <c r="S829" i="10"/>
  <c r="S837" i="10" s="1"/>
  <c r="Q747" i="10"/>
  <c r="Q715" i="10"/>
  <c r="Q678" i="10"/>
  <c r="Q674" i="10"/>
  <c r="Q666" i="10"/>
  <c r="Q646" i="10"/>
  <c r="K646" i="10" s="1"/>
  <c r="L646" i="10" s="1"/>
  <c r="S607" i="10"/>
  <c r="P607" i="10"/>
  <c r="Q533" i="10"/>
  <c r="Q458" i="10"/>
  <c r="Q388" i="10"/>
  <c r="Q381" i="10"/>
  <c r="Q331" i="10"/>
  <c r="Q328" i="10"/>
  <c r="Q325" i="10"/>
  <c r="Q321" i="10"/>
  <c r="Q302" i="10"/>
  <c r="Q299" i="10"/>
  <c r="Q296" i="10"/>
  <c r="Q284" i="10"/>
  <c r="Q270" i="10"/>
  <c r="K270" i="10" s="1"/>
  <c r="L270" i="10" s="1"/>
  <c r="Q264" i="10"/>
  <c r="Q235" i="10"/>
  <c r="Q221" i="10"/>
  <c r="K221" i="10" s="1"/>
  <c r="Q205" i="10"/>
  <c r="Q201" i="10"/>
  <c r="Q193" i="10"/>
  <c r="K193" i="10" s="1"/>
  <c r="L193" i="10" s="1"/>
  <c r="Q192" i="10"/>
  <c r="T192" i="10" s="1"/>
  <c r="Q613" i="10"/>
  <c r="Q166" i="10"/>
  <c r="Q163" i="10"/>
  <c r="Q140" i="10"/>
  <c r="Q127" i="10"/>
  <c r="Q124" i="10"/>
  <c r="Q98" i="10"/>
  <c r="Q82" i="10"/>
  <c r="Q79" i="10"/>
  <c r="Q66" i="10"/>
  <c r="Q63" i="10"/>
  <c r="Q50" i="10"/>
  <c r="Q47" i="10"/>
  <c r="Q34" i="10"/>
  <c r="Q31" i="10"/>
  <c r="Q18" i="10"/>
  <c r="Q15" i="10"/>
  <c r="Q555" i="10"/>
  <c r="Q551" i="10"/>
  <c r="Q522" i="10"/>
  <c r="Q518" i="10"/>
  <c r="Q479" i="10"/>
  <c r="Q467" i="10"/>
  <c r="Q464" i="10"/>
  <c r="Q453" i="10"/>
  <c r="U451" i="10"/>
  <c r="Q446" i="10"/>
  <c r="Q432" i="10"/>
  <c r="Q428" i="10"/>
  <c r="Q402" i="10"/>
  <c r="Q399" i="10"/>
  <c r="Q395" i="10"/>
  <c r="Q387" i="10"/>
  <c r="Q344" i="10"/>
  <c r="Q313" i="10"/>
  <c r="Q310" i="10"/>
  <c r="Q290" i="10"/>
  <c r="Q280" i="10"/>
  <c r="Q248" i="10"/>
  <c r="K248" i="10" s="1"/>
  <c r="L248" i="10" s="1"/>
  <c r="Q247" i="10"/>
  <c r="K247" i="10" s="1"/>
  <c r="L247" i="10" s="1"/>
  <c r="Q240" i="10"/>
  <c r="Q228" i="10"/>
  <c r="K228" i="10" s="1"/>
  <c r="L228" i="10" s="1"/>
  <c r="Q216" i="10"/>
  <c r="Q210" i="10"/>
  <c r="Q207" i="10"/>
  <c r="Q182" i="10"/>
  <c r="Q631" i="10"/>
  <c r="U629" i="10"/>
  <c r="Q627" i="10"/>
  <c r="Q161" i="10"/>
  <c r="Q150" i="10"/>
  <c r="Q146" i="10"/>
  <c r="Q130" i="10"/>
  <c r="Q117" i="10"/>
  <c r="Q101" i="10"/>
  <c r="Q88" i="10"/>
  <c r="Q85" i="10"/>
  <c r="Q72" i="10"/>
  <c r="Q69" i="10"/>
  <c r="Q56" i="10"/>
  <c r="Q53" i="10"/>
  <c r="Q40" i="10"/>
  <c r="Q37" i="10"/>
  <c r="Q24" i="10"/>
  <c r="Q21" i="10"/>
  <c r="Q566" i="10"/>
  <c r="Q563" i="10"/>
  <c r="Q553" i="10"/>
  <c r="Q549" i="10"/>
  <c r="Q538" i="10"/>
  <c r="Q535" i="10"/>
  <c r="Q528" i="10"/>
  <c r="Q517" i="10"/>
  <c r="Q493" i="10"/>
  <c r="Q489" i="10"/>
  <c r="Q463" i="10"/>
  <c r="Q462" i="10"/>
  <c r="Q460" i="10"/>
  <c r="Q456" i="10"/>
  <c r="Q438" i="10"/>
  <c r="Q437" i="10"/>
  <c r="Q435" i="10"/>
  <c r="Q416" i="10"/>
  <c r="Q412" i="10"/>
  <c r="Q397" i="10"/>
  <c r="Q390" i="10"/>
  <c r="Q389" i="10"/>
  <c r="Q358" i="10"/>
  <c r="Q357" i="10"/>
  <c r="Q354" i="10"/>
  <c r="K354" i="10" s="1"/>
  <c r="L354" i="10" s="1"/>
  <c r="Q347" i="10"/>
  <c r="Q346" i="10"/>
  <c r="Q322" i="10"/>
  <c r="Q292" i="10"/>
  <c r="K292" i="10" s="1"/>
  <c r="L292" i="10" s="1"/>
  <c r="Q278" i="10"/>
  <c r="Q259" i="10"/>
  <c r="K259" i="10" s="1"/>
  <c r="L259" i="10" s="1"/>
  <c r="Q257" i="10"/>
  <c r="K257" i="10" s="1"/>
  <c r="L257" i="10" s="1"/>
  <c r="Q242" i="10"/>
  <c r="K242" i="10" s="1"/>
  <c r="L242" i="10" s="1"/>
  <c r="Q232" i="10"/>
  <c r="Q218" i="10"/>
  <c r="Q212" i="10"/>
  <c r="T212" i="10" s="1"/>
  <c r="Q199" i="10"/>
  <c r="Q196" i="10"/>
  <c r="Q188" i="10"/>
  <c r="Q185" i="10"/>
  <c r="O793" i="10"/>
  <c r="Q823" i="10"/>
  <c r="Q810" i="10"/>
  <c r="Q807" i="10"/>
  <c r="Q797" i="10"/>
  <c r="Q765" i="10"/>
  <c r="Q757" i="10"/>
  <c r="Q741" i="10"/>
  <c r="Q725" i="10"/>
  <c r="Q709" i="10"/>
  <c r="Q696" i="10"/>
  <c r="Q693" i="10"/>
  <c r="Q689" i="10"/>
  <c r="Q688" i="10"/>
  <c r="K688" i="10" s="1"/>
  <c r="L688" i="10" s="1"/>
  <c r="U688" i="10" s="1"/>
  <c r="Q679" i="10"/>
  <c r="Q676" i="10"/>
  <c r="Q672" i="10"/>
  <c r="Q663" i="10"/>
  <c r="Q660" i="10"/>
  <c r="Q639" i="10"/>
  <c r="Q636" i="10"/>
  <c r="T636" i="10" s="1"/>
  <c r="Q635" i="10"/>
  <c r="K635" i="10" s="1"/>
  <c r="L635" i="10" s="1"/>
  <c r="Q630" i="10"/>
  <c r="U628" i="10"/>
  <c r="Q626" i="10"/>
  <c r="Q162" i="10"/>
  <c r="Q152" i="10"/>
  <c r="Q137" i="10"/>
  <c r="Q106" i="10"/>
  <c r="Q601" i="10"/>
  <c r="Q569" i="10"/>
  <c r="Q527" i="10"/>
  <c r="Q520" i="10"/>
  <c r="Q286" i="10"/>
  <c r="Q567" i="10"/>
  <c r="Q604" i="10"/>
  <c r="T604" i="10" s="1"/>
  <c r="U604" i="10" s="1"/>
  <c r="W604" i="10" s="1" a="1"/>
  <c r="W604" i="10" s="1"/>
  <c r="O607" i="10"/>
  <c r="P793" i="10"/>
  <c r="V172" i="10"/>
  <c r="Q822" i="10"/>
  <c r="Q821" i="10"/>
  <c r="Q819" i="10"/>
  <c r="Q806" i="10"/>
  <c r="Q805" i="10"/>
  <c r="Q803" i="10"/>
  <c r="U798" i="10"/>
  <c r="Q755" i="10"/>
  <c r="Q753" i="10"/>
  <c r="Q739" i="10"/>
  <c r="Q737" i="10"/>
  <c r="Q723" i="10"/>
  <c r="Q721" i="10"/>
  <c r="Q708" i="10"/>
  <c r="Q707" i="10"/>
  <c r="Q705" i="10"/>
  <c r="Q692" i="10"/>
  <c r="Q675" i="10"/>
  <c r="Q659" i="10"/>
  <c r="Q656" i="10"/>
  <c r="Q632" i="10"/>
  <c r="U631" i="10"/>
  <c r="Q629" i="10"/>
  <c r="U627" i="10"/>
  <c r="W627" i="10" s="1" a="1"/>
  <c r="W627" i="10" s="1"/>
  <c r="Q625" i="10"/>
  <c r="Q618" i="10"/>
  <c r="Q158" i="10"/>
  <c r="Q148" i="10"/>
  <c r="Q111" i="10"/>
  <c r="Q108" i="10"/>
  <c r="Q92" i="10"/>
  <c r="Q76" i="10"/>
  <c r="Q60" i="10"/>
  <c r="Q44" i="10"/>
  <c r="Q28" i="10"/>
  <c r="Q12" i="10"/>
  <c r="Q577" i="10"/>
  <c r="Q574" i="10"/>
  <c r="Q571" i="10"/>
  <c r="Q540" i="10"/>
  <c r="Q530" i="10"/>
  <c r="Q495" i="10"/>
  <c r="Q469" i="10"/>
  <c r="Q459" i="10"/>
  <c r="Q408" i="10"/>
  <c r="Q398" i="10"/>
  <c r="Q356" i="10"/>
  <c r="K356" i="10" s="1"/>
  <c r="L356" i="10" s="1"/>
  <c r="Q315" i="10"/>
  <c r="Q312" i="10"/>
  <c r="Q309" i="10"/>
  <c r="Q266" i="10"/>
  <c r="T217" i="10"/>
  <c r="U217" i="10" s="1"/>
  <c r="Q204" i="10"/>
  <c r="O590" i="10"/>
  <c r="Q817" i="10"/>
  <c r="Q801" i="10"/>
  <c r="Q772" i="10"/>
  <c r="Q751" i="10"/>
  <c r="Q735" i="10"/>
  <c r="Q719" i="10"/>
  <c r="Q703" i="10"/>
  <c r="Q701" i="10"/>
  <c r="Q687" i="10"/>
  <c r="Q686" i="10"/>
  <c r="Q684" i="10"/>
  <c r="Q671" i="10"/>
  <c r="Q670" i="10"/>
  <c r="Q668" i="10"/>
  <c r="Q655" i="10"/>
  <c r="Q654" i="10"/>
  <c r="Q652" i="10"/>
  <c r="Q647" i="10"/>
  <c r="K647" i="10" s="1"/>
  <c r="L647" i="10" s="1"/>
  <c r="Q644" i="10"/>
  <c r="Q638" i="10"/>
  <c r="K638" i="10" s="1"/>
  <c r="L638" i="10" s="1"/>
  <c r="U630" i="10"/>
  <c r="Q628" i="10"/>
  <c r="U626" i="10"/>
  <c r="Q622" i="10"/>
  <c r="Q621" i="10"/>
  <c r="K621" i="10" s="1"/>
  <c r="L621" i="10" s="1"/>
  <c r="Q617" i="10"/>
  <c r="Q616" i="10"/>
  <c r="Q614" i="10"/>
  <c r="Q157" i="10"/>
  <c r="Q154" i="10"/>
  <c r="Q144" i="10"/>
  <c r="Q143" i="10"/>
  <c r="Q141" i="10"/>
  <c r="Q133" i="10"/>
  <c r="Q125" i="10"/>
  <c r="Q114" i="10"/>
  <c r="Q595" i="10"/>
  <c r="Q547" i="10"/>
  <c r="Q514" i="10"/>
  <c r="Q504" i="10"/>
  <c r="Q482" i="10"/>
  <c r="Q476" i="10"/>
  <c r="Q472" i="10"/>
  <c r="Q421" i="10"/>
  <c r="Q415" i="10"/>
  <c r="Q411" i="10"/>
  <c r="Q364" i="10"/>
  <c r="Q281" i="10"/>
  <c r="K281" i="10" s="1"/>
  <c r="L281" i="10" s="1"/>
  <c r="Q129" i="10"/>
  <c r="Q121" i="10"/>
  <c r="Q113" i="10"/>
  <c r="Q105" i="10"/>
  <c r="Q99" i="10"/>
  <c r="Q91" i="10"/>
  <c r="Q83" i="10"/>
  <c r="Q75" i="10"/>
  <c r="Q67" i="10"/>
  <c r="Q59" i="10"/>
  <c r="Q51" i="10"/>
  <c r="Q43" i="10"/>
  <c r="Q35" i="10"/>
  <c r="Q27" i="10"/>
  <c r="Q19" i="10"/>
  <c r="Q11" i="10"/>
  <c r="Q597" i="10"/>
  <c r="Q600" i="10"/>
  <c r="K600" i="10" s="1"/>
  <c r="Q568" i="10"/>
  <c r="Q558" i="10"/>
  <c r="Q556" i="10"/>
  <c r="Q542" i="10"/>
  <c r="Q541" i="10"/>
  <c r="Q539" i="10"/>
  <c r="Q526" i="10"/>
  <c r="Q525" i="10"/>
  <c r="Q516" i="10"/>
  <c r="Q515" i="10"/>
  <c r="Q513" i="10"/>
  <c r="Q491" i="10"/>
  <c r="Q490" i="10"/>
  <c r="Q475" i="10"/>
  <c r="Q444" i="10"/>
  <c r="Q434" i="10"/>
  <c r="Q431" i="10"/>
  <c r="Q427" i="10"/>
  <c r="Q414" i="10"/>
  <c r="Q380" i="10"/>
  <c r="Q370" i="10"/>
  <c r="Q367" i="10"/>
  <c r="Q337" i="10"/>
  <c r="Q318" i="10"/>
  <c r="Q305" i="10"/>
  <c r="Q269" i="10"/>
  <c r="T248" i="10"/>
  <c r="U248" i="10" s="1"/>
  <c r="Q236" i="10"/>
  <c r="K236" i="10" s="1"/>
  <c r="L236" i="10" s="1"/>
  <c r="Q16" i="10"/>
  <c r="Q596" i="10"/>
  <c r="Q565" i="10"/>
  <c r="Q554" i="10"/>
  <c r="Q537" i="10"/>
  <c r="Q511" i="10"/>
  <c r="Q466" i="10"/>
  <c r="Q457" i="10"/>
  <c r="Q450" i="10"/>
  <c r="Q449" i="10"/>
  <c r="Q447" i="10"/>
  <c r="Q443" i="10"/>
  <c r="Q430" i="10"/>
  <c r="Q405" i="10"/>
  <c r="Q396" i="10"/>
  <c r="Q386" i="10"/>
  <c r="Q385" i="10"/>
  <c r="Q383" i="10"/>
  <c r="Q379" i="10"/>
  <c r="Q366" i="10"/>
  <c r="Q352" i="10"/>
  <c r="K352" i="10" s="1"/>
  <c r="L352" i="10" s="1"/>
  <c r="Q343" i="10"/>
  <c r="Q342" i="10"/>
  <c r="Q340" i="10"/>
  <c r="Q336" i="10"/>
  <c r="Q323" i="10"/>
  <c r="Q320" i="10"/>
  <c r="Q317" i="10"/>
  <c r="Q307" i="10"/>
  <c r="Q304" i="10"/>
  <c r="Q291" i="10"/>
  <c r="Q287" i="10"/>
  <c r="K287" i="10" s="1"/>
  <c r="L287" i="10" s="1"/>
  <c r="Q268" i="10"/>
  <c r="Q254" i="10"/>
  <c r="Q253" i="10"/>
  <c r="K253" i="10" s="1"/>
  <c r="L253" i="10" s="1"/>
  <c r="Q252" i="10"/>
  <c r="K252" i="10" s="1"/>
  <c r="L252" i="10" s="1"/>
  <c r="Q251" i="10"/>
  <c r="K251" i="10" s="1"/>
  <c r="L251" i="10" s="1"/>
  <c r="T242" i="10"/>
  <c r="U242" i="10" s="1"/>
  <c r="Q234" i="10"/>
  <c r="T229" i="10"/>
  <c r="U229" i="10" s="1"/>
  <c r="Q213" i="10"/>
  <c r="Q198" i="10"/>
  <c r="Q180" i="10"/>
  <c r="T180" i="10" s="1"/>
  <c r="Q179" i="10"/>
  <c r="K179" i="10" s="1"/>
  <c r="L179" i="10" s="1"/>
  <c r="Q241" i="10"/>
  <c r="K241" i="10" s="1"/>
  <c r="L241" i="10" s="1"/>
  <c r="Q215" i="10"/>
  <c r="Q211" i="10"/>
  <c r="Q200" i="10"/>
  <c r="Q191" i="10"/>
  <c r="Q183" i="10"/>
  <c r="Q486" i="10"/>
  <c r="Q484" i="10"/>
  <c r="Q471" i="10"/>
  <c r="Q470" i="10"/>
  <c r="Q468" i="10"/>
  <c r="Q455" i="10"/>
  <c r="Q454" i="10"/>
  <c r="Q452" i="10"/>
  <c r="Q442" i="10"/>
  <c r="Q441" i="10"/>
  <c r="Q439" i="10"/>
  <c r="Q426" i="10"/>
  <c r="Q425" i="10"/>
  <c r="Q423" i="10"/>
  <c r="Q410" i="10"/>
  <c r="Q409" i="10"/>
  <c r="Q407" i="10"/>
  <c r="Q394" i="10"/>
  <c r="Q393" i="10"/>
  <c r="Q391" i="10"/>
  <c r="Q378" i="10"/>
  <c r="Q377" i="10"/>
  <c r="Q375" i="10"/>
  <c r="Q362" i="10"/>
  <c r="Q361" i="10"/>
  <c r="Q351" i="10"/>
  <c r="Q350" i="10"/>
  <c r="Q348" i="10"/>
  <c r="Q335" i="10"/>
  <c r="Q334" i="10"/>
  <c r="Q332" i="10"/>
  <c r="Q324" i="10"/>
  <c r="Q316" i="10"/>
  <c r="Q308" i="10"/>
  <c r="Q300" i="10"/>
  <c r="Q288" i="10"/>
  <c r="Q276" i="10"/>
  <c r="K276" i="10" s="1"/>
  <c r="L276" i="10" s="1"/>
  <c r="Q274" i="10"/>
  <c r="K274" i="10" s="1"/>
  <c r="L274" i="10" s="1"/>
  <c r="Q272" i="10"/>
  <c r="K272" i="10" s="1"/>
  <c r="L272" i="10" s="1"/>
  <c r="Q267" i="10"/>
  <c r="Q263" i="10"/>
  <c r="K263" i="10" s="1"/>
  <c r="L263" i="10" s="1"/>
  <c r="Q260" i="10"/>
  <c r="K260" i="10" s="1"/>
  <c r="L260" i="10" s="1"/>
  <c r="Q256" i="10"/>
  <c r="Q255" i="10"/>
  <c r="K255" i="10" s="1"/>
  <c r="L255" i="10" s="1"/>
  <c r="Q233" i="10"/>
  <c r="Q224" i="10"/>
  <c r="Q220" i="10"/>
  <c r="Q219" i="10"/>
  <c r="K219" i="10" s="1"/>
  <c r="L219" i="10" s="1"/>
  <c r="Q208" i="10"/>
  <c r="Q178" i="10"/>
  <c r="U833" i="10"/>
  <c r="G839" i="10"/>
  <c r="R543" i="10"/>
  <c r="T543" i="10" s="1"/>
  <c r="U543" i="10" s="1"/>
  <c r="R822" i="10"/>
  <c r="R818" i="10"/>
  <c r="T818" i="10" s="1"/>
  <c r="U818" i="10" s="1"/>
  <c r="R814" i="10"/>
  <c r="R810" i="10"/>
  <c r="R806" i="10"/>
  <c r="R802" i="10"/>
  <c r="R797" i="10"/>
  <c r="R773" i="10"/>
  <c r="R769" i="10"/>
  <c r="R763" i="10"/>
  <c r="R759" i="10"/>
  <c r="T759" i="10" s="1"/>
  <c r="U759" i="10" s="1"/>
  <c r="R755" i="10"/>
  <c r="R751" i="10"/>
  <c r="R747" i="10"/>
  <c r="R743" i="10"/>
  <c r="T743" i="10" s="1"/>
  <c r="U743" i="10" s="1"/>
  <c r="R739" i="10"/>
  <c r="R735" i="10"/>
  <c r="R731" i="10"/>
  <c r="T731" i="10" s="1"/>
  <c r="U731" i="10" s="1"/>
  <c r="R727" i="10"/>
  <c r="R723" i="10"/>
  <c r="R719" i="10"/>
  <c r="T719" i="10" s="1"/>
  <c r="U719" i="10" s="1"/>
  <c r="R715" i="10"/>
  <c r="R669" i="10"/>
  <c r="T669" i="10" s="1"/>
  <c r="U669" i="10" s="1"/>
  <c r="R665" i="10"/>
  <c r="R661" i="10"/>
  <c r="R657" i="10"/>
  <c r="R653" i="10"/>
  <c r="R649" i="10"/>
  <c r="K622" i="10"/>
  <c r="T622" i="10"/>
  <c r="R546" i="10"/>
  <c r="T546" i="10" s="1"/>
  <c r="U546" i="10" s="1"/>
  <c r="R825" i="10"/>
  <c r="R821" i="10"/>
  <c r="R817" i="10"/>
  <c r="R813" i="10"/>
  <c r="T813" i="10" s="1"/>
  <c r="U813" i="10" s="1"/>
  <c r="R809" i="10"/>
  <c r="R805" i="10"/>
  <c r="T805" i="10" s="1"/>
  <c r="U805" i="10" s="1"/>
  <c r="R801" i="10"/>
  <c r="T801" i="10" s="1"/>
  <c r="U801" i="10" s="1"/>
  <c r="R772" i="10"/>
  <c r="R768" i="10"/>
  <c r="R762" i="10"/>
  <c r="T762" i="10" s="1"/>
  <c r="U762" i="10" s="1"/>
  <c r="R758" i="10"/>
  <c r="T758" i="10" s="1"/>
  <c r="U758" i="10" s="1"/>
  <c r="R754" i="10"/>
  <c r="R750" i="10"/>
  <c r="R746" i="10"/>
  <c r="T746" i="10" s="1"/>
  <c r="U746" i="10" s="1"/>
  <c r="R742" i="10"/>
  <c r="R738" i="10"/>
  <c r="R734" i="10"/>
  <c r="T734" i="10" s="1"/>
  <c r="U734" i="10" s="1"/>
  <c r="R730" i="10"/>
  <c r="T730" i="10" s="1"/>
  <c r="U730" i="10" s="1"/>
  <c r="R726" i="10"/>
  <c r="R722" i="10"/>
  <c r="R718" i="10"/>
  <c r="T718" i="10" s="1"/>
  <c r="U718" i="10" s="1"/>
  <c r="R714" i="10"/>
  <c r="T714" i="10" s="1"/>
  <c r="U714" i="10" s="1"/>
  <c r="R710" i="10"/>
  <c r="R706" i="10"/>
  <c r="R702" i="10"/>
  <c r="R698" i="10"/>
  <c r="T698" i="10" s="1"/>
  <c r="U698" i="10" s="1"/>
  <c r="R694" i="10"/>
  <c r="R690" i="10"/>
  <c r="R685" i="10"/>
  <c r="R681" i="10"/>
  <c r="T681" i="10" s="1"/>
  <c r="U681" i="10" s="1"/>
  <c r="R677" i="10"/>
  <c r="R673" i="10"/>
  <c r="L837" i="10"/>
  <c r="T545" i="10"/>
  <c r="U545" i="10" s="1"/>
  <c r="R824" i="10"/>
  <c r="R820" i="10"/>
  <c r="R816" i="10"/>
  <c r="T816" i="10" s="1"/>
  <c r="U816" i="10" s="1"/>
  <c r="R812" i="10"/>
  <c r="R808" i="10"/>
  <c r="T808" i="10" s="1"/>
  <c r="U808" i="10" s="1"/>
  <c r="R804" i="10"/>
  <c r="R800" i="10"/>
  <c r="R777" i="10"/>
  <c r="T777" i="10" s="1"/>
  <c r="U777" i="10" s="1"/>
  <c r="R771" i="10"/>
  <c r="K837" i="10"/>
  <c r="T544" i="10"/>
  <c r="U544" i="10" s="1"/>
  <c r="T176" i="10"/>
  <c r="R181" i="10"/>
  <c r="R185" i="10"/>
  <c r="R189" i="10"/>
  <c r="R197" i="10"/>
  <c r="R201" i="10"/>
  <c r="R205" i="10"/>
  <c r="R209" i="10"/>
  <c r="T209" i="10" s="1"/>
  <c r="U209" i="10" s="1"/>
  <c r="R213" i="10"/>
  <c r="R225" i="10"/>
  <c r="R177" i="10"/>
  <c r="R182" i="10"/>
  <c r="R186" i="10"/>
  <c r="T186" i="10" s="1"/>
  <c r="U186" i="10" s="1"/>
  <c r="R190" i="10"/>
  <c r="T190" i="10" s="1"/>
  <c r="U190" i="10" s="1"/>
  <c r="R178" i="10"/>
  <c r="R183" i="10"/>
  <c r="R187" i="10"/>
  <c r="T187" i="10" s="1"/>
  <c r="U187" i="10" s="1"/>
  <c r="R191" i="10"/>
  <c r="R195" i="10"/>
  <c r="R199" i="10"/>
  <c r="R203" i="10"/>
  <c r="R207" i="10"/>
  <c r="R211" i="10"/>
  <c r="R215" i="10"/>
  <c r="R227" i="10"/>
  <c r="R184" i="10"/>
  <c r="R188" i="10"/>
  <c r="R196" i="10"/>
  <c r="R200" i="10"/>
  <c r="R204" i="10"/>
  <c r="T204" i="10" s="1"/>
  <c r="U204" i="10" s="1"/>
  <c r="R208" i="10"/>
  <c r="R216" i="10"/>
  <c r="R220" i="10"/>
  <c r="R224" i="10"/>
  <c r="R232" i="10"/>
  <c r="R240" i="10"/>
  <c r="T240" i="10" s="1"/>
  <c r="U240" i="10" s="1"/>
  <c r="R244" i="10"/>
  <c r="R198" i="10"/>
  <c r="R206" i="10"/>
  <c r="R218" i="10"/>
  <c r="R235" i="10"/>
  <c r="R210" i="10"/>
  <c r="R231" i="10"/>
  <c r="R254" i="10"/>
  <c r="R258" i="10"/>
  <c r="T258" i="10" s="1"/>
  <c r="U258" i="10" s="1"/>
  <c r="R262" i="10"/>
  <c r="R267" i="10"/>
  <c r="R271" i="10"/>
  <c r="R275" i="10"/>
  <c r="R279" i="10"/>
  <c r="R291" i="10"/>
  <c r="R295" i="10"/>
  <c r="R299" i="10"/>
  <c r="T299" i="10" s="1"/>
  <c r="U299" i="10" s="1"/>
  <c r="R307" i="10"/>
  <c r="R194" i="10"/>
  <c r="R233" i="10"/>
  <c r="T233" i="10" s="1"/>
  <c r="U233" i="10" s="1"/>
  <c r="R237" i="10"/>
  <c r="R264" i="10"/>
  <c r="R268" i="10"/>
  <c r="R280" i="10"/>
  <c r="R284" i="10"/>
  <c r="R288" i="10"/>
  <c r="R296" i="10"/>
  <c r="R300" i="10"/>
  <c r="R304" i="10"/>
  <c r="R308" i="10"/>
  <c r="R312" i="10"/>
  <c r="T312" i="10" s="1"/>
  <c r="U312" i="10" s="1"/>
  <c r="R316" i="10"/>
  <c r="T316" i="10" s="1"/>
  <c r="U316" i="10" s="1"/>
  <c r="R320" i="10"/>
  <c r="R324" i="10"/>
  <c r="R328" i="10"/>
  <c r="R332" i="10"/>
  <c r="R273" i="10"/>
  <c r="T273" i="10" s="1"/>
  <c r="U273" i="10" s="1"/>
  <c r="R278" i="10"/>
  <c r="R239" i="10"/>
  <c r="R261" i="10"/>
  <c r="T261" i="10" s="1"/>
  <c r="U261" i="10" s="1"/>
  <c r="R265" i="10"/>
  <c r="R269" i="10"/>
  <c r="R285" i="10"/>
  <c r="R294" i="10"/>
  <c r="T294" i="10" s="1"/>
  <c r="U294" i="10" s="1"/>
  <c r="R309" i="10"/>
  <c r="R313" i="10"/>
  <c r="R317" i="10"/>
  <c r="R321" i="10"/>
  <c r="R329" i="10"/>
  <c r="R335" i="10"/>
  <c r="T335" i="10" s="1"/>
  <c r="U335" i="10" s="1"/>
  <c r="R339" i="10"/>
  <c r="R343" i="10"/>
  <c r="R347" i="10"/>
  <c r="R351" i="10"/>
  <c r="R355" i="10"/>
  <c r="R359" i="10"/>
  <c r="R363" i="10"/>
  <c r="R266" i="10"/>
  <c r="R286" i="10"/>
  <c r="R289" i="10"/>
  <c r="R301" i="10"/>
  <c r="T301" i="10" s="1"/>
  <c r="U301" i="10" s="1"/>
  <c r="R310" i="10"/>
  <c r="R314" i="10"/>
  <c r="T314" i="10" s="1"/>
  <c r="U314" i="10" s="1"/>
  <c r="R318" i="10"/>
  <c r="R322" i="10"/>
  <c r="S325" i="10"/>
  <c r="R326" i="10"/>
  <c r="R330" i="10"/>
  <c r="T330" i="10" s="1"/>
  <c r="U330" i="10" s="1"/>
  <c r="R336" i="10"/>
  <c r="R340" i="10"/>
  <c r="T340" i="10" s="1"/>
  <c r="U340" i="10" s="1"/>
  <c r="R344" i="10"/>
  <c r="R348" i="10"/>
  <c r="R277" i="10"/>
  <c r="T277" i="10" s="1"/>
  <c r="U277" i="10" s="1"/>
  <c r="R290" i="10"/>
  <c r="R360" i="10"/>
  <c r="R364" i="10"/>
  <c r="T364" i="10" s="1"/>
  <c r="U364" i="10" s="1"/>
  <c r="R368" i="10"/>
  <c r="T368" i="10" s="1"/>
  <c r="U368" i="10" s="1"/>
  <c r="R372" i="10"/>
  <c r="R376" i="10"/>
  <c r="T376" i="10" s="1"/>
  <c r="U376" i="10" s="1"/>
  <c r="R380" i="10"/>
  <c r="R384" i="10"/>
  <c r="T384" i="10" s="1"/>
  <c r="U384" i="10" s="1"/>
  <c r="R388" i="10"/>
  <c r="R392" i="10"/>
  <c r="R396" i="10"/>
  <c r="R400" i="10"/>
  <c r="T400" i="10" s="1"/>
  <c r="U400" i="10" s="1"/>
  <c r="R404" i="10"/>
  <c r="R408" i="10"/>
  <c r="R412" i="10"/>
  <c r="R416" i="10"/>
  <c r="R420" i="10"/>
  <c r="R424" i="10"/>
  <c r="R428" i="10"/>
  <c r="T428" i="10" s="1"/>
  <c r="U428" i="10" s="1"/>
  <c r="R432" i="10"/>
  <c r="R436" i="10"/>
  <c r="T436" i="10" s="1"/>
  <c r="U436" i="10" s="1"/>
  <c r="R440" i="10"/>
  <c r="R298" i="10"/>
  <c r="T298" i="10" s="1"/>
  <c r="U298" i="10" s="1"/>
  <c r="R305" i="10"/>
  <c r="T305" i="10" s="1"/>
  <c r="U305" i="10" s="1"/>
  <c r="R311" i="10"/>
  <c r="R315" i="10"/>
  <c r="R319" i="10"/>
  <c r="R323" i="10"/>
  <c r="R327" i="10"/>
  <c r="T327" i="10" s="1"/>
  <c r="U327" i="10" s="1"/>
  <c r="R331" i="10"/>
  <c r="R357" i="10"/>
  <c r="T357" i="10" s="1"/>
  <c r="U357" i="10" s="1"/>
  <c r="R361" i="10"/>
  <c r="T361" i="10" s="1"/>
  <c r="U361" i="10" s="1"/>
  <c r="R365" i="10"/>
  <c r="T365" i="10" s="1"/>
  <c r="U365" i="10" s="1"/>
  <c r="R369" i="10"/>
  <c r="T369" i="10" s="1"/>
  <c r="U369" i="10" s="1"/>
  <c r="R373" i="10"/>
  <c r="T373" i="10" s="1"/>
  <c r="U373" i="10" s="1"/>
  <c r="R377" i="10"/>
  <c r="R381" i="10"/>
  <c r="R385" i="10"/>
  <c r="T385" i="10" s="1"/>
  <c r="U385" i="10" s="1"/>
  <c r="R389" i="10"/>
  <c r="R393" i="10"/>
  <c r="T393" i="10" s="1"/>
  <c r="U393" i="10" s="1"/>
  <c r="R397" i="10"/>
  <c r="R401" i="10"/>
  <c r="R405" i="10"/>
  <c r="R409" i="10"/>
  <c r="R413" i="10"/>
  <c r="R417" i="10"/>
  <c r="R421" i="10"/>
  <c r="T421" i="10" s="1"/>
  <c r="U421" i="10" s="1"/>
  <c r="R425" i="10"/>
  <c r="T425" i="10" s="1"/>
  <c r="U425" i="10" s="1"/>
  <c r="R429" i="10"/>
  <c r="R433" i="10"/>
  <c r="R437" i="10"/>
  <c r="T437" i="10" s="1"/>
  <c r="U437" i="10" s="1"/>
  <c r="R441" i="10"/>
  <c r="R445" i="10"/>
  <c r="R449" i="10"/>
  <c r="R454" i="10"/>
  <c r="R458" i="10"/>
  <c r="T458" i="10" s="1"/>
  <c r="U458" i="10" s="1"/>
  <c r="R462" i="10"/>
  <c r="R466" i="10"/>
  <c r="R470" i="10"/>
  <c r="R474" i="10"/>
  <c r="T474" i="10" s="1"/>
  <c r="U474" i="10" s="1"/>
  <c r="R478" i="10"/>
  <c r="R482" i="10"/>
  <c r="R486" i="10"/>
  <c r="T486" i="10" s="1"/>
  <c r="U486" i="10" s="1"/>
  <c r="R490" i="10"/>
  <c r="T490" i="10" s="1"/>
  <c r="U490" i="10" s="1"/>
  <c r="R494" i="10"/>
  <c r="R498" i="10"/>
  <c r="R302" i="10"/>
  <c r="T302" i="10" s="1"/>
  <c r="U302" i="10" s="1"/>
  <c r="R306" i="10"/>
  <c r="T306" i="10" s="1"/>
  <c r="U306" i="10" s="1"/>
  <c r="R333" i="10"/>
  <c r="T333" i="10" s="1"/>
  <c r="U333" i="10" s="1"/>
  <c r="R337" i="10"/>
  <c r="R341" i="10"/>
  <c r="T341" i="10" s="1"/>
  <c r="U341" i="10" s="1"/>
  <c r="R345" i="10"/>
  <c r="T345" i="10" s="1"/>
  <c r="U345" i="10" s="1"/>
  <c r="R349" i="10"/>
  <c r="R358" i="10"/>
  <c r="R362" i="10"/>
  <c r="R366" i="10"/>
  <c r="R370" i="10"/>
  <c r="T370" i="10" s="1"/>
  <c r="U370" i="10" s="1"/>
  <c r="R374" i="10"/>
  <c r="T374" i="10" s="1"/>
  <c r="U374" i="10" s="1"/>
  <c r="R378" i="10"/>
  <c r="T378" i="10" s="1"/>
  <c r="U378" i="10" s="1"/>
  <c r="R382" i="10"/>
  <c r="T382" i="10" s="1"/>
  <c r="U382" i="10" s="1"/>
  <c r="R386" i="10"/>
  <c r="R390" i="10"/>
  <c r="R394" i="10"/>
  <c r="R398" i="10"/>
  <c r="T398" i="10" s="1"/>
  <c r="U398" i="10" s="1"/>
  <c r="R402" i="10"/>
  <c r="R406" i="10"/>
  <c r="R410" i="10"/>
  <c r="R414" i="10"/>
  <c r="R418" i="10"/>
  <c r="R422" i="10"/>
  <c r="R426" i="10"/>
  <c r="R430" i="10"/>
  <c r="R434" i="10"/>
  <c r="R438" i="10"/>
  <c r="R442" i="10"/>
  <c r="T442" i="10" s="1"/>
  <c r="U442" i="10" s="1"/>
  <c r="R446" i="10"/>
  <c r="R450" i="10"/>
  <c r="R455" i="10"/>
  <c r="R459" i="10"/>
  <c r="R463" i="10"/>
  <c r="T463" i="10" s="1"/>
  <c r="U463" i="10" s="1"/>
  <c r="R467" i="10"/>
  <c r="R471" i="10"/>
  <c r="R475" i="10"/>
  <c r="R479" i="10"/>
  <c r="T479" i="10" s="1"/>
  <c r="U479" i="10" s="1"/>
  <c r="R483" i="10"/>
  <c r="R487" i="10"/>
  <c r="R334" i="10"/>
  <c r="R338" i="10"/>
  <c r="T338" i="10" s="1"/>
  <c r="U338" i="10" s="1"/>
  <c r="R342" i="10"/>
  <c r="R346" i="10"/>
  <c r="R350" i="10"/>
  <c r="R367" i="10"/>
  <c r="R371" i="10"/>
  <c r="T371" i="10" s="1"/>
  <c r="U371" i="10" s="1"/>
  <c r="R375" i="10"/>
  <c r="R379" i="10"/>
  <c r="R383" i="10"/>
  <c r="R387" i="10"/>
  <c r="R391" i="10"/>
  <c r="R395" i="10"/>
  <c r="R399" i="10"/>
  <c r="R403" i="10"/>
  <c r="R407" i="10"/>
  <c r="T407" i="10" s="1"/>
  <c r="U407" i="10" s="1"/>
  <c r="R411" i="10"/>
  <c r="R415" i="10"/>
  <c r="R419" i="10"/>
  <c r="R423" i="10"/>
  <c r="R427" i="10"/>
  <c r="R431" i="10"/>
  <c r="T431" i="10" s="1"/>
  <c r="U431" i="10" s="1"/>
  <c r="R435" i="10"/>
  <c r="R439" i="10"/>
  <c r="R443" i="10"/>
  <c r="R447" i="10"/>
  <c r="R451" i="10"/>
  <c r="R452" i="10"/>
  <c r="R456" i="10"/>
  <c r="R460" i="10"/>
  <c r="T460" i="10" s="1"/>
  <c r="U460" i="10" s="1"/>
  <c r="R464" i="10"/>
  <c r="R468" i="10"/>
  <c r="T468" i="10" s="1"/>
  <c r="U468" i="10" s="1"/>
  <c r="R472" i="10"/>
  <c r="T472" i="10" s="1"/>
  <c r="U472" i="10" s="1"/>
  <c r="R476" i="10"/>
  <c r="R480" i="10"/>
  <c r="R484" i="10"/>
  <c r="R488" i="10"/>
  <c r="R492" i="10"/>
  <c r="R496" i="10"/>
  <c r="R500" i="10"/>
  <c r="R505" i="10"/>
  <c r="R509" i="10"/>
  <c r="T509" i="10" s="1"/>
  <c r="U509" i="10" s="1"/>
  <c r="R513" i="10"/>
  <c r="R517" i="10"/>
  <c r="R521" i="10"/>
  <c r="T521" i="10" s="1"/>
  <c r="U521" i="10" s="1"/>
  <c r="R522" i="10"/>
  <c r="R527" i="10"/>
  <c r="R531" i="10"/>
  <c r="R535" i="10"/>
  <c r="R539" i="10"/>
  <c r="R547" i="10"/>
  <c r="R552" i="10"/>
  <c r="R556" i="10"/>
  <c r="R563" i="10"/>
  <c r="R568" i="10"/>
  <c r="T568" i="10" s="1"/>
  <c r="U568" i="10" s="1"/>
  <c r="R572" i="10"/>
  <c r="R444" i="10"/>
  <c r="R448" i="10"/>
  <c r="T448" i="10" s="1"/>
  <c r="U448" i="10" s="1"/>
  <c r="R503" i="10"/>
  <c r="R507" i="10"/>
  <c r="T507" i="10" s="1"/>
  <c r="U507" i="10" s="1"/>
  <c r="R511" i="10"/>
  <c r="R515" i="10"/>
  <c r="R519" i="10"/>
  <c r="R524" i="10"/>
  <c r="T524" i="10" s="1"/>
  <c r="U524" i="10" s="1"/>
  <c r="R525" i="10"/>
  <c r="R529" i="10"/>
  <c r="R533" i="10"/>
  <c r="R537" i="10"/>
  <c r="T537" i="10" s="1"/>
  <c r="U537" i="10" s="1"/>
  <c r="R541" i="10"/>
  <c r="T541" i="10" s="1"/>
  <c r="U541" i="10" s="1"/>
  <c r="R549" i="10"/>
  <c r="R554" i="10"/>
  <c r="R558" i="10"/>
  <c r="R565" i="10"/>
  <c r="R453" i="10"/>
  <c r="R457" i="10"/>
  <c r="R461" i="10"/>
  <c r="T461" i="10" s="1"/>
  <c r="U461" i="10" s="1"/>
  <c r="R465" i="10"/>
  <c r="T465" i="10" s="1"/>
  <c r="U465" i="10" s="1"/>
  <c r="R469" i="10"/>
  <c r="R473" i="10"/>
  <c r="R477" i="10"/>
  <c r="R481" i="10"/>
  <c r="T481" i="10" s="1"/>
  <c r="U481" i="10" s="1"/>
  <c r="R485" i="10"/>
  <c r="T485" i="10" s="1"/>
  <c r="U485" i="10" s="1"/>
  <c r="R491" i="10"/>
  <c r="R495" i="10"/>
  <c r="R499" i="10"/>
  <c r="T499" i="10" s="1"/>
  <c r="U499" i="10" s="1"/>
  <c r="R504" i="10"/>
  <c r="T504" i="10" s="1"/>
  <c r="U504" i="10" s="1"/>
  <c r="R508" i="10"/>
  <c r="R512" i="10"/>
  <c r="T512" i="10" s="1"/>
  <c r="U512" i="10" s="1"/>
  <c r="R516" i="10"/>
  <c r="T516" i="10" s="1"/>
  <c r="U516" i="10" s="1"/>
  <c r="R520" i="10"/>
  <c r="T520" i="10" s="1"/>
  <c r="U520" i="10" s="1"/>
  <c r="R526" i="10"/>
  <c r="R530" i="10"/>
  <c r="R534" i="10"/>
  <c r="R538" i="10"/>
  <c r="T538" i="10" s="1"/>
  <c r="U538" i="10" s="1"/>
  <c r="R542" i="10"/>
  <c r="R550" i="10"/>
  <c r="T550" i="10" s="1"/>
  <c r="U550" i="10" s="1"/>
  <c r="R551" i="10"/>
  <c r="R555" i="10"/>
  <c r="T555" i="10" s="1"/>
  <c r="U555" i="10" s="1"/>
  <c r="R559" i="10"/>
  <c r="T559" i="10" s="1"/>
  <c r="U559" i="10" s="1"/>
  <c r="R560" i="10"/>
  <c r="T560" i="10" s="1"/>
  <c r="U560" i="10" s="1"/>
  <c r="R561" i="10"/>
  <c r="T561" i="10" s="1"/>
  <c r="U561" i="10" s="1"/>
  <c r="R566" i="10"/>
  <c r="T566" i="10" s="1"/>
  <c r="U566" i="10" s="1"/>
  <c r="R571" i="10"/>
  <c r="R575" i="10"/>
  <c r="R570" i="10"/>
  <c r="T570" i="10" s="1"/>
  <c r="U570" i="10" s="1"/>
  <c r="R573" i="10"/>
  <c r="T573" i="10" s="1"/>
  <c r="U573" i="10" s="1"/>
  <c r="R577" i="10"/>
  <c r="R595" i="10"/>
  <c r="R599" i="10"/>
  <c r="T599" i="10" s="1"/>
  <c r="U599" i="10" s="1"/>
  <c r="S9" i="10"/>
  <c r="T9" i="10" s="1"/>
  <c r="U9" i="10" s="1"/>
  <c r="S13" i="10"/>
  <c r="S17" i="10"/>
  <c r="S21" i="10"/>
  <c r="T21" i="10" s="1"/>
  <c r="U21" i="10" s="1"/>
  <c r="S25" i="10"/>
  <c r="S29" i="10"/>
  <c r="S33" i="10"/>
  <c r="T33" i="10" s="1"/>
  <c r="U33" i="10" s="1"/>
  <c r="S37" i="10"/>
  <c r="S41" i="10"/>
  <c r="S45" i="10"/>
  <c r="S49" i="10"/>
  <c r="S53" i="10"/>
  <c r="T53" i="10" s="1"/>
  <c r="U53" i="10" s="1"/>
  <c r="S57" i="10"/>
  <c r="S61" i="10"/>
  <c r="S65" i="10"/>
  <c r="S69" i="10"/>
  <c r="S73" i="10"/>
  <c r="T73" i="10" s="1"/>
  <c r="U73" i="10" s="1"/>
  <c r="S77" i="10"/>
  <c r="S81" i="10"/>
  <c r="S85" i="10"/>
  <c r="T85" i="10" s="1"/>
  <c r="U85" i="10" s="1"/>
  <c r="R489" i="10"/>
  <c r="R497" i="10"/>
  <c r="T497" i="10" s="1"/>
  <c r="U497" i="10" s="1"/>
  <c r="R528" i="10"/>
  <c r="R532" i="10"/>
  <c r="T532" i="10" s="1"/>
  <c r="U532" i="10" s="1"/>
  <c r="R536" i="10"/>
  <c r="R540" i="10"/>
  <c r="R548" i="10"/>
  <c r="R574" i="10"/>
  <c r="T574" i="10" s="1"/>
  <c r="U574" i="10" s="1"/>
  <c r="R596" i="10"/>
  <c r="R601" i="10"/>
  <c r="S10" i="10"/>
  <c r="S14" i="10"/>
  <c r="T14" i="10" s="1"/>
  <c r="U14" i="10" s="1"/>
  <c r="S18" i="10"/>
  <c r="S22" i="10"/>
  <c r="S26" i="10"/>
  <c r="S30" i="10"/>
  <c r="T30" i="10" s="1"/>
  <c r="U30" i="10" s="1"/>
  <c r="S34" i="10"/>
  <c r="T34" i="10" s="1"/>
  <c r="U34" i="10" s="1"/>
  <c r="S38" i="10"/>
  <c r="T38" i="10" s="1"/>
  <c r="U38" i="10" s="1"/>
  <c r="S42" i="10"/>
  <c r="S46" i="10"/>
  <c r="S50" i="10"/>
  <c r="S54" i="10"/>
  <c r="T54" i="10" s="1"/>
  <c r="U54" i="10" s="1"/>
  <c r="S58" i="10"/>
  <c r="S62" i="10"/>
  <c r="T62" i="10" s="1"/>
  <c r="U62" i="10" s="1"/>
  <c r="S66" i="10"/>
  <c r="T66" i="10" s="1"/>
  <c r="U66" i="10" s="1"/>
  <c r="S70" i="10"/>
  <c r="S74" i="10"/>
  <c r="S78" i="10"/>
  <c r="T78" i="10" s="1"/>
  <c r="U78" i="10" s="1"/>
  <c r="S82" i="10"/>
  <c r="S86" i="10"/>
  <c r="S90" i="10"/>
  <c r="S94" i="10"/>
  <c r="T94" i="10" s="1"/>
  <c r="U94" i="10" s="1"/>
  <c r="S98" i="10"/>
  <c r="S102" i="10"/>
  <c r="T102" i="10" s="1"/>
  <c r="U102" i="10" s="1"/>
  <c r="S107" i="10"/>
  <c r="S111" i="10"/>
  <c r="T111" i="10" s="1"/>
  <c r="U111" i="10" s="1"/>
  <c r="S115" i="10"/>
  <c r="T115" i="10" s="1"/>
  <c r="U115" i="10" s="1"/>
  <c r="S119" i="10"/>
  <c r="S123" i="10"/>
  <c r="S127" i="10"/>
  <c r="T127" i="10" s="1"/>
  <c r="U127" i="10" s="1"/>
  <c r="S131" i="10"/>
  <c r="S135" i="10"/>
  <c r="T135" i="10" s="1"/>
  <c r="U135" i="10" s="1"/>
  <c r="S139" i="10"/>
  <c r="T139" i="10" s="1"/>
  <c r="U139" i="10" s="1"/>
  <c r="S143" i="10"/>
  <c r="T143" i="10" s="1"/>
  <c r="U143" i="10" s="1"/>
  <c r="R502" i="10"/>
  <c r="T502" i="10" s="1"/>
  <c r="U502" i="10" s="1"/>
  <c r="R506" i="10"/>
  <c r="T506" i="10" s="1"/>
  <c r="U506" i="10" s="1"/>
  <c r="R510" i="10"/>
  <c r="T510" i="10" s="1"/>
  <c r="U510" i="10" s="1"/>
  <c r="R514" i="10"/>
  <c r="T514" i="10" s="1"/>
  <c r="U514" i="10" s="1"/>
  <c r="R518" i="10"/>
  <c r="R597" i="10"/>
  <c r="R602" i="10"/>
  <c r="S8" i="10"/>
  <c r="S11" i="10"/>
  <c r="S15" i="10"/>
  <c r="S19" i="10"/>
  <c r="T19" i="10" s="1"/>
  <c r="U19" i="10" s="1"/>
  <c r="S23" i="10"/>
  <c r="T23" i="10" s="1"/>
  <c r="U23" i="10" s="1"/>
  <c r="S27" i="10"/>
  <c r="S31" i="10"/>
  <c r="S35" i="10"/>
  <c r="S39" i="10"/>
  <c r="S43" i="10"/>
  <c r="S47" i="10"/>
  <c r="S51" i="10"/>
  <c r="T51" i="10" s="1"/>
  <c r="U51" i="10" s="1"/>
  <c r="S55" i="10"/>
  <c r="T55" i="10" s="1"/>
  <c r="U55" i="10" s="1"/>
  <c r="S59" i="10"/>
  <c r="S63" i="10"/>
  <c r="S67" i="10"/>
  <c r="S71" i="10"/>
  <c r="T71" i="10" s="1"/>
  <c r="U71" i="10" s="1"/>
  <c r="S75" i="10"/>
  <c r="S79" i="10"/>
  <c r="S83" i="10"/>
  <c r="T83" i="10" s="1"/>
  <c r="U83" i="10" s="1"/>
  <c r="S87" i="10"/>
  <c r="S91" i="10"/>
  <c r="S95" i="10"/>
  <c r="S99" i="10"/>
  <c r="S103" i="10"/>
  <c r="S104" i="10"/>
  <c r="S108" i="10"/>
  <c r="S112" i="10"/>
  <c r="S116" i="10"/>
  <c r="T116" i="10" s="1"/>
  <c r="U116" i="10" s="1"/>
  <c r="S120" i="10"/>
  <c r="S124" i="10"/>
  <c r="S128" i="10"/>
  <c r="S132" i="10"/>
  <c r="S136" i="10"/>
  <c r="S140" i="10"/>
  <c r="S144" i="10"/>
  <c r="S148" i="10"/>
  <c r="S152" i="10"/>
  <c r="R493" i="10"/>
  <c r="R501" i="10"/>
  <c r="R523" i="10"/>
  <c r="T523" i="10" s="1"/>
  <c r="U523" i="10" s="1"/>
  <c r="R553" i="10"/>
  <c r="T553" i="10" s="1"/>
  <c r="U553" i="10" s="1"/>
  <c r="R557" i="10"/>
  <c r="R564" i="10"/>
  <c r="R569" i="10"/>
  <c r="R576" i="10"/>
  <c r="R594" i="10"/>
  <c r="R598" i="10"/>
  <c r="R603" i="10"/>
  <c r="T603" i="10" s="1"/>
  <c r="U603" i="10" s="1"/>
  <c r="S12" i="10"/>
  <c r="T12" i="10" s="1"/>
  <c r="U12" i="10" s="1"/>
  <c r="S16" i="10"/>
  <c r="S20" i="10"/>
  <c r="S24" i="10"/>
  <c r="T24" i="10" s="1"/>
  <c r="U24" i="10" s="1"/>
  <c r="S28" i="10"/>
  <c r="S32" i="10"/>
  <c r="T32" i="10" s="1"/>
  <c r="U32" i="10" s="1"/>
  <c r="S36" i="10"/>
  <c r="S40" i="10"/>
  <c r="S44" i="10"/>
  <c r="T44" i="10" s="1"/>
  <c r="U44" i="10" s="1"/>
  <c r="S48" i="10"/>
  <c r="S52" i="10"/>
  <c r="T52" i="10" s="1"/>
  <c r="U52" i="10" s="1"/>
  <c r="S56" i="10"/>
  <c r="T56" i="10" s="1"/>
  <c r="U56" i="10" s="1"/>
  <c r="S60" i="10"/>
  <c r="S64" i="10"/>
  <c r="S68" i="10"/>
  <c r="S72" i="10"/>
  <c r="S76" i="10"/>
  <c r="T76" i="10" s="1"/>
  <c r="U76" i="10" s="1"/>
  <c r="S80" i="10"/>
  <c r="S84" i="10"/>
  <c r="S88" i="10"/>
  <c r="T88" i="10" s="1"/>
  <c r="U88" i="10" s="1"/>
  <c r="S92" i="10"/>
  <c r="S96" i="10"/>
  <c r="S100" i="10"/>
  <c r="S105" i="10"/>
  <c r="S109" i="10"/>
  <c r="S113" i="10"/>
  <c r="T113" i="10" s="1"/>
  <c r="U113" i="10" s="1"/>
  <c r="S117" i="10"/>
  <c r="S121" i="10"/>
  <c r="S125" i="10"/>
  <c r="S129" i="10"/>
  <c r="S133" i="10"/>
  <c r="S137" i="10"/>
  <c r="S97" i="10"/>
  <c r="T97" i="10" s="1"/>
  <c r="U97" i="10" s="1"/>
  <c r="S106" i="10"/>
  <c r="S122" i="10"/>
  <c r="S138" i="10"/>
  <c r="T138" i="10" s="1"/>
  <c r="U138" i="10" s="1"/>
  <c r="S141" i="10"/>
  <c r="S146" i="10"/>
  <c r="S150" i="10"/>
  <c r="S156" i="10"/>
  <c r="S160" i="10"/>
  <c r="S164" i="10"/>
  <c r="R612" i="10"/>
  <c r="R616" i="10"/>
  <c r="T616" i="10" s="1"/>
  <c r="U616" i="10" s="1"/>
  <c r="R624" i="10"/>
  <c r="R642" i="10"/>
  <c r="R650" i="10"/>
  <c r="R654" i="10"/>
  <c r="T654" i="10" s="1"/>
  <c r="U654" i="10" s="1"/>
  <c r="R658" i="10"/>
  <c r="R662" i="10"/>
  <c r="R666" i="10"/>
  <c r="R670" i="10"/>
  <c r="T670" i="10" s="1"/>
  <c r="U670" i="10" s="1"/>
  <c r="R674" i="10"/>
  <c r="R678" i="10"/>
  <c r="R682" i="10"/>
  <c r="R686" i="10"/>
  <c r="R691" i="10"/>
  <c r="R695" i="10"/>
  <c r="R699" i="10"/>
  <c r="R703" i="10"/>
  <c r="R707" i="10"/>
  <c r="R711" i="10"/>
  <c r="S101" i="10"/>
  <c r="S110" i="10"/>
  <c r="T110" i="10" s="1"/>
  <c r="U110" i="10" s="1"/>
  <c r="S126" i="10"/>
  <c r="S145" i="10"/>
  <c r="S147" i="10"/>
  <c r="S149" i="10"/>
  <c r="S151" i="10"/>
  <c r="S153" i="10"/>
  <c r="S157" i="10"/>
  <c r="S161" i="10"/>
  <c r="S165" i="10"/>
  <c r="R613" i="10"/>
  <c r="R617" i="10"/>
  <c r="R625" i="10"/>
  <c r="T625" i="10" s="1"/>
  <c r="U625" i="10" s="1"/>
  <c r="R639" i="10"/>
  <c r="R643" i="10"/>
  <c r="R651" i="10"/>
  <c r="R655" i="10"/>
  <c r="R659" i="10"/>
  <c r="R663" i="10"/>
  <c r="R667" i="10"/>
  <c r="R671" i="10"/>
  <c r="T671" i="10" s="1"/>
  <c r="U671" i="10" s="1"/>
  <c r="R675" i="10"/>
  <c r="R679" i="10"/>
  <c r="R683" i="10"/>
  <c r="R687" i="10"/>
  <c r="T687" i="10" s="1"/>
  <c r="U687" i="10" s="1"/>
  <c r="R692" i="10"/>
  <c r="T692" i="10" s="1"/>
  <c r="U692" i="10" s="1"/>
  <c r="R696" i="10"/>
  <c r="R700" i="10"/>
  <c r="R704" i="10"/>
  <c r="R708" i="10"/>
  <c r="R712" i="10"/>
  <c r="R716" i="10"/>
  <c r="R720" i="10"/>
  <c r="R724" i="10"/>
  <c r="R728" i="10"/>
  <c r="R732" i="10"/>
  <c r="R736" i="10"/>
  <c r="R740" i="10"/>
  <c r="R744" i="10"/>
  <c r="R748" i="10"/>
  <c r="R752" i="10"/>
  <c r="R756" i="10"/>
  <c r="R760" i="10"/>
  <c r="R764" i="10"/>
  <c r="S89" i="10"/>
  <c r="T89" i="10" s="1"/>
  <c r="U89" i="10" s="1"/>
  <c r="S114" i="10"/>
  <c r="T114" i="10" s="1"/>
  <c r="U114" i="10" s="1"/>
  <c r="S130" i="10"/>
  <c r="S154" i="10"/>
  <c r="S158" i="10"/>
  <c r="S162" i="10"/>
  <c r="S166" i="10"/>
  <c r="R614" i="10"/>
  <c r="R618" i="10"/>
  <c r="T618" i="10" s="1"/>
  <c r="U618" i="10" s="1"/>
  <c r="R626" i="10"/>
  <c r="R627" i="10"/>
  <c r="R628" i="10"/>
  <c r="R629" i="10"/>
  <c r="R630" i="10"/>
  <c r="R631" i="10"/>
  <c r="R640" i="10"/>
  <c r="R644" i="10"/>
  <c r="R648" i="10"/>
  <c r="R652" i="10"/>
  <c r="R656" i="10"/>
  <c r="R660" i="10"/>
  <c r="T660" i="10" s="1"/>
  <c r="U660" i="10" s="1"/>
  <c r="R664" i="10"/>
  <c r="T664" i="10" s="1"/>
  <c r="U664" i="10" s="1"/>
  <c r="R668" i="10"/>
  <c r="R676" i="10"/>
  <c r="R680" i="10"/>
  <c r="T680" i="10" s="1"/>
  <c r="U680" i="10" s="1"/>
  <c r="R684" i="10"/>
  <c r="R693" i="10"/>
  <c r="R697" i="10"/>
  <c r="R701" i="10"/>
  <c r="T701" i="10" s="1"/>
  <c r="U701" i="10" s="1"/>
  <c r="R705" i="10"/>
  <c r="R709" i="10"/>
  <c r="R713" i="10"/>
  <c r="R717" i="10"/>
  <c r="T717" i="10" s="1"/>
  <c r="U717" i="10" s="1"/>
  <c r="R721" i="10"/>
  <c r="T721" i="10" s="1"/>
  <c r="U721" i="10" s="1"/>
  <c r="R725" i="10"/>
  <c r="R729" i="10"/>
  <c r="R733" i="10"/>
  <c r="T733" i="10" s="1"/>
  <c r="U733" i="10" s="1"/>
  <c r="R737" i="10"/>
  <c r="R741" i="10"/>
  <c r="R745" i="10"/>
  <c r="T745" i="10" s="1"/>
  <c r="U745" i="10" s="1"/>
  <c r="R749" i="10"/>
  <c r="T749" i="10" s="1"/>
  <c r="U749" i="10" s="1"/>
  <c r="R753" i="10"/>
  <c r="T753" i="10" s="1"/>
  <c r="U753" i="10" s="1"/>
  <c r="R757" i="10"/>
  <c r="R761" i="10"/>
  <c r="R765" i="10"/>
  <c r="T765" i="10" s="1"/>
  <c r="U765" i="10" s="1"/>
  <c r="S93" i="10"/>
  <c r="S118" i="10"/>
  <c r="S134" i="10"/>
  <c r="S142" i="10"/>
  <c r="S155" i="10"/>
  <c r="S159" i="10"/>
  <c r="S163" i="10"/>
  <c r="R611" i="10"/>
  <c r="R615" i="10"/>
  <c r="T615" i="10" s="1"/>
  <c r="U615" i="10" s="1"/>
  <c r="R641" i="10"/>
  <c r="T641" i="10" s="1"/>
  <c r="U641" i="10" s="1"/>
  <c r="R645" i="10"/>
  <c r="R823" i="10"/>
  <c r="T823" i="10" s="1"/>
  <c r="U823" i="10" s="1"/>
  <c r="R819" i="10"/>
  <c r="R815" i="10"/>
  <c r="R811" i="10"/>
  <c r="R807" i="10"/>
  <c r="T807" i="10" s="1"/>
  <c r="U807" i="10" s="1"/>
  <c r="R803" i="10"/>
  <c r="R799" i="10"/>
  <c r="R798" i="10"/>
  <c r="R776" i="10"/>
  <c r="T776" i="10" s="1"/>
  <c r="U776" i="10" s="1"/>
  <c r="R775" i="10"/>
  <c r="T775" i="10" s="1"/>
  <c r="U775" i="10" s="1"/>
  <c r="R774" i="10"/>
  <c r="T774" i="10" s="1"/>
  <c r="U774" i="10" s="1"/>
  <c r="R770" i="10"/>
  <c r="R766" i="10"/>
  <c r="T766" i="10" s="1"/>
  <c r="U766" i="10" s="1"/>
  <c r="Q764" i="10"/>
  <c r="Q760" i="10"/>
  <c r="Q756" i="10"/>
  <c r="Q752" i="10"/>
  <c r="Q748" i="10"/>
  <c r="Q744" i="10"/>
  <c r="Q740" i="10"/>
  <c r="Q736" i="10"/>
  <c r="Q732" i="10"/>
  <c r="Q728" i="10"/>
  <c r="Q724" i="10"/>
  <c r="Q720" i="10"/>
  <c r="Q716" i="10"/>
  <c r="Q712" i="10"/>
  <c r="K632" i="10"/>
  <c r="L632" i="10" s="1"/>
  <c r="T632" i="10"/>
  <c r="Q149" i="10"/>
  <c r="Q145" i="10"/>
  <c r="Q136" i="10"/>
  <c r="T136" i="10" s="1"/>
  <c r="U136" i="10" s="1"/>
  <c r="Q120" i="10"/>
  <c r="Q104" i="10"/>
  <c r="Q95" i="10"/>
  <c r="T42" i="10"/>
  <c r="U42" i="10" s="1"/>
  <c r="Q128" i="10"/>
  <c r="Q112" i="10"/>
  <c r="Q103" i="10"/>
  <c r="Q87" i="10"/>
  <c r="Q575" i="10"/>
  <c r="Q500" i="10"/>
  <c r="Q496" i="10"/>
  <c r="Q492" i="10"/>
  <c r="Q488" i="10"/>
  <c r="Q363" i="10"/>
  <c r="Q359" i="10"/>
  <c r="Q283" i="10"/>
  <c r="K283" i="10" s="1"/>
  <c r="L283" i="10" s="1"/>
  <c r="Q355" i="10"/>
  <c r="T276" i="10"/>
  <c r="U276" i="10" s="1"/>
  <c r="T297" i="10"/>
  <c r="U297" i="10" s="1"/>
  <c r="Q295" i="10"/>
  <c r="Q271" i="10"/>
  <c r="T263" i="10"/>
  <c r="U263" i="10" s="1"/>
  <c r="T249" i="10"/>
  <c r="U249" i="10" s="1"/>
  <c r="Q303" i="10"/>
  <c r="K303" i="10" s="1"/>
  <c r="L303" i="10" s="1"/>
  <c r="Q279" i="10"/>
  <c r="Q275" i="10"/>
  <c r="T274" i="10"/>
  <c r="U274" i="10" s="1"/>
  <c r="T250" i="10"/>
  <c r="U250" i="10" s="1"/>
  <c r="Q244" i="10"/>
  <c r="T243" i="10"/>
  <c r="U243" i="10" s="1"/>
  <c r="T214" i="10"/>
  <c r="U214" i="10" s="1"/>
  <c r="T202" i="10"/>
  <c r="U202" i="10" s="1"/>
  <c r="Q227" i="10"/>
  <c r="Q223" i="10"/>
  <c r="K223" i="10" s="1"/>
  <c r="L223" i="10" s="1"/>
  <c r="Q203" i="10"/>
  <c r="Q195" i="10"/>
  <c r="U562" i="10"/>
  <c r="T832" i="10"/>
  <c r="U832" i="10" s="1"/>
  <c r="Q832" i="10"/>
  <c r="O127" i="11" l="1"/>
  <c r="U116" i="11"/>
  <c r="U102" i="11"/>
  <c r="U103" i="11"/>
  <c r="U106" i="11"/>
  <c r="V127" i="11"/>
  <c r="T110" i="11"/>
  <c r="H109" i="11"/>
  <c r="H110" i="11" s="1"/>
  <c r="H127" i="11" s="1"/>
  <c r="H129" i="11" s="1"/>
  <c r="L129" i="11"/>
  <c r="L130" i="11" s="1"/>
  <c r="T623" i="10"/>
  <c r="U623" i="10" s="1"/>
  <c r="T379" i="10"/>
  <c r="U379" i="10" s="1"/>
  <c r="T412" i="10"/>
  <c r="U412" i="10" s="1"/>
  <c r="T218" i="10"/>
  <c r="U218" i="10" s="1"/>
  <c r="T100" i="10"/>
  <c r="U100" i="10" s="1"/>
  <c r="T36" i="10"/>
  <c r="U36" i="10" s="1"/>
  <c r="T602" i="10"/>
  <c r="U602" i="10" s="1"/>
  <c r="T74" i="10"/>
  <c r="U74" i="10" s="1"/>
  <c r="T528" i="10"/>
  <c r="U528" i="10" s="1"/>
  <c r="T81" i="10"/>
  <c r="U81" i="10" s="1"/>
  <c r="T17" i="10"/>
  <c r="U17" i="10" s="1"/>
  <c r="T495" i="10"/>
  <c r="U495" i="10" s="1"/>
  <c r="T552" i="10"/>
  <c r="U552" i="10" s="1"/>
  <c r="T531" i="10"/>
  <c r="U531" i="10" s="1"/>
  <c r="T346" i="10"/>
  <c r="U346" i="10" s="1"/>
  <c r="T438" i="10"/>
  <c r="U438" i="10" s="1"/>
  <c r="T422" i="10"/>
  <c r="U422" i="10" s="1"/>
  <c r="T358" i="10"/>
  <c r="U358" i="10" s="1"/>
  <c r="T417" i="10"/>
  <c r="U417" i="10" s="1"/>
  <c r="T392" i="10"/>
  <c r="U392" i="10" s="1"/>
  <c r="T339" i="10"/>
  <c r="U339" i="10" s="1"/>
  <c r="T296" i="10"/>
  <c r="U296" i="10" s="1"/>
  <c r="T194" i="10"/>
  <c r="U194" i="10" s="1"/>
  <c r="T206" i="10"/>
  <c r="U206" i="10" s="1"/>
  <c r="T188" i="10"/>
  <c r="U188" i="10" s="1"/>
  <c r="T635" i="10"/>
  <c r="U635" i="10" s="1"/>
  <c r="T661" i="10"/>
  <c r="U661" i="10" s="1"/>
  <c r="T259" i="10"/>
  <c r="U259" i="10" s="1"/>
  <c r="T565" i="10"/>
  <c r="U565" i="10" s="1"/>
  <c r="T396" i="10"/>
  <c r="U396" i="10" s="1"/>
  <c r="T638" i="10"/>
  <c r="U638" i="10" s="1"/>
  <c r="T163" i="10"/>
  <c r="U163" i="10" s="1"/>
  <c r="T614" i="10"/>
  <c r="U614" i="10" s="1"/>
  <c r="T700" i="10"/>
  <c r="U700" i="10" s="1"/>
  <c r="T651" i="10"/>
  <c r="U651" i="10" s="1"/>
  <c r="T84" i="10"/>
  <c r="U84" i="10" s="1"/>
  <c r="T815" i="10"/>
  <c r="U815" i="10" s="1"/>
  <c r="T757" i="10"/>
  <c r="U757" i="10" s="1"/>
  <c r="T696" i="10"/>
  <c r="U696" i="10" s="1"/>
  <c r="T679" i="10"/>
  <c r="U679" i="10" s="1"/>
  <c r="T146" i="10"/>
  <c r="U146" i="10" s="1"/>
  <c r="T106" i="10"/>
  <c r="U106" i="10" s="1"/>
  <c r="T108" i="10"/>
  <c r="U108" i="10" s="1"/>
  <c r="T503" i="10"/>
  <c r="U503" i="10" s="1"/>
  <c r="T445" i="10"/>
  <c r="U445" i="10" s="1"/>
  <c r="T311" i="10"/>
  <c r="U311" i="10" s="1"/>
  <c r="T820" i="10"/>
  <c r="U820" i="10" s="1"/>
  <c r="T47" i="10"/>
  <c r="U47" i="10" s="1"/>
  <c r="T257" i="10"/>
  <c r="U257" i="10" s="1"/>
  <c r="T147" i="10"/>
  <c r="U147" i="10" s="1"/>
  <c r="T666" i="10"/>
  <c r="U666" i="10" s="1"/>
  <c r="T650" i="10"/>
  <c r="U650" i="10" s="1"/>
  <c r="T598" i="10"/>
  <c r="U598" i="10" s="1"/>
  <c r="T501" i="10"/>
  <c r="U501" i="10" s="1"/>
  <c r="T99" i="10"/>
  <c r="U99" i="10" s="1"/>
  <c r="T67" i="10"/>
  <c r="U67" i="10" s="1"/>
  <c r="T35" i="10"/>
  <c r="U35" i="10" s="1"/>
  <c r="T10" i="10"/>
  <c r="U10" i="10" s="1"/>
  <c r="T548" i="10"/>
  <c r="U548" i="10" s="1"/>
  <c r="T49" i="10"/>
  <c r="U49" i="10" s="1"/>
  <c r="T517" i="10"/>
  <c r="U517" i="10" s="1"/>
  <c r="T337" i="10"/>
  <c r="U337" i="10" s="1"/>
  <c r="T498" i="10"/>
  <c r="U498" i="10" s="1"/>
  <c r="T466" i="10"/>
  <c r="U466" i="10" s="1"/>
  <c r="T433" i="10"/>
  <c r="U433" i="10" s="1"/>
  <c r="T401" i="10"/>
  <c r="U401" i="10" s="1"/>
  <c r="T331" i="10"/>
  <c r="U331" i="10" s="1"/>
  <c r="T285" i="10"/>
  <c r="U285" i="10" s="1"/>
  <c r="T239" i="10"/>
  <c r="U239" i="10" s="1"/>
  <c r="T205" i="10"/>
  <c r="U205" i="10" s="1"/>
  <c r="T185" i="10"/>
  <c r="U185" i="10" s="1"/>
  <c r="T702" i="10"/>
  <c r="U702" i="10" s="1"/>
  <c r="T750" i="10"/>
  <c r="U750" i="10" s="1"/>
  <c r="T747" i="10"/>
  <c r="U747" i="10" s="1"/>
  <c r="T620" i="10"/>
  <c r="U620" i="10" s="1"/>
  <c r="T676" i="10"/>
  <c r="U676" i="10" s="1"/>
  <c r="K180" i="10"/>
  <c r="T245" i="10"/>
  <c r="U245" i="10" s="1"/>
  <c r="T270" i="10"/>
  <c r="U270" i="10" s="1"/>
  <c r="T253" i="10"/>
  <c r="U253" i="10" s="1"/>
  <c r="T118" i="10"/>
  <c r="U118" i="10" s="1"/>
  <c r="T741" i="10"/>
  <c r="U741" i="10" s="1"/>
  <c r="T693" i="10"/>
  <c r="U693" i="10" s="1"/>
  <c r="T130" i="10"/>
  <c r="U130" i="10" s="1"/>
  <c r="T643" i="10"/>
  <c r="U643" i="10" s="1"/>
  <c r="T613" i="10"/>
  <c r="U613" i="10" s="1"/>
  <c r="T153" i="10"/>
  <c r="U153" i="10" s="1"/>
  <c r="T711" i="10"/>
  <c r="U711" i="10" s="1"/>
  <c r="T642" i="10"/>
  <c r="U642" i="10" s="1"/>
  <c r="T64" i="10"/>
  <c r="U64" i="10" s="1"/>
  <c r="T79" i="10"/>
  <c r="U79" i="10" s="1"/>
  <c r="T15" i="10"/>
  <c r="U15" i="10" s="1"/>
  <c r="T119" i="10"/>
  <c r="U119" i="10" s="1"/>
  <c r="T601" i="10"/>
  <c r="U601" i="10" s="1"/>
  <c r="T29" i="10"/>
  <c r="U29" i="10" s="1"/>
  <c r="T533" i="10"/>
  <c r="U533" i="10" s="1"/>
  <c r="T387" i="10"/>
  <c r="U387" i="10" s="1"/>
  <c r="T483" i="10"/>
  <c r="U483" i="10" s="1"/>
  <c r="T349" i="10"/>
  <c r="U349" i="10" s="1"/>
  <c r="T478" i="10"/>
  <c r="U478" i="10" s="1"/>
  <c r="T462" i="10"/>
  <c r="U462" i="10" s="1"/>
  <c r="T397" i="10"/>
  <c r="U397" i="10" s="1"/>
  <c r="T372" i="10"/>
  <c r="U372" i="10" s="1"/>
  <c r="T290" i="10"/>
  <c r="U290" i="10" s="1"/>
  <c r="T207" i="10"/>
  <c r="U207" i="10" s="1"/>
  <c r="T225" i="10"/>
  <c r="U225" i="10" s="1"/>
  <c r="T735" i="10"/>
  <c r="U735" i="10" s="1"/>
  <c r="K212" i="10"/>
  <c r="L212" i="10" s="1"/>
  <c r="T238" i="10"/>
  <c r="U238" i="10" s="1"/>
  <c r="T819" i="10"/>
  <c r="U819" i="10" s="1"/>
  <c r="T737" i="10"/>
  <c r="U737" i="10" s="1"/>
  <c r="T659" i="10"/>
  <c r="U659" i="10" s="1"/>
  <c r="T165" i="10"/>
  <c r="U165" i="10" s="1"/>
  <c r="T707" i="10"/>
  <c r="U707" i="10" s="1"/>
  <c r="T624" i="10"/>
  <c r="U624" i="10" s="1"/>
  <c r="T518" i="10"/>
  <c r="U518" i="10" s="1"/>
  <c r="T57" i="10"/>
  <c r="U57" i="10" s="1"/>
  <c r="T453" i="10"/>
  <c r="U453" i="10" s="1"/>
  <c r="T549" i="10"/>
  <c r="U549" i="10" s="1"/>
  <c r="T447" i="10"/>
  <c r="U447" i="10" s="1"/>
  <c r="T322" i="10"/>
  <c r="U322" i="10" s="1"/>
  <c r="T265" i="10"/>
  <c r="U265" i="10" s="1"/>
  <c r="T320" i="10"/>
  <c r="U320" i="10" s="1"/>
  <c r="T197" i="10"/>
  <c r="U197" i="10" s="1"/>
  <c r="T677" i="10"/>
  <c r="U677" i="10" s="1"/>
  <c r="T710" i="10"/>
  <c r="U710" i="10" s="1"/>
  <c r="T726" i="10"/>
  <c r="U726" i="10" s="1"/>
  <c r="T742" i="10"/>
  <c r="U742" i="10" s="1"/>
  <c r="T90" i="10"/>
  <c r="U90" i="10" s="1"/>
  <c r="T142" i="10"/>
  <c r="U142" i="10" s="1"/>
  <c r="T704" i="10"/>
  <c r="U704" i="10" s="1"/>
  <c r="T161" i="10"/>
  <c r="U161" i="10" s="1"/>
  <c r="T686" i="10"/>
  <c r="U686" i="10" s="1"/>
  <c r="T121" i="10"/>
  <c r="U121" i="10" s="1"/>
  <c r="T72" i="10"/>
  <c r="U72" i="10" s="1"/>
  <c r="T40" i="10"/>
  <c r="U40" i="10" s="1"/>
  <c r="T148" i="10"/>
  <c r="U148" i="10" s="1"/>
  <c r="T132" i="10"/>
  <c r="U132" i="10" s="1"/>
  <c r="T39" i="10"/>
  <c r="U39" i="10" s="1"/>
  <c r="T46" i="10"/>
  <c r="U46" i="10" s="1"/>
  <c r="T534" i="10"/>
  <c r="U534" i="10" s="1"/>
  <c r="T525" i="10"/>
  <c r="U525" i="10" s="1"/>
  <c r="T511" i="10"/>
  <c r="U511" i="10" s="1"/>
  <c r="T350" i="10"/>
  <c r="U350" i="10" s="1"/>
  <c r="T459" i="10"/>
  <c r="U459" i="10" s="1"/>
  <c r="T410" i="10"/>
  <c r="U410" i="10" s="1"/>
  <c r="T454" i="10"/>
  <c r="U454" i="10" s="1"/>
  <c r="T405" i="10"/>
  <c r="U405" i="10" s="1"/>
  <c r="T380" i="10"/>
  <c r="U380" i="10" s="1"/>
  <c r="T318" i="10"/>
  <c r="U318" i="10" s="1"/>
  <c r="T289" i="10"/>
  <c r="U289" i="10" s="1"/>
  <c r="T343" i="10"/>
  <c r="U343" i="10" s="1"/>
  <c r="T332" i="10"/>
  <c r="U332" i="10" s="1"/>
  <c r="T300" i="10"/>
  <c r="U300" i="10" s="1"/>
  <c r="T280" i="10"/>
  <c r="U280" i="10" s="1"/>
  <c r="T254" i="10"/>
  <c r="U254" i="10" s="1"/>
  <c r="T199" i="10"/>
  <c r="U199" i="10" s="1"/>
  <c r="T182" i="10"/>
  <c r="U182" i="10" s="1"/>
  <c r="T189" i="10"/>
  <c r="U189" i="10" s="1"/>
  <c r="T812" i="10"/>
  <c r="U812" i="10" s="1"/>
  <c r="T222" i="10"/>
  <c r="U222" i="10" s="1"/>
  <c r="T282" i="10"/>
  <c r="U282" i="10" s="1"/>
  <c r="T241" i="10"/>
  <c r="U241" i="10" s="1"/>
  <c r="T645" i="10"/>
  <c r="U645" i="10" s="1"/>
  <c r="T134" i="10"/>
  <c r="U134" i="10" s="1"/>
  <c r="T713" i="10"/>
  <c r="U713" i="10" s="1"/>
  <c r="T640" i="10"/>
  <c r="U640" i="10" s="1"/>
  <c r="T667" i="10"/>
  <c r="U667" i="10" s="1"/>
  <c r="T617" i="10"/>
  <c r="U617" i="10" s="1"/>
  <c r="T682" i="10"/>
  <c r="U682" i="10" s="1"/>
  <c r="T612" i="10"/>
  <c r="U612" i="10" s="1"/>
  <c r="T122" i="10"/>
  <c r="U122" i="10" s="1"/>
  <c r="T133" i="10"/>
  <c r="U133" i="10" s="1"/>
  <c r="T117" i="10"/>
  <c r="U117" i="10" s="1"/>
  <c r="T107" i="10"/>
  <c r="U107" i="10" s="1"/>
  <c r="T58" i="10"/>
  <c r="U58" i="10" s="1"/>
  <c r="T26" i="10"/>
  <c r="U26" i="10" s="1"/>
  <c r="T477" i="10"/>
  <c r="U477" i="10" s="1"/>
  <c r="T439" i="10"/>
  <c r="U439" i="10" s="1"/>
  <c r="T375" i="10"/>
  <c r="U375" i="10" s="1"/>
  <c r="T471" i="10"/>
  <c r="U471" i="10" s="1"/>
  <c r="T390" i="10"/>
  <c r="U390" i="10" s="1"/>
  <c r="T440" i="10"/>
  <c r="U440" i="10" s="1"/>
  <c r="T424" i="10"/>
  <c r="U424" i="10" s="1"/>
  <c r="T344" i="10"/>
  <c r="U344" i="10" s="1"/>
  <c r="T326" i="10"/>
  <c r="U326" i="10" s="1"/>
  <c r="T328" i="10"/>
  <c r="U328" i="10" s="1"/>
  <c r="T231" i="10"/>
  <c r="U231" i="10" s="1"/>
  <c r="T685" i="10"/>
  <c r="U685" i="10" s="1"/>
  <c r="T768" i="10"/>
  <c r="U768" i="10" s="1"/>
  <c r="T809" i="10"/>
  <c r="U809" i="10" s="1"/>
  <c r="T825" i="10"/>
  <c r="U825" i="10" s="1"/>
  <c r="T653" i="10"/>
  <c r="U653" i="10" s="1"/>
  <c r="T228" i="10"/>
  <c r="U228" i="10" s="1"/>
  <c r="T761" i="10"/>
  <c r="U761" i="10" s="1"/>
  <c r="T729" i="10"/>
  <c r="U729" i="10" s="1"/>
  <c r="T154" i="10"/>
  <c r="U154" i="10" s="1"/>
  <c r="T226" i="10"/>
  <c r="U226" i="10" s="1"/>
  <c r="T354" i="10"/>
  <c r="U354" i="10" s="1"/>
  <c r="T799" i="10"/>
  <c r="U799" i="10" s="1"/>
  <c r="T159" i="10"/>
  <c r="U159" i="10" s="1"/>
  <c r="T725" i="10"/>
  <c r="U725" i="10" s="1"/>
  <c r="T668" i="10"/>
  <c r="U668" i="10" s="1"/>
  <c r="T166" i="10"/>
  <c r="U166" i="10" s="1"/>
  <c r="T80" i="10"/>
  <c r="U80" i="10" s="1"/>
  <c r="T557" i="10"/>
  <c r="U557" i="10" s="1"/>
  <c r="T493" i="10"/>
  <c r="U493" i="10" s="1"/>
  <c r="T124" i="10"/>
  <c r="U124" i="10" s="1"/>
  <c r="T86" i="10"/>
  <c r="U86" i="10" s="1"/>
  <c r="T22" i="10"/>
  <c r="U22" i="10" s="1"/>
  <c r="T540" i="10"/>
  <c r="U540" i="10" s="1"/>
  <c r="T45" i="10"/>
  <c r="U45" i="10" s="1"/>
  <c r="T519" i="10"/>
  <c r="U519" i="10" s="1"/>
  <c r="T480" i="10"/>
  <c r="U480" i="10" s="1"/>
  <c r="T435" i="10"/>
  <c r="U435" i="10" s="1"/>
  <c r="T402" i="10"/>
  <c r="U402" i="10" s="1"/>
  <c r="T429" i="10"/>
  <c r="U429" i="10" s="1"/>
  <c r="T404" i="10"/>
  <c r="U404" i="10" s="1"/>
  <c r="T264" i="10"/>
  <c r="U264" i="10" s="1"/>
  <c r="T198" i="10"/>
  <c r="U198" i="10" s="1"/>
  <c r="T191" i="10"/>
  <c r="U191" i="10" s="1"/>
  <c r="T201" i="10"/>
  <c r="U201" i="10" s="1"/>
  <c r="T673" i="10"/>
  <c r="U673" i="10" s="1"/>
  <c r="T706" i="10"/>
  <c r="U706" i="10" s="1"/>
  <c r="T722" i="10"/>
  <c r="U722" i="10" s="1"/>
  <c r="T738" i="10"/>
  <c r="U738" i="10" s="1"/>
  <c r="T715" i="10"/>
  <c r="U715" i="10" s="1"/>
  <c r="T230" i="10"/>
  <c r="U230" i="10" s="1"/>
  <c r="H793" i="10"/>
  <c r="H839" i="10" s="1"/>
  <c r="AC793" i="10"/>
  <c r="T695" i="10"/>
  <c r="U695" i="10" s="1"/>
  <c r="T662" i="10"/>
  <c r="U662" i="10" s="1"/>
  <c r="T164" i="10"/>
  <c r="U164" i="10" s="1"/>
  <c r="T96" i="10"/>
  <c r="U96" i="10" s="1"/>
  <c r="T48" i="10"/>
  <c r="U48" i="10" s="1"/>
  <c r="T16" i="10"/>
  <c r="U16" i="10" s="1"/>
  <c r="T63" i="10"/>
  <c r="U63" i="10" s="1"/>
  <c r="T31" i="10"/>
  <c r="U31" i="10" s="1"/>
  <c r="T597" i="10"/>
  <c r="T70" i="10"/>
  <c r="U70" i="10" s="1"/>
  <c r="T77" i="10"/>
  <c r="U77" i="10" s="1"/>
  <c r="T13" i="10"/>
  <c r="U13" i="10" s="1"/>
  <c r="T526" i="10"/>
  <c r="U526" i="10" s="1"/>
  <c r="T473" i="10"/>
  <c r="U473" i="10" s="1"/>
  <c r="T547" i="10"/>
  <c r="U547" i="10" s="1"/>
  <c r="T513" i="10"/>
  <c r="U513" i="10" s="1"/>
  <c r="T403" i="10"/>
  <c r="U403" i="10" s="1"/>
  <c r="T467" i="10"/>
  <c r="U467" i="10" s="1"/>
  <c r="T450" i="10"/>
  <c r="U450" i="10" s="1"/>
  <c r="T418" i="10"/>
  <c r="U418" i="10" s="1"/>
  <c r="T494" i="10"/>
  <c r="U494" i="10" s="1"/>
  <c r="T420" i="10"/>
  <c r="U420" i="10" s="1"/>
  <c r="T388" i="10"/>
  <c r="U388" i="10" s="1"/>
  <c r="T266" i="10"/>
  <c r="U266" i="10" s="1"/>
  <c r="T313" i="10"/>
  <c r="U313" i="10" s="1"/>
  <c r="T307" i="10"/>
  <c r="U307" i="10" s="1"/>
  <c r="T181" i="10"/>
  <c r="U181" i="10" s="1"/>
  <c r="T193" i="10"/>
  <c r="U193" i="10" s="1"/>
  <c r="T246" i="10"/>
  <c r="U246" i="10" s="1"/>
  <c r="T678" i="10"/>
  <c r="U678" i="10" s="1"/>
  <c r="T129" i="10"/>
  <c r="U129" i="10" s="1"/>
  <c r="T112" i="10"/>
  <c r="U112" i="10" s="1"/>
  <c r="T155" i="10"/>
  <c r="U155" i="10" s="1"/>
  <c r="T93" i="10"/>
  <c r="U93" i="10" s="1"/>
  <c r="T126" i="10"/>
  <c r="U126" i="10" s="1"/>
  <c r="T131" i="10"/>
  <c r="U131" i="10" s="1"/>
  <c r="T98" i="10"/>
  <c r="U98" i="10" s="1"/>
  <c r="T536" i="10"/>
  <c r="U536" i="10" s="1"/>
  <c r="T25" i="10"/>
  <c r="U25" i="10" s="1"/>
  <c r="T476" i="10"/>
  <c r="U476" i="10" s="1"/>
  <c r="T399" i="10"/>
  <c r="U399" i="10" s="1"/>
  <c r="T446" i="10"/>
  <c r="U446" i="10" s="1"/>
  <c r="T430" i="10"/>
  <c r="U430" i="10" s="1"/>
  <c r="T414" i="10"/>
  <c r="U414" i="10" s="1"/>
  <c r="T336" i="10"/>
  <c r="U336" i="10" s="1"/>
  <c r="T329" i="10"/>
  <c r="U329" i="10" s="1"/>
  <c r="T237" i="10"/>
  <c r="U237" i="10" s="1"/>
  <c r="T235" i="10"/>
  <c r="U235" i="10" s="1"/>
  <c r="T220" i="10"/>
  <c r="U220" i="10" s="1"/>
  <c r="K636" i="10"/>
  <c r="L636" i="10" s="1"/>
  <c r="T754" i="10"/>
  <c r="U754" i="10" s="1"/>
  <c r="T649" i="10"/>
  <c r="U649" i="10" s="1"/>
  <c r="T665" i="10"/>
  <c r="U665" i="10" s="1"/>
  <c r="T773" i="10"/>
  <c r="U773" i="10" s="1"/>
  <c r="T810" i="10"/>
  <c r="U810" i="10" s="1"/>
  <c r="T292" i="10"/>
  <c r="U292" i="10" s="1"/>
  <c r="T634" i="10"/>
  <c r="U634" i="10" s="1"/>
  <c r="T619" i="10"/>
  <c r="U619" i="10" s="1"/>
  <c r="T646" i="10"/>
  <c r="U646" i="10" s="1"/>
  <c r="T128" i="10"/>
  <c r="U128" i="10" s="1"/>
  <c r="T569" i="10"/>
  <c r="U569" i="10" s="1"/>
  <c r="T551" i="10"/>
  <c r="U551" i="10" s="1"/>
  <c r="T444" i="10"/>
  <c r="U444" i="10" s="1"/>
  <c r="T556" i="10"/>
  <c r="U556" i="10" s="1"/>
  <c r="T505" i="10"/>
  <c r="U505" i="10" s="1"/>
  <c r="T411" i="10"/>
  <c r="U411" i="10" s="1"/>
  <c r="T334" i="10"/>
  <c r="U334" i="10" s="1"/>
  <c r="T394" i="10"/>
  <c r="U394" i="10" s="1"/>
  <c r="T319" i="10"/>
  <c r="U319" i="10" s="1"/>
  <c r="T216" i="10"/>
  <c r="U216" i="10" s="1"/>
  <c r="T771" i="10"/>
  <c r="U771" i="10" s="1"/>
  <c r="T824" i="10"/>
  <c r="U824" i="10" s="1"/>
  <c r="T694" i="10"/>
  <c r="U694" i="10" s="1"/>
  <c r="T727" i="10"/>
  <c r="U727" i="10" s="1"/>
  <c r="T814" i="10"/>
  <c r="U814" i="10" s="1"/>
  <c r="T91" i="10"/>
  <c r="U91" i="10" s="1"/>
  <c r="T144" i="10"/>
  <c r="U144" i="10" s="1"/>
  <c r="T637" i="10"/>
  <c r="U637" i="10" s="1"/>
  <c r="T293" i="10"/>
  <c r="U293" i="10" s="1"/>
  <c r="V839" i="10"/>
  <c r="T87" i="10"/>
  <c r="U87" i="10" s="1"/>
  <c r="T770" i="10"/>
  <c r="U770" i="10" s="1"/>
  <c r="T811" i="10"/>
  <c r="U811" i="10" s="1"/>
  <c r="T697" i="10"/>
  <c r="U697" i="10" s="1"/>
  <c r="T699" i="10"/>
  <c r="U699" i="10" s="1"/>
  <c r="T68" i="10"/>
  <c r="U68" i="10" s="1"/>
  <c r="T20" i="10"/>
  <c r="U20" i="10" s="1"/>
  <c r="T564" i="10"/>
  <c r="U564" i="10" s="1"/>
  <c r="T65" i="10"/>
  <c r="U65" i="10" s="1"/>
  <c r="T530" i="10"/>
  <c r="U530" i="10" s="1"/>
  <c r="T484" i="10"/>
  <c r="U484" i="10" s="1"/>
  <c r="T423" i="10"/>
  <c r="U423" i="10" s="1"/>
  <c r="T487" i="10"/>
  <c r="U487" i="10" s="1"/>
  <c r="T455" i="10"/>
  <c r="U455" i="10" s="1"/>
  <c r="T406" i="10"/>
  <c r="U406" i="10" s="1"/>
  <c r="T449" i="10"/>
  <c r="U449" i="10" s="1"/>
  <c r="T315" i="10"/>
  <c r="U315" i="10" s="1"/>
  <c r="T408" i="10"/>
  <c r="U408" i="10" s="1"/>
  <c r="T690" i="10"/>
  <c r="U690" i="10" s="1"/>
  <c r="T739" i="10"/>
  <c r="U739" i="10" s="1"/>
  <c r="T353" i="10"/>
  <c r="U353" i="10" s="1"/>
  <c r="T633" i="10"/>
  <c r="U633" i="10" s="1"/>
  <c r="T600" i="10"/>
  <c r="T652" i="10"/>
  <c r="U652" i="10" s="1"/>
  <c r="T663" i="10"/>
  <c r="U663" i="10" s="1"/>
  <c r="T140" i="10"/>
  <c r="U140" i="10" s="1"/>
  <c r="T95" i="10"/>
  <c r="U95" i="10" s="1"/>
  <c r="T61" i="10"/>
  <c r="U61" i="10" s="1"/>
  <c r="T577" i="10"/>
  <c r="U577" i="10" s="1"/>
  <c r="T542" i="10"/>
  <c r="U542" i="10" s="1"/>
  <c r="T508" i="10"/>
  <c r="U508" i="10" s="1"/>
  <c r="T491" i="10"/>
  <c r="U491" i="10" s="1"/>
  <c r="T464" i="10"/>
  <c r="U464" i="10" s="1"/>
  <c r="T419" i="10"/>
  <c r="U419" i="10" s="1"/>
  <c r="T434" i="10"/>
  <c r="U434" i="10" s="1"/>
  <c r="T413" i="10"/>
  <c r="U413" i="10" s="1"/>
  <c r="T381" i="10"/>
  <c r="U381" i="10" s="1"/>
  <c r="T310" i="10"/>
  <c r="U310" i="10" s="1"/>
  <c r="T351" i="10"/>
  <c r="U351" i="10" s="1"/>
  <c r="T278" i="10"/>
  <c r="U278" i="10" s="1"/>
  <c r="T308" i="10"/>
  <c r="U308" i="10" s="1"/>
  <c r="T262" i="10"/>
  <c r="U262" i="10" s="1"/>
  <c r="T210" i="10"/>
  <c r="U210" i="10" s="1"/>
  <c r="T224" i="10"/>
  <c r="U224" i="10" s="1"/>
  <c r="T184" i="10"/>
  <c r="U184" i="10" s="1"/>
  <c r="T817" i="10"/>
  <c r="U817" i="10" s="1"/>
  <c r="T11" i="10"/>
  <c r="U11" i="10" s="1"/>
  <c r="T75" i="10"/>
  <c r="U75" i="10" s="1"/>
  <c r="T221" i="10"/>
  <c r="T709" i="10"/>
  <c r="U709" i="10" s="1"/>
  <c r="T103" i="10"/>
  <c r="U103" i="10" s="1"/>
  <c r="U632" i="10"/>
  <c r="T803" i="10"/>
  <c r="U803" i="10" s="1"/>
  <c r="T648" i="10"/>
  <c r="U648" i="10" s="1"/>
  <c r="T708" i="10"/>
  <c r="U708" i="10" s="1"/>
  <c r="T675" i="10"/>
  <c r="U675" i="10" s="1"/>
  <c r="T151" i="10"/>
  <c r="U151" i="10" s="1"/>
  <c r="T691" i="10"/>
  <c r="U691" i="10" s="1"/>
  <c r="T658" i="10"/>
  <c r="U658" i="10" s="1"/>
  <c r="T160" i="10"/>
  <c r="U160" i="10" s="1"/>
  <c r="T125" i="10"/>
  <c r="U125" i="10" s="1"/>
  <c r="T60" i="10"/>
  <c r="U60" i="10" s="1"/>
  <c r="T576" i="10"/>
  <c r="U576" i="10" s="1"/>
  <c r="T152" i="10"/>
  <c r="U152" i="10" s="1"/>
  <c r="T59" i="10"/>
  <c r="U59" i="10" s="1"/>
  <c r="T27" i="10"/>
  <c r="U27" i="10" s="1"/>
  <c r="T596" i="10"/>
  <c r="U596" i="10" s="1"/>
  <c r="T41" i="10"/>
  <c r="U41" i="10" s="1"/>
  <c r="T529" i="10"/>
  <c r="U529" i="10" s="1"/>
  <c r="T383" i="10"/>
  <c r="U383" i="10" s="1"/>
  <c r="T441" i="10"/>
  <c r="U441" i="10" s="1"/>
  <c r="T377" i="10"/>
  <c r="U377" i="10" s="1"/>
  <c r="T323" i="10"/>
  <c r="U323" i="10" s="1"/>
  <c r="T304" i="10"/>
  <c r="U304" i="10" s="1"/>
  <c r="T200" i="10"/>
  <c r="U200" i="10" s="1"/>
  <c r="T213" i="10"/>
  <c r="U213" i="10" s="1"/>
  <c r="T821" i="10"/>
  <c r="U821" i="10" s="1"/>
  <c r="T236" i="10"/>
  <c r="U236" i="10" s="1"/>
  <c r="T156" i="10"/>
  <c r="U156" i="10" s="1"/>
  <c r="P839" i="10"/>
  <c r="L221" i="10"/>
  <c r="T247" i="10"/>
  <c r="U247" i="10" s="1"/>
  <c r="T674" i="10"/>
  <c r="U674" i="10" s="1"/>
  <c r="T141" i="10"/>
  <c r="U141" i="10" s="1"/>
  <c r="T109" i="10"/>
  <c r="U109" i="10" s="1"/>
  <c r="T92" i="10"/>
  <c r="U92" i="10" s="1"/>
  <c r="T28" i="10"/>
  <c r="U28" i="10" s="1"/>
  <c r="T104" i="10"/>
  <c r="U104" i="10" s="1"/>
  <c r="T43" i="10"/>
  <c r="U43" i="10" s="1"/>
  <c r="T82" i="10"/>
  <c r="U82" i="10" s="1"/>
  <c r="T50" i="10"/>
  <c r="U50" i="10" s="1"/>
  <c r="T18" i="10"/>
  <c r="U18" i="10" s="1"/>
  <c r="T489" i="10"/>
  <c r="U489" i="10" s="1"/>
  <c r="T469" i="10"/>
  <c r="U469" i="10" s="1"/>
  <c r="T515" i="10"/>
  <c r="U515" i="10" s="1"/>
  <c r="T563" i="10"/>
  <c r="U563" i="10" s="1"/>
  <c r="T539" i="10"/>
  <c r="U539" i="10" s="1"/>
  <c r="T522" i="10"/>
  <c r="U522" i="10" s="1"/>
  <c r="T415" i="10"/>
  <c r="U415" i="10" s="1"/>
  <c r="T367" i="10"/>
  <c r="U367" i="10" s="1"/>
  <c r="T366" i="10"/>
  <c r="U366" i="10" s="1"/>
  <c r="T409" i="10"/>
  <c r="U409" i="10" s="1"/>
  <c r="T432" i="10"/>
  <c r="U432" i="10" s="1"/>
  <c r="T416" i="10"/>
  <c r="U416" i="10" s="1"/>
  <c r="T347" i="10"/>
  <c r="U347" i="10" s="1"/>
  <c r="T309" i="10"/>
  <c r="U309" i="10" s="1"/>
  <c r="T284" i="10"/>
  <c r="U284" i="10" s="1"/>
  <c r="T800" i="10"/>
  <c r="U800" i="10" s="1"/>
  <c r="T657" i="10"/>
  <c r="U657" i="10" s="1"/>
  <c r="T763" i="10"/>
  <c r="U763" i="10" s="1"/>
  <c r="T802" i="10"/>
  <c r="U802" i="10" s="1"/>
  <c r="K192" i="10"/>
  <c r="L192" i="10" s="1"/>
  <c r="T705" i="10"/>
  <c r="U705" i="10" s="1"/>
  <c r="T684" i="10"/>
  <c r="U684" i="10" s="1"/>
  <c r="T162" i="10"/>
  <c r="U162" i="10" s="1"/>
  <c r="T639" i="10"/>
  <c r="U639" i="10" s="1"/>
  <c r="T287" i="10"/>
  <c r="U287" i="10" s="1"/>
  <c r="T69" i="10"/>
  <c r="U69" i="10" s="1"/>
  <c r="T37" i="10"/>
  <c r="U37" i="10" s="1"/>
  <c r="T535" i="10"/>
  <c r="U535" i="10" s="1"/>
  <c r="T456" i="10"/>
  <c r="U456" i="10" s="1"/>
  <c r="T395" i="10"/>
  <c r="U395" i="10" s="1"/>
  <c r="T389" i="10"/>
  <c r="U389" i="10" s="1"/>
  <c r="T321" i="10"/>
  <c r="U321" i="10" s="1"/>
  <c r="T196" i="10"/>
  <c r="U196" i="10" s="1"/>
  <c r="T769" i="10"/>
  <c r="U769" i="10" s="1"/>
  <c r="T683" i="10"/>
  <c r="U683" i="10" s="1"/>
  <c r="T101" i="10"/>
  <c r="U101" i="10" s="1"/>
  <c r="T150" i="10"/>
  <c r="U150" i="10" s="1"/>
  <c r="T572" i="10"/>
  <c r="U572" i="10" s="1"/>
  <c r="T360" i="10"/>
  <c r="U360" i="10" s="1"/>
  <c r="T286" i="10"/>
  <c r="U286" i="10" s="1"/>
  <c r="T317" i="10"/>
  <c r="U317" i="10" s="1"/>
  <c r="T232" i="10"/>
  <c r="U232" i="10" s="1"/>
  <c r="O839" i="10"/>
  <c r="T219" i="10"/>
  <c r="U219" i="10" s="1"/>
  <c r="K567" i="10"/>
  <c r="L567" i="10" s="1"/>
  <c r="T621" i="10"/>
  <c r="U621" i="10" s="1"/>
  <c r="L672" i="10"/>
  <c r="T672" i="10"/>
  <c r="K689" i="10"/>
  <c r="L689" i="10" s="1"/>
  <c r="T689" i="10"/>
  <c r="T251" i="10"/>
  <c r="U251" i="10" s="1"/>
  <c r="T255" i="10"/>
  <c r="U255" i="10" s="1"/>
  <c r="T644" i="10"/>
  <c r="U644" i="10" s="1"/>
  <c r="T158" i="10"/>
  <c r="U158" i="10" s="1"/>
  <c r="T655" i="10"/>
  <c r="U655" i="10" s="1"/>
  <c r="T703" i="10"/>
  <c r="U703" i="10" s="1"/>
  <c r="T137" i="10"/>
  <c r="U137" i="10" s="1"/>
  <c r="T105" i="10"/>
  <c r="U105" i="10" s="1"/>
  <c r="T443" i="10"/>
  <c r="U443" i="10" s="1"/>
  <c r="T427" i="10"/>
  <c r="U427" i="10" s="1"/>
  <c r="T475" i="10"/>
  <c r="U475" i="10" s="1"/>
  <c r="T426" i="10"/>
  <c r="U426" i="10" s="1"/>
  <c r="T362" i="10"/>
  <c r="U362" i="10" s="1"/>
  <c r="T470" i="10"/>
  <c r="U470" i="10" s="1"/>
  <c r="T348" i="10"/>
  <c r="U348" i="10" s="1"/>
  <c r="T215" i="10"/>
  <c r="U215" i="10" s="1"/>
  <c r="T183" i="10"/>
  <c r="U183" i="10" s="1"/>
  <c r="T751" i="10"/>
  <c r="U751" i="10" s="1"/>
  <c r="T806" i="10"/>
  <c r="U806" i="10" s="1"/>
  <c r="T822" i="10"/>
  <c r="U822" i="10" s="1"/>
  <c r="K256" i="10"/>
  <c r="L256" i="10" s="1"/>
  <c r="T256" i="10"/>
  <c r="K234" i="10"/>
  <c r="L234" i="10" s="1"/>
  <c r="T234" i="10"/>
  <c r="T272" i="10"/>
  <c r="U272" i="10" s="1"/>
  <c r="T647" i="10"/>
  <c r="U647" i="10" s="1"/>
  <c r="T303" i="10"/>
  <c r="U303" i="10" s="1"/>
  <c r="T656" i="10"/>
  <c r="U656" i="10" s="1"/>
  <c r="T764" i="10"/>
  <c r="U764" i="10" s="1"/>
  <c r="T748" i="10"/>
  <c r="U748" i="10" s="1"/>
  <c r="T732" i="10"/>
  <c r="U732" i="10" s="1"/>
  <c r="T716" i="10"/>
  <c r="U716" i="10" s="1"/>
  <c r="T157" i="10"/>
  <c r="U157" i="10" s="1"/>
  <c r="T595" i="10"/>
  <c r="U595" i="10" s="1"/>
  <c r="T558" i="10"/>
  <c r="U558" i="10" s="1"/>
  <c r="T452" i="10"/>
  <c r="U452" i="10" s="1"/>
  <c r="T391" i="10"/>
  <c r="U391" i="10" s="1"/>
  <c r="T482" i="10"/>
  <c r="U482" i="10" s="1"/>
  <c r="T268" i="10"/>
  <c r="U268" i="10" s="1"/>
  <c r="T291" i="10"/>
  <c r="U291" i="10" s="1"/>
  <c r="T267" i="10"/>
  <c r="U267" i="10" s="1"/>
  <c r="T208" i="10"/>
  <c r="U208" i="10" s="1"/>
  <c r="T211" i="10"/>
  <c r="U211" i="10" s="1"/>
  <c r="T772" i="10"/>
  <c r="U772" i="10" s="1"/>
  <c r="T723" i="10"/>
  <c r="U723" i="10" s="1"/>
  <c r="T755" i="10"/>
  <c r="U755" i="10" s="1"/>
  <c r="T179" i="10"/>
  <c r="U179" i="10" s="1"/>
  <c r="T252" i="10"/>
  <c r="U252" i="10" s="1"/>
  <c r="T281" i="10"/>
  <c r="U281" i="10" s="1"/>
  <c r="T352" i="10"/>
  <c r="U352" i="10" s="1"/>
  <c r="T260" i="10"/>
  <c r="U260" i="10" s="1"/>
  <c r="T120" i="10"/>
  <c r="U120" i="10" s="1"/>
  <c r="T145" i="10"/>
  <c r="U145" i="10" s="1"/>
  <c r="T571" i="10"/>
  <c r="U571" i="10" s="1"/>
  <c r="T457" i="10"/>
  <c r="U457" i="10" s="1"/>
  <c r="T554" i="10"/>
  <c r="U554" i="10" s="1"/>
  <c r="T527" i="10"/>
  <c r="U527" i="10" s="1"/>
  <c r="T342" i="10"/>
  <c r="U342" i="10" s="1"/>
  <c r="T386" i="10"/>
  <c r="U386" i="10" s="1"/>
  <c r="T269" i="10"/>
  <c r="U269" i="10" s="1"/>
  <c r="T324" i="10"/>
  <c r="U324" i="10" s="1"/>
  <c r="T288" i="10"/>
  <c r="U288" i="10" s="1"/>
  <c r="T356" i="10"/>
  <c r="U356" i="10" s="1"/>
  <c r="T223" i="10"/>
  <c r="U223" i="10" s="1"/>
  <c r="T744" i="10"/>
  <c r="U744" i="10" s="1"/>
  <c r="T712" i="10"/>
  <c r="U712" i="10" s="1"/>
  <c r="T594" i="10"/>
  <c r="R607" i="10"/>
  <c r="T496" i="10"/>
  <c r="U496" i="10" s="1"/>
  <c r="T283" i="10"/>
  <c r="U283" i="10" s="1"/>
  <c r="L600" i="10"/>
  <c r="L607" i="10" s="1"/>
  <c r="K607" i="10"/>
  <c r="Q590" i="10"/>
  <c r="T611" i="10"/>
  <c r="R793" i="10"/>
  <c r="T752" i="10"/>
  <c r="U752" i="10" s="1"/>
  <c r="T736" i="10"/>
  <c r="U736" i="10" s="1"/>
  <c r="T720" i="10"/>
  <c r="U720" i="10" s="1"/>
  <c r="T149" i="10"/>
  <c r="U149" i="10" s="1"/>
  <c r="T8" i="10"/>
  <c r="S172" i="10"/>
  <c r="T488" i="10"/>
  <c r="U488" i="10" s="1"/>
  <c r="T359" i="10"/>
  <c r="U359" i="10" s="1"/>
  <c r="T295" i="10"/>
  <c r="U295" i="10" s="1"/>
  <c r="T271" i="10"/>
  <c r="U271" i="10" s="1"/>
  <c r="T797" i="10"/>
  <c r="R829" i="10"/>
  <c r="T575" i="10"/>
  <c r="U575" i="10" s="1"/>
  <c r="T500" i="10"/>
  <c r="U500" i="10" s="1"/>
  <c r="T355" i="10"/>
  <c r="U355" i="10" s="1"/>
  <c r="T195" i="10"/>
  <c r="U195" i="10" s="1"/>
  <c r="T177" i="10"/>
  <c r="U177" i="10" s="1"/>
  <c r="R590" i="10"/>
  <c r="T760" i="10"/>
  <c r="U760" i="10" s="1"/>
  <c r="T325" i="10"/>
  <c r="U325" i="10" s="1"/>
  <c r="S590" i="10"/>
  <c r="T279" i="10"/>
  <c r="U279" i="10" s="1"/>
  <c r="L180" i="10"/>
  <c r="T728" i="10"/>
  <c r="U728" i="10" s="1"/>
  <c r="T756" i="10"/>
  <c r="U756" i="10" s="1"/>
  <c r="T740" i="10"/>
  <c r="U740" i="10" s="1"/>
  <c r="T724" i="10"/>
  <c r="U724" i="10" s="1"/>
  <c r="T492" i="10"/>
  <c r="U492" i="10" s="1"/>
  <c r="T363" i="10"/>
  <c r="U363" i="10" s="1"/>
  <c r="T275" i="10"/>
  <c r="U275" i="10" s="1"/>
  <c r="T244" i="10"/>
  <c r="U244" i="10" s="1"/>
  <c r="T227" i="10"/>
  <c r="U227" i="10" s="1"/>
  <c r="T203" i="10"/>
  <c r="U203" i="10" s="1"/>
  <c r="U176" i="10"/>
  <c r="T804" i="10"/>
  <c r="U804" i="10" s="1"/>
  <c r="R837" i="10"/>
  <c r="L622" i="10"/>
  <c r="T837" i="10"/>
  <c r="U837" i="10"/>
  <c r="T127" i="11" l="1"/>
  <c r="U110" i="11"/>
  <c r="U212" i="10"/>
  <c r="U221" i="10"/>
  <c r="U636" i="10"/>
  <c r="R839" i="10"/>
  <c r="U672" i="10"/>
  <c r="L590" i="10"/>
  <c r="U256" i="10"/>
  <c r="U567" i="10"/>
  <c r="L793" i="10"/>
  <c r="U234" i="10"/>
  <c r="K590" i="10"/>
  <c r="U192" i="10"/>
  <c r="K793" i="10"/>
  <c r="T590" i="10"/>
  <c r="U689" i="10"/>
  <c r="U611" i="10"/>
  <c r="T793" i="10"/>
  <c r="S839" i="10"/>
  <c r="T829" i="10"/>
  <c r="U797" i="10"/>
  <c r="U829" i="10" s="1"/>
  <c r="U622" i="10"/>
  <c r="U172" i="10"/>
  <c r="T172" i="10"/>
  <c r="U600" i="10"/>
  <c r="U180" i="10"/>
  <c r="U594" i="10"/>
  <c r="T607" i="10"/>
  <c r="U127" i="11" l="1"/>
  <c r="W110" i="11" a="1"/>
  <c r="W110" i="11" s="1"/>
  <c r="V128" i="11"/>
  <c r="U607" i="10"/>
  <c r="L839" i="10"/>
  <c r="U590" i="10"/>
  <c r="K839" i="10"/>
  <c r="T839" i="10"/>
  <c r="U793" i="10"/>
  <c r="Z607" i="10" l="1"/>
  <c r="W607" i="10" a="1"/>
  <c r="W607" i="10" s="1"/>
  <c r="V130" i="11"/>
  <c r="W127" i="11" a="1"/>
  <c r="W127" i="11" s="1"/>
  <c r="Y793" i="10"/>
  <c r="W793" i="10" a="1"/>
  <c r="W793" i="10" s="1"/>
  <c r="L841" i="10"/>
  <c r="U839" i="10"/>
  <c r="U847" i="10" l="1"/>
  <c r="W839" i="10" a="1"/>
  <c r="W839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714" authorId="0" shapeId="0" xr:uid="{3F821D00-CCC7-48B2-84B3-821D44A0D2E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cost reduced by $1409.16 due to exchange rate variation 1/7/2020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717" authorId="0" shapeId="0" xr:uid="{DA1E3DEE-4E69-41A4-ADDC-1DEFE61AC75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cost reduced by $1409.16 due to exchange rate variation 1/7/2020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<sst xmlns="http://schemas.openxmlformats.org/spreadsheetml/2006/main" count="17402" uniqueCount="2430">
  <si>
    <t>TEUSNER AND PAGE PTY LTD</t>
  </si>
  <si>
    <t>Accounting Depreciation Schedule - Detailed</t>
  </si>
  <si>
    <t>Period 01/07/2018 to 30/11/2018</t>
  </si>
  <si>
    <t>Private 
Use %</t>
  </si>
  <si>
    <t>Acq. (Disp)</t>
  </si>
  <si>
    <t>Original Cost</t>
  </si>
  <si>
    <t>Opening W.D.V.</t>
  </si>
  <si>
    <t>Additions
(Disposals)</t>
  </si>
  <si>
    <t>Profit (Loss)
On Sale</t>
  </si>
  <si>
    <t>YTD
Depreciation</t>
  </si>
  <si>
    <t>Closing
W.D.V.</t>
  </si>
  <si>
    <t>Asset Code</t>
  </si>
  <si>
    <t>Description</t>
  </si>
  <si>
    <t>740</t>
  </si>
  <si>
    <t>Leasehold Improvements</t>
  </si>
  <si>
    <t xml:space="preserve">740 001 </t>
  </si>
  <si>
    <t>Waste Water Line</t>
  </si>
  <si>
    <t>P</t>
  </si>
  <si>
    <t xml:space="preserve">740 002 </t>
  </si>
  <si>
    <t>Winery Development Design Costs 2015 FY (1 of 4)</t>
  </si>
  <si>
    <t xml:space="preserve">740 003 </t>
  </si>
  <si>
    <t>Winery Development Design Costs 2015 FY (2 of 4)</t>
  </si>
  <si>
    <t xml:space="preserve">740 004 </t>
  </si>
  <si>
    <t>Winery Development Design Costs 2015 FY (3 of 4)</t>
  </si>
  <si>
    <t xml:space="preserve">740 005 </t>
  </si>
  <si>
    <t>Winery Development Design Costs 2015 FY (4 of 4)</t>
  </si>
  <si>
    <t xml:space="preserve">740 006 </t>
  </si>
  <si>
    <t>Winery Brine System</t>
  </si>
  <si>
    <t xml:space="preserve">740 007 </t>
  </si>
  <si>
    <t>Winery Carpark</t>
  </si>
  <si>
    <t xml:space="preserve">740 008 </t>
  </si>
  <si>
    <t>Winery Catwalks</t>
  </si>
  <si>
    <t xml:space="preserve">740 009 </t>
  </si>
  <si>
    <t>Switchboard Generator Input Modification</t>
  </si>
  <si>
    <t xml:space="preserve">740 010 </t>
  </si>
  <si>
    <t>Winery Electrical Works</t>
  </si>
  <si>
    <t xml:space="preserve">740 011 </t>
  </si>
  <si>
    <t>Winery Office and Lunch Room Works</t>
  </si>
  <si>
    <t xml:space="preserve">740 012 </t>
  </si>
  <si>
    <t>Winery Slab w Drainage to Waste Water (2,420m2)</t>
  </si>
  <si>
    <t xml:space="preserve">740 013 </t>
  </si>
  <si>
    <t>Winery Waste Water System Incl Lined Dam</t>
  </si>
  <si>
    <t xml:space="preserve">740 014 </t>
  </si>
  <si>
    <t>Chemical Resistant Bench Top &amp; Sink</t>
  </si>
  <si>
    <t xml:space="preserve">740 015 </t>
  </si>
  <si>
    <t>Winery Development Fees (Incl Cladding)</t>
  </si>
  <si>
    <t xml:space="preserve">740 016 </t>
  </si>
  <si>
    <t>Fees for Office Fitout</t>
  </si>
  <si>
    <t xml:space="preserve">740 017 </t>
  </si>
  <si>
    <t>Council Queries - New Office Fitout</t>
  </si>
  <si>
    <t xml:space="preserve">740 018 </t>
  </si>
  <si>
    <t>Coolroom</t>
  </si>
  <si>
    <t xml:space="preserve">740 019 </t>
  </si>
  <si>
    <t>Catwalks</t>
  </si>
  <si>
    <t xml:space="preserve">740 020 </t>
  </si>
  <si>
    <t>Drains</t>
  </si>
  <si>
    <t xml:space="preserve">740 021 </t>
  </si>
  <si>
    <t>Brine Lines</t>
  </si>
  <si>
    <t xml:space="preserve">740 022 </t>
  </si>
  <si>
    <t>Tank Lid LIfting Beams</t>
  </si>
  <si>
    <t xml:space="preserve">740 023 </t>
  </si>
  <si>
    <t>Monorail</t>
  </si>
  <si>
    <t xml:space="preserve">740 024 </t>
  </si>
  <si>
    <t>Electrical Work - Powerpoints &amp; Oven &amp; HWS</t>
  </si>
  <si>
    <t xml:space="preserve">740 025 </t>
  </si>
  <si>
    <t>Electrical Work - PLC Control</t>
  </si>
  <si>
    <t xml:space="preserve">740 026 </t>
  </si>
  <si>
    <t>Electrical Work - Light &amp; Power Switchboards</t>
  </si>
  <si>
    <t xml:space="preserve">740 027 </t>
  </si>
  <si>
    <t>Electrical Work - Install LED Canopy Lighting</t>
  </si>
  <si>
    <t xml:space="preserve">740 028 </t>
  </si>
  <si>
    <t>Electrical Work - Install 400Amp</t>
  </si>
  <si>
    <t xml:space="preserve">740 029 </t>
  </si>
  <si>
    <t>Electrical Work - Supply &amp; Install Distribution Board</t>
  </si>
  <si>
    <t xml:space="preserve">740 030 </t>
  </si>
  <si>
    <t>Electrical Work - Underground cabling</t>
  </si>
  <si>
    <t xml:space="preserve">740 031 </t>
  </si>
  <si>
    <t>Fit PA Doors to Warehouse &amp; North Fence</t>
  </si>
  <si>
    <t xml:space="preserve">740 032 </t>
  </si>
  <si>
    <t>Manufacture Frames for Three Signs</t>
  </si>
  <si>
    <t xml:space="preserve">740 033 </t>
  </si>
  <si>
    <t>Fit Fence to Retaining</t>
  </si>
  <si>
    <t xml:space="preserve">740 034 </t>
  </si>
  <si>
    <t>Drains for Barrel Shed</t>
  </si>
  <si>
    <t xml:space="preserve">740 035 </t>
  </si>
  <si>
    <t>Catwalks for barrel shed</t>
  </si>
  <si>
    <t xml:space="preserve">740 036 </t>
  </si>
  <si>
    <t>Plants to stop dirt errosion</t>
  </si>
  <si>
    <t xml:space="preserve">740 037 </t>
  </si>
  <si>
    <t>Pipe bridge to barrel store</t>
  </si>
  <si>
    <t xml:space="preserve">740 038 </t>
  </si>
  <si>
    <t>Soil for retaining wall</t>
  </si>
  <si>
    <t xml:space="preserve">740 039 </t>
  </si>
  <si>
    <t>Matting for plants</t>
  </si>
  <si>
    <t xml:space="preserve">740 040 </t>
  </si>
  <si>
    <t>Brine Lines to barrel shed and crusher area</t>
  </si>
  <si>
    <t xml:space="preserve">740 041 </t>
  </si>
  <si>
    <t>AW SS Round tube 6M - Brine Lines</t>
  </si>
  <si>
    <t xml:space="preserve">740 042 </t>
  </si>
  <si>
    <t>Brine Lines for 37KI and 26KI tanks</t>
  </si>
  <si>
    <t xml:space="preserve">740 043 </t>
  </si>
  <si>
    <t>Brine Lines insulation foil</t>
  </si>
  <si>
    <t xml:space="preserve">740 044 </t>
  </si>
  <si>
    <t>Brine System Works</t>
  </si>
  <si>
    <t xml:space="preserve">740 045 </t>
  </si>
  <si>
    <t>Round Tube for Brine Lines</t>
  </si>
  <si>
    <t xml:space="preserve">740 046 </t>
  </si>
  <si>
    <t>Winelines to Catwalks in tankform</t>
  </si>
  <si>
    <t xml:space="preserve">740 047 </t>
  </si>
  <si>
    <t>Wine lines to tank farm</t>
  </si>
  <si>
    <t xml:space="preserve">740 048 </t>
  </si>
  <si>
    <t>Grape Receival design project</t>
  </si>
  <si>
    <t xml:space="preserve">740 049 </t>
  </si>
  <si>
    <t>Extend Copper Line Crossflow</t>
  </si>
  <si>
    <t xml:space="preserve">740 050 </t>
  </si>
  <si>
    <t>2 x Perforated Stainless steel sheets</t>
  </si>
  <si>
    <t xml:space="preserve">740 051 </t>
  </si>
  <si>
    <t>Waste Pipes for receival area</t>
  </si>
  <si>
    <t xml:space="preserve">740 052 </t>
  </si>
  <si>
    <t>Paint for New Wine Slab</t>
  </si>
  <si>
    <t xml:space="preserve">740 053 </t>
  </si>
  <si>
    <t>Deposit for works - carpark slab, plinths</t>
  </si>
  <si>
    <t xml:space="preserve">740 054 </t>
  </si>
  <si>
    <t>Stairway for Grape Receival Area</t>
  </si>
  <si>
    <t xml:space="preserve">740 055 </t>
  </si>
  <si>
    <t>Extending drain to dam for shed and receival</t>
  </si>
  <si>
    <t xml:space="preserve">740 056 </t>
  </si>
  <si>
    <t>Seel for Receival area</t>
  </si>
  <si>
    <t xml:space="preserve">740 057 </t>
  </si>
  <si>
    <t>Concrete for new carpark, plinths</t>
  </si>
  <si>
    <t xml:space="preserve">740 058 </t>
  </si>
  <si>
    <t>Round Tube Steel</t>
  </si>
  <si>
    <t xml:space="preserve">740 059 </t>
  </si>
  <si>
    <t>Catwalk Steel</t>
  </si>
  <si>
    <t xml:space="preserve">740 060 </t>
  </si>
  <si>
    <t>Catwalks for barrel she wine tanks</t>
  </si>
  <si>
    <t xml:space="preserve">740 061 </t>
  </si>
  <si>
    <t>Catwalks for new barrel store</t>
  </si>
  <si>
    <t xml:space="preserve">740 062 </t>
  </si>
  <si>
    <t xml:space="preserve">740 063 </t>
  </si>
  <si>
    <t xml:space="preserve">740 064 </t>
  </si>
  <si>
    <t>Catwalks and stairs for new receival area</t>
  </si>
  <si>
    <t xml:space="preserve">740 065 </t>
  </si>
  <si>
    <t>Catwalks for Grape receival</t>
  </si>
  <si>
    <t xml:space="preserve">740 066 </t>
  </si>
  <si>
    <t>Steel for Catwalks</t>
  </si>
  <si>
    <t xml:space="preserve">740 067 </t>
  </si>
  <si>
    <t>Manufacture Catwalks and Stairs</t>
  </si>
  <si>
    <t xml:space="preserve">740 068 </t>
  </si>
  <si>
    <t>Catwalks and risers for 200kl and 90kl tanks</t>
  </si>
  <si>
    <t xml:space="preserve">740 069 </t>
  </si>
  <si>
    <t>Catwalk rails for grape receival area</t>
  </si>
  <si>
    <t xml:space="preserve">740 070 </t>
  </si>
  <si>
    <t>Catwalk Steel for recevial area</t>
  </si>
  <si>
    <t xml:space="preserve">740 071 </t>
  </si>
  <si>
    <t>Catwalks to grape receival area</t>
  </si>
  <si>
    <t xml:space="preserve">740 072 </t>
  </si>
  <si>
    <t>Catwalks and stairs to tank farm</t>
  </si>
  <si>
    <t xml:space="preserve">740 073 </t>
  </si>
  <si>
    <t xml:space="preserve">740 074 </t>
  </si>
  <si>
    <t>Extend hot water pipes around winery</t>
  </si>
  <si>
    <t xml:space="preserve">740 075 </t>
  </si>
  <si>
    <t>Storm Water to Dam</t>
  </si>
  <si>
    <t xml:space="preserve">740 076 </t>
  </si>
  <si>
    <t>Work &amp; Materials - New Office</t>
  </si>
  <si>
    <t xml:space="preserve">740 077 </t>
  </si>
  <si>
    <t>Poly Ferrule for brine lines</t>
  </si>
  <si>
    <t xml:space="preserve">740 078 </t>
  </si>
  <si>
    <t>Poly Ferrule - Brine Lines</t>
  </si>
  <si>
    <t xml:space="preserve">740 079 </t>
  </si>
  <si>
    <t>Brine Lines to tank farm</t>
  </si>
  <si>
    <t xml:space="preserve">740 080 </t>
  </si>
  <si>
    <t>services to proposed crusher area</t>
  </si>
  <si>
    <t xml:space="preserve">740 081 </t>
  </si>
  <si>
    <t>Grind 2 stumps - receival area</t>
  </si>
  <si>
    <t xml:space="preserve">740 082 </t>
  </si>
  <si>
    <t>Paint for New Wine Slab (200kls and 90kls)</t>
  </si>
  <si>
    <t xml:space="preserve">740 083 </t>
  </si>
  <si>
    <t>stairs and steelwork</t>
  </si>
  <si>
    <t xml:space="preserve">740 084 </t>
  </si>
  <si>
    <t>Frames for catwalks - new barrel store</t>
  </si>
  <si>
    <t xml:space="preserve">740 085 </t>
  </si>
  <si>
    <t xml:space="preserve">740 086 </t>
  </si>
  <si>
    <t>Platforms, steps and plates</t>
  </si>
  <si>
    <t xml:space="preserve">740 087 </t>
  </si>
  <si>
    <t>Steel angles for catwalks</t>
  </si>
  <si>
    <t xml:space="preserve">740 088 </t>
  </si>
  <si>
    <t>Platforms and steps for catwalks</t>
  </si>
  <si>
    <t xml:space="preserve">740 089 </t>
  </si>
  <si>
    <t>Office stairway</t>
  </si>
  <si>
    <t xml:space="preserve">740 090 </t>
  </si>
  <si>
    <t>Pipe &amp; Cable Clamp for strut 54mm HDG steel</t>
  </si>
  <si>
    <t xml:space="preserve">740 091 </t>
  </si>
  <si>
    <t>Poly Ferrule 76-178mm x 40 for brine lines</t>
  </si>
  <si>
    <t xml:space="preserve">740 092 </t>
  </si>
  <si>
    <t>Pipe and cable clamp &amp; Ezy isolation for brine</t>
  </si>
  <si>
    <t xml:space="preserve">740 093 </t>
  </si>
  <si>
    <t>cylinders and clevis for new crush area</t>
  </si>
  <si>
    <t xml:space="preserve">740 094 </t>
  </si>
  <si>
    <t>Pferd Ultra thin Block - catwalks</t>
  </si>
  <si>
    <t xml:space="preserve">740 095 </t>
  </si>
  <si>
    <t>1 1/2" Tube Clamp x 10 - Catwalks</t>
  </si>
  <si>
    <t xml:space="preserve">740 096 </t>
  </si>
  <si>
    <t>M8 x 40 Hex Bolt G304 x 10 - Catwalks</t>
  </si>
  <si>
    <t xml:space="preserve">740 097 </t>
  </si>
  <si>
    <t>Square edge flats - catwalks</t>
  </si>
  <si>
    <t xml:space="preserve">740 098 </t>
  </si>
  <si>
    <t>black nylon handibar</t>
  </si>
  <si>
    <t xml:space="preserve">740 099 </t>
  </si>
  <si>
    <t>Data cable</t>
  </si>
  <si>
    <t xml:space="preserve">740 100 </t>
  </si>
  <si>
    <t>Cable Tray for New Switchboard</t>
  </si>
  <si>
    <t xml:space="preserve">740 101 </t>
  </si>
  <si>
    <t>Storm Water for Barrel Shed</t>
  </si>
  <si>
    <t xml:space="preserve">740 102 </t>
  </si>
  <si>
    <t xml:space="preserve">740 103 </t>
  </si>
  <si>
    <t xml:space="preserve">740 104 </t>
  </si>
  <si>
    <t>Fire Hose Reel in Barrel Shed</t>
  </si>
  <si>
    <t xml:space="preserve">740 105 </t>
  </si>
  <si>
    <t>Plant Irrigation System</t>
  </si>
  <si>
    <t xml:space="preserve">740 106 </t>
  </si>
  <si>
    <t>Copper &amp; Fittings in Barrel Shed</t>
  </si>
  <si>
    <t xml:space="preserve">740 107 </t>
  </si>
  <si>
    <t>Drain Construction for Barrel Shed</t>
  </si>
  <si>
    <t xml:space="preserve">740 108 </t>
  </si>
  <si>
    <t>Paint Supplies for Barrel Shed</t>
  </si>
  <si>
    <t xml:space="preserve">740 109 </t>
  </si>
  <si>
    <t>Rubbish Removal</t>
  </si>
  <si>
    <t xml:space="preserve">740 110 </t>
  </si>
  <si>
    <t>Concrete Sand</t>
  </si>
  <si>
    <t xml:space="preserve">740 111 </t>
  </si>
  <si>
    <t>Corrugated Roof Sheets</t>
  </si>
  <si>
    <t xml:space="preserve">740 112 </t>
  </si>
  <si>
    <t>Wine Line Construction</t>
  </si>
  <si>
    <t xml:space="preserve">740 113 </t>
  </si>
  <si>
    <t xml:space="preserve">740 114 </t>
  </si>
  <si>
    <t xml:space="preserve">740 115 </t>
  </si>
  <si>
    <t xml:space="preserve">740 116 </t>
  </si>
  <si>
    <t>Mesh for Catwalks</t>
  </si>
  <si>
    <t xml:space="preserve">740 117 </t>
  </si>
  <si>
    <t xml:space="preserve">740 118 </t>
  </si>
  <si>
    <t>Galvanising Steel for Catwalks</t>
  </si>
  <si>
    <t xml:space="preserve">740 119 </t>
  </si>
  <si>
    <t>Crane to Lift Catwalks above Tanks</t>
  </si>
  <si>
    <t xml:space="preserve">740 120 </t>
  </si>
  <si>
    <t xml:space="preserve">740 121 </t>
  </si>
  <si>
    <t xml:space="preserve">740 122 </t>
  </si>
  <si>
    <t xml:space="preserve">740 123 </t>
  </si>
  <si>
    <t xml:space="preserve">740 124 </t>
  </si>
  <si>
    <t xml:space="preserve">740 125 </t>
  </si>
  <si>
    <t>Hot Dip Galv Catwalk Steps</t>
  </si>
  <si>
    <t xml:space="preserve">740 126 </t>
  </si>
  <si>
    <t xml:space="preserve">740 127 </t>
  </si>
  <si>
    <t xml:space="preserve">740 128 </t>
  </si>
  <si>
    <t xml:space="preserve">740 129 </t>
  </si>
  <si>
    <t>Catwalk Construction</t>
  </si>
  <si>
    <t xml:space="preserve">740 130 </t>
  </si>
  <si>
    <t xml:space="preserve">740 131 </t>
  </si>
  <si>
    <t>New Office Work</t>
  </si>
  <si>
    <t xml:space="preserve">740 132 </t>
  </si>
  <si>
    <t>Jarah Benchtops</t>
  </si>
  <si>
    <t xml:space="preserve">740 133 </t>
  </si>
  <si>
    <t>Install New Carpet Squares</t>
  </si>
  <si>
    <t xml:space="preserve">740 134 </t>
  </si>
  <si>
    <t>305m Data Cable</t>
  </si>
  <si>
    <t xml:space="preserve">740 135 </t>
  </si>
  <si>
    <t>Relocate Coolroom Condensing Unit</t>
  </si>
  <si>
    <t xml:space="preserve">740 136 </t>
  </si>
  <si>
    <t>Office Stairway</t>
  </si>
  <si>
    <t xml:space="preserve">740 137 </t>
  </si>
  <si>
    <t>Abrasive Nosing for Stairs</t>
  </si>
  <si>
    <t xml:space="preserve">740 138 </t>
  </si>
  <si>
    <t xml:space="preserve">740 139 </t>
  </si>
  <si>
    <t>Paint External Staircase</t>
  </si>
  <si>
    <t xml:space="preserve">740 140 </t>
  </si>
  <si>
    <t xml:space="preserve">740 141 </t>
  </si>
  <si>
    <t xml:space="preserve">740 142 </t>
  </si>
  <si>
    <t>Sewer Connection</t>
  </si>
  <si>
    <t xml:space="preserve">740 143 </t>
  </si>
  <si>
    <t xml:space="preserve">740 144 </t>
  </si>
  <si>
    <t>Concrete Extension/Retaining Wall/2 Tank Plinths</t>
  </si>
  <si>
    <t xml:space="preserve">740 145 </t>
  </si>
  <si>
    <t>Demolish Press Area &amp; Trolley Beams</t>
  </si>
  <si>
    <t xml:space="preserve">740 146 </t>
  </si>
  <si>
    <t>Trolley Beams</t>
  </si>
  <si>
    <t>742</t>
  </si>
  <si>
    <t>Plant &amp; Equipment</t>
  </si>
  <si>
    <t xml:space="preserve">10105 </t>
  </si>
  <si>
    <t>Stainless Steel Tank-4500 Litre</t>
  </si>
  <si>
    <t>D</t>
  </si>
  <si>
    <t xml:space="preserve">10106 </t>
  </si>
  <si>
    <t>Stainless Steel Tank-2500 Litre</t>
  </si>
  <si>
    <t xml:space="preserve">10107 </t>
  </si>
  <si>
    <t>Barrel Rack</t>
  </si>
  <si>
    <t xml:space="preserve">10110 </t>
  </si>
  <si>
    <t>Fittings for Plastic Tanks</t>
  </si>
  <si>
    <t xml:space="preserve">101101 </t>
  </si>
  <si>
    <t xml:space="preserve">10111 </t>
  </si>
  <si>
    <t>Extention Lead</t>
  </si>
  <si>
    <t xml:space="preserve">1013 </t>
  </si>
  <si>
    <t>Bench Crown Capper</t>
  </si>
  <si>
    <t xml:space="preserve">1014 </t>
  </si>
  <si>
    <t>Pallet Truck</t>
  </si>
  <si>
    <t xml:space="preserve">1016 </t>
  </si>
  <si>
    <t>Insulation of Tanks (2x 26kl, 2x 18kl, 2x 6.8kl &amp; 2x 27kl)</t>
  </si>
  <si>
    <t xml:space="preserve">1019 </t>
  </si>
  <si>
    <t>HP CLJCP3525N A4 Colour Laser Jet Printer</t>
  </si>
  <si>
    <t xml:space="preserve">102 </t>
  </si>
  <si>
    <t>Printer</t>
  </si>
  <si>
    <t xml:space="preserve">1022 </t>
  </si>
  <si>
    <t>Inoxpa RV6s Helicoidal Pump</t>
  </si>
  <si>
    <t xml:space="preserve">1023 </t>
  </si>
  <si>
    <t>Stainless Steel Round Fermenter</t>
  </si>
  <si>
    <t xml:space="preserve">1024 </t>
  </si>
  <si>
    <t>Modifications to Kappa Crusher</t>
  </si>
  <si>
    <t xml:space="preserve">1026 </t>
  </si>
  <si>
    <t>Brand Stencil for Barrel Marketing</t>
  </si>
  <si>
    <t xml:space="preserve">1028 </t>
  </si>
  <si>
    <t xml:space="preserve">1029 </t>
  </si>
  <si>
    <t>Plastic Tanks</t>
  </si>
  <si>
    <t xml:space="preserve">10299 </t>
  </si>
  <si>
    <t>4 Inoxpa Pumps RV - 65</t>
  </si>
  <si>
    <t xml:space="preserve">103 </t>
  </si>
  <si>
    <t>Laptop</t>
  </si>
  <si>
    <t xml:space="preserve">1030 </t>
  </si>
  <si>
    <t>QenoFlow XL 4-S Crossflow Filter</t>
  </si>
  <si>
    <t xml:space="preserve">1031 </t>
  </si>
  <si>
    <t>Stainless Steel Tank 2000Lt Plus Valves</t>
  </si>
  <si>
    <t xml:space="preserve">1032 </t>
  </si>
  <si>
    <t>Sonos Bundle Inc Remote Controller</t>
  </si>
  <si>
    <t xml:space="preserve">104 </t>
  </si>
  <si>
    <t>Tasting Glasses</t>
  </si>
  <si>
    <t xml:space="preserve">105 </t>
  </si>
  <si>
    <t>Glue Gun</t>
  </si>
  <si>
    <t xml:space="preserve">106 </t>
  </si>
  <si>
    <t>24 Tasting Glasses</t>
  </si>
  <si>
    <t xml:space="preserve">107 </t>
  </si>
  <si>
    <t>3 Office Chairs</t>
  </si>
  <si>
    <t xml:space="preserve">108 </t>
  </si>
  <si>
    <t>Ladders</t>
  </si>
  <si>
    <t xml:space="preserve">109 </t>
  </si>
  <si>
    <t>Measuring Jugs</t>
  </si>
  <si>
    <t xml:space="preserve">11 </t>
  </si>
  <si>
    <t>4 x 1000 litre tubs</t>
  </si>
  <si>
    <t xml:space="preserve">110 </t>
  </si>
  <si>
    <t>Drum Pump</t>
  </si>
  <si>
    <t xml:space="preserve">111 </t>
  </si>
  <si>
    <t>Brine Tank</t>
  </si>
  <si>
    <t xml:space="preserve">112 </t>
  </si>
  <si>
    <t>Wheel Barrow</t>
  </si>
  <si>
    <t xml:space="preserve">113 </t>
  </si>
  <si>
    <t>Communication Cable</t>
  </si>
  <si>
    <t xml:space="preserve">114 </t>
  </si>
  <si>
    <t>HP All In One Printer</t>
  </si>
  <si>
    <t xml:space="preserve">115 </t>
  </si>
  <si>
    <t>Air Conditioner</t>
  </si>
  <si>
    <t xml:space="preserve">116 </t>
  </si>
  <si>
    <t xml:space="preserve">117 </t>
  </si>
  <si>
    <t>Wine Hoses</t>
  </si>
  <si>
    <t xml:space="preserve">119 </t>
  </si>
  <si>
    <t>Barrel Racks</t>
  </si>
  <si>
    <t xml:space="preserve">12 </t>
  </si>
  <si>
    <t>2nd Hand Barrels</t>
  </si>
  <si>
    <t xml:space="preserve">120 </t>
  </si>
  <si>
    <t>Stainless Steel Tanks</t>
  </si>
  <si>
    <t xml:space="preserve">121 </t>
  </si>
  <si>
    <t>High Pressure Cleaner</t>
  </si>
  <si>
    <t xml:space="preserve">122 </t>
  </si>
  <si>
    <t>Barrel Washer</t>
  </si>
  <si>
    <t xml:space="preserve">125 </t>
  </si>
  <si>
    <t>740 L Picking Bins</t>
  </si>
  <si>
    <t xml:space="preserve">126 </t>
  </si>
  <si>
    <t>Tank Instalation (Inc Freight &amp; Crane Hire)</t>
  </si>
  <si>
    <t xml:space="preserve">127 </t>
  </si>
  <si>
    <t>Pump Motor and Drive</t>
  </si>
  <si>
    <t xml:space="preserve">128 </t>
  </si>
  <si>
    <t>Wine Glasses</t>
  </si>
  <si>
    <t xml:space="preserve">129 </t>
  </si>
  <si>
    <t>Control Pendant For Pump</t>
  </si>
  <si>
    <t xml:space="preserve">13 </t>
  </si>
  <si>
    <t>Fittings</t>
  </si>
  <si>
    <t xml:space="preserve">130 </t>
  </si>
  <si>
    <t>Pump Pendant</t>
  </si>
  <si>
    <t xml:space="preserve">131 </t>
  </si>
  <si>
    <t xml:space="preserve">132 </t>
  </si>
  <si>
    <t>Bench Top Scale</t>
  </si>
  <si>
    <t xml:space="preserve">14 </t>
  </si>
  <si>
    <t xml:space="preserve">143 </t>
  </si>
  <si>
    <t>Diemme Kappa 25 Destemmer Crusher</t>
  </si>
  <si>
    <t xml:space="preserve">144 </t>
  </si>
  <si>
    <t>Diemme Slotted Screen Press</t>
  </si>
  <si>
    <t xml:space="preserve">145 </t>
  </si>
  <si>
    <t>15 Tonne Fermenter</t>
  </si>
  <si>
    <t xml:space="preserve">146 </t>
  </si>
  <si>
    <t>Centrifugal Pump</t>
  </si>
  <si>
    <t xml:space="preserve">147 </t>
  </si>
  <si>
    <t>Mixing Tank</t>
  </si>
  <si>
    <t xml:space="preserve">148 </t>
  </si>
  <si>
    <t>Mono Sump Pump</t>
  </si>
  <si>
    <t xml:space="preserve">149 </t>
  </si>
  <si>
    <t>Rotary Drum Seperator for Effluent</t>
  </si>
  <si>
    <t xml:space="preserve">15 </t>
  </si>
  <si>
    <t xml:space="preserve">150 </t>
  </si>
  <si>
    <t>5 x 500L Buffer Tanks</t>
  </si>
  <si>
    <t xml:space="preserve">151 </t>
  </si>
  <si>
    <t>Emergency Shower</t>
  </si>
  <si>
    <t xml:space="preserve">152 </t>
  </si>
  <si>
    <t xml:space="preserve">153 </t>
  </si>
  <si>
    <t xml:space="preserve">154 </t>
  </si>
  <si>
    <t>Brine Line Supplies</t>
  </si>
  <si>
    <t xml:space="preserve">157 </t>
  </si>
  <si>
    <t>Laptop - Dave's</t>
  </si>
  <si>
    <t xml:space="preserve">159 </t>
  </si>
  <si>
    <t>Chiller Unit</t>
  </si>
  <si>
    <t xml:space="preserve">16 </t>
  </si>
  <si>
    <t xml:space="preserve">160 </t>
  </si>
  <si>
    <t>Irrigators</t>
  </si>
  <si>
    <t xml:space="preserve">161 </t>
  </si>
  <si>
    <t>Fermenters</t>
  </si>
  <si>
    <t xml:space="preserve">162 </t>
  </si>
  <si>
    <t>2 x Wine Hoses</t>
  </si>
  <si>
    <t xml:space="preserve">163 </t>
  </si>
  <si>
    <t>Pumps &amp; Drive for Brine System</t>
  </si>
  <si>
    <t xml:space="preserve">167 </t>
  </si>
  <si>
    <t>Grinder Pump for Effluent System</t>
  </si>
  <si>
    <t xml:space="preserve">17 </t>
  </si>
  <si>
    <t xml:space="preserve">170 </t>
  </si>
  <si>
    <t>2 x Pumpover Systems for Static Fermenters</t>
  </si>
  <si>
    <t xml:space="preserve">171 </t>
  </si>
  <si>
    <t>Marantz Amplifier &amp; Speakers</t>
  </si>
  <si>
    <t xml:space="preserve">172 </t>
  </si>
  <si>
    <t>Fridge</t>
  </si>
  <si>
    <t xml:space="preserve">175 </t>
  </si>
  <si>
    <t>Oenofoss Analyser - Lab Equipment</t>
  </si>
  <si>
    <t xml:space="preserve">18 </t>
  </si>
  <si>
    <t xml:space="preserve">186 </t>
  </si>
  <si>
    <t>Fitting</t>
  </si>
  <si>
    <t xml:space="preserve">187 </t>
  </si>
  <si>
    <t>Storage Kegs</t>
  </si>
  <si>
    <t xml:space="preserve">188 </t>
  </si>
  <si>
    <t>Fermenter Alterations</t>
  </si>
  <si>
    <t xml:space="preserve">189 </t>
  </si>
  <si>
    <t>Tank Mixing Pump</t>
  </si>
  <si>
    <t xml:space="preserve">19 </t>
  </si>
  <si>
    <t xml:space="preserve">190 </t>
  </si>
  <si>
    <t>3 Inch Ball Valve</t>
  </si>
  <si>
    <t xml:space="preserve">191 </t>
  </si>
  <si>
    <t xml:space="preserve">192 </t>
  </si>
  <si>
    <t xml:space="preserve">193 </t>
  </si>
  <si>
    <t>Bins for Chemical Storage</t>
  </si>
  <si>
    <t xml:space="preserve">194 </t>
  </si>
  <si>
    <t>Padlocks for Tanks</t>
  </si>
  <si>
    <t xml:space="preserve">196 </t>
  </si>
  <si>
    <t>Sack Truck</t>
  </si>
  <si>
    <t xml:space="preserve">197 </t>
  </si>
  <si>
    <t>Ultrasonic Bath</t>
  </si>
  <si>
    <t xml:space="preserve">198 </t>
  </si>
  <si>
    <t xml:space="preserve">20 </t>
  </si>
  <si>
    <t xml:space="preserve">200 </t>
  </si>
  <si>
    <t>Acer Desktop &amp; Monitor</t>
  </si>
  <si>
    <t xml:space="preserve">201 </t>
  </si>
  <si>
    <t>Heat Exchanger</t>
  </si>
  <si>
    <t xml:space="preserve">202 </t>
  </si>
  <si>
    <t>Brother Printer</t>
  </si>
  <si>
    <t xml:space="preserve">203 </t>
  </si>
  <si>
    <t>2 x Sinks and 2 x mixers for new kitchen</t>
  </si>
  <si>
    <t xml:space="preserve">204 </t>
  </si>
  <si>
    <t>2 x Spittons</t>
  </si>
  <si>
    <t xml:space="preserve">207 </t>
  </si>
  <si>
    <t>Poly Pipe</t>
  </si>
  <si>
    <t xml:space="preserve">208 </t>
  </si>
  <si>
    <t xml:space="preserve">209 </t>
  </si>
  <si>
    <t xml:space="preserve">21 </t>
  </si>
  <si>
    <t>Basket Press</t>
  </si>
  <si>
    <t xml:space="preserve">210 </t>
  </si>
  <si>
    <t>Waste Water System Upgrade</t>
  </si>
  <si>
    <t xml:space="preserve">211 </t>
  </si>
  <si>
    <t xml:space="preserve">213 </t>
  </si>
  <si>
    <t>Pallet Tank</t>
  </si>
  <si>
    <t xml:space="preserve">214 </t>
  </si>
  <si>
    <t>Coffee Machine</t>
  </si>
  <si>
    <t xml:space="preserve">215 </t>
  </si>
  <si>
    <t xml:space="preserve">216 </t>
  </si>
  <si>
    <t>so2 and va still</t>
  </si>
  <si>
    <t xml:space="preserve">217 </t>
  </si>
  <si>
    <t>2 lengths of Wireflex Wine Hose</t>
  </si>
  <si>
    <t xml:space="preserve">218 </t>
  </si>
  <si>
    <t>7 x Puncheon Racks</t>
  </si>
  <si>
    <t xml:space="preserve">219 </t>
  </si>
  <si>
    <t>Winery Signage</t>
  </si>
  <si>
    <t xml:space="preserve">221 </t>
  </si>
  <si>
    <t>New Receival Bin</t>
  </si>
  <si>
    <t xml:space="preserve">222 </t>
  </si>
  <si>
    <t>Parts for Receival Hopper</t>
  </si>
  <si>
    <t xml:space="preserve">223 </t>
  </si>
  <si>
    <t>RHS for Receival Bin</t>
  </si>
  <si>
    <t xml:space="preserve">227 </t>
  </si>
  <si>
    <t>4 x 2kl plastic wine tanks</t>
  </si>
  <si>
    <t xml:space="preserve">228 </t>
  </si>
  <si>
    <t>Laptop - HP</t>
  </si>
  <si>
    <t xml:space="preserve">229 </t>
  </si>
  <si>
    <t>3 x 3kl VC Tanks</t>
  </si>
  <si>
    <t xml:space="preserve">23 </t>
  </si>
  <si>
    <t xml:space="preserve">231 </t>
  </si>
  <si>
    <t>Fermenter Fan</t>
  </si>
  <si>
    <t xml:space="preserve">24 </t>
  </si>
  <si>
    <t>Barrels</t>
  </si>
  <si>
    <t xml:space="preserve">242 </t>
  </si>
  <si>
    <t>Office Chair</t>
  </si>
  <si>
    <t xml:space="preserve">243 </t>
  </si>
  <si>
    <t>Office Desk</t>
  </si>
  <si>
    <t xml:space="preserve">244 </t>
  </si>
  <si>
    <t>Sundry Fittings</t>
  </si>
  <si>
    <t xml:space="preserve">245 </t>
  </si>
  <si>
    <t>Sundry Wine Fittings</t>
  </si>
  <si>
    <t xml:space="preserve">246 </t>
  </si>
  <si>
    <t>Coffee Grinder</t>
  </si>
  <si>
    <t xml:space="preserve">247 </t>
  </si>
  <si>
    <t>Glass Ware</t>
  </si>
  <si>
    <t xml:space="preserve">248 </t>
  </si>
  <si>
    <t>Pump for Rain Water System</t>
  </si>
  <si>
    <t xml:space="preserve">249 </t>
  </si>
  <si>
    <t>lab centrifuge</t>
  </si>
  <si>
    <t xml:space="preserve">25 </t>
  </si>
  <si>
    <t>Stainless Steel Work</t>
  </si>
  <si>
    <t xml:space="preserve">250 </t>
  </si>
  <si>
    <t>Lab Scales</t>
  </si>
  <si>
    <t xml:space="preserve">251 </t>
  </si>
  <si>
    <t>2 x Ladders</t>
  </si>
  <si>
    <t xml:space="preserve">252 </t>
  </si>
  <si>
    <t>Wine Fittings</t>
  </si>
  <si>
    <t xml:space="preserve">253 </t>
  </si>
  <si>
    <t xml:space="preserve">254 </t>
  </si>
  <si>
    <t xml:space="preserve">255 </t>
  </si>
  <si>
    <t xml:space="preserve">256 </t>
  </si>
  <si>
    <t>52 x 2nd Hand Barrels and Bungs</t>
  </si>
  <si>
    <t xml:space="preserve">257 </t>
  </si>
  <si>
    <t>SS Fittings and Cleaning Pipe for VC</t>
  </si>
  <si>
    <t xml:space="preserve">258 </t>
  </si>
  <si>
    <t>50 x Barrel Racks</t>
  </si>
  <si>
    <t xml:space="preserve">259 </t>
  </si>
  <si>
    <t>96 x 2nd Hand Barrels</t>
  </si>
  <si>
    <t xml:space="preserve">26 </t>
  </si>
  <si>
    <t xml:space="preserve">260 </t>
  </si>
  <si>
    <t>Lock for Tanks</t>
  </si>
  <si>
    <t xml:space="preserve">261 </t>
  </si>
  <si>
    <t>100 x 2nd Hand Falland Hogshead Barrel Racks</t>
  </si>
  <si>
    <t xml:space="preserve">262 </t>
  </si>
  <si>
    <t xml:space="preserve">263 </t>
  </si>
  <si>
    <t>46 x 2nd Hand Barrels</t>
  </si>
  <si>
    <t xml:space="preserve">264 </t>
  </si>
  <si>
    <t>2100G Portable Turbidity Meter</t>
  </si>
  <si>
    <t xml:space="preserve">265 </t>
  </si>
  <si>
    <t>4 X Wine Tanks + Transport + Installation</t>
  </si>
  <si>
    <t xml:space="preserve">268 </t>
  </si>
  <si>
    <t>Avery Label Printing System</t>
  </si>
  <si>
    <t xml:space="preserve">27 </t>
  </si>
  <si>
    <t xml:space="preserve">272 </t>
  </si>
  <si>
    <t>HP Laptop CPQ4DV63132</t>
  </si>
  <si>
    <t xml:space="preserve">273 </t>
  </si>
  <si>
    <t>Portable Inline Heater</t>
  </si>
  <si>
    <t xml:space="preserve">279 </t>
  </si>
  <si>
    <t>20 X Maga Bins Solid + Tipper Bars</t>
  </si>
  <si>
    <t xml:space="preserve">28 </t>
  </si>
  <si>
    <t>Barrel Bungs</t>
  </si>
  <si>
    <t xml:space="preserve">280 </t>
  </si>
  <si>
    <t>10 X Barrique Racks</t>
  </si>
  <si>
    <t xml:space="preserve">281 </t>
  </si>
  <si>
    <t>10kl Wine Storage Tank</t>
  </si>
  <si>
    <t xml:space="preserve">283 </t>
  </si>
  <si>
    <t>3 x 10T Open Fermenters + 2 x 6.8kl Storage Tanks</t>
  </si>
  <si>
    <t xml:space="preserve">283a </t>
  </si>
  <si>
    <t>2 x 10T Fermenters</t>
  </si>
  <si>
    <t xml:space="preserve">285 </t>
  </si>
  <si>
    <t>100 Racks</t>
  </si>
  <si>
    <t xml:space="preserve">286 </t>
  </si>
  <si>
    <t>Acer Server Altos G330</t>
  </si>
  <si>
    <t xml:space="preserve">287 </t>
  </si>
  <si>
    <t>Vacuum Pump</t>
  </si>
  <si>
    <t xml:space="preserve">288 </t>
  </si>
  <si>
    <t>Sthil Chainsaw MS230c</t>
  </si>
  <si>
    <t xml:space="preserve">289 </t>
  </si>
  <si>
    <t>Video Projector LCD XGA ANSI</t>
  </si>
  <si>
    <t xml:space="preserve">29 </t>
  </si>
  <si>
    <t xml:space="preserve">290 </t>
  </si>
  <si>
    <t>Mashmaster - Mill</t>
  </si>
  <si>
    <t xml:space="preserve">291 </t>
  </si>
  <si>
    <t>4 X Riedel Sommelier Champagne Glasses</t>
  </si>
  <si>
    <t xml:space="preserve">292 </t>
  </si>
  <si>
    <t>Sunbeam Foodsaver Vacuum Packaging System</t>
  </si>
  <si>
    <t xml:space="preserve">293 </t>
  </si>
  <si>
    <t>Pricam Flowmeter</t>
  </si>
  <si>
    <t xml:space="preserve">294 </t>
  </si>
  <si>
    <t>Assorted Stainless Kegs</t>
  </si>
  <si>
    <t xml:space="preserve">295 </t>
  </si>
  <si>
    <t>Round Fold Up Tables</t>
  </si>
  <si>
    <t xml:space="preserve">296 </t>
  </si>
  <si>
    <t>Assorted Plastic Tubs</t>
  </si>
  <si>
    <t xml:space="preserve">297 </t>
  </si>
  <si>
    <t>Plutone PR 50mm IDX 30m</t>
  </si>
  <si>
    <t xml:space="preserve">298 </t>
  </si>
  <si>
    <t>Stainless Steel Tank</t>
  </si>
  <si>
    <t xml:space="preserve">299 </t>
  </si>
  <si>
    <t>Lab Stereo</t>
  </si>
  <si>
    <t xml:space="preserve">30 </t>
  </si>
  <si>
    <t>Tank Fittings</t>
  </si>
  <si>
    <t xml:space="preserve">31 </t>
  </si>
  <si>
    <t>MYOB Accounting Software</t>
  </si>
  <si>
    <t xml:space="preserve">33 </t>
  </si>
  <si>
    <t>Liverani Major 60 Impeeler</t>
  </si>
  <si>
    <t xml:space="preserve">34 </t>
  </si>
  <si>
    <t>20 Barrel Racks</t>
  </si>
  <si>
    <t xml:space="preserve">35 </t>
  </si>
  <si>
    <t>75 Barrel Cradles</t>
  </si>
  <si>
    <t xml:space="preserve">36 </t>
  </si>
  <si>
    <t>Digital Camera</t>
  </si>
  <si>
    <t xml:space="preserve">400 </t>
  </si>
  <si>
    <t>Perry 23 Padlocks</t>
  </si>
  <si>
    <t xml:space="preserve">400b </t>
  </si>
  <si>
    <t>Perry 22 Padlocks</t>
  </si>
  <si>
    <t xml:space="preserve">49 </t>
  </si>
  <si>
    <t>Farmenter</t>
  </si>
  <si>
    <t xml:space="preserve">50 </t>
  </si>
  <si>
    <t>Fermenter</t>
  </si>
  <si>
    <t xml:space="preserve">51 </t>
  </si>
  <si>
    <t xml:space="preserve">52 </t>
  </si>
  <si>
    <t>Barrel racks (42)</t>
  </si>
  <si>
    <t xml:space="preserve">53 </t>
  </si>
  <si>
    <t>Stainless Steel Storage Tanks</t>
  </si>
  <si>
    <t xml:space="preserve">54 </t>
  </si>
  <si>
    <t>Forklift</t>
  </si>
  <si>
    <t xml:space="preserve">55 </t>
  </si>
  <si>
    <t>Load Binder</t>
  </si>
  <si>
    <t xml:space="preserve">56 </t>
  </si>
  <si>
    <t>Riedels (12)</t>
  </si>
  <si>
    <t xml:space="preserve">57 </t>
  </si>
  <si>
    <t>Decanter</t>
  </si>
  <si>
    <t xml:space="preserve">58 </t>
  </si>
  <si>
    <t>Ladder</t>
  </si>
  <si>
    <t xml:space="preserve">59 </t>
  </si>
  <si>
    <t>Barrel Racks (25)</t>
  </si>
  <si>
    <t xml:space="preserve">60 </t>
  </si>
  <si>
    <t xml:space="preserve">61 </t>
  </si>
  <si>
    <t>Barrel racks (20)</t>
  </si>
  <si>
    <t xml:space="preserve">62 </t>
  </si>
  <si>
    <t>Pump</t>
  </si>
  <si>
    <t xml:space="preserve">63 </t>
  </si>
  <si>
    <t xml:space="preserve">64 </t>
  </si>
  <si>
    <t>Water Hose</t>
  </si>
  <si>
    <t xml:space="preserve">742274 </t>
  </si>
  <si>
    <t>3 Stainless Steel Fermenters</t>
  </si>
  <si>
    <t xml:space="preserve">742275 </t>
  </si>
  <si>
    <t>5700L Cross Tanker</t>
  </si>
  <si>
    <t xml:space="preserve">742276 </t>
  </si>
  <si>
    <t>Insulation of 3 9000L Tanks</t>
  </si>
  <si>
    <t xml:space="preserve">742277 </t>
  </si>
  <si>
    <t>Stereo</t>
  </si>
  <si>
    <t xml:space="preserve">742278 </t>
  </si>
  <si>
    <t>20 Barrel Cradles - Southcorp</t>
  </si>
  <si>
    <t xml:space="preserve">742279 </t>
  </si>
  <si>
    <t>100 Barrel Racks - Beringer</t>
  </si>
  <si>
    <t xml:space="preserve">742280 </t>
  </si>
  <si>
    <t>50 Barrel Racks - Southcorp</t>
  </si>
  <si>
    <t xml:space="preserve">742281 </t>
  </si>
  <si>
    <t xml:space="preserve">742282 </t>
  </si>
  <si>
    <t>2 Ladders</t>
  </si>
  <si>
    <t xml:space="preserve">742283 </t>
  </si>
  <si>
    <t>9000L tank, 2x4500L tanks, 3x1000L tanks &amp; pedestal</t>
  </si>
  <si>
    <t xml:space="preserve">742284 </t>
  </si>
  <si>
    <t>Computer Jan - Acer</t>
  </si>
  <si>
    <t xml:space="preserve">742286 </t>
  </si>
  <si>
    <t>Pall Water Filter</t>
  </si>
  <si>
    <t xml:space="preserve">742287 </t>
  </si>
  <si>
    <t>Locky Laptop - Dell</t>
  </si>
  <si>
    <t xml:space="preserve">742288 </t>
  </si>
  <si>
    <t>8000Lt Holding Tank</t>
  </si>
  <si>
    <t xml:space="preserve">742289 </t>
  </si>
  <si>
    <t>3000Lt Holding Tank</t>
  </si>
  <si>
    <t xml:space="preserve">742290 </t>
  </si>
  <si>
    <t>1300Ltr Plastic Wine Tank</t>
  </si>
  <si>
    <t xml:space="preserve">742291 </t>
  </si>
  <si>
    <t xml:space="preserve">742292 </t>
  </si>
  <si>
    <t>Mac 30 kg x 1 g Counting Scales</t>
  </si>
  <si>
    <t xml:space="preserve">742293 </t>
  </si>
  <si>
    <t>Diesel Generator</t>
  </si>
  <si>
    <t xml:space="preserve">742294 </t>
  </si>
  <si>
    <t>Diesel Generator - Improvements</t>
  </si>
  <si>
    <t xml:space="preserve">742295 </t>
  </si>
  <si>
    <t>6,400 Ltre of Alcool LF $3.45/Lt FIS</t>
  </si>
  <si>
    <t>S</t>
  </si>
  <si>
    <t xml:space="preserve">742296 </t>
  </si>
  <si>
    <t>New Brine Pump</t>
  </si>
  <si>
    <t xml:space="preserve">742297 </t>
  </si>
  <si>
    <t>Stainless Steel Benches</t>
  </si>
  <si>
    <t xml:space="preserve">742298 </t>
  </si>
  <si>
    <t>Micro Ox System</t>
  </si>
  <si>
    <t xml:space="preserve">742299 </t>
  </si>
  <si>
    <t>Barrel Cradles</t>
  </si>
  <si>
    <t xml:space="preserve">742300 </t>
  </si>
  <si>
    <t>Inoxpa RV65 Helicodal pump c/w motor</t>
  </si>
  <si>
    <t xml:space="preserve">742301 </t>
  </si>
  <si>
    <t>Large Heat Exchanger</t>
  </si>
  <si>
    <t xml:space="preserve">742302 </t>
  </si>
  <si>
    <t>Office PC</t>
  </si>
  <si>
    <t xml:space="preserve">742303 </t>
  </si>
  <si>
    <t>2 x 138kL Tank</t>
  </si>
  <si>
    <t xml:space="preserve">742304 </t>
  </si>
  <si>
    <t>2 x 90kL Stainless Steel Tank</t>
  </si>
  <si>
    <t xml:space="preserve">742306 </t>
  </si>
  <si>
    <t>3 x 3.6kL Stainless Steel Wine Tank</t>
  </si>
  <si>
    <t xml:space="preserve">742307 </t>
  </si>
  <si>
    <t>3 x 4.5kL Stainless Steel Wine Tanks</t>
  </si>
  <si>
    <t xml:space="preserve">742309 </t>
  </si>
  <si>
    <t>CO2 &amp; O2 Gas Meter</t>
  </si>
  <si>
    <t xml:space="preserve">742310 </t>
  </si>
  <si>
    <t>Rotary Drainer</t>
  </si>
  <si>
    <t xml:space="preserve">742311 </t>
  </si>
  <si>
    <t>Rubble</t>
  </si>
  <si>
    <t xml:space="preserve">742312 </t>
  </si>
  <si>
    <t>8x6m Shed</t>
  </si>
  <si>
    <t xml:space="preserve">742313 </t>
  </si>
  <si>
    <t>Fencing</t>
  </si>
  <si>
    <t xml:space="preserve">742314 </t>
  </si>
  <si>
    <t>Board Room Table</t>
  </si>
  <si>
    <t xml:space="preserve">742315 </t>
  </si>
  <si>
    <t>10kL Tank</t>
  </si>
  <si>
    <t xml:space="preserve">742316 </t>
  </si>
  <si>
    <t>Maxiplas Tank</t>
  </si>
  <si>
    <t xml:space="preserve">742317 </t>
  </si>
  <si>
    <t>Stainless Steel Tank 47730L - Lot 1000</t>
  </si>
  <si>
    <t xml:space="preserve">742318 </t>
  </si>
  <si>
    <t>Stainless Steel Tank 2360L - Lot 1006</t>
  </si>
  <si>
    <t xml:space="preserve">742319 </t>
  </si>
  <si>
    <t>Stainless Steel Tank 14090L - Lot 1011</t>
  </si>
  <si>
    <t xml:space="preserve">742320 </t>
  </si>
  <si>
    <t>Stainless Steel Tank 14090L - Lot 1012</t>
  </si>
  <si>
    <t xml:space="preserve">742321 </t>
  </si>
  <si>
    <t>Stainless Steel Tank 9730L - Lot 1015</t>
  </si>
  <si>
    <t xml:space="preserve">742322 </t>
  </si>
  <si>
    <t>Stainless Steel Tank 14090L - Lot 1019</t>
  </si>
  <si>
    <t xml:space="preserve">742323 </t>
  </si>
  <si>
    <t>Stainless Steel Tank 9460L - Lot 1022</t>
  </si>
  <si>
    <t xml:space="preserve">742324 </t>
  </si>
  <si>
    <t>Stainless Steel Tank 13640L - Lot 1023</t>
  </si>
  <si>
    <t xml:space="preserve">742325 </t>
  </si>
  <si>
    <t>Stainless Steel Tank 9730L - Lot 1028</t>
  </si>
  <si>
    <t xml:space="preserve">742326 </t>
  </si>
  <si>
    <t>Rodent Bait Station</t>
  </si>
  <si>
    <t xml:space="preserve">742327 </t>
  </si>
  <si>
    <t>Winery Hose</t>
  </si>
  <si>
    <t xml:space="preserve">742328 </t>
  </si>
  <si>
    <t>Grape Bins</t>
  </si>
  <si>
    <t xml:space="preserve">742330 </t>
  </si>
  <si>
    <t xml:space="preserve">742331 </t>
  </si>
  <si>
    <t>Freight &amp; Valves</t>
  </si>
  <si>
    <t xml:space="preserve">742332 </t>
  </si>
  <si>
    <t>Stainless Steel Wine Tank</t>
  </si>
  <si>
    <t xml:space="preserve">742333 </t>
  </si>
  <si>
    <t>Stainless Steel Pipes</t>
  </si>
  <si>
    <t xml:space="preserve">742334 </t>
  </si>
  <si>
    <t>38 x Catwalk Lengths</t>
  </si>
  <si>
    <t xml:space="preserve">742336 </t>
  </si>
  <si>
    <t>Steam Generator</t>
  </si>
  <si>
    <t xml:space="preserve">742337 </t>
  </si>
  <si>
    <t>5 x Wine Tank</t>
  </si>
  <si>
    <t xml:space="preserve">742338 </t>
  </si>
  <si>
    <t>4500L Wine Tank</t>
  </si>
  <si>
    <t xml:space="preserve">742339 </t>
  </si>
  <si>
    <t>50 x Barrel Cradles</t>
  </si>
  <si>
    <t xml:space="preserve">742340 </t>
  </si>
  <si>
    <t>Crate &amp; Bends</t>
  </si>
  <si>
    <t xml:space="preserve">742341 </t>
  </si>
  <si>
    <t>Glass Washer</t>
  </si>
  <si>
    <t xml:space="preserve">742342 </t>
  </si>
  <si>
    <t>17 x Hand Barrels</t>
  </si>
  <si>
    <t xml:space="preserve">742343 </t>
  </si>
  <si>
    <t xml:space="preserve">742344 </t>
  </si>
  <si>
    <t>Personnel Cage</t>
  </si>
  <si>
    <t xml:space="preserve">742345 </t>
  </si>
  <si>
    <t>Slide Compound Mitre Saw</t>
  </si>
  <si>
    <t xml:space="preserve">742346 </t>
  </si>
  <si>
    <t>Enolmix 300 Flotation</t>
  </si>
  <si>
    <t xml:space="preserve">742347 </t>
  </si>
  <si>
    <t>120 x Barrel Racks</t>
  </si>
  <si>
    <t xml:space="preserve">742348 </t>
  </si>
  <si>
    <t>100 x Barrel Racks</t>
  </si>
  <si>
    <t xml:space="preserve">742349 </t>
  </si>
  <si>
    <t>Jackhammer</t>
  </si>
  <si>
    <t xml:space="preserve">742350 </t>
  </si>
  <si>
    <t>9 x Pumps (75kw)</t>
  </si>
  <si>
    <t xml:space="preserve">742351 </t>
  </si>
  <si>
    <t>4000L Alcool LF @ $3.19</t>
  </si>
  <si>
    <t xml:space="preserve">742352 </t>
  </si>
  <si>
    <t>2000L Alcool IBC @ $3.19</t>
  </si>
  <si>
    <t xml:space="preserve">742353 </t>
  </si>
  <si>
    <t>Hot Water Service</t>
  </si>
  <si>
    <t xml:space="preserve">742354 </t>
  </si>
  <si>
    <t>Food Suction (60m) + Wasdown Hose (100m)</t>
  </si>
  <si>
    <t xml:space="preserve">742355 </t>
  </si>
  <si>
    <t>1 x 6kl SS Tank w Cooling Jacket</t>
  </si>
  <si>
    <t xml:space="preserve">742356 </t>
  </si>
  <si>
    <t>Insulation for 2 x 90kl Wine Tanks</t>
  </si>
  <si>
    <t xml:space="preserve">742357 </t>
  </si>
  <si>
    <t>1 x Lowara SHS 50-250/237 18.5kw Pump</t>
  </si>
  <si>
    <t xml:space="preserve">742358 </t>
  </si>
  <si>
    <t>Insulation of 2 Bushman Tanks</t>
  </si>
  <si>
    <t xml:space="preserve">742359 </t>
  </si>
  <si>
    <t>2 x 13.5kl Storage Tanks (Supply and Instal)</t>
  </si>
  <si>
    <t xml:space="preserve">742360 </t>
  </si>
  <si>
    <t>Barrel Cradles x 50</t>
  </si>
  <si>
    <t xml:space="preserve">742361 </t>
  </si>
  <si>
    <t>Barrel Cradles x 100</t>
  </si>
  <si>
    <t xml:space="preserve">742362 </t>
  </si>
  <si>
    <t>Stainless Steel Pump Control Panel</t>
  </si>
  <si>
    <t xml:space="preserve">742363 </t>
  </si>
  <si>
    <t>6 Inoxpa Pumps</t>
  </si>
  <si>
    <t xml:space="preserve">742364 </t>
  </si>
  <si>
    <t xml:space="preserve">742365 </t>
  </si>
  <si>
    <t>Brine Pump</t>
  </si>
  <si>
    <t xml:space="preserve">742366 </t>
  </si>
  <si>
    <t>1 Inoxpa Pump</t>
  </si>
  <si>
    <t xml:space="preserve">742367 </t>
  </si>
  <si>
    <t>2 Inoxpa Pumps</t>
  </si>
  <si>
    <t xml:space="preserve">742368 </t>
  </si>
  <si>
    <t>Sundry Wine Pumps &amp; Parts</t>
  </si>
  <si>
    <t xml:space="preserve">742369 </t>
  </si>
  <si>
    <t>Clean Up Old Mixing Tank and Convert to Storage Vessel</t>
  </si>
  <si>
    <t xml:space="preserve">742370 </t>
  </si>
  <si>
    <t>3 x 300L Steel Variable Capacity Tank</t>
  </si>
  <si>
    <t xml:space="preserve">742371 </t>
  </si>
  <si>
    <t>1 36kL Storage Tank</t>
  </si>
  <si>
    <t xml:space="preserve">742372 </t>
  </si>
  <si>
    <t xml:space="preserve">742373 </t>
  </si>
  <si>
    <t>1 27kL Storage Tank</t>
  </si>
  <si>
    <t xml:space="preserve">742374 </t>
  </si>
  <si>
    <t xml:space="preserve">742375 </t>
  </si>
  <si>
    <t>2 9600 L Wine Tanks</t>
  </si>
  <si>
    <t xml:space="preserve">742376 </t>
  </si>
  <si>
    <t>15kL Forkable Wine Storage Tank</t>
  </si>
  <si>
    <t xml:space="preserve">742377 </t>
  </si>
  <si>
    <t>2 X 4,500L Storgae Tank</t>
  </si>
  <si>
    <t xml:space="preserve">742378 </t>
  </si>
  <si>
    <t>2 x 4,500L Storage Tank</t>
  </si>
  <si>
    <t xml:space="preserve">742379 </t>
  </si>
  <si>
    <t xml:space="preserve">742380 </t>
  </si>
  <si>
    <t>9,000L Storage Tank</t>
  </si>
  <si>
    <t xml:space="preserve">742381 </t>
  </si>
  <si>
    <t xml:space="preserve">742382 </t>
  </si>
  <si>
    <t xml:space="preserve">742383 </t>
  </si>
  <si>
    <t xml:space="preserve">742384 </t>
  </si>
  <si>
    <t xml:space="preserve">742385 </t>
  </si>
  <si>
    <t xml:space="preserve">742386 </t>
  </si>
  <si>
    <t xml:space="preserve">742387 </t>
  </si>
  <si>
    <t xml:space="preserve">742388 </t>
  </si>
  <si>
    <t xml:space="preserve">742389 </t>
  </si>
  <si>
    <t xml:space="preserve">742390 </t>
  </si>
  <si>
    <t xml:space="preserve">742391 </t>
  </si>
  <si>
    <t xml:space="preserve">742392 </t>
  </si>
  <si>
    <t>3 x 2,200L Storage Tank</t>
  </si>
  <si>
    <t xml:space="preserve">742393 </t>
  </si>
  <si>
    <t>3 x 2,400L Storage Tank</t>
  </si>
  <si>
    <t xml:space="preserve">742394a </t>
  </si>
  <si>
    <t>2 x 2,700L Storage Tank</t>
  </si>
  <si>
    <t xml:space="preserve">742394b </t>
  </si>
  <si>
    <t>3 x 2,700L Storage Tank</t>
  </si>
  <si>
    <t xml:space="preserve">742395a </t>
  </si>
  <si>
    <t>1 x 7,000L Fermenter</t>
  </si>
  <si>
    <t xml:space="preserve">742395b </t>
  </si>
  <si>
    <t xml:space="preserve">742395c </t>
  </si>
  <si>
    <t xml:space="preserve">742395d </t>
  </si>
  <si>
    <t xml:space="preserve">742395e </t>
  </si>
  <si>
    <t xml:space="preserve">742396a </t>
  </si>
  <si>
    <t>1x 12,000L Fermenter</t>
  </si>
  <si>
    <t xml:space="preserve">742396b </t>
  </si>
  <si>
    <t xml:space="preserve">742396c </t>
  </si>
  <si>
    <t xml:space="preserve">742396d </t>
  </si>
  <si>
    <t xml:space="preserve">742396e </t>
  </si>
  <si>
    <t xml:space="preserve">742397a </t>
  </si>
  <si>
    <t xml:space="preserve">742397b </t>
  </si>
  <si>
    <t xml:space="preserve">742397c </t>
  </si>
  <si>
    <t xml:space="preserve">742397d </t>
  </si>
  <si>
    <t xml:space="preserve">742397e </t>
  </si>
  <si>
    <t xml:space="preserve">742398a </t>
  </si>
  <si>
    <t xml:space="preserve">742398b </t>
  </si>
  <si>
    <t xml:space="preserve">742398c </t>
  </si>
  <si>
    <t xml:space="preserve">742398d </t>
  </si>
  <si>
    <t xml:space="preserve">742398e </t>
  </si>
  <si>
    <t xml:space="preserve">742398f </t>
  </si>
  <si>
    <t xml:space="preserve">742398g </t>
  </si>
  <si>
    <t xml:space="preserve">742398h </t>
  </si>
  <si>
    <t xml:space="preserve">742398i </t>
  </si>
  <si>
    <t xml:space="preserve">742398j </t>
  </si>
  <si>
    <t xml:space="preserve">742399 </t>
  </si>
  <si>
    <t>12,000L Fermenter</t>
  </si>
  <si>
    <t xml:space="preserve">742400 </t>
  </si>
  <si>
    <t>4,500L Tank</t>
  </si>
  <si>
    <t xml:space="preserve">742401 </t>
  </si>
  <si>
    <t>1,350L Wine Fermentation Tank</t>
  </si>
  <si>
    <t xml:space="preserve">742402a </t>
  </si>
  <si>
    <t>6,000L Wine Tank</t>
  </si>
  <si>
    <t xml:space="preserve">742402b </t>
  </si>
  <si>
    <t xml:space="preserve">742402c </t>
  </si>
  <si>
    <t xml:space="preserve">742403 </t>
  </si>
  <si>
    <t>Carrier 30XA0452</t>
  </si>
  <si>
    <t xml:space="preserve">742404 </t>
  </si>
  <si>
    <t>Tecnova 150 Press</t>
  </si>
  <si>
    <t xml:space="preserve">742405 </t>
  </si>
  <si>
    <t>Load Cells for Receival Hopper</t>
  </si>
  <si>
    <t xml:space="preserve">742406 </t>
  </si>
  <si>
    <t>TB25 Mk4 Tipping Bin</t>
  </si>
  <si>
    <t xml:space="preserve">742407 </t>
  </si>
  <si>
    <t>Vinwizrd Tank Temperature Control System</t>
  </si>
  <si>
    <t xml:space="preserve">742408 </t>
  </si>
  <si>
    <t>Triad Temperature Probe Cable</t>
  </si>
  <si>
    <t xml:space="preserve">742409 </t>
  </si>
  <si>
    <t>Solenoid Cable</t>
  </si>
  <si>
    <t xml:space="preserve">742410 </t>
  </si>
  <si>
    <t>RTD PT100 Large Bakelite Head with BSP Process</t>
  </si>
  <si>
    <t xml:space="preserve">742411 </t>
  </si>
  <si>
    <t>Vinzard Control System</t>
  </si>
  <si>
    <t xml:space="preserve">742412 </t>
  </si>
  <si>
    <t>Hobart U/ Counter Glasswasher F503</t>
  </si>
  <si>
    <t xml:space="preserve">742413 </t>
  </si>
  <si>
    <t>Kaeser SK25 Air Compressor</t>
  </si>
  <si>
    <t xml:space="preserve">742414 </t>
  </si>
  <si>
    <t xml:space="preserve">742415 </t>
  </si>
  <si>
    <t>Wega Coffee Machine</t>
  </si>
  <si>
    <t xml:space="preserve">742416 </t>
  </si>
  <si>
    <t>Chainsaw</t>
  </si>
  <si>
    <t xml:space="preserve">742417 </t>
  </si>
  <si>
    <t>Hyster Forklift &amp; Rotator</t>
  </si>
  <si>
    <t xml:space="preserve">742418 </t>
  </si>
  <si>
    <t>Scanjet SA15TW High Pressure Rotary Tank Washer &amp; Tripod Stand</t>
  </si>
  <si>
    <t xml:space="preserve">742419 </t>
  </si>
  <si>
    <t>150 Barrel Cradles</t>
  </si>
  <si>
    <t xml:space="preserve">742420 </t>
  </si>
  <si>
    <t>Floor Dril Press</t>
  </si>
  <si>
    <t xml:space="preserve">742421 </t>
  </si>
  <si>
    <t>Chicago Air Compressor</t>
  </si>
  <si>
    <t xml:space="preserve">742422 </t>
  </si>
  <si>
    <t>John Deere Zero-Turn Law Mower</t>
  </si>
  <si>
    <t xml:space="preserve">742423 </t>
  </si>
  <si>
    <t>Electrical Tag Tester</t>
  </si>
  <si>
    <t xml:space="preserve">742424 </t>
  </si>
  <si>
    <t>Chilling System Pumps</t>
  </si>
  <si>
    <t xml:space="preserve">742425 </t>
  </si>
  <si>
    <t>Type URC-HD Wine Barrel Cleaner</t>
  </si>
  <si>
    <t xml:space="preserve">742426 </t>
  </si>
  <si>
    <t>Dual Axle Silver Trailer</t>
  </si>
  <si>
    <t xml:space="preserve">742427 </t>
  </si>
  <si>
    <t>Twin Hopper to Small Press</t>
  </si>
  <si>
    <t xml:space="preserve">742428 </t>
  </si>
  <si>
    <t>Sundry Valves</t>
  </si>
  <si>
    <t xml:space="preserve">742429 </t>
  </si>
  <si>
    <t>38mm DELVAC Food Suction x 60</t>
  </si>
  <si>
    <t xml:space="preserve">742430 </t>
  </si>
  <si>
    <t>50mm DELVAC Food Suction x 60</t>
  </si>
  <si>
    <t xml:space="preserve">742431 </t>
  </si>
  <si>
    <t>75mm DELVAC Food Suction x 60</t>
  </si>
  <si>
    <t xml:space="preserve">742432 </t>
  </si>
  <si>
    <t>9,600L Storage Tank</t>
  </si>
  <si>
    <t xml:space="preserve">742433 </t>
  </si>
  <si>
    <t>90KL Tank</t>
  </si>
  <si>
    <t xml:space="preserve">742434 </t>
  </si>
  <si>
    <t>2 x 200Kl Tanks</t>
  </si>
  <si>
    <t xml:space="preserve">742435 </t>
  </si>
  <si>
    <t>2 X 5,000 L Storagre Tank</t>
  </si>
  <si>
    <t xml:space="preserve">742436 </t>
  </si>
  <si>
    <t>1 X 10KL Wine Tanks</t>
  </si>
  <si>
    <t xml:space="preserve">742436b </t>
  </si>
  <si>
    <t>1 x 10KL Wine Tank</t>
  </si>
  <si>
    <t xml:space="preserve">742437 </t>
  </si>
  <si>
    <t>Cooling Pannel onto Fermenter</t>
  </si>
  <si>
    <t xml:space="preserve">742438 </t>
  </si>
  <si>
    <t>3 X Cooling pannels onto Fermenter's</t>
  </si>
  <si>
    <t xml:space="preserve">742439 </t>
  </si>
  <si>
    <t>Risers for Tanks</t>
  </si>
  <si>
    <t xml:space="preserve">742440 </t>
  </si>
  <si>
    <t>Stands for Fermenter Lids</t>
  </si>
  <si>
    <t xml:space="preserve">742441 </t>
  </si>
  <si>
    <t>Sumps and Valves for Bases for 9L Tanks</t>
  </si>
  <si>
    <t xml:space="preserve">742442 </t>
  </si>
  <si>
    <t>Oak Bag Hooks for 90L Tanks</t>
  </si>
  <si>
    <t xml:space="preserve">742443 </t>
  </si>
  <si>
    <t>Transport and Unload 2 Tanks</t>
  </si>
  <si>
    <t xml:space="preserve">742444 </t>
  </si>
  <si>
    <t>Route Survey and Escorts</t>
  </si>
  <si>
    <t xml:space="preserve">742445 </t>
  </si>
  <si>
    <t>Transport and Unload Tank</t>
  </si>
  <si>
    <t xml:space="preserve">742446 </t>
  </si>
  <si>
    <t>SAPOL Escorts for Tanks</t>
  </si>
  <si>
    <t xml:space="preserve">742447 </t>
  </si>
  <si>
    <t>Expansion Chambers and racking Valves</t>
  </si>
  <si>
    <t xml:space="preserve">742448 </t>
  </si>
  <si>
    <t>Pipework for pumpovers on fermenters</t>
  </si>
  <si>
    <t xml:space="preserve">742449 </t>
  </si>
  <si>
    <t>Equipment and services to expand Fermenter</t>
  </si>
  <si>
    <t xml:space="preserve">742450 </t>
  </si>
  <si>
    <t xml:space="preserve">742451 </t>
  </si>
  <si>
    <t>Upstands for Tanks</t>
  </si>
  <si>
    <t xml:space="preserve">742452 </t>
  </si>
  <si>
    <t>Tank Insulations</t>
  </si>
  <si>
    <t xml:space="preserve">742543 </t>
  </si>
  <si>
    <t>Steel for new Pump Bases</t>
  </si>
  <si>
    <t xml:space="preserve">742544 </t>
  </si>
  <si>
    <t>Pump Strainers</t>
  </si>
  <si>
    <t xml:space="preserve">742545 </t>
  </si>
  <si>
    <t>Bases &amp; Wheels for wine Pumps</t>
  </si>
  <si>
    <t xml:space="preserve">742546 </t>
  </si>
  <si>
    <t>5 X Inoxpa Pumps</t>
  </si>
  <si>
    <t xml:space="preserve">742547 </t>
  </si>
  <si>
    <t>Shaft for Crusher</t>
  </si>
  <si>
    <t xml:space="preserve">742548 </t>
  </si>
  <si>
    <t>Tipping Bin</t>
  </si>
  <si>
    <t xml:space="preserve">742549 </t>
  </si>
  <si>
    <t>Hopper Extensions and Reservoir for Crusher</t>
  </si>
  <si>
    <t xml:space="preserve">742550 </t>
  </si>
  <si>
    <t>Move grape receival bin location</t>
  </si>
  <si>
    <t xml:space="preserve">742551 </t>
  </si>
  <si>
    <t>Bases for grape receival tipping bin</t>
  </si>
  <si>
    <t xml:space="preserve">742552 </t>
  </si>
  <si>
    <t>Overhaul Crusher</t>
  </si>
  <si>
    <t xml:space="preserve">742553 </t>
  </si>
  <si>
    <t>Fit load cells and tipping bin to grape receival</t>
  </si>
  <si>
    <t xml:space="preserve">742554 </t>
  </si>
  <si>
    <t>340 X Barrel Stands</t>
  </si>
  <si>
    <t xml:space="preserve">742555 </t>
  </si>
  <si>
    <t>Freight for Barrel Racks</t>
  </si>
  <si>
    <t xml:space="preserve">742556 </t>
  </si>
  <si>
    <t>4 X Puncheon Racks</t>
  </si>
  <si>
    <t xml:space="preserve">742557 </t>
  </si>
  <si>
    <t>Alterations to 158 Barrel Racks</t>
  </si>
  <si>
    <t xml:space="preserve">742558 </t>
  </si>
  <si>
    <t>72 X secondhand hogshead racks</t>
  </si>
  <si>
    <t xml:space="preserve">742559 </t>
  </si>
  <si>
    <t>50 X Hogshead racks</t>
  </si>
  <si>
    <t xml:space="preserve">742560 </t>
  </si>
  <si>
    <t>80 Falland Style racks</t>
  </si>
  <si>
    <t xml:space="preserve">742561 </t>
  </si>
  <si>
    <t>WIFI System</t>
  </si>
  <si>
    <t xml:space="preserve">742562 </t>
  </si>
  <si>
    <t>SW201 Splitwater hotwater pressure wash</t>
  </si>
  <si>
    <t xml:space="preserve">742563 </t>
  </si>
  <si>
    <t>Parsec Control System</t>
  </si>
  <si>
    <t xml:space="preserve">742564 </t>
  </si>
  <si>
    <t>Electric Chain Hoist</t>
  </si>
  <si>
    <t xml:space="preserve">742565 </t>
  </si>
  <si>
    <t>RTD PT100 Temp Probe x 11</t>
  </si>
  <si>
    <t xml:space="preserve">742566 </t>
  </si>
  <si>
    <t xml:space="preserve">742567 </t>
  </si>
  <si>
    <t>Airconditioner</t>
  </si>
  <si>
    <t xml:space="preserve">742568 </t>
  </si>
  <si>
    <t>4 X PWUSP-6443 Pall Oenoflow</t>
  </si>
  <si>
    <t xml:space="preserve">742569 </t>
  </si>
  <si>
    <t>Delvac Food Suction 38mm hose</t>
  </si>
  <si>
    <t xml:space="preserve">742570 </t>
  </si>
  <si>
    <t>Delvac Food Suction 50mm hose</t>
  </si>
  <si>
    <t xml:space="preserve">742571 </t>
  </si>
  <si>
    <t>2x 200KL SS Tanks incl Catwalk</t>
  </si>
  <si>
    <t xml:space="preserve">742572 </t>
  </si>
  <si>
    <t>15T Open Top Fermenters x 14</t>
  </si>
  <si>
    <t xml:space="preserve">742573 </t>
  </si>
  <si>
    <t>4T Open Top Fermenters x 6</t>
  </si>
  <si>
    <t xml:space="preserve">742574 </t>
  </si>
  <si>
    <t>2T Open Top Fermenters x 6</t>
  </si>
  <si>
    <t xml:space="preserve">742575 </t>
  </si>
  <si>
    <t>5KL Storage Tanks x 8</t>
  </si>
  <si>
    <t xml:space="preserve">742576 </t>
  </si>
  <si>
    <t>4 x 27kl Tanks</t>
  </si>
  <si>
    <t xml:space="preserve">742577 </t>
  </si>
  <si>
    <t>4 x 36kl Tanks</t>
  </si>
  <si>
    <t xml:space="preserve">742578 </t>
  </si>
  <si>
    <t>Tank Manhole Covers 460 x 2 with Silicone Seal</t>
  </si>
  <si>
    <t xml:space="preserve">742579 </t>
  </si>
  <si>
    <t>Tank Manhole Covers 420 x 2 with Silicone Seal</t>
  </si>
  <si>
    <t xml:space="preserve">742580 </t>
  </si>
  <si>
    <t>Tank Oak Lugs</t>
  </si>
  <si>
    <t xml:space="preserve">742581 </t>
  </si>
  <si>
    <t>Import Fees &amp; Charges for 5 x Tanks</t>
  </si>
  <si>
    <t xml:space="preserve">742582 </t>
  </si>
  <si>
    <t>Transport of 2 Tanks</t>
  </si>
  <si>
    <t xml:space="preserve">742583 </t>
  </si>
  <si>
    <t>Transport of 40ft Container</t>
  </si>
  <si>
    <t xml:space="preserve">742584 </t>
  </si>
  <si>
    <t>Install 2 x 200KL Tanks</t>
  </si>
  <si>
    <t xml:space="preserve">742585 </t>
  </si>
  <si>
    <t>Pressup 2mm Upstands for Catwalks on Tanks</t>
  </si>
  <si>
    <t xml:space="preserve">742586 </t>
  </si>
  <si>
    <t>Tipping Bin Crusher Overhaul</t>
  </si>
  <si>
    <t xml:space="preserve">742587 </t>
  </si>
  <si>
    <t>Modify 140 Barrel Racks</t>
  </si>
  <si>
    <t xml:space="preserve">742587a </t>
  </si>
  <si>
    <t>5 x Cradles</t>
  </si>
  <si>
    <t xml:space="preserve">742588 </t>
  </si>
  <si>
    <t>Reverse Cycle Split System</t>
  </si>
  <si>
    <t xml:space="preserve">742589 </t>
  </si>
  <si>
    <t>Dishwasher</t>
  </si>
  <si>
    <t xml:space="preserve">742590 </t>
  </si>
  <si>
    <t>Stove &amp; Rangehood</t>
  </si>
  <si>
    <t xml:space="preserve">742591 </t>
  </si>
  <si>
    <t>10kg Sulphitometer &amp; Trolley</t>
  </si>
  <si>
    <t xml:space="preserve">742592 </t>
  </si>
  <si>
    <t>3 x Sonos Speakers</t>
  </si>
  <si>
    <t xml:space="preserve">742593 </t>
  </si>
  <si>
    <t>Cherry Picker</t>
  </si>
  <si>
    <t xml:space="preserve">742594 </t>
  </si>
  <si>
    <t>5 x 50W Power Amplifier</t>
  </si>
  <si>
    <t xml:space="preserve">742595 </t>
  </si>
  <si>
    <t>Sonos</t>
  </si>
  <si>
    <t xml:space="preserve">742596 </t>
  </si>
  <si>
    <t>2 x Speakers</t>
  </si>
  <si>
    <t xml:space="preserve">742597 </t>
  </si>
  <si>
    <t>Speaker Cable</t>
  </si>
  <si>
    <t xml:space="preserve">742598 </t>
  </si>
  <si>
    <t>Parsec SAEn 5050 Satelite Remote Unit</t>
  </si>
  <si>
    <t xml:space="preserve">742599 </t>
  </si>
  <si>
    <t>SO2 Aspirator - Glasschem 8 head</t>
  </si>
  <si>
    <t>Less Disposals</t>
  </si>
  <si>
    <t>744</t>
  </si>
  <si>
    <t>Motor Vehicles</t>
  </si>
  <si>
    <t xml:space="preserve">744002 </t>
  </si>
  <si>
    <t xml:space="preserve">744003 </t>
  </si>
  <si>
    <t>Rotator for Forklift</t>
  </si>
  <si>
    <t xml:space="preserve">744008 </t>
  </si>
  <si>
    <t>2013 Ford Ranger Dual Cab Ute S585AZB</t>
  </si>
  <si>
    <t xml:space="preserve">744009 </t>
  </si>
  <si>
    <t>1993 Hino 5T Truck</t>
  </si>
  <si>
    <t xml:space="preserve">744010 </t>
  </si>
  <si>
    <t>1978 International Truck</t>
  </si>
  <si>
    <t xml:space="preserve">744011 </t>
  </si>
  <si>
    <t>2015 Falcon XR6T Ute - (Rego S349BHB)</t>
  </si>
  <si>
    <t xml:space="preserve">744012 </t>
  </si>
  <si>
    <t>2.5T Toyota Forklift w Rotator</t>
  </si>
  <si>
    <t xml:space="preserve">744013 </t>
  </si>
  <si>
    <t>Slimline Forklift Scales (x2)</t>
  </si>
  <si>
    <t xml:space="preserve">744014 </t>
  </si>
  <si>
    <t>Audi A6</t>
  </si>
  <si>
    <t xml:space="preserve">744015 </t>
  </si>
  <si>
    <t>Ford Ranger 4x4 PU XLT - S211BOD</t>
  </si>
  <si>
    <t xml:space="preserve">744016 </t>
  </si>
  <si>
    <t>2017 Hino Longtruck</t>
  </si>
  <si>
    <t>746</t>
  </si>
  <si>
    <t>Barrels - at cost</t>
  </si>
  <si>
    <t xml:space="preserve">745167 </t>
  </si>
  <si>
    <t>6 x Leroi French Oak Hogshead</t>
  </si>
  <si>
    <t xml:space="preserve">7456166 </t>
  </si>
  <si>
    <t>8 x Francois Freres 228L</t>
  </si>
  <si>
    <t xml:space="preserve">746001 </t>
  </si>
  <si>
    <t>Hogs Head</t>
  </si>
  <si>
    <t xml:space="preserve">746002 </t>
  </si>
  <si>
    <t>2 x Hogs Head</t>
  </si>
  <si>
    <t xml:space="preserve">746003 </t>
  </si>
  <si>
    <t>4 x Hogs Head</t>
  </si>
  <si>
    <t xml:space="preserve">746004 </t>
  </si>
  <si>
    <t xml:space="preserve">746005 </t>
  </si>
  <si>
    <t>9 x Hogs Head</t>
  </si>
  <si>
    <t xml:space="preserve">746006 </t>
  </si>
  <si>
    <t xml:space="preserve">746007 </t>
  </si>
  <si>
    <t>6 x Barrels</t>
  </si>
  <si>
    <t xml:space="preserve">746008 </t>
  </si>
  <si>
    <t>5 Freres Oak Barrels</t>
  </si>
  <si>
    <t xml:space="preserve">746009 </t>
  </si>
  <si>
    <t>8 Gillet Barrels</t>
  </si>
  <si>
    <t xml:space="preserve">746010 </t>
  </si>
  <si>
    <t>2 Treuil Macon Oak Barrels</t>
  </si>
  <si>
    <t xml:space="preserve">746011 </t>
  </si>
  <si>
    <t>2 Freres Oak Barrels</t>
  </si>
  <si>
    <t xml:space="preserve">746012 </t>
  </si>
  <si>
    <t>4 French Radoux Barrels</t>
  </si>
  <si>
    <t xml:space="preserve">746013 </t>
  </si>
  <si>
    <t xml:space="preserve">746014 </t>
  </si>
  <si>
    <t xml:space="preserve">746015 </t>
  </si>
  <si>
    <t>Puncheon</t>
  </si>
  <si>
    <t xml:space="preserve">746016 </t>
  </si>
  <si>
    <t xml:space="preserve">746017 </t>
  </si>
  <si>
    <t>2 x French Hogs Heads</t>
  </si>
  <si>
    <t xml:space="preserve">746019 </t>
  </si>
  <si>
    <t>4 x Oak Hogs Heads</t>
  </si>
  <si>
    <t xml:space="preserve">746020 </t>
  </si>
  <si>
    <t>1 x Amer Puncheon</t>
  </si>
  <si>
    <t xml:space="preserve">746021 </t>
  </si>
  <si>
    <t>1 x French Puncheon</t>
  </si>
  <si>
    <t xml:space="preserve">746022 </t>
  </si>
  <si>
    <t>10 x French Hogsheads</t>
  </si>
  <si>
    <t xml:space="preserve">746025 </t>
  </si>
  <si>
    <t>6 x Demptos Barrels</t>
  </si>
  <si>
    <t xml:space="preserve">746027 </t>
  </si>
  <si>
    <t>French Oak Bordeaux Chateau ferre 225Lt</t>
  </si>
  <si>
    <t xml:space="preserve">746028 </t>
  </si>
  <si>
    <t>2 X 300 L Francois Frers Hoshead Oak Barrels</t>
  </si>
  <si>
    <t xml:space="preserve">746029 </t>
  </si>
  <si>
    <t>2 X American Oak Hogheads</t>
  </si>
  <si>
    <t xml:space="preserve">746030 </t>
  </si>
  <si>
    <t>2 X 500 lt lt Jupilles Wine Barrels</t>
  </si>
  <si>
    <t xml:space="preserve">746031 </t>
  </si>
  <si>
    <t>2 X 475 L French Oak Puncheons</t>
  </si>
  <si>
    <t xml:space="preserve">746032 </t>
  </si>
  <si>
    <t>480 L Mark Kennel 44mm Stave Oak Barrel</t>
  </si>
  <si>
    <t xml:space="preserve">746034 </t>
  </si>
  <si>
    <t xml:space="preserve">746036 </t>
  </si>
  <si>
    <t>2 Barrels</t>
  </si>
  <si>
    <t xml:space="preserve">746037 </t>
  </si>
  <si>
    <t>40 Barrels</t>
  </si>
  <si>
    <t xml:space="preserve">746038 </t>
  </si>
  <si>
    <t>300 Bungs</t>
  </si>
  <si>
    <t xml:space="preserve">746039 </t>
  </si>
  <si>
    <t>2 Hogs Heads</t>
  </si>
  <si>
    <t xml:space="preserve">746040 </t>
  </si>
  <si>
    <t>1 Hogs Head</t>
  </si>
  <si>
    <t xml:space="preserve">746041 </t>
  </si>
  <si>
    <t>3 Hogs Heads</t>
  </si>
  <si>
    <t xml:space="preserve">746042 </t>
  </si>
  <si>
    <t>1 Puncheon</t>
  </si>
  <si>
    <t xml:space="preserve">746043 </t>
  </si>
  <si>
    <t xml:space="preserve">746044 </t>
  </si>
  <si>
    <t xml:space="preserve">746045 </t>
  </si>
  <si>
    <t xml:space="preserve">746046 </t>
  </si>
  <si>
    <t>1 Vicard Puncheon</t>
  </si>
  <si>
    <t xml:space="preserve">746047 </t>
  </si>
  <si>
    <t>Hogs Head (1)</t>
  </si>
  <si>
    <t xml:space="preserve">746048 </t>
  </si>
  <si>
    <t>Hogs Head (33)</t>
  </si>
  <si>
    <t xml:space="preserve">746049 </t>
  </si>
  <si>
    <t>Hogs Head (15)</t>
  </si>
  <si>
    <t xml:space="preserve">746050 </t>
  </si>
  <si>
    <t>Hogs Head (22)</t>
  </si>
  <si>
    <t xml:space="preserve">746051 </t>
  </si>
  <si>
    <t>Hogs Head (2)</t>
  </si>
  <si>
    <t xml:space="preserve">746052 </t>
  </si>
  <si>
    <t xml:space="preserve">746053 </t>
  </si>
  <si>
    <t>Barrels 2nd Hand (40)</t>
  </si>
  <si>
    <t xml:space="preserve">746054 </t>
  </si>
  <si>
    <t xml:space="preserve">746055 </t>
  </si>
  <si>
    <t>Barrique (2)</t>
  </si>
  <si>
    <t xml:space="preserve">746056 </t>
  </si>
  <si>
    <t>Bungs (50)</t>
  </si>
  <si>
    <t xml:space="preserve">746057 </t>
  </si>
  <si>
    <t>1 Barrel</t>
  </si>
  <si>
    <t xml:space="preserve">746058 </t>
  </si>
  <si>
    <t>4 x Puncheons</t>
  </si>
  <si>
    <t xml:space="preserve">746059 </t>
  </si>
  <si>
    <t>10 Radoux Hogshead Barrels</t>
  </si>
  <si>
    <t xml:space="preserve">746060 </t>
  </si>
  <si>
    <t>4 Used Oxk Bar</t>
  </si>
  <si>
    <t xml:space="preserve">746061 </t>
  </si>
  <si>
    <t xml:space="preserve">746062 </t>
  </si>
  <si>
    <t>26 Used Barrels - Various</t>
  </si>
  <si>
    <t xml:space="preserve">746063 </t>
  </si>
  <si>
    <t>1 x 300L Hogshead Barrel</t>
  </si>
  <si>
    <t xml:space="preserve">746064 </t>
  </si>
  <si>
    <t xml:space="preserve">746065 </t>
  </si>
  <si>
    <t>2 Radoux Hogshead 300L Barrel</t>
  </si>
  <si>
    <t xml:space="preserve">746066 </t>
  </si>
  <si>
    <t>2 x 225 Ltr Demptos Bordeaux Oak Barrel</t>
  </si>
  <si>
    <t xml:space="preserve">746067 </t>
  </si>
  <si>
    <t>132 2nd Hand Barrels</t>
  </si>
  <si>
    <t xml:space="preserve">746068 </t>
  </si>
  <si>
    <t>2 x American Hogshead and 22 x French Oak 300 Ltr Hogsheads</t>
  </si>
  <si>
    <t xml:space="preserve">746069 </t>
  </si>
  <si>
    <t>5 x TT3 Year Imm M Th Barrels</t>
  </si>
  <si>
    <t xml:space="preserve">746070 </t>
  </si>
  <si>
    <t>4 x Hoghead</t>
  </si>
  <si>
    <t xml:space="preserve">746071 </t>
  </si>
  <si>
    <t>6 x Francois Freres 3 Year Hogshead Oak Barrel</t>
  </si>
  <si>
    <t xml:space="preserve">746072 </t>
  </si>
  <si>
    <t xml:space="preserve">746073 </t>
  </si>
  <si>
    <t>11 x 300L Jupilles, 5 x 300L Never, 2 x 500L Jupilles</t>
  </si>
  <si>
    <t xml:space="preserve">746074 </t>
  </si>
  <si>
    <t>6 x Allier 300L Barrels Plus 3 x Pennyslvania 300L Barrels</t>
  </si>
  <si>
    <t xml:space="preserve">746075 </t>
  </si>
  <si>
    <t>10 New French Oak, Bordeaux Chateau Ferre 225 Ltr</t>
  </si>
  <si>
    <t xml:space="preserve">746077 </t>
  </si>
  <si>
    <t>3 x Demptos Hogheads and 8 x Demptos Barriques</t>
  </si>
  <si>
    <t xml:space="preserve">746078 </t>
  </si>
  <si>
    <t>12 x Hogshead 300L Ermitage, 3 x Pincheon 500L Ermitage</t>
  </si>
  <si>
    <t xml:space="preserve">746079 </t>
  </si>
  <si>
    <t>74 2nd Hand Barrels</t>
  </si>
  <si>
    <t xml:space="preserve">746080 </t>
  </si>
  <si>
    <t>2 x 30L Kadar Hogsheads</t>
  </si>
  <si>
    <t xml:space="preserve">746081 </t>
  </si>
  <si>
    <t>13 x 2nd Hand Barrels</t>
  </si>
  <si>
    <t xml:space="preserve">746082 </t>
  </si>
  <si>
    <t>40 x 2nd Hand Barrels</t>
  </si>
  <si>
    <t xml:space="preserve">746082b </t>
  </si>
  <si>
    <t xml:space="preserve">746083 </t>
  </si>
  <si>
    <t xml:space="preserve">746084 </t>
  </si>
  <si>
    <t>Hogs Head (3)</t>
  </si>
  <si>
    <t xml:space="preserve">746085 </t>
  </si>
  <si>
    <t xml:space="preserve">746086 </t>
  </si>
  <si>
    <t>Barrels 2nd Hand (50)</t>
  </si>
  <si>
    <t xml:space="preserve">746087 </t>
  </si>
  <si>
    <t>Barrels Purchased August 2006</t>
  </si>
  <si>
    <t xml:space="preserve">746088 </t>
  </si>
  <si>
    <t>Barrels purchased Sept 06</t>
  </si>
  <si>
    <t xml:space="preserve">746089 </t>
  </si>
  <si>
    <t>Barrels purchased Oct 06</t>
  </si>
  <si>
    <t xml:space="preserve">746090 </t>
  </si>
  <si>
    <t>Bungs Purchased Dec 06</t>
  </si>
  <si>
    <t xml:space="preserve">746091 </t>
  </si>
  <si>
    <t>66 Hogs Heads (2nd Hand)</t>
  </si>
  <si>
    <t xml:space="preserve">746092 </t>
  </si>
  <si>
    <t>Barrels purchased Feb 07</t>
  </si>
  <si>
    <t xml:space="preserve">746093 </t>
  </si>
  <si>
    <t>140 L Demptos Hungarian Barrels</t>
  </si>
  <si>
    <t xml:space="preserve">746094 </t>
  </si>
  <si>
    <t>4 Kauri Barrels</t>
  </si>
  <si>
    <t xml:space="preserve">746095 </t>
  </si>
  <si>
    <t>17 Aquilla Barrels</t>
  </si>
  <si>
    <t xml:space="preserve">746096 </t>
  </si>
  <si>
    <t>6 x Hogshead Ermitage</t>
  </si>
  <si>
    <t xml:space="preserve">746097 </t>
  </si>
  <si>
    <t>3 x Puncheon Ermitage</t>
  </si>
  <si>
    <t xml:space="preserve">746098 </t>
  </si>
  <si>
    <t>2 New American Hogsheads</t>
  </si>
  <si>
    <t xml:space="preserve">746099 </t>
  </si>
  <si>
    <t>PJ</t>
  </si>
  <si>
    <t xml:space="preserve">746100 </t>
  </si>
  <si>
    <t>Barrels purchased April 07</t>
  </si>
  <si>
    <t xml:space="preserve">746101 </t>
  </si>
  <si>
    <t>Barrels purchased May 07</t>
  </si>
  <si>
    <t xml:space="preserve">746102 </t>
  </si>
  <si>
    <t>1 x No. 3 - 300l Blend of Forests (Rouge)</t>
  </si>
  <si>
    <t xml:space="preserve">746103 </t>
  </si>
  <si>
    <t>1 x 300L Radoux tradition Evolution Red WineMT</t>
  </si>
  <si>
    <t xml:space="preserve">746104 </t>
  </si>
  <si>
    <t>3 x 300L Radoux Tradition Red Wine Medium Toast</t>
  </si>
  <si>
    <t xml:space="preserve">746105 </t>
  </si>
  <si>
    <t>7 x US Air Seasoned Hogsheads</t>
  </si>
  <si>
    <t xml:space="preserve">746106 </t>
  </si>
  <si>
    <t>7 x Hogshead Ermitage</t>
  </si>
  <si>
    <t xml:space="preserve">746107 </t>
  </si>
  <si>
    <t>2 x Puncheon 500L Ermitage</t>
  </si>
  <si>
    <t xml:space="preserve">746108 </t>
  </si>
  <si>
    <t>3 x 300L Francois Freres 3y.o. Hogshead Medium Tight Grain</t>
  </si>
  <si>
    <t xml:space="preserve">746109 </t>
  </si>
  <si>
    <t>3 x Franch Oask Bordeaux Chate Ferre 225L MT</t>
  </si>
  <si>
    <t xml:space="preserve">746110 </t>
  </si>
  <si>
    <t>2 x 300L Troncais 3y.o. MT</t>
  </si>
  <si>
    <t xml:space="preserve">746111 </t>
  </si>
  <si>
    <t>300L Never 3 years MT</t>
  </si>
  <si>
    <t xml:space="preserve">746112 </t>
  </si>
  <si>
    <t>300L Cher 3 Years MT</t>
  </si>
  <si>
    <t xml:space="preserve">746113 </t>
  </si>
  <si>
    <t>500L Troncais 3 Years MT</t>
  </si>
  <si>
    <t xml:space="preserve">746114 </t>
  </si>
  <si>
    <t>3 x 500L Jupilles 3 Years MT</t>
  </si>
  <si>
    <t xml:space="preserve">746115 </t>
  </si>
  <si>
    <t>500L Never 3 Years MT</t>
  </si>
  <si>
    <t xml:space="preserve">746116 </t>
  </si>
  <si>
    <t>3 x 500L Cher 3 Years MT</t>
  </si>
  <si>
    <t xml:space="preserve">746117 </t>
  </si>
  <si>
    <t>3 x French Oak Hogshead 300L MT</t>
  </si>
  <si>
    <t xml:space="preserve">746118 </t>
  </si>
  <si>
    <t>Stiller French Oak Hogshead</t>
  </si>
  <si>
    <t xml:space="preserve">746119 </t>
  </si>
  <si>
    <t>Stiller American oak Hogsheads</t>
  </si>
  <si>
    <t xml:space="preserve">746120 </t>
  </si>
  <si>
    <t>5 x 225L Bordeaux Export Oak (3 x Allier &amp; 2 x Nevers) MT</t>
  </si>
  <si>
    <t xml:space="preserve">746121 </t>
  </si>
  <si>
    <t>3 x Stiller American Oak Hogshead</t>
  </si>
  <si>
    <t xml:space="preserve">746122 </t>
  </si>
  <si>
    <t>2 x Leroi French Oak Hogshead</t>
  </si>
  <si>
    <t xml:space="preserve">746123 </t>
  </si>
  <si>
    <t xml:space="preserve">746124 </t>
  </si>
  <si>
    <t>7 x Hogsheads St Martin</t>
  </si>
  <si>
    <t xml:space="preserve">746125 </t>
  </si>
  <si>
    <t>138 x 2nd Hand Barrels</t>
  </si>
  <si>
    <t xml:space="preserve">746126 </t>
  </si>
  <si>
    <t>50 x Barrels</t>
  </si>
  <si>
    <t xml:space="preserve">746127 </t>
  </si>
  <si>
    <t>30 x Reconditioned Puncheons</t>
  </si>
  <si>
    <t xml:space="preserve">746128 </t>
  </si>
  <si>
    <t>4 x FO BDX Nevers 300L</t>
  </si>
  <si>
    <t xml:space="preserve">746129 </t>
  </si>
  <si>
    <t>4 x Perle Blanche Fruity 300L</t>
  </si>
  <si>
    <t xml:space="preserve">746130 </t>
  </si>
  <si>
    <t>4 x Marsannay 300 Nevers</t>
  </si>
  <si>
    <t xml:space="preserve">746131 </t>
  </si>
  <si>
    <t>Radoux Trad Evolution</t>
  </si>
  <si>
    <t xml:space="preserve">746132 </t>
  </si>
  <si>
    <t>4 x Leroi Hogsheads</t>
  </si>
  <si>
    <t xml:space="preserve">746133 </t>
  </si>
  <si>
    <t>4 x 300L Radoux Trad Evolution</t>
  </si>
  <si>
    <t xml:space="preserve">746134 </t>
  </si>
  <si>
    <t>22 x Grande Reserve</t>
  </si>
  <si>
    <t xml:space="preserve">746135 </t>
  </si>
  <si>
    <t>3 x Blend Finesse 500L</t>
  </si>
  <si>
    <t xml:space="preserve">746136 </t>
  </si>
  <si>
    <t>7 x French Oak Hogshead</t>
  </si>
  <si>
    <t xml:space="preserve">746137 </t>
  </si>
  <si>
    <t>14 x Hogshead Ermitage</t>
  </si>
  <si>
    <t xml:space="preserve">746138 </t>
  </si>
  <si>
    <t>4 x Puncheon 500L</t>
  </si>
  <si>
    <t xml:space="preserve">746139 </t>
  </si>
  <si>
    <t>4 x 300L Troncais</t>
  </si>
  <si>
    <t xml:space="preserve">746140 </t>
  </si>
  <si>
    <t>4 x 300L Bois Francais</t>
  </si>
  <si>
    <t xml:space="preserve">746141 </t>
  </si>
  <si>
    <t>12 x TT 3 Yr 300L</t>
  </si>
  <si>
    <t xml:space="preserve">746142 </t>
  </si>
  <si>
    <t>40 x American Oak Hogshead</t>
  </si>
  <si>
    <t xml:space="preserve">746143 </t>
  </si>
  <si>
    <t>22 x French Oak Hogsheads</t>
  </si>
  <si>
    <t xml:space="preserve">746144 </t>
  </si>
  <si>
    <t>38 x French Oak Hogsheads</t>
  </si>
  <si>
    <t xml:space="preserve">746145 </t>
  </si>
  <si>
    <t>1 x Bordelais French Oak 225L Barrique</t>
  </si>
  <si>
    <t xml:space="preserve">746146 </t>
  </si>
  <si>
    <t>4 x 300L Barrels</t>
  </si>
  <si>
    <t xml:space="preserve">746147 </t>
  </si>
  <si>
    <t>2 x Grande Reserve 300L Barrels</t>
  </si>
  <si>
    <t xml:space="preserve">746148 </t>
  </si>
  <si>
    <t>2 x Allier 300L Barrels</t>
  </si>
  <si>
    <t xml:space="preserve">746149 </t>
  </si>
  <si>
    <t>18 x 300L Ermitage Hogshead</t>
  </si>
  <si>
    <t xml:space="preserve">746150 </t>
  </si>
  <si>
    <t>3 x 500L Ermitage Puncheon</t>
  </si>
  <si>
    <t xml:space="preserve">746151 </t>
  </si>
  <si>
    <t>36 x St Martin Hogshead</t>
  </si>
  <si>
    <t xml:space="preserve">746152 </t>
  </si>
  <si>
    <t>2 x Blend Finesse Puncheons</t>
  </si>
  <si>
    <t xml:space="preserve">746153 </t>
  </si>
  <si>
    <t>5 x French Oak Hogshead 300L</t>
  </si>
  <si>
    <t xml:space="preserve">746155 </t>
  </si>
  <si>
    <t>2 x French Oak Barriques 225L</t>
  </si>
  <si>
    <t xml:space="preserve">746156 </t>
  </si>
  <si>
    <t>14 x Hogsheads</t>
  </si>
  <si>
    <t xml:space="preserve">746157 </t>
  </si>
  <si>
    <t>1 x Cadus 225L</t>
  </si>
  <si>
    <t xml:space="preserve">746158 </t>
  </si>
  <si>
    <t xml:space="preserve">746159 </t>
  </si>
  <si>
    <t>8 x Francois Freres 300L</t>
  </si>
  <si>
    <t xml:space="preserve">746160 </t>
  </si>
  <si>
    <t>6 x Puncheon Racks</t>
  </si>
  <si>
    <t xml:space="preserve">746161 </t>
  </si>
  <si>
    <t>3 x 225L Allier Barrels</t>
  </si>
  <si>
    <t xml:space="preserve">746162 </t>
  </si>
  <si>
    <t>1 x 225L Troncais Barrel</t>
  </si>
  <si>
    <t xml:space="preserve">746163 </t>
  </si>
  <si>
    <t>10 x 300L Troncais Barrels</t>
  </si>
  <si>
    <t xml:space="preserve">746164 </t>
  </si>
  <si>
    <t>1 x 300L Never Barrel</t>
  </si>
  <si>
    <t xml:space="preserve">746165 </t>
  </si>
  <si>
    <t>8 x 500L Jupilles Barrels</t>
  </si>
  <si>
    <t xml:space="preserve">746168 </t>
  </si>
  <si>
    <t>44 x American Oak 3yr Fine Hogshead</t>
  </si>
  <si>
    <t xml:space="preserve">746169 </t>
  </si>
  <si>
    <t>2 x Hogshead 300L Ermitage</t>
  </si>
  <si>
    <t xml:space="preserve">746170 </t>
  </si>
  <si>
    <t>150 x American Oak Hogshead (2nd Hand)</t>
  </si>
  <si>
    <t xml:space="preserve">746171 </t>
  </si>
  <si>
    <t>250 x French Oak Hogsheads ( 2nd Hand)</t>
  </si>
  <si>
    <t xml:space="preserve">746172 </t>
  </si>
  <si>
    <t>8 Francois Freres 225L</t>
  </si>
  <si>
    <t xml:space="preserve">746173 </t>
  </si>
  <si>
    <t>2 Berger &amp; Fils</t>
  </si>
  <si>
    <t xml:space="preserve">746174 </t>
  </si>
  <si>
    <t>1 Bordelais French Oak</t>
  </si>
  <si>
    <t xml:space="preserve">746176 </t>
  </si>
  <si>
    <t>10 Francois Freres</t>
  </si>
  <si>
    <t xml:space="preserve">746177 </t>
  </si>
  <si>
    <t>9 Ermitage</t>
  </si>
  <si>
    <t xml:space="preserve">746178 </t>
  </si>
  <si>
    <t xml:space="preserve">746179 </t>
  </si>
  <si>
    <t>10 Troncais</t>
  </si>
  <si>
    <t xml:space="preserve">746180 </t>
  </si>
  <si>
    <t>10 St Martin Grand Reserve</t>
  </si>
  <si>
    <t xml:space="preserve">746181 </t>
  </si>
  <si>
    <t xml:space="preserve">746182 </t>
  </si>
  <si>
    <t xml:space="preserve">746183 </t>
  </si>
  <si>
    <t>4 Gillet</t>
  </si>
  <si>
    <t xml:space="preserve">746184 </t>
  </si>
  <si>
    <t>10 27mm Grand Reserve Tron</t>
  </si>
  <si>
    <t xml:space="preserve">746185 </t>
  </si>
  <si>
    <t>Allier 300L</t>
  </si>
  <si>
    <t xml:space="preserve">746186 </t>
  </si>
  <si>
    <t xml:space="preserve">746189 </t>
  </si>
  <si>
    <t>3 Juilles</t>
  </si>
  <si>
    <t xml:space="preserve">746190 </t>
  </si>
  <si>
    <t>Cher</t>
  </si>
  <si>
    <t xml:space="preserve">746191 </t>
  </si>
  <si>
    <t>3 St Martin</t>
  </si>
  <si>
    <t xml:space="preserve">746192 </t>
  </si>
  <si>
    <t>2 x Cadus 225L</t>
  </si>
  <si>
    <t xml:space="preserve">746193 </t>
  </si>
  <si>
    <t>2 x 225L French Oak</t>
  </si>
  <si>
    <t xml:space="preserve">746194 </t>
  </si>
  <si>
    <t>1 x 225L Francois</t>
  </si>
  <si>
    <t xml:space="preserve">746195 </t>
  </si>
  <si>
    <t>3 x Francois 225L</t>
  </si>
  <si>
    <t xml:space="preserve">746196 </t>
  </si>
  <si>
    <t xml:space="preserve">746197 </t>
  </si>
  <si>
    <t>1 x TG 225L</t>
  </si>
  <si>
    <t xml:space="preserve">746198 </t>
  </si>
  <si>
    <t>1 x 225L TG</t>
  </si>
  <si>
    <t xml:space="preserve">746199 </t>
  </si>
  <si>
    <t>5 x GR 27mm</t>
  </si>
  <si>
    <t xml:space="preserve">746199b </t>
  </si>
  <si>
    <t>3 x GR 27mm</t>
  </si>
  <si>
    <t xml:space="preserve">746200 </t>
  </si>
  <si>
    <t>16 x Hogshead 300L Ermitage</t>
  </si>
  <si>
    <t xml:space="preserve">746201 </t>
  </si>
  <si>
    <t>300L Gamba Troncais</t>
  </si>
  <si>
    <t xml:space="preserve">746202 </t>
  </si>
  <si>
    <t>1 x 300L New Oak Barrel</t>
  </si>
  <si>
    <t xml:space="preserve">746203 </t>
  </si>
  <si>
    <t>1 x 300L Oak Barrel</t>
  </si>
  <si>
    <t xml:space="preserve">746204 </t>
  </si>
  <si>
    <t>2 x 300L French Oask TG</t>
  </si>
  <si>
    <t xml:space="preserve">746205 </t>
  </si>
  <si>
    <t>2 x 300L TG MT</t>
  </si>
  <si>
    <t xml:space="preserve">746206 </t>
  </si>
  <si>
    <t>3 x 300L Special selection Shz</t>
  </si>
  <si>
    <t xml:space="preserve">746207 </t>
  </si>
  <si>
    <t>2 x 300L Rouge TG Special</t>
  </si>
  <si>
    <t xml:space="preserve">746208 </t>
  </si>
  <si>
    <t>309 x Secondhand French Oak Hogs</t>
  </si>
  <si>
    <t xml:space="preserve">746209 </t>
  </si>
  <si>
    <t>2 x 300L Francois Freres</t>
  </si>
  <si>
    <t xml:space="preserve">746211 </t>
  </si>
  <si>
    <t>100 x Reconditioned Hogsheds</t>
  </si>
  <si>
    <t xml:space="preserve">746212 </t>
  </si>
  <si>
    <t>19 x Ermitage 300L Hogsheads</t>
  </si>
  <si>
    <t xml:space="preserve">746213 </t>
  </si>
  <si>
    <t>20 x Francois 300L</t>
  </si>
  <si>
    <t xml:space="preserve">746214 </t>
  </si>
  <si>
    <t>15 x French Oak Hogsheads</t>
  </si>
  <si>
    <t xml:space="preserve">746215 </t>
  </si>
  <si>
    <t>3 x TT 3yr M</t>
  </si>
  <si>
    <t xml:space="preserve">746216 </t>
  </si>
  <si>
    <t>2 x TT Pr 3yr Lumiere</t>
  </si>
  <si>
    <t xml:space="preserve">746217 </t>
  </si>
  <si>
    <t>7 x TT 3yr M+</t>
  </si>
  <si>
    <t xml:space="preserve">746218 </t>
  </si>
  <si>
    <t>6 x Leroi French Oak</t>
  </si>
  <si>
    <t xml:space="preserve">746219 </t>
  </si>
  <si>
    <t>5 x M+ Troncais Hogsheads</t>
  </si>
  <si>
    <t xml:space="preserve">746220 </t>
  </si>
  <si>
    <t>10 x 300L Tron MT</t>
  </si>
  <si>
    <t xml:space="preserve">746221 </t>
  </si>
  <si>
    <t>38 x GR 300L Troncais</t>
  </si>
  <si>
    <t xml:space="preserve">746222 </t>
  </si>
  <si>
    <t>4 x Initiale Blend A/V 300L</t>
  </si>
  <si>
    <t xml:space="preserve">746223 </t>
  </si>
  <si>
    <t>6 x 300L TG MT</t>
  </si>
  <si>
    <t xml:space="preserve">746224 </t>
  </si>
  <si>
    <t>9 x 300L TG MT</t>
  </si>
  <si>
    <t xml:space="preserve">746225 </t>
  </si>
  <si>
    <t>5 x 300L Special Selection Shiraz</t>
  </si>
  <si>
    <t xml:space="preserve">746226 </t>
  </si>
  <si>
    <t>2 x 300L French Oak</t>
  </si>
  <si>
    <t xml:space="preserve">746227 </t>
  </si>
  <si>
    <t xml:space="preserve">746228 </t>
  </si>
  <si>
    <t>1 x 300L Hogshead - TG</t>
  </si>
  <si>
    <t xml:space="preserve">746229 </t>
  </si>
  <si>
    <t>2 x Initiale Blend</t>
  </si>
  <si>
    <t xml:space="preserve">746230 </t>
  </si>
  <si>
    <t>4 x Stiller Profile Hogsheads</t>
  </si>
  <si>
    <t xml:space="preserve">746231 </t>
  </si>
  <si>
    <t>50 x Second Hand American Oak</t>
  </si>
  <si>
    <t xml:space="preserve">746232 </t>
  </si>
  <si>
    <t>172 x Secondhand French oak</t>
  </si>
  <si>
    <t xml:space="preserve">746232b </t>
  </si>
  <si>
    <t>78 x Secondhand French oak</t>
  </si>
  <si>
    <t xml:space="preserve">746233 </t>
  </si>
  <si>
    <t>2 x 500L Jupilles MT</t>
  </si>
  <si>
    <t xml:space="preserve">746234 </t>
  </si>
  <si>
    <t>1 x 500L Cher MT</t>
  </si>
  <si>
    <t xml:space="preserve">746235 </t>
  </si>
  <si>
    <t>3 x Initiale Blend A/V 500L</t>
  </si>
  <si>
    <t xml:space="preserve">746236 </t>
  </si>
  <si>
    <t>Secondhand Barrels</t>
  </si>
  <si>
    <t xml:space="preserve">746237 </t>
  </si>
  <si>
    <t>105 x Second Hand 300L HHD Hogsheads</t>
  </si>
  <si>
    <t xml:space="preserve">746238 </t>
  </si>
  <si>
    <t>200 x Second Hand 300L HHD Barrels</t>
  </si>
  <si>
    <t>748</t>
  </si>
  <si>
    <t>Office Equipment</t>
  </si>
  <si>
    <t xml:space="preserve">748003 </t>
  </si>
  <si>
    <t>Codex HACCP Computer Software</t>
  </si>
  <si>
    <t xml:space="preserve">748004 </t>
  </si>
  <si>
    <t>Office PC - Todd</t>
  </si>
  <si>
    <t xml:space="preserve">748005 </t>
  </si>
  <si>
    <t>Winery Sound System</t>
  </si>
  <si>
    <t xml:space="preserve">748007 </t>
  </si>
  <si>
    <t>Computer</t>
  </si>
  <si>
    <t xml:space="preserve">748009 </t>
  </si>
  <si>
    <t>Foss Computer</t>
  </si>
  <si>
    <t xml:space="preserve">748010 </t>
  </si>
  <si>
    <t>Mitsubishi Air Conditioner</t>
  </si>
  <si>
    <t xml:space="preserve">748011 </t>
  </si>
  <si>
    <t>iPad (Kym)</t>
  </si>
  <si>
    <t xml:space="preserve">748012 </t>
  </si>
  <si>
    <t>Macbook Pro</t>
  </si>
  <si>
    <t xml:space="preserve">748013 </t>
  </si>
  <si>
    <t>Acer Laptop - Admin</t>
  </si>
  <si>
    <t xml:space="preserve">748014 </t>
  </si>
  <si>
    <t>Lenovo Laptop - Neil</t>
  </si>
  <si>
    <t xml:space="preserve">748015 </t>
  </si>
  <si>
    <t>Acer Laptop - MYOB</t>
  </si>
  <si>
    <t xml:space="preserve">748016 </t>
  </si>
  <si>
    <t>iPad Mini</t>
  </si>
  <si>
    <t xml:space="preserve">748017 </t>
  </si>
  <si>
    <t>2 x Desktop Computers</t>
  </si>
  <si>
    <t xml:space="preserve">748018 </t>
  </si>
  <si>
    <t>7 x Corner Workstations</t>
  </si>
  <si>
    <t xml:space="preserve">748019 </t>
  </si>
  <si>
    <t>7 x Desk Draw Pedestals</t>
  </si>
  <si>
    <t xml:space="preserve">748020 </t>
  </si>
  <si>
    <t>Reception Hob</t>
  </si>
  <si>
    <t xml:space="preserve">748021 </t>
  </si>
  <si>
    <t>2 x Tall Storage Cupboard</t>
  </si>
  <si>
    <t xml:space="preserve">748022 </t>
  </si>
  <si>
    <t>3 x Half Height Storage Cupboards</t>
  </si>
  <si>
    <t xml:space="preserve">748023 </t>
  </si>
  <si>
    <t>2 x 1500 Hutch &amp; Credenza</t>
  </si>
  <si>
    <t xml:space="preserve">748024 </t>
  </si>
  <si>
    <t>2 x 1800 Hutch &amp; Credenza</t>
  </si>
  <si>
    <t xml:space="preserve">748025 </t>
  </si>
  <si>
    <t>2 x Mesh Office Chairs</t>
  </si>
  <si>
    <t xml:space="preserve">748026 </t>
  </si>
  <si>
    <t>18 x Boardroom Swivel Chairs</t>
  </si>
  <si>
    <t xml:space="preserve">748027 </t>
  </si>
  <si>
    <t>Round Boardroom Table</t>
  </si>
  <si>
    <t xml:space="preserve">748028 </t>
  </si>
  <si>
    <t>2 x Long Boardroom Tables</t>
  </si>
  <si>
    <t xml:space="preserve">748029 </t>
  </si>
  <si>
    <t>Kym - Macbook</t>
  </si>
  <si>
    <t xml:space="preserve">748030 </t>
  </si>
  <si>
    <t>Office Netphones</t>
  </si>
  <si>
    <t xml:space="preserve">748031 </t>
  </si>
  <si>
    <t>40 Port Gigabit Hard Drive</t>
  </si>
  <si>
    <t>TOTAL</t>
  </si>
  <si>
    <t>Method</t>
  </si>
  <si>
    <t>Depn</t>
  </si>
  <si>
    <t>Depn %</t>
  </si>
  <si>
    <t>Code</t>
  </si>
  <si>
    <t>to</t>
  </si>
  <si>
    <t>Total - Leasehold Improvements</t>
  </si>
  <si>
    <t>Months</t>
  </si>
  <si>
    <t>Date</t>
  </si>
  <si>
    <t>Disp</t>
  </si>
  <si>
    <t>Proceeds</t>
  </si>
  <si>
    <t>Original</t>
  </si>
  <si>
    <t>Cost</t>
  </si>
  <si>
    <t>WDV</t>
  </si>
  <si>
    <t>Open.</t>
  </si>
  <si>
    <t>Additions</t>
  </si>
  <si>
    <t>Checker</t>
  </si>
  <si>
    <t>Profit</t>
  </si>
  <si>
    <t>Loss</t>
  </si>
  <si>
    <t>%</t>
  </si>
  <si>
    <t>W.D.V.</t>
  </si>
  <si>
    <t>Closing</t>
  </si>
  <si>
    <t>Total - Plant and Equipment</t>
  </si>
  <si>
    <t>Total - Motor Vehicles</t>
  </si>
  <si>
    <t>Total - Barrels</t>
  </si>
  <si>
    <t>Total - Office Equipment</t>
  </si>
  <si>
    <t>Total</t>
  </si>
  <si>
    <t>MYOB</t>
  </si>
  <si>
    <t>PC</t>
  </si>
  <si>
    <t>Dim</t>
  </si>
  <si>
    <t xml:space="preserve">YTD </t>
  </si>
  <si>
    <t>*** Fixed Assets calculated in house from 1/12/18</t>
  </si>
  <si>
    <t>Dim Sold</t>
  </si>
  <si>
    <t>PC Sold</t>
  </si>
  <si>
    <t>Tot Depn</t>
  </si>
  <si>
    <t>Sold</t>
  </si>
  <si>
    <t>Agreed</t>
  </si>
  <si>
    <t xml:space="preserve"> to MYOB</t>
  </si>
  <si>
    <t>MANCAVE UNIT TRUST</t>
  </si>
  <si>
    <t>Page 1 of 3</t>
  </si>
  <si>
    <t>Depn
Method</t>
  </si>
  <si>
    <t>738</t>
  </si>
  <si>
    <t>Property Improvements</t>
  </si>
  <si>
    <t xml:space="preserve">738001 </t>
  </si>
  <si>
    <t>Electrical Works</t>
  </si>
  <si>
    <t xml:space="preserve">738002 </t>
  </si>
  <si>
    <t>Insulation</t>
  </si>
  <si>
    <t xml:space="preserve">738003 </t>
  </si>
  <si>
    <t xml:space="preserve">738004 </t>
  </si>
  <si>
    <t>Demolition</t>
  </si>
  <si>
    <t xml:space="preserve">738005 </t>
  </si>
  <si>
    <t>Gas Works</t>
  </si>
  <si>
    <t xml:space="preserve">738006 </t>
  </si>
  <si>
    <t xml:space="preserve">738007 </t>
  </si>
  <si>
    <t xml:space="preserve">738008 </t>
  </si>
  <si>
    <t>Winery Design Work</t>
  </si>
  <si>
    <t xml:space="preserve">738010 </t>
  </si>
  <si>
    <t>Electrical Work</t>
  </si>
  <si>
    <t xml:space="preserve">738011 </t>
  </si>
  <si>
    <t xml:space="preserve">738012 </t>
  </si>
  <si>
    <t xml:space="preserve">738013 </t>
  </si>
  <si>
    <t>Carpet</t>
  </si>
  <si>
    <t xml:space="preserve">738015 </t>
  </si>
  <si>
    <t>Painting</t>
  </si>
  <si>
    <t xml:space="preserve">738016 </t>
  </si>
  <si>
    <t xml:space="preserve">738017 </t>
  </si>
  <si>
    <t>Carpentry &amp; Building</t>
  </si>
  <si>
    <t xml:space="preserve">738018 </t>
  </si>
  <si>
    <t xml:space="preserve">738019 </t>
  </si>
  <si>
    <t xml:space="preserve">738020 </t>
  </si>
  <si>
    <t>Plumbing</t>
  </si>
  <si>
    <t xml:space="preserve">738021 </t>
  </si>
  <si>
    <t>Boundary Road</t>
  </si>
  <si>
    <t xml:space="preserve">738022 </t>
  </si>
  <si>
    <t>Rangehood Cooktop</t>
  </si>
  <si>
    <t xml:space="preserve">738023 </t>
  </si>
  <si>
    <t>Kitchen Cupboards</t>
  </si>
  <si>
    <t xml:space="preserve">738024 </t>
  </si>
  <si>
    <t>Kitchen Benchtops</t>
  </si>
  <si>
    <t xml:space="preserve">738025 </t>
  </si>
  <si>
    <t xml:space="preserve">738026 </t>
  </si>
  <si>
    <t>Sink</t>
  </si>
  <si>
    <t xml:space="preserve">738027 </t>
  </si>
  <si>
    <t>Tiles</t>
  </si>
  <si>
    <t xml:space="preserve">738028 </t>
  </si>
  <si>
    <t>Security System</t>
  </si>
  <si>
    <t xml:space="preserve">738029 </t>
  </si>
  <si>
    <t>Blinds</t>
  </si>
  <si>
    <t xml:space="preserve">738030 </t>
  </si>
  <si>
    <t>Window Furnishings</t>
  </si>
  <si>
    <t xml:space="preserve">738031 </t>
  </si>
  <si>
    <t>Kitchen Installation</t>
  </si>
  <si>
    <t xml:space="preserve">738032 </t>
  </si>
  <si>
    <t>Planning Fees for new shed</t>
  </si>
  <si>
    <t xml:space="preserve">738033 </t>
  </si>
  <si>
    <t>Barrel Store</t>
  </si>
  <si>
    <t xml:space="preserve">738034 </t>
  </si>
  <si>
    <t>Barrel Store (Stormwater Management Plan)</t>
  </si>
  <si>
    <t xml:space="preserve">738035 </t>
  </si>
  <si>
    <t>Application for building rules consent</t>
  </si>
  <si>
    <t xml:space="preserve">738036 </t>
  </si>
  <si>
    <t>Drilling Boreholes and Test Pits and Logging</t>
  </si>
  <si>
    <t xml:space="preserve">738037 </t>
  </si>
  <si>
    <t>Soil Excavation</t>
  </si>
  <si>
    <t xml:space="preserve">738038 </t>
  </si>
  <si>
    <t>EPA Schedule 22 Referal Fee</t>
  </si>
  <si>
    <t xml:space="preserve">738039 </t>
  </si>
  <si>
    <t xml:space="preserve">738040 </t>
  </si>
  <si>
    <t xml:space="preserve">738041 </t>
  </si>
  <si>
    <t xml:space="preserve">738042 </t>
  </si>
  <si>
    <t>Fire Hydrant Design for New Shed</t>
  </si>
  <si>
    <t xml:space="preserve">738043 </t>
  </si>
  <si>
    <t xml:space="preserve">738044 </t>
  </si>
  <si>
    <t xml:space="preserve">738045 </t>
  </si>
  <si>
    <t>Cartage of Soil with Semi Trailer</t>
  </si>
  <si>
    <t xml:space="preserve">738046 </t>
  </si>
  <si>
    <t>Cartage of Soil</t>
  </si>
  <si>
    <t xml:space="preserve">738047 </t>
  </si>
  <si>
    <t>Cartage of Earth</t>
  </si>
  <si>
    <t xml:space="preserve">738048 </t>
  </si>
  <si>
    <t>Pillar Sign Frame</t>
  </si>
  <si>
    <t xml:space="preserve">738049 </t>
  </si>
  <si>
    <t>Labour Rust Proofing &amp; Painting</t>
  </si>
  <si>
    <t xml:space="preserve">738050 </t>
  </si>
  <si>
    <t>Fire Detection System</t>
  </si>
  <si>
    <t xml:space="preserve">738051 </t>
  </si>
  <si>
    <t>PA Door for Glugs Shed</t>
  </si>
  <si>
    <t xml:space="preserve">738052 </t>
  </si>
  <si>
    <t>Concrete for New Wash Down Bay</t>
  </si>
  <si>
    <t xml:space="preserve">738053 </t>
  </si>
  <si>
    <t>Solar Panel System</t>
  </si>
  <si>
    <t xml:space="preserve">738054 </t>
  </si>
  <si>
    <t>Replace Booster Assembly, Backflow Device</t>
  </si>
  <si>
    <t xml:space="preserve">738055 </t>
  </si>
  <si>
    <t>New Barrel Shed Store Work</t>
  </si>
  <si>
    <t xml:space="preserve">738056 </t>
  </si>
  <si>
    <t>LED Light fittings for new Barrel shed</t>
  </si>
  <si>
    <t xml:space="preserve">738057 </t>
  </si>
  <si>
    <t>Excavation for Barrel Shed &amp; Receival Area</t>
  </si>
  <si>
    <t xml:space="preserve">738058 </t>
  </si>
  <si>
    <t xml:space="preserve">738059 </t>
  </si>
  <si>
    <t xml:space="preserve">738060 </t>
  </si>
  <si>
    <t xml:space="preserve">738061 </t>
  </si>
  <si>
    <t xml:space="preserve">738062 </t>
  </si>
  <si>
    <t xml:space="preserve">738063 </t>
  </si>
  <si>
    <t xml:space="preserve">738064 </t>
  </si>
  <si>
    <t xml:space="preserve">738065 </t>
  </si>
  <si>
    <t xml:space="preserve">738066 </t>
  </si>
  <si>
    <t>Barrel Shed Work</t>
  </si>
  <si>
    <t xml:space="preserve">738067 </t>
  </si>
  <si>
    <t xml:space="preserve">738068 </t>
  </si>
  <si>
    <t>Outlets for Barrel Shed</t>
  </si>
  <si>
    <t xml:space="preserve">738069 </t>
  </si>
  <si>
    <t>Distribution Board for Barrel Shed</t>
  </si>
  <si>
    <t xml:space="preserve">738070 </t>
  </si>
  <si>
    <t>Lighting Work on Barrel Shed</t>
  </si>
  <si>
    <t xml:space="preserve">738071 </t>
  </si>
  <si>
    <t>Cables for Barrel Shed</t>
  </si>
  <si>
    <t xml:space="preserve">738072 </t>
  </si>
  <si>
    <t>Barrell Shed Work</t>
  </si>
  <si>
    <t xml:space="preserve">738073 </t>
  </si>
  <si>
    <t xml:space="preserve">738074 </t>
  </si>
  <si>
    <t>Cable Ladders &amp; Hardware for Barrel Shed</t>
  </si>
  <si>
    <t xml:space="preserve">738075 </t>
  </si>
  <si>
    <t>Earthworks for Barrell Shed &amp; Receival Area</t>
  </si>
  <si>
    <t xml:space="preserve">738076 </t>
  </si>
  <si>
    <t>Concrete for Barrel Shed</t>
  </si>
  <si>
    <t xml:space="preserve">738077 </t>
  </si>
  <si>
    <t>Lights in New Barrel Shed &amp; Canopy</t>
  </si>
  <si>
    <t xml:space="preserve">738078 </t>
  </si>
  <si>
    <t>Electrical Work to New Barrel Shed</t>
  </si>
  <si>
    <t xml:space="preserve">738079 </t>
  </si>
  <si>
    <t>Earthworks for Barrel Shed</t>
  </si>
  <si>
    <t xml:space="preserve">738080 </t>
  </si>
  <si>
    <t>Barrel Shed Water Pipes &amp; Waste Water</t>
  </si>
  <si>
    <t xml:space="preserve">738081 </t>
  </si>
  <si>
    <t>Cartage of Fill for Receival Area</t>
  </si>
  <si>
    <t xml:space="preserve">738082 </t>
  </si>
  <si>
    <t>Cartage of 75mm Fill for Receival Area</t>
  </si>
  <si>
    <t xml:space="preserve">740001 </t>
  </si>
  <si>
    <t>Daikin Airconditioning System</t>
  </si>
  <si>
    <t xml:space="preserve">740002 </t>
  </si>
  <si>
    <t>Daikin Aircon</t>
  </si>
  <si>
    <t xml:space="preserve">740003 </t>
  </si>
  <si>
    <t>Daikin High Wall Split</t>
  </si>
  <si>
    <t xml:space="preserve">740004 </t>
  </si>
  <si>
    <t>250L HWS in Toilet Block</t>
  </si>
  <si>
    <t xml:space="preserve">740005 </t>
  </si>
  <si>
    <t>Shelving in Warehouse</t>
  </si>
  <si>
    <t xml:space="preserve">! Impairment or Revaluation during the year. See Impairment and Revaluation Transactions report for details </t>
  </si>
  <si>
    <t>Rate</t>
  </si>
  <si>
    <t>Check</t>
  </si>
  <si>
    <t>Mancave Unit Trust</t>
  </si>
  <si>
    <t>Total - Prperty Improvements</t>
  </si>
  <si>
    <t>Leasehold Improvement  1-6710</t>
  </si>
  <si>
    <t>Beginning Balance:</t>
  </si>
  <si>
    <t>Barrel Shed</t>
  </si>
  <si>
    <t>AGS World Transport Pty Ltd</t>
  </si>
  <si>
    <t>sea freight  of inox drains</t>
  </si>
  <si>
    <t>Bauer Epoxies</t>
  </si>
  <si>
    <t>Evercoat - epoxy for concrete</t>
  </si>
  <si>
    <t>Scott Duff Plumbing &amp; Gasfitting</t>
  </si>
  <si>
    <t>work for end Nov/Dec to barrel shed and crush area for trade waste</t>
  </si>
  <si>
    <t>Crowies Paint</t>
  </si>
  <si>
    <t>Rollers</t>
  </si>
  <si>
    <t>ball valves along barrel shed veranda &amp; in and around shed</t>
  </si>
  <si>
    <t>Receival area</t>
  </si>
  <si>
    <t>Calculated Surveys Pty Ltd</t>
  </si>
  <si>
    <t>earthworks survey</t>
  </si>
  <si>
    <t>GR &amp; RA Loechel</t>
  </si>
  <si>
    <t>Work for December - Receival Area</t>
  </si>
  <si>
    <t>Work for Jan - Receival Area</t>
  </si>
  <si>
    <t>Valley Dirt Work</t>
  </si>
  <si>
    <t>drilling holes @ winery 5/12/18</t>
  </si>
  <si>
    <t>Work for Feb - Receival area light poles</t>
  </si>
  <si>
    <t>Hot water to new crusher area</t>
  </si>
  <si>
    <t>Stainless Engineering &amp; Maintenance</t>
  </si>
  <si>
    <t xml:space="preserve">20 x 1.5mm plates </t>
  </si>
  <si>
    <t>CBS Bins</t>
  </si>
  <si>
    <t>Skip Bin</t>
  </si>
  <si>
    <t>Wine Lines</t>
  </si>
  <si>
    <t>Atlas steels</t>
  </si>
  <si>
    <t>Tube and angles for wine lines</t>
  </si>
  <si>
    <t>Work for December - Brine Lines</t>
  </si>
  <si>
    <t>Work for Jan - Brine Lines</t>
  </si>
  <si>
    <t>Work for Feb - Brine Lines</t>
  </si>
  <si>
    <t>webforge</t>
  </si>
  <si>
    <t>Steel for catwalks</t>
  </si>
  <si>
    <t>Adelaide Galvanising Industries Pty Ltd</t>
  </si>
  <si>
    <t>Hot Dip galv catwalk steel</t>
  </si>
  <si>
    <t>Work for Jan - Catwalks in new barrel shed</t>
  </si>
  <si>
    <t>SS BSM - steel</t>
  </si>
  <si>
    <t>Galv mesh, studs &amp; screws for catwalks</t>
  </si>
  <si>
    <t>One Steel</t>
  </si>
  <si>
    <t>angles &amp; ends steek for catwalks</t>
  </si>
  <si>
    <t>angles &amp; Pipes - steel for catwalks</t>
  </si>
  <si>
    <t xml:space="preserve">Galv Mesh for catwalks </t>
  </si>
  <si>
    <t xml:space="preserve">Work for Mar - Catwalks </t>
  </si>
  <si>
    <t>SS round tube x 246M for catwalks</t>
  </si>
  <si>
    <t xml:space="preserve">Work for Apr - Catwalks </t>
  </si>
  <si>
    <t>Pipe for Catwalks</t>
  </si>
  <si>
    <t>Grating &amp; staunchion platform for catwalks</t>
  </si>
  <si>
    <t>New Offices</t>
  </si>
  <si>
    <t>Underwood Carpentry &amp; Building Pty Ltd</t>
  </si>
  <si>
    <t>Work on toilet block</t>
  </si>
  <si>
    <t>Marc Bay</t>
  </si>
  <si>
    <t>Russel Consulting Engineers</t>
  </si>
  <si>
    <t>Marc Bay structural design and documentation</t>
  </si>
  <si>
    <t>Whyalla Systems Pty Ltd</t>
  </si>
  <si>
    <t>manufacture, deliver and install precast panels for marc bay</t>
  </si>
  <si>
    <t>Work for December - Marc Bay</t>
  </si>
  <si>
    <t>Work for Feb - Must lines</t>
  </si>
  <si>
    <t>Work for Feb - Marc Conveyor Installation</t>
  </si>
  <si>
    <t>Work for Mar - Monorail</t>
  </si>
  <si>
    <t>Work for April - Position tanks</t>
  </si>
  <si>
    <t>Closing Balance</t>
  </si>
  <si>
    <t>Plant &amp; Equipment 1-6740</t>
  </si>
  <si>
    <t>Tanks &amp; fermenters</t>
  </si>
  <si>
    <t>JMA Engineering Pty Ltd</t>
  </si>
  <si>
    <t>2 * 45kl tanks @ $22,250 each</t>
  </si>
  <si>
    <t>ICAL International Customs</t>
  </si>
  <si>
    <t>Customs, GST &amp; handling of 8 x 15T fermenters &amp; 8 x 5000lt tanks</t>
  </si>
  <si>
    <t>Symons Clarke</t>
  </si>
  <si>
    <t>transport of 8* 15T fermenters &amp; 8 x 5000L tanks</t>
  </si>
  <si>
    <t>Customs, GST &amp; handling of 15T fermenters, 4T fermenters &amp; 2T fermenters</t>
  </si>
  <si>
    <t>container transport for fermenters</t>
  </si>
  <si>
    <t>Work for Dec - Tanks - new tanks unload from Truck Dec</t>
  </si>
  <si>
    <t xml:space="preserve">Work for Jan - Tanks - new tanks unload from Truck </t>
  </si>
  <si>
    <t>Work for Feb - Tank pump over pipes</t>
  </si>
  <si>
    <t>Australian Tank Insulation</t>
  </si>
  <si>
    <t>Insulation of 200kl wine tank</t>
  </si>
  <si>
    <t>Barossa Valley Hire</t>
  </si>
  <si>
    <t>3 scoops bricky sand for tank plinths</t>
  </si>
  <si>
    <t>Crane Services</t>
  </si>
  <si>
    <t>unload &amp; Position 4 tanks &amp; catwalks</t>
  </si>
  <si>
    <t>Work for Mar - unload tanks &amp; frementer hooks (9.5h)</t>
  </si>
  <si>
    <t>Tuff as Constructions</t>
  </si>
  <si>
    <t>4 x 27kl plinths &amp; 4 x 36kl plinths @ 1750 ea</t>
  </si>
  <si>
    <t>2 x 45kl plinths @ 4500</t>
  </si>
  <si>
    <t>2 x 20t Cranes &amp; Rigger to position 2 tanks under canopy</t>
  </si>
  <si>
    <t>Longship Enterprises</t>
  </si>
  <si>
    <t>design &amp; Manufacture 1 off stalk elevator 8m x 400 (total 25400+gst) progress payment</t>
  </si>
  <si>
    <t>ProChem</t>
  </si>
  <si>
    <t>Knife gate for the press</t>
  </si>
  <si>
    <t>Mettler-Toledo Ltd</t>
  </si>
  <si>
    <t>Installation IND246 /Weigh Module SWC515 SS 20T-S2 PDX - job # 1810921</t>
  </si>
  <si>
    <t>Marc Conveyor 12.8M</t>
  </si>
  <si>
    <t>Marc Elevator 5M</t>
  </si>
  <si>
    <t>Work for Mar - Marc Conveyor installation</t>
  </si>
  <si>
    <t>Toyota Material Handling Australia Pty Ltd</t>
  </si>
  <si>
    <t>2018 Toyota Forklift</t>
  </si>
  <si>
    <t xml:space="preserve">Customs for Drains from Inoxsystems - less VA Filtration </t>
  </si>
  <si>
    <t>AR Black &amp; Co</t>
  </si>
  <si>
    <t xml:space="preserve">9 x Inoxpa RV-80 pumps @ 3660 </t>
  </si>
  <si>
    <t>1 x Remote 120mm 240 vac with sunshade &amp; swivel mount kit</t>
  </si>
  <si>
    <t>Dorrien Estate Winery</t>
  </si>
  <si>
    <t>100 x Falland racks @ 65 ea</t>
  </si>
  <si>
    <t>Mobile Compressed air</t>
  </si>
  <si>
    <t>installation of disconnected Compressed Air System &amp; supply of parts &amp; commissioning</t>
  </si>
  <si>
    <t>Shillings Hoisting</t>
  </si>
  <si>
    <t>Kito ER2 electric chain hoist single speed, 6 mtr lift</t>
  </si>
  <si>
    <t>mechanical seals to suit RV-80 x 2</t>
  </si>
  <si>
    <t>mechanical seal to suit 35G</t>
  </si>
  <si>
    <t>Tartaric Stand</t>
  </si>
  <si>
    <t>Get tools direct</t>
  </si>
  <si>
    <t>Peerless Black 14000 Compressor</t>
  </si>
  <si>
    <t>Work for Feb - Chiller pump</t>
  </si>
  <si>
    <t>Work for Feb - Vin Wiz cable trays</t>
  </si>
  <si>
    <t>Fabcoat</t>
  </si>
  <si>
    <t>Galv press leg sets</t>
  </si>
  <si>
    <t>Pro-clean cleaning Supplies</t>
  </si>
  <si>
    <t>Broomezy floor sweeper</t>
  </si>
  <si>
    <t>Work for Apr - winelines to barrel shed</t>
  </si>
  <si>
    <t>Wine Technology Australia Pty Ltd</t>
  </si>
  <si>
    <t xml:space="preserve">Vinwizard software config on 11 new tanks, install new IOWiz-16 control hardware </t>
  </si>
  <si>
    <t>Hayes Group Wine Trust</t>
  </si>
  <si>
    <t>Sale - 1 * 2nd hand Hydrolic Basket Press</t>
  </si>
  <si>
    <t>closing balance:</t>
  </si>
  <si>
    <t>Barossa Auto Group</t>
  </si>
  <si>
    <t>Sale of Ford XR6 Ute</t>
  </si>
  <si>
    <t>Barrels - at Cost</t>
  </si>
  <si>
    <t>Sales</t>
  </si>
  <si>
    <t>Price per barrel</t>
  </si>
  <si>
    <t>A. Stiller Coopers Pty Ltd</t>
  </si>
  <si>
    <t>2nd hand HogsHeads</t>
  </si>
  <si>
    <t>225L Brq</t>
  </si>
  <si>
    <t>Classic Oak Products</t>
  </si>
  <si>
    <t>MT VTG</t>
  </si>
  <si>
    <t>VTGMT</t>
  </si>
  <si>
    <t>228L</t>
  </si>
  <si>
    <t>Chene Australasia</t>
  </si>
  <si>
    <t>225L</t>
  </si>
  <si>
    <t>225l</t>
  </si>
  <si>
    <t>Saint Martin</t>
  </si>
  <si>
    <t xml:space="preserve"> initial blend 225L @ 859 euro 2% disc</t>
  </si>
  <si>
    <t>GR 27mm @ 979 euro 2% disc</t>
  </si>
  <si>
    <t>GR 27mm 2018 stock @ 961 euro 2% disc</t>
  </si>
  <si>
    <t>300L HHD</t>
  </si>
  <si>
    <t>Groupe Charlois Australia</t>
  </si>
  <si>
    <t>300L Hogsheads</t>
  </si>
  <si>
    <t>MT+</t>
  </si>
  <si>
    <t>Kauri</t>
  </si>
  <si>
    <t>Hogsheads</t>
  </si>
  <si>
    <t>Nadalie</t>
  </si>
  <si>
    <t>300L</t>
  </si>
  <si>
    <t>Aquilla Audax Enterprises Pty Ltd</t>
  </si>
  <si>
    <t>Troncais</t>
  </si>
  <si>
    <t>Centre of France</t>
  </si>
  <si>
    <t>Fine Grain french oak</t>
  </si>
  <si>
    <t>French profile</t>
  </si>
  <si>
    <t>French Oak</t>
  </si>
  <si>
    <t>Saint Martin Australasia</t>
  </si>
  <si>
    <t>300L Grand reserve barrels @ 1120 euro</t>
  </si>
  <si>
    <t xml:space="preserve"> 300L initial blend barrels @ 999 euro</t>
  </si>
  <si>
    <t>500L PUN</t>
  </si>
  <si>
    <t>Mercurey Australia Pty Ltd</t>
  </si>
  <si>
    <t>Tonnellerie French Oak</t>
  </si>
  <si>
    <t>Puncheons</t>
  </si>
  <si>
    <t>Initial Blend 500L @ 1508 euro 2% disc</t>
  </si>
  <si>
    <t>Tonnellerie Mercier SA</t>
  </si>
  <si>
    <t>French oak barrels 500L</t>
  </si>
  <si>
    <t xml:space="preserve">second hand barrels </t>
  </si>
  <si>
    <t>Falland racks</t>
  </si>
  <si>
    <t>Apple</t>
  </si>
  <si>
    <t>Mairead - Macbook</t>
  </si>
  <si>
    <t>Low Value Pool</t>
  </si>
  <si>
    <t>Clean Machine Australia</t>
  </si>
  <si>
    <t>10 x wash down guns @ 192.32 ea</t>
  </si>
  <si>
    <t>BL Shipway</t>
  </si>
  <si>
    <t>Blue estate w/down</t>
  </si>
  <si>
    <t>PVC Red hose 50mm coil</t>
  </si>
  <si>
    <t>Plutone PR 50MM x 30M</t>
  </si>
  <si>
    <t>Ryco MP Hose 25mm x 50M</t>
  </si>
  <si>
    <t>2 x PVC hose red 38mm x 20m coil</t>
  </si>
  <si>
    <t>hot wash hose 20mm x 100M</t>
  </si>
  <si>
    <t>Wine Hose 75mm x 5M</t>
  </si>
  <si>
    <t>Mitre 10</t>
  </si>
  <si>
    <t>Bosch battery charger</t>
  </si>
  <si>
    <t>Depreciation expensed for management accounts</t>
  </si>
  <si>
    <t>MANCAVE HOLDINGS</t>
  </si>
  <si>
    <t>Eco Waste &amp; Compost Solutions</t>
  </si>
  <si>
    <t>75mm Fill from Penrice</t>
  </si>
  <si>
    <t>Barossa Automation</t>
  </si>
  <si>
    <t>Lighting Control pannel - Barrel hsed</t>
  </si>
  <si>
    <t>electrical works to new barrel shed to connect submain, fitoff outlets, lights &amp; switchboards</t>
  </si>
  <si>
    <t>supply electrical distribution board for barrel shed canopy fit off power outlets</t>
  </si>
  <si>
    <t>Ahrens Group</t>
  </si>
  <si>
    <t>December barrel shed work</t>
  </si>
  <si>
    <t>Tuff as construction</t>
  </si>
  <si>
    <t xml:space="preserve">Concrete for barrel shed - remainder </t>
  </si>
  <si>
    <t>Conduit &amp; fittings for Audio Speakers</t>
  </si>
  <si>
    <t>Final project claim - Feb work</t>
  </si>
  <si>
    <t>Hunter Bros</t>
  </si>
  <si>
    <t>Nov Earthworks &amp; Fill - Receival area</t>
  </si>
  <si>
    <t>electrical work to new receival area for crusher, tipping bin, power and lights</t>
  </si>
  <si>
    <t>electrical works for pressing area incl. new distr. board, submain, wire presses, pumps and air compressors</t>
  </si>
  <si>
    <t>December earth works - Receival area</t>
  </si>
  <si>
    <t>January earthworks - Receival area</t>
  </si>
  <si>
    <t>rubble &amp; Lab compact test - receival area</t>
  </si>
  <si>
    <t>electrical work bottom tank farm - install distr. board, cable ladder, submain cable, power &amp; Lighting</t>
  </si>
  <si>
    <t>supply LED hibays for cellar entrance - installed by others</t>
  </si>
  <si>
    <t>Nilsen (SA) Pty Ltd</t>
  </si>
  <si>
    <t>work to date on switchgear</t>
  </si>
  <si>
    <t>Closing balance:</t>
  </si>
  <si>
    <t>Fermenter and Tank Installation</t>
  </si>
  <si>
    <t>9*RV-80 Pump Over Pumps</t>
  </si>
  <si>
    <t>2-15 Jan work - sewer from  trade waste, crusher drain</t>
  </si>
  <si>
    <t>Barrel Shed -Paint Floor and Sundry</t>
  </si>
  <si>
    <t>Receival Area - Electrical/Civil</t>
  </si>
  <si>
    <t>Wine lines</t>
  </si>
  <si>
    <t>New Toilet Block - Shed 4</t>
  </si>
  <si>
    <t>Plus Additions (Less Disposal)</t>
  </si>
  <si>
    <t>Low Value Pool Assets</t>
  </si>
  <si>
    <t>742600</t>
  </si>
  <si>
    <t>742601</t>
  </si>
  <si>
    <t>742602</t>
  </si>
  <si>
    <t>742603</t>
  </si>
  <si>
    <t>742604</t>
  </si>
  <si>
    <t>742605</t>
  </si>
  <si>
    <t>742606</t>
  </si>
  <si>
    <t>742607</t>
  </si>
  <si>
    <t>742608</t>
  </si>
  <si>
    <t>742609</t>
  </si>
  <si>
    <t>2*45kl Tanks</t>
  </si>
  <si>
    <t>15T,4T,2T Fermenter and 5KL Tank Installation Asset # 742572-5</t>
  </si>
  <si>
    <t>Installation Asset #742576-7</t>
  </si>
  <si>
    <t>Insulation 200kl Tank</t>
  </si>
  <si>
    <t>Marc Conveyor - 12.8M</t>
  </si>
  <si>
    <t>Stalk Conveyor - 5M</t>
  </si>
  <si>
    <t>Stalk Conveyor 5M</t>
  </si>
  <si>
    <t xml:space="preserve">Vinwizard 11 new tanks, install new IOWiz-16 control hardware </t>
  </si>
  <si>
    <t>742610</t>
  </si>
  <si>
    <t>742611</t>
  </si>
  <si>
    <t>742612</t>
  </si>
  <si>
    <t>742613</t>
  </si>
  <si>
    <t>742614</t>
  </si>
  <si>
    <t>100 x Falland racks</t>
  </si>
  <si>
    <t>move Compressed Air System &amp; supply of parts &amp; commissioning</t>
  </si>
  <si>
    <t>742615</t>
  </si>
  <si>
    <t>Knife Gate for Press</t>
  </si>
  <si>
    <t>Installation IND246 /Weigh Module Tipping Bin</t>
  </si>
  <si>
    <t>Remote 120mm 240 vac with sunshade/swivel mount kit - Tipping Bin</t>
  </si>
  <si>
    <t>744017</t>
  </si>
  <si>
    <t>746239</t>
  </si>
  <si>
    <t>746240</t>
  </si>
  <si>
    <t>746241</t>
  </si>
  <si>
    <t>746242</t>
  </si>
  <si>
    <t>746243</t>
  </si>
  <si>
    <t>48 New 225ltr Barriques</t>
  </si>
  <si>
    <t>143 New 300ltr Hogsheads</t>
  </si>
  <si>
    <t>11 New 500ltr Puncheons</t>
  </si>
  <si>
    <t>200 * 2nd Hand Hogs Heads</t>
  </si>
  <si>
    <t>Barrels 2nd Hand (4)</t>
  </si>
  <si>
    <t>748032</t>
  </si>
  <si>
    <t xml:space="preserve">Orig Cost </t>
  </si>
  <si>
    <t>Disposal</t>
  </si>
  <si>
    <t>Opening Balance</t>
  </si>
  <si>
    <t>1/12/18 to 30/6/19 additions</t>
  </si>
  <si>
    <t>Total - Low Value Pool</t>
  </si>
  <si>
    <t>738083</t>
  </si>
  <si>
    <t>738084</t>
  </si>
  <si>
    <t>738085</t>
  </si>
  <si>
    <t xml:space="preserve">Barrel Shed </t>
  </si>
  <si>
    <t>Receival Area</t>
  </si>
  <si>
    <t>electrical work bottom tank farm - distr. board, power &amp; Lighting</t>
  </si>
  <si>
    <t>738086</t>
  </si>
  <si>
    <t>Angles, round bars &amp; flats for catwalks</t>
  </si>
  <si>
    <t>Balance Sheet</t>
  </si>
  <si>
    <t>W'off</t>
  </si>
  <si>
    <t>Property Imptrovements</t>
  </si>
  <si>
    <t>Samuel Road  Property</t>
  </si>
  <si>
    <t>Cost of Property - 95 Samuel Road</t>
  </si>
  <si>
    <t>purch of 8790sqm @ rear of 95 Samuel Road</t>
  </si>
  <si>
    <t>purch of 8790sqm @ rear of 95 Samuel Road - Legal fees</t>
  </si>
  <si>
    <t>Total -Samuel Road</t>
  </si>
  <si>
    <t>Switch Gear WIP</t>
  </si>
  <si>
    <t>Barrel Shed - water pipe and sink</t>
  </si>
  <si>
    <t>Receival Area - Civil</t>
  </si>
  <si>
    <t>Crossflw Filter Shed</t>
  </si>
  <si>
    <t>2 * Speed Humps</t>
  </si>
  <si>
    <t>Concrete bollards</t>
  </si>
  <si>
    <t>742616</t>
  </si>
  <si>
    <t>742617</t>
  </si>
  <si>
    <t>742618</t>
  </si>
  <si>
    <t>742619</t>
  </si>
  <si>
    <t>742620</t>
  </si>
  <si>
    <t>742621</t>
  </si>
  <si>
    <t>742622</t>
  </si>
  <si>
    <t>742623</t>
  </si>
  <si>
    <t>2kl Square Tank</t>
  </si>
  <si>
    <t xml:space="preserve">2T Open Top Fermenters </t>
  </si>
  <si>
    <t>2T VC Tank</t>
  </si>
  <si>
    <t>3.5kl Wine Storage Tank</t>
  </si>
  <si>
    <t>742624</t>
  </si>
  <si>
    <t>742625</t>
  </si>
  <si>
    <t>742626</t>
  </si>
  <si>
    <t>742627</t>
  </si>
  <si>
    <t>742628</t>
  </si>
  <si>
    <t>742629</t>
  </si>
  <si>
    <t>742630</t>
  </si>
  <si>
    <t>742631</t>
  </si>
  <si>
    <t>6 x 13.5KL wine storage tanks</t>
  </si>
  <si>
    <t>6 x 15KL wine storage tanks</t>
  </si>
  <si>
    <t>3 x 2.5kl tanks @ $3000 ea</t>
  </si>
  <si>
    <t>2 x 2kl plastic tanks @ 500 ea</t>
  </si>
  <si>
    <t>2*1.5kl tanks</t>
  </si>
  <si>
    <t>Alterations to tipping bin</t>
  </si>
  <si>
    <t>Stalk Elevator adjustments</t>
  </si>
  <si>
    <t>2 x access platform for small tanks</t>
  </si>
  <si>
    <t>Scales for half tonne bins</t>
  </si>
  <si>
    <t>Barrel Rollers</t>
  </si>
  <si>
    <t>Ezyunder Barrel Cleaner w. Bolondi Head</t>
  </si>
  <si>
    <t>Trolley Jack</t>
  </si>
  <si>
    <t xml:space="preserve">work to Diemme </t>
  </si>
  <si>
    <t>742632</t>
  </si>
  <si>
    <t>742350a</t>
  </si>
  <si>
    <t>2 x Pumps (75kw)</t>
  </si>
  <si>
    <t>7 x Pumps (75kw)</t>
  </si>
  <si>
    <t>742558 a</t>
  </si>
  <si>
    <t>2 X secondhand hogshead racks</t>
  </si>
  <si>
    <t>70 X secondhand hogshead racks</t>
  </si>
  <si>
    <t>Assistant Winemaker PC</t>
  </si>
  <si>
    <t>1/7/19 to 31/12/19 additions</t>
  </si>
  <si>
    <t>738087</t>
  </si>
  <si>
    <t>738088</t>
  </si>
  <si>
    <t>738089</t>
  </si>
  <si>
    <t>738090</t>
  </si>
  <si>
    <t>738091</t>
  </si>
  <si>
    <t>738092</t>
  </si>
  <si>
    <t>738093</t>
  </si>
  <si>
    <t>July &amp; Aug earth works - clearing &amp; filling carpark area</t>
  </si>
  <si>
    <t>extend fire service materials to barrel shed</t>
  </si>
  <si>
    <t>2 runs of chainwire &amp; double gates in storage shed</t>
  </si>
  <si>
    <t xml:space="preserve"> MAIN HV SWITCHGEAR balance</t>
  </si>
  <si>
    <t xml:space="preserve">Fire Mains, Dam, fence line &amp; driveway earthworks </t>
  </si>
  <si>
    <t>2100mm high chainwire galv fence 2 x 8M gates &amp; 1 x 4M gate</t>
  </si>
  <si>
    <t>chainwire to enclose chemicals  with 1x900mm gate &amp; 1 x 2M gate</t>
  </si>
  <si>
    <t>install 40mm water pipe to NE corner, Uni strut outside pillars, 50mm copper west end barrel shed &amp; 50 &amp; 25mm copper pipe work</t>
  </si>
  <si>
    <t>sink in barrel shed</t>
  </si>
  <si>
    <t>Work in receival area</t>
  </si>
  <si>
    <t>Wine lines to barrel shed</t>
  </si>
  <si>
    <t>Cable Trays</t>
  </si>
  <si>
    <t>brine lines</t>
  </si>
  <si>
    <t>M M Electrical Merchandising</t>
  </si>
  <si>
    <t>Plain struts x 5</t>
  </si>
  <si>
    <t>pipe for brine lines</t>
  </si>
  <si>
    <t>WEMS Pty Ltd</t>
  </si>
  <si>
    <t>long radius bends for must lines</t>
  </si>
  <si>
    <t>Must lines</t>
  </si>
  <si>
    <t>scott Duff Plumbing &amp; Gasfitting</t>
  </si>
  <si>
    <t>Water to new cross flow location</t>
  </si>
  <si>
    <t>cross flow</t>
  </si>
  <si>
    <t>Geordi Stainless</t>
  </si>
  <si>
    <t>long radius bends for wine lines</t>
  </si>
  <si>
    <t>Work to catwalks</t>
  </si>
  <si>
    <t>Atlas Steel</t>
  </si>
  <si>
    <t>SS tube for catwalks</t>
  </si>
  <si>
    <t>steel angles &amp; edge flats for catwalks</t>
  </si>
  <si>
    <t>Webforge</t>
  </si>
  <si>
    <t>staunchion platform angle</t>
  </si>
  <si>
    <t>Catwalk staunchions</t>
  </si>
  <si>
    <t>Hot dip Galv catwalk platforms &amp; walkways</t>
  </si>
  <si>
    <t>catwalk steel</t>
  </si>
  <si>
    <t>6M flat bars for catwalks</t>
  </si>
  <si>
    <t xml:space="preserve">SS round Tube 29lengths @ 6M </t>
  </si>
  <si>
    <t>gridwalk and staunchions for catwalks</t>
  </si>
  <si>
    <t>erect catwalks</t>
  </si>
  <si>
    <t>SS flat sheets &amp; flat bars</t>
  </si>
  <si>
    <t>Work for December - Catwalks and stairs</t>
  </si>
  <si>
    <t>Filter Shed</t>
  </si>
  <si>
    <t>erect filter shed</t>
  </si>
  <si>
    <t>Olympic Industries</t>
  </si>
  <si>
    <t>MHA Products</t>
  </si>
  <si>
    <t>2 x speedhumps</t>
  </si>
  <si>
    <t>Hanson Construction Materials</t>
  </si>
  <si>
    <t>Concrete - bollards for Fire Hydrants</t>
  </si>
  <si>
    <t>Container</t>
  </si>
  <si>
    <t xml:space="preserve"> Charges</t>
  </si>
  <si>
    <t>Inc Cont</t>
  </si>
  <si>
    <t>Cost after</t>
  </si>
  <si>
    <t>below</t>
  </si>
  <si>
    <t>Charges</t>
  </si>
  <si>
    <t>Jiangsu Intechwell Equipment Co. Ltd</t>
  </si>
  <si>
    <t>2KL Square tank</t>
  </si>
  <si>
    <t>2T opentop fermenter</t>
  </si>
  <si>
    <t>2T VC tank</t>
  </si>
  <si>
    <t>3.5KL wine storage tank</t>
  </si>
  <si>
    <t>Lienert of Mecklenburg</t>
  </si>
  <si>
    <t>Sale of 2 x 4.5KL tanks</t>
  </si>
  <si>
    <t>Sale of 2 x 2KL Tanks</t>
  </si>
  <si>
    <t>Riebke Wines</t>
  </si>
  <si>
    <t>sale of 2 x 1.5KL Tanks</t>
  </si>
  <si>
    <t>sale of 1 x 2KL Tanks</t>
  </si>
  <si>
    <t>2 x 4.5KL Round Tanks - all on sold</t>
  </si>
  <si>
    <t>3 x 2kl Round Tanks - all on sold</t>
  </si>
  <si>
    <t>4 x 1.5KL Round tanks - 2 remain</t>
  </si>
  <si>
    <t>Sundry tank and fermenter expenses</t>
  </si>
  <si>
    <t>customs &amp; GST for 2kl sq tank, 2T fermenters, 2T VC tank, 3.5KL Tank &amp; 4 x 13.5kl Tanks</t>
  </si>
  <si>
    <t xml:space="preserve">stainless steel components - cut out valves, ball valves for the 15 tonners 90 and 45 degree elbows for Geoff </t>
  </si>
  <si>
    <t xml:space="preserve">Container Booking &amp; transport for tanks </t>
  </si>
  <si>
    <t>Unload tanks</t>
  </si>
  <si>
    <t>customs &amp; GST</t>
  </si>
  <si>
    <t>Tank Adjustments</t>
  </si>
  <si>
    <t>Irrigation Works</t>
  </si>
  <si>
    <t>Ball Valves, directors, elbows, nipples &amp; thread - for tank cooling system</t>
  </si>
  <si>
    <t>Oct CC receipts</t>
  </si>
  <si>
    <t>Container charges - 4 containers</t>
  </si>
  <si>
    <t xml:space="preserve">Tipping Bin </t>
  </si>
  <si>
    <t xml:space="preserve">adjustments to tipping bin </t>
  </si>
  <si>
    <t>Stalk Elevator</t>
  </si>
  <si>
    <t>Wheels to stalk elevator</t>
  </si>
  <si>
    <t>adjustments to stalk Elevator</t>
  </si>
  <si>
    <t>Domain Kook Pty Ltd</t>
  </si>
  <si>
    <t>Clean Machine</t>
  </si>
  <si>
    <t>Lost Wolf Wine Company</t>
  </si>
  <si>
    <t>sale of 2 x cradles</t>
  </si>
  <si>
    <t>Watkins Family Trust</t>
  </si>
  <si>
    <t>sale of 2 x RV65 Helicoidal Impellor Centrifugal pump over pumps for 10T fermenters @ 2000 each</t>
  </si>
  <si>
    <t>A Stiller Coopers</t>
  </si>
  <si>
    <t>2nd hand hogsheads</t>
  </si>
  <si>
    <t>Kodo Tech</t>
  </si>
  <si>
    <t>Desktop for Julian in Lab</t>
  </si>
  <si>
    <t>Adelaide tools</t>
  </si>
  <si>
    <t>Makita Portable cut of saw 2200w 355mm</t>
  </si>
  <si>
    <t>Neil</t>
  </si>
  <si>
    <t>5 step ladder 1.8M</t>
  </si>
  <si>
    <t xml:space="preserve">Ryco hose </t>
  </si>
  <si>
    <t>2 x hot wash hoses</t>
  </si>
  <si>
    <t>2 x Inoxpa 3" Ball valve C/W 2 position handle</t>
  </si>
  <si>
    <t>Notes</t>
  </si>
  <si>
    <t>Kroehn Plumbing</t>
  </si>
  <si>
    <t>Nilsen SA Pty Ltd</t>
  </si>
  <si>
    <t>REPLACEMENT OF MAIN HV SWITCHGEAR per Quote # 7937 29/11/18 less amount already paid</t>
  </si>
  <si>
    <t>Bazza's Fencing</t>
  </si>
  <si>
    <t>2100mm high chainwire galv fence with barb &amp; 2 x 8M gates &amp; 1 x 4M gate</t>
  </si>
  <si>
    <t>1 Lshape chainwire to enclose chemicals 1800mm high with 1x900mm gate &amp; 1 x 2M gate</t>
  </si>
  <si>
    <t>Fire Mains, Dam, fence line &amp; driveway earthworks (incl. 61t concrete sand &amp; 25T rubble)</t>
  </si>
  <si>
    <t>Forklift - Feeler</t>
  </si>
  <si>
    <t>Hyster Forklift &amp; Rotator - 7tonner</t>
  </si>
  <si>
    <t>Forklift - small hyster</t>
  </si>
  <si>
    <t>2T Open Top Fermenter</t>
  </si>
  <si>
    <t>2019 MERC AMG C63S - rego XA341T</t>
  </si>
  <si>
    <t>10 * Barrels purchased May 07</t>
  </si>
  <si>
    <t>2 * Barrels purchased April 07</t>
  </si>
  <si>
    <t>2 x 300L Kadar Hogsheads</t>
  </si>
  <si>
    <t>10 * Barrels purchased Feb 07</t>
  </si>
  <si>
    <t>Fermenter - look like plastics</t>
  </si>
  <si>
    <t>Fermenters - must be plastic</t>
  </si>
  <si>
    <t>Barossa plumbing and gas service</t>
  </si>
  <si>
    <t>install water lines on barrel shed posts, connect eyewash stations, waterfeed to sink and valves to tank farm</t>
  </si>
  <si>
    <t>Cool Foam</t>
  </si>
  <si>
    <t>60m brine lines/wine line insulation</t>
  </si>
  <si>
    <t>work to must lines</t>
  </si>
  <si>
    <t xml:space="preserve">brine lines </t>
  </si>
  <si>
    <t>must lines</t>
  </si>
  <si>
    <t>square edge flats</t>
  </si>
  <si>
    <t>The Family Wine co.</t>
  </si>
  <si>
    <t xml:space="preserve">Sale 2x1500ltr tanks and 1x2500l conical base fermenter </t>
  </si>
  <si>
    <t>Australian Tank insulation</t>
  </si>
  <si>
    <t>insulation of 6 x 13.5kl tanks</t>
  </si>
  <si>
    <t>insulation of 6 x 15kl tanks</t>
  </si>
  <si>
    <t>insulation of 4 x 27kl &amp; 4 x 36kl tanks</t>
  </si>
  <si>
    <t>Rotary drainer/screen</t>
  </si>
  <si>
    <t xml:space="preserve">sheeting &amp; grate for rotary </t>
  </si>
  <si>
    <t>work to Rotary drainer/screen</t>
  </si>
  <si>
    <t>5step Access platform</t>
  </si>
  <si>
    <t>Rion fabrication kit</t>
  </si>
  <si>
    <t>Plastic Welding tool</t>
  </si>
  <si>
    <t>Work to press</t>
  </si>
  <si>
    <t>new vinwizard control panel &amp; software, wiring and configuration labour &amp; materials</t>
  </si>
  <si>
    <t>Irrigation works</t>
  </si>
  <si>
    <t>Calpeda NM65/16B pump</t>
  </si>
  <si>
    <t>Fire Safe Services</t>
  </si>
  <si>
    <t>1 x 9L air water extinguisher</t>
  </si>
  <si>
    <t>6 x 9kg ABE Powder extinguisher</t>
  </si>
  <si>
    <t>2 x 4.5kg ABE powder extinguisher</t>
  </si>
  <si>
    <t>1 x supply and install new LKS hose reel 36M with brass nozzle</t>
  </si>
  <si>
    <t>Sale of Audi A6 4G MY16 S Line  - rego SEC49R</t>
  </si>
  <si>
    <t>Todd</t>
  </si>
  <si>
    <t>2nd hand white barrels</t>
  </si>
  <si>
    <t xml:space="preserve">K Venning </t>
  </si>
  <si>
    <t>Mick B</t>
  </si>
  <si>
    <t>VTG MT</t>
  </si>
  <si>
    <t>Hand Select MT</t>
  </si>
  <si>
    <t>MT @ 965 euro</t>
  </si>
  <si>
    <t>GCT @ 1035 euro</t>
  </si>
  <si>
    <t>MT @ 1095 euro</t>
  </si>
  <si>
    <t>Doreau Australia</t>
  </si>
  <si>
    <t>MT Barrique</t>
  </si>
  <si>
    <t xml:space="preserve">TT hogsheads </t>
  </si>
  <si>
    <t>TT Premium hogsheads</t>
  </si>
  <si>
    <t>Tonnelleries De Bourgogne</t>
  </si>
  <si>
    <t>Damy Allier Oak (1009 euro)</t>
  </si>
  <si>
    <t>Mercurey Australia</t>
  </si>
  <si>
    <t>Tonellerie French Oak</t>
  </si>
  <si>
    <t>Hand Select MLT</t>
  </si>
  <si>
    <t>Tonnellerie Mercier</t>
  </si>
  <si>
    <t>French oak MT (973 euro)</t>
  </si>
  <si>
    <t>Group Charlois</t>
  </si>
  <si>
    <t>Ermitage</t>
  </si>
  <si>
    <t>Bordeaux ermitage</t>
  </si>
  <si>
    <t>Special Selection @ 1075 euro</t>
  </si>
  <si>
    <t>MT @ 1075 euro</t>
  </si>
  <si>
    <t>MT @ 1145 euro</t>
  </si>
  <si>
    <t>Grand Reserve Tron/Jup</t>
  </si>
  <si>
    <t xml:space="preserve">Initial Blend </t>
  </si>
  <si>
    <t>Doreau Australis</t>
  </si>
  <si>
    <t>MT Hogsheads</t>
  </si>
  <si>
    <t>A stiller Coopers</t>
  </si>
  <si>
    <t xml:space="preserve">French oak </t>
  </si>
  <si>
    <t>French oak from last years stock</t>
  </si>
  <si>
    <t>JB Hi FI</t>
  </si>
  <si>
    <t>Surface Laptop</t>
  </si>
  <si>
    <t>price per hose</t>
  </si>
  <si>
    <t>Absolute Rubber</t>
  </si>
  <si>
    <t>76mm delvac food hose 30M</t>
  </si>
  <si>
    <t>50mm delvac food hose 30M</t>
  </si>
  <si>
    <t>extra - new isolating valve</t>
  </si>
  <si>
    <t>Fire service - draw on quote</t>
  </si>
  <si>
    <t>Barrel Shet Water/Brine Lines</t>
  </si>
  <si>
    <t>742633</t>
  </si>
  <si>
    <t>742634</t>
  </si>
  <si>
    <t>742635</t>
  </si>
  <si>
    <t>742636</t>
  </si>
  <si>
    <t>742637</t>
  </si>
  <si>
    <t>742638</t>
  </si>
  <si>
    <t>742639</t>
  </si>
  <si>
    <t>742640</t>
  </si>
  <si>
    <t>742641</t>
  </si>
  <si>
    <t>Insulation 6 * 13.5kl tanks</t>
  </si>
  <si>
    <t>Insulation 6 * 15kl tanks</t>
  </si>
  <si>
    <t>Insulation 4 * 27kl and  4 * 36kl tanks</t>
  </si>
  <si>
    <t>New Rotary Drainer</t>
  </si>
  <si>
    <t>5 step access platform</t>
  </si>
  <si>
    <t>Plastic Welding Tool</t>
  </si>
  <si>
    <t>Press mofications</t>
  </si>
  <si>
    <t>nvinwizaed control panel</t>
  </si>
  <si>
    <t>Calpeda pump crusher</t>
  </si>
  <si>
    <t xml:space="preserve">9 * Chene barriques </t>
  </si>
  <si>
    <t xml:space="preserve">2 * Doreau barriques </t>
  </si>
  <si>
    <t xml:space="preserve">12 * Kauri Hogsheads </t>
  </si>
  <si>
    <t xml:space="preserve">4 * Tonnelerie Bourgone Hogsheads </t>
  </si>
  <si>
    <t xml:space="preserve">2 * Mercurey Hogsheads </t>
  </si>
  <si>
    <t>8 * Classic Oak barriques - Francois Freres</t>
  </si>
  <si>
    <t>23 * Classic Oak Hogsheads - Francois Freres</t>
  </si>
  <si>
    <t>2 * Tonnelier Mercier Hogs heads</t>
  </si>
  <si>
    <t>21 * Ermitage Hogsheads ( Group Charlois)</t>
  </si>
  <si>
    <t>13 * Chene Hogsheads</t>
  </si>
  <si>
    <t>55*St Martin Hogsheads</t>
  </si>
  <si>
    <t>4 * Doreau Australia Hogsheads</t>
  </si>
  <si>
    <t>11 * Stilller Hogsheads</t>
  </si>
  <si>
    <t>Office Laptop - Surface</t>
  </si>
  <si>
    <t>1/7/19 to 31/12/19 additions- acquistion date the start of the period for spreadsheet to calc correctly</t>
  </si>
  <si>
    <t>1/1/20 to 30/06/20 additions -  acquistion date the start of the period for spreadsheet to calc correctly</t>
  </si>
  <si>
    <t>Fire Service to barrel shed</t>
  </si>
  <si>
    <t xml:space="preserve"> Agreed</t>
  </si>
  <si>
    <t>Plant and Equipment</t>
  </si>
  <si>
    <t>3 x new Daikin high wall inverter split systems - AV&amp;M</t>
  </si>
  <si>
    <t>error</t>
  </si>
  <si>
    <t>checker</t>
  </si>
  <si>
    <t>38 x Barrel Racks</t>
  </si>
  <si>
    <t>12 x Barrel Racks</t>
  </si>
  <si>
    <t>258a</t>
  </si>
  <si>
    <t>2020 Amarok Ute - rego XA467L</t>
  </si>
  <si>
    <t>746240a</t>
  </si>
  <si>
    <t>1 New 300ltr Hogsheads</t>
  </si>
  <si>
    <t>142 New 300ltr Hogsheads</t>
  </si>
  <si>
    <t>Beams and Sleepers - Receival Area</t>
  </si>
  <si>
    <t>eeds</t>
  </si>
  <si>
    <t>Proc-</t>
  </si>
  <si>
    <t>Cogs</t>
  </si>
  <si>
    <t>COGS</t>
  </si>
  <si>
    <t>Rollover Process</t>
  </si>
  <si>
    <t>1. Ensure totals still agree to Balance Sheet</t>
  </si>
  <si>
    <t>2. Copy Closing WDV to Opening WDV as a number not fumula</t>
  </si>
  <si>
    <t>3. Check depn rates for low value pool</t>
  </si>
  <si>
    <t>4. Remove assets sold from last period</t>
  </si>
  <si>
    <t>5. Move additions from previos period to original cost and check depn calc</t>
  </si>
  <si>
    <t>6. Change Depn Period</t>
  </si>
  <si>
    <t>7. Check for negative wdv</t>
  </si>
  <si>
    <t>To be agreed</t>
  </si>
  <si>
    <t>Kappa 25 Stator</t>
  </si>
  <si>
    <t>Hydrolic Power Unit</t>
  </si>
  <si>
    <t>34a</t>
  </si>
  <si>
    <t>2 Barrel Racks</t>
  </si>
  <si>
    <t>18 Barrel Racks</t>
  </si>
  <si>
    <t>9 * Kauri Hogshead Barrels</t>
  </si>
  <si>
    <t>14 x 300L hogsheads plus BMSB Groupe Charloius</t>
  </si>
  <si>
    <t>10 * Chene Hogsheads</t>
  </si>
  <si>
    <t xml:space="preserve">12 * Classic Oak Hogshead Barrels </t>
  </si>
  <si>
    <t>38 * St Martin Hogsheads</t>
  </si>
  <si>
    <t>Less Tax Entry</t>
  </si>
  <si>
    <t>Equals</t>
  </si>
  <si>
    <t>3. Remove assets sold from last period</t>
  </si>
  <si>
    <t>4. Move additions from previos period to original cost and check depn calc</t>
  </si>
  <si>
    <t>5. Change Depn Period</t>
  </si>
  <si>
    <t>6. Check for negative wdv</t>
  </si>
  <si>
    <t>1/1/21 to 30/06/21 additions -  acquistion date the start of the period for spreadsheet to calc correctly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</si>
</sst>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\/mm\/yyyy"/>
    <numFmt numFmtId="167" formatCode="#,##0_);\(#,##0\);\-"/>
    <numFmt numFmtId="168" formatCode="#,##0_);\(#,##0\);\0"/>
    <numFmt numFmtId="169" formatCode="\(dd\/mm\/yyyy\)"/>
    <numFmt numFmtId="170" formatCode="_(* #,##0_);_(* \(#,##0\);_(* &quot;-&quot;??_);_(@_)"/>
    <numFmt numFmtId="171" formatCode="&quot;$&quot;#,##0.00"/>
    <numFmt numFmtId="172" formatCode="#,##0_ ;[Red]\-#,##0\ "/>
    <numFmt numFmtId="173" formatCode="0_ ;[Red]\-0\ "/>
    <numFmt numFmtId="174" formatCode="0.00_ ;[Red]\-0.00\ "/>
    <numFmt numFmtId="175" formatCode="_(* #,##0.00000000000000000000000000_);_(* \(#,##0.00000000000000000000000000\);_(* &quot;-&quot;??_);_(@_)"/>
  </numFmts>
  <fonts count="32" x14ac:knownFonts="1">
    <font>
      <sz val="10"/>
      <color indexed="8"/>
      <name val="ARIAL"/>
      <charset val="1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0"/>
      <color indexed="8"/>
      <name val="Times New Roman"/>
      <family val="1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i/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Times New Roman"/>
      <family val="1"/>
    </font>
    <font>
      <i/>
      <sz val="10"/>
      <color indexed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Arial"/>
      <family val="2"/>
    </font>
    <font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3">
    <xf numFmtId="0" fontId="0" fillId="0" borderId="0">
      <alignment vertical="top"/>
    </xf>
    <xf numFmtId="165" fontId="1" fillId="0" borderId="0" applyFont="0" applyFill="0" applyBorder="0" applyAlignment="0" applyProtection="0">
      <alignment vertical="top"/>
    </xf>
    <xf numFmtId="164" fontId="1" fillId="0" borderId="0" applyFont="0" applyFill="0" applyBorder="0" applyAlignment="0" applyProtection="0">
      <alignment vertical="top"/>
    </xf>
  </cellStyleXfs>
  <cellXfs count="540">
    <xf numFmtId="0" fontId="0" fillId="0" borderId="0" xfId="0">
      <alignment vertical="top"/>
    </xf>
    <xf numFmtId="39" fontId="3" fillId="0" borderId="0" xfId="0" applyNumberFormat="1" applyFont="1" applyAlignment="1">
      <alignment horizontal="right" vertical="top"/>
    </xf>
    <xf numFmtId="0" fontId="3" fillId="0" borderId="0" xfId="0" applyFont="1" applyAlignment="1">
      <alignment horizontal="left" vertical="top"/>
    </xf>
    <xf numFmtId="0" fontId="4" fillId="0" borderId="0" xfId="0" applyFont="1" applyAlignment="1">
      <alignment vertical="top" readingOrder="1"/>
    </xf>
    <xf numFmtId="0" fontId="0" fillId="0" borderId="0" xfId="0" applyFont="1" applyAlignment="1">
      <alignment vertical="top" readingOrder="1"/>
    </xf>
    <xf numFmtId="0" fontId="4" fillId="0" borderId="0" xfId="0" applyFont="1" applyAlignment="1">
      <alignment vertical="top" wrapText="1" readingOrder="1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horizontal="left" vertical="top"/>
    </xf>
    <xf numFmtId="0" fontId="8" fillId="0" borderId="0" xfId="0" applyFont="1" applyAlignment="1">
      <alignment vertical="top" readingOrder="1"/>
    </xf>
    <xf numFmtId="170" fontId="8" fillId="2" borderId="0" xfId="1" applyNumberFormat="1" applyFont="1" applyFill="1" applyAlignment="1">
      <alignment vertical="top"/>
    </xf>
    <xf numFmtId="170" fontId="8" fillId="2" borderId="0" xfId="1" applyNumberFormat="1" applyFont="1" applyFill="1">
      <alignment vertical="top"/>
    </xf>
    <xf numFmtId="0" fontId="8" fillId="2" borderId="0" xfId="0" applyFont="1" applyFill="1">
      <alignment vertical="top"/>
    </xf>
    <xf numFmtId="14" fontId="8" fillId="2" borderId="0" xfId="1" applyNumberFormat="1" applyFont="1" applyFill="1">
      <alignment vertical="top"/>
    </xf>
    <xf numFmtId="167" fontId="0" fillId="0" borderId="0" xfId="0" applyNumberFormat="1">
      <alignment vertical="top"/>
    </xf>
    <xf numFmtId="0" fontId="7" fillId="2" borderId="0" xfId="0" applyFont="1" applyFill="1">
      <alignment vertical="top"/>
    </xf>
    <xf numFmtId="0" fontId="7" fillId="2" borderId="0" xfId="0" applyFont="1" applyFill="1" applyAlignment="1">
      <alignment vertical="top"/>
    </xf>
    <xf numFmtId="0" fontId="7" fillId="2" borderId="0" xfId="0" applyFont="1" applyFill="1" applyAlignment="1">
      <alignment vertical="top" wrapText="1" readingOrder="1"/>
    </xf>
    <xf numFmtId="0" fontId="11" fillId="2" borderId="0" xfId="0" applyFont="1" applyFill="1" applyAlignment="1">
      <alignment vertical="top" wrapText="1"/>
    </xf>
    <xf numFmtId="14" fontId="8" fillId="2" borderId="0" xfId="0" applyNumberFormat="1" applyFont="1" applyFill="1">
      <alignment vertical="top"/>
    </xf>
    <xf numFmtId="165" fontId="8" fillId="2" borderId="0" xfId="1" applyFont="1" applyFill="1">
      <alignment vertical="top"/>
    </xf>
    <xf numFmtId="14" fontId="11" fillId="2" borderId="0" xfId="0" applyNumberFormat="1" applyFont="1" applyFill="1" applyAlignment="1">
      <alignment vertical="top" wrapText="1"/>
    </xf>
    <xf numFmtId="165" fontId="11" fillId="2" borderId="0" xfId="1" applyFont="1" applyFill="1" applyAlignment="1">
      <alignment horizontal="center" vertical="top" wrapText="1"/>
    </xf>
    <xf numFmtId="0" fontId="11" fillId="2" borderId="0" xfId="0" applyFont="1" applyFill="1" applyAlignment="1">
      <alignment horizontal="center" vertical="top" wrapText="1"/>
    </xf>
    <xf numFmtId="165" fontId="7" fillId="2" borderId="0" xfId="1" applyFont="1" applyFill="1">
      <alignment vertical="top"/>
    </xf>
    <xf numFmtId="14" fontId="7" fillId="2" borderId="0" xfId="0" applyNumberFormat="1" applyFont="1" applyFill="1">
      <alignment vertical="top"/>
    </xf>
    <xf numFmtId="0" fontId="7" fillId="2" borderId="0" xfId="0" applyFont="1" applyFill="1" applyAlignment="1">
      <alignment horizontal="center" vertical="top"/>
    </xf>
    <xf numFmtId="0" fontId="7" fillId="2" borderId="1" xfId="0" applyFont="1" applyFill="1" applyBorder="1" applyAlignment="1">
      <alignment vertical="top" wrapText="1" readingOrder="1"/>
    </xf>
    <xf numFmtId="14" fontId="7" fillId="2" borderId="2" xfId="0" applyNumberFormat="1" applyFont="1" applyFill="1" applyBorder="1" applyAlignment="1">
      <alignment horizontal="center" vertical="top" wrapText="1" readingOrder="1"/>
    </xf>
    <xf numFmtId="0" fontId="7" fillId="2" borderId="3" xfId="0" applyFont="1" applyFill="1" applyBorder="1" applyAlignment="1">
      <alignment vertical="top" wrapText="1" readingOrder="1"/>
    </xf>
    <xf numFmtId="0" fontId="7" fillId="2" borderId="4" xfId="0" applyFont="1" applyFill="1" applyBorder="1" applyAlignment="1">
      <alignment vertical="top" wrapText="1" readingOrder="1"/>
    </xf>
    <xf numFmtId="0" fontId="7" fillId="2" borderId="1" xfId="0" applyFont="1" applyFill="1" applyBorder="1" applyAlignment="1">
      <alignment vertical="top"/>
    </xf>
    <xf numFmtId="0" fontId="7" fillId="2" borderId="1" xfId="0" applyFont="1" applyFill="1" applyBorder="1" applyAlignment="1">
      <alignment horizontal="center" vertical="top" wrapText="1" readingOrder="1"/>
    </xf>
    <xf numFmtId="0" fontId="7" fillId="2" borderId="1" xfId="0" applyFont="1" applyFill="1" applyBorder="1" applyAlignment="1">
      <alignment vertical="top" readingOrder="1"/>
    </xf>
    <xf numFmtId="0" fontId="7" fillId="2" borderId="1" xfId="0" applyFont="1" applyFill="1" applyBorder="1" applyAlignment="1">
      <alignment horizontal="center" vertical="top" readingOrder="1"/>
    </xf>
    <xf numFmtId="0" fontId="7" fillId="2" borderId="5" xfId="0" applyFont="1" applyFill="1" applyBorder="1" applyAlignment="1">
      <alignment vertical="top" wrapText="1" readingOrder="1"/>
    </xf>
    <xf numFmtId="14" fontId="7" fillId="2" borderId="6" xfId="0" applyNumberFormat="1" applyFont="1" applyFill="1" applyBorder="1" applyAlignment="1">
      <alignment horizontal="center" vertical="top" wrapText="1" readingOrder="1"/>
    </xf>
    <xf numFmtId="165" fontId="7" fillId="2" borderId="7" xfId="1" applyFont="1" applyFill="1" applyBorder="1" applyAlignment="1">
      <alignment vertical="top" wrapText="1" readingOrder="1"/>
    </xf>
    <xf numFmtId="165" fontId="7" fillId="2" borderId="8" xfId="1" applyFont="1" applyFill="1" applyBorder="1" applyAlignment="1">
      <alignment vertical="top" wrapText="1" readingOrder="1"/>
    </xf>
    <xf numFmtId="0" fontId="7" fillId="2" borderId="5" xfId="0" applyFont="1" applyFill="1" applyBorder="1" applyAlignment="1">
      <alignment vertical="top"/>
    </xf>
    <xf numFmtId="0" fontId="7" fillId="2" borderId="5" xfId="0" applyFont="1" applyFill="1" applyBorder="1" applyAlignment="1">
      <alignment horizontal="center" vertical="top" wrapText="1" readingOrder="1"/>
    </xf>
    <xf numFmtId="0" fontId="7" fillId="2" borderId="5" xfId="0" applyFont="1" applyFill="1" applyBorder="1" applyAlignment="1">
      <alignment horizontal="center" vertical="top" readingOrder="1"/>
    </xf>
    <xf numFmtId="0" fontId="8" fillId="2" borderId="0" xfId="0" applyFont="1" applyFill="1" applyAlignment="1">
      <alignment vertical="top" wrapText="1" readingOrder="1"/>
    </xf>
    <xf numFmtId="0" fontId="8" fillId="2" borderId="0" xfId="0" applyFont="1" applyFill="1" applyAlignment="1">
      <alignment vertical="top"/>
    </xf>
    <xf numFmtId="14" fontId="8" fillId="2" borderId="0" xfId="1" applyNumberFormat="1" applyFont="1" applyFill="1" applyAlignment="1">
      <alignment vertical="top"/>
    </xf>
    <xf numFmtId="0" fontId="8" fillId="2" borderId="0" xfId="0" applyFont="1" applyFill="1" applyAlignment="1">
      <alignment horizontal="center" vertical="top"/>
    </xf>
    <xf numFmtId="0" fontId="12" fillId="2" borderId="0" xfId="0" applyFont="1" applyFill="1">
      <alignment vertical="top"/>
    </xf>
    <xf numFmtId="37" fontId="8" fillId="2" borderId="0" xfId="0" applyNumberFormat="1" applyFont="1" applyFill="1" applyAlignment="1">
      <alignment horizontal="center" vertical="top"/>
    </xf>
    <xf numFmtId="14" fontId="8" fillId="2" borderId="0" xfId="1" applyNumberFormat="1" applyFont="1" applyFill="1" applyAlignment="1">
      <alignment vertical="top" wrapText="1" readingOrder="1"/>
    </xf>
    <xf numFmtId="170" fontId="8" fillId="2" borderId="0" xfId="1" applyNumberFormat="1" applyFont="1" applyFill="1" applyAlignment="1">
      <alignment vertical="top" wrapText="1" readingOrder="1"/>
    </xf>
    <xf numFmtId="170" fontId="18" fillId="2" borderId="0" xfId="1" applyNumberFormat="1" applyFont="1" applyFill="1">
      <alignment vertical="top"/>
    </xf>
    <xf numFmtId="14" fontId="8" fillId="2" borderId="0" xfId="0" applyNumberFormat="1" applyFont="1" applyFill="1" applyAlignment="1">
      <alignment vertical="top"/>
    </xf>
    <xf numFmtId="165" fontId="8" fillId="2" borderId="0" xfId="1" applyFont="1" applyFill="1" applyAlignment="1">
      <alignment vertical="top"/>
    </xf>
    <xf numFmtId="170" fontId="18" fillId="2" borderId="0" xfId="1" applyNumberFormat="1" applyFont="1" applyFill="1" applyAlignment="1">
      <alignment horizontal="center" vertical="top"/>
    </xf>
    <xf numFmtId="14" fontId="18" fillId="2" borderId="0" xfId="1" applyNumberFormat="1" applyFont="1" applyFill="1" applyAlignment="1">
      <alignment horizontal="center" vertical="top"/>
    </xf>
    <xf numFmtId="0" fontId="7" fillId="2" borderId="2" xfId="0" applyFont="1" applyFill="1" applyBorder="1">
      <alignment vertical="top"/>
    </xf>
    <xf numFmtId="0" fontId="7" fillId="2" borderId="4" xfId="0" applyFont="1" applyFill="1" applyBorder="1">
      <alignment vertical="top"/>
    </xf>
    <xf numFmtId="0" fontId="7" fillId="2" borderId="6" xfId="0" applyFont="1" applyFill="1" applyBorder="1" applyAlignment="1">
      <alignment vertical="top" wrapText="1" readingOrder="1"/>
    </xf>
    <xf numFmtId="0" fontId="7" fillId="2" borderId="8" xfId="0" applyFont="1" applyFill="1" applyBorder="1" applyAlignment="1">
      <alignment vertical="top" wrapText="1" readingOrder="1"/>
    </xf>
    <xf numFmtId="0" fontId="8" fillId="2" borderId="9" xfId="0" applyFont="1" applyFill="1" applyBorder="1" applyAlignment="1">
      <alignment vertical="top" wrapText="1" readingOrder="1"/>
    </xf>
    <xf numFmtId="0" fontId="7" fillId="2" borderId="9" xfId="0" applyFont="1" applyFill="1" applyBorder="1" applyAlignment="1">
      <alignment vertical="top" wrapText="1"/>
    </xf>
    <xf numFmtId="14" fontId="7" fillId="2" borderId="9" xfId="1" applyNumberFormat="1" applyFont="1" applyFill="1" applyBorder="1" applyAlignment="1">
      <alignment vertical="top" wrapText="1"/>
    </xf>
    <xf numFmtId="170" fontId="7" fillId="2" borderId="9" xfId="1" applyNumberFormat="1" applyFont="1" applyFill="1" applyBorder="1" applyAlignment="1">
      <alignment vertical="top" wrapText="1"/>
    </xf>
    <xf numFmtId="0" fontId="7" fillId="2" borderId="9" xfId="0" applyFont="1" applyFill="1" applyBorder="1" applyAlignment="1">
      <alignment horizontal="center" vertical="top" wrapText="1"/>
    </xf>
    <xf numFmtId="0" fontId="8" fillId="2" borderId="10" xfId="0" applyFont="1" applyFill="1" applyBorder="1" applyAlignment="1">
      <alignment vertical="top"/>
    </xf>
    <xf numFmtId="0" fontId="8" fillId="2" borderId="10" xfId="0" applyFont="1" applyFill="1" applyBorder="1" applyAlignment="1">
      <alignment vertical="top" wrapText="1"/>
    </xf>
    <xf numFmtId="166" fontId="8" fillId="2" borderId="10" xfId="0" applyNumberFormat="1" applyFont="1" applyFill="1" applyBorder="1" applyAlignment="1">
      <alignment vertical="top"/>
    </xf>
    <xf numFmtId="14" fontId="8" fillId="2" borderId="10" xfId="1" applyNumberFormat="1" applyFont="1" applyFill="1" applyBorder="1" applyAlignment="1">
      <alignment vertical="top"/>
    </xf>
    <xf numFmtId="170" fontId="8" fillId="2" borderId="10" xfId="1" applyNumberFormat="1" applyFont="1" applyFill="1" applyBorder="1" applyAlignment="1">
      <alignment vertical="top"/>
    </xf>
    <xf numFmtId="170" fontId="18" fillId="2" borderId="10" xfId="1" applyNumberFormat="1" applyFont="1" applyFill="1" applyBorder="1" applyAlignment="1">
      <alignment vertical="top"/>
    </xf>
    <xf numFmtId="39" fontId="8" fillId="2" borderId="10" xfId="0" applyNumberFormat="1" applyFont="1" applyFill="1" applyBorder="1" applyAlignment="1">
      <alignment horizontal="right" vertical="top"/>
    </xf>
    <xf numFmtId="0" fontId="8" fillId="2" borderId="10" xfId="0" applyFont="1" applyFill="1" applyBorder="1" applyAlignment="1">
      <alignment horizontal="center" vertical="top"/>
    </xf>
    <xf numFmtId="0" fontId="8" fillId="2" borderId="10" xfId="0" applyFont="1" applyFill="1" applyBorder="1" applyAlignment="1">
      <alignment vertical="top" readingOrder="1"/>
    </xf>
    <xf numFmtId="0" fontId="8" fillId="2" borderId="10" xfId="0" applyFont="1" applyFill="1" applyBorder="1" applyAlignment="1">
      <alignment horizontal="left" vertical="top" wrapText="1"/>
    </xf>
    <xf numFmtId="0" fontId="8" fillId="2" borderId="10" xfId="0" applyFont="1" applyFill="1" applyBorder="1" applyAlignment="1">
      <alignment vertical="top" wrapText="1" readingOrder="1"/>
    </xf>
    <xf numFmtId="0" fontId="8" fillId="2" borderId="10" xfId="0" applyFont="1" applyFill="1" applyBorder="1">
      <alignment vertical="top"/>
    </xf>
    <xf numFmtId="170" fontId="8" fillId="2" borderId="10" xfId="1" applyNumberFormat="1" applyFont="1" applyFill="1" applyBorder="1">
      <alignment vertical="top"/>
    </xf>
    <xf numFmtId="0" fontId="7" fillId="2" borderId="10" xfId="0" applyFont="1" applyFill="1" applyBorder="1">
      <alignment vertical="top"/>
    </xf>
    <xf numFmtId="0" fontId="7" fillId="2" borderId="10" xfId="0" applyFont="1" applyFill="1" applyBorder="1" applyAlignment="1">
      <alignment horizontal="left" vertical="top" wrapText="1"/>
    </xf>
    <xf numFmtId="14" fontId="7" fillId="2" borderId="10" xfId="1" applyNumberFormat="1" applyFont="1" applyFill="1" applyBorder="1">
      <alignment vertical="top"/>
    </xf>
    <xf numFmtId="170" fontId="7" fillId="2" borderId="10" xfId="1" applyNumberFormat="1" applyFont="1" applyFill="1" applyBorder="1" applyAlignment="1">
      <alignment vertical="top"/>
    </xf>
    <xf numFmtId="168" fontId="7" fillId="2" borderId="10" xfId="0" applyNumberFormat="1" applyFont="1" applyFill="1" applyBorder="1" applyAlignment="1">
      <alignment horizontal="right" vertical="top"/>
    </xf>
    <xf numFmtId="168" fontId="7" fillId="2" borderId="10" xfId="0" applyNumberFormat="1" applyFont="1" applyFill="1" applyBorder="1" applyAlignment="1">
      <alignment horizontal="center" vertical="top"/>
    </xf>
    <xf numFmtId="0" fontId="7" fillId="2" borderId="10" xfId="0" applyFont="1" applyFill="1" applyBorder="1" applyAlignment="1">
      <alignment vertical="top" wrapText="1"/>
    </xf>
    <xf numFmtId="0" fontId="7" fillId="2" borderId="10" xfId="0" applyFont="1" applyFill="1" applyBorder="1" applyAlignment="1">
      <alignment vertical="top"/>
    </xf>
    <xf numFmtId="14" fontId="7" fillId="2" borderId="10" xfId="1" applyNumberFormat="1" applyFont="1" applyFill="1" applyBorder="1" applyAlignment="1">
      <alignment vertical="top"/>
    </xf>
    <xf numFmtId="170" fontId="7" fillId="2" borderId="10" xfId="1" applyNumberFormat="1" applyFont="1" applyFill="1" applyBorder="1" applyAlignment="1">
      <alignment horizontal="right" vertical="top"/>
    </xf>
    <xf numFmtId="14" fontId="7" fillId="2" borderId="10" xfId="1" applyNumberFormat="1" applyFont="1" applyFill="1" applyBorder="1" applyAlignment="1">
      <alignment vertical="top" wrapText="1"/>
    </xf>
    <xf numFmtId="170" fontId="7" fillId="2" borderId="10" xfId="1" applyNumberFormat="1" applyFont="1" applyFill="1" applyBorder="1" applyAlignment="1">
      <alignment vertical="top" wrapText="1"/>
    </xf>
    <xf numFmtId="0" fontId="7" fillId="2" borderId="10" xfId="0" applyFont="1" applyFill="1" applyBorder="1" applyAlignment="1">
      <alignment horizontal="center" vertical="top" wrapText="1"/>
    </xf>
    <xf numFmtId="14" fontId="8" fillId="2" borderId="10" xfId="1" applyNumberFormat="1" applyFont="1" applyFill="1" applyBorder="1">
      <alignment vertical="top"/>
    </xf>
    <xf numFmtId="0" fontId="12" fillId="2" borderId="10" xfId="0" applyFont="1" applyFill="1" applyBorder="1" applyAlignment="1">
      <alignment vertical="top" wrapText="1" readingOrder="1"/>
    </xf>
    <xf numFmtId="166" fontId="12" fillId="2" borderId="10" xfId="0" applyNumberFormat="1" applyFont="1" applyFill="1" applyBorder="1" applyAlignment="1">
      <alignment vertical="top"/>
    </xf>
    <xf numFmtId="14" fontId="12" fillId="2" borderId="10" xfId="1" applyNumberFormat="1" applyFont="1" applyFill="1" applyBorder="1" applyAlignment="1">
      <alignment vertical="top"/>
    </xf>
    <xf numFmtId="170" fontId="12" fillId="2" borderId="10" xfId="1" applyNumberFormat="1" applyFont="1" applyFill="1" applyBorder="1" applyAlignment="1">
      <alignment vertical="top"/>
    </xf>
    <xf numFmtId="39" fontId="12" fillId="2" borderId="10" xfId="0" applyNumberFormat="1" applyFont="1" applyFill="1" applyBorder="1" applyAlignment="1">
      <alignment horizontal="right" vertical="top"/>
    </xf>
    <xf numFmtId="0" fontId="12" fillId="2" borderId="10" xfId="0" applyFont="1" applyFill="1" applyBorder="1" applyAlignment="1">
      <alignment horizontal="center" vertical="top"/>
    </xf>
    <xf numFmtId="0" fontId="7" fillId="2" borderId="11" xfId="0" applyFont="1" applyFill="1" applyBorder="1">
      <alignment vertical="top"/>
    </xf>
    <xf numFmtId="0" fontId="7" fillId="2" borderId="11" xfId="0" applyFont="1" applyFill="1" applyBorder="1" applyAlignment="1">
      <alignment vertical="top"/>
    </xf>
    <xf numFmtId="14" fontId="7" fillId="2" borderId="11" xfId="1" applyNumberFormat="1" applyFont="1" applyFill="1" applyBorder="1" applyAlignment="1">
      <alignment vertical="top"/>
    </xf>
    <xf numFmtId="170" fontId="7" fillId="2" borderId="11" xfId="1" applyNumberFormat="1" applyFont="1" applyFill="1" applyBorder="1" applyAlignment="1">
      <alignment vertical="top"/>
    </xf>
    <xf numFmtId="0" fontId="7" fillId="2" borderId="11" xfId="0" applyFont="1" applyFill="1" applyBorder="1" applyAlignment="1">
      <alignment horizontal="center" vertical="top"/>
    </xf>
    <xf numFmtId="0" fontId="8" fillId="2" borderId="12" xfId="0" applyFont="1" applyFill="1" applyBorder="1" applyAlignment="1">
      <alignment vertical="top"/>
    </xf>
    <xf numFmtId="0" fontId="8" fillId="2" borderId="13" xfId="0" applyFont="1" applyFill="1" applyBorder="1" applyAlignment="1">
      <alignment vertical="top"/>
    </xf>
    <xf numFmtId="0" fontId="8" fillId="2" borderId="12" xfId="0" applyFont="1" applyFill="1" applyBorder="1">
      <alignment vertical="top"/>
    </xf>
    <xf numFmtId="0" fontId="8" fillId="2" borderId="13" xfId="0" applyFont="1" applyFill="1" applyBorder="1">
      <alignment vertical="top"/>
    </xf>
    <xf numFmtId="0" fontId="7" fillId="2" borderId="12" xfId="0" applyFont="1" applyFill="1" applyBorder="1">
      <alignment vertical="top"/>
    </xf>
    <xf numFmtId="0" fontId="7" fillId="2" borderId="13" xfId="0" applyFont="1" applyFill="1" applyBorder="1">
      <alignment vertical="top"/>
    </xf>
    <xf numFmtId="0" fontId="7" fillId="2" borderId="12" xfId="0" applyFont="1" applyFill="1" applyBorder="1" applyAlignment="1">
      <alignment vertical="top" wrapText="1"/>
    </xf>
    <xf numFmtId="0" fontId="7" fillId="2" borderId="13" xfId="0" applyFont="1" applyFill="1" applyBorder="1" applyAlignment="1">
      <alignment vertical="top" wrapText="1"/>
    </xf>
    <xf numFmtId="0" fontId="7" fillId="2" borderId="12" xfId="0" applyFont="1" applyFill="1" applyBorder="1" applyAlignment="1">
      <alignment vertical="top"/>
    </xf>
    <xf numFmtId="0" fontId="12" fillId="2" borderId="12" xfId="0" applyFont="1" applyFill="1" applyBorder="1" applyAlignment="1">
      <alignment vertical="top"/>
    </xf>
    <xf numFmtId="0" fontId="12" fillId="2" borderId="13" xfId="0" applyFont="1" applyFill="1" applyBorder="1" applyAlignment="1">
      <alignment vertical="top"/>
    </xf>
    <xf numFmtId="0" fontId="7" fillId="2" borderId="14" xfId="0" applyFont="1" applyFill="1" applyBorder="1">
      <alignment vertical="top"/>
    </xf>
    <xf numFmtId="0" fontId="7" fillId="2" borderId="15" xfId="0" applyFont="1" applyFill="1" applyBorder="1">
      <alignment vertical="top"/>
    </xf>
    <xf numFmtId="0" fontId="10" fillId="0" borderId="0" xfId="0" applyFont="1" applyAlignment="1">
      <alignment horizontal="left" vertical="top" wrapText="1"/>
    </xf>
    <xf numFmtId="39" fontId="13" fillId="0" borderId="0" xfId="0" applyNumberFormat="1" applyFont="1" applyAlignment="1">
      <alignment horizontal="right" vertical="top"/>
    </xf>
    <xf numFmtId="0" fontId="13" fillId="0" borderId="0" xfId="0" applyFont="1" applyAlignment="1">
      <alignment horizontal="left" vertical="top"/>
    </xf>
    <xf numFmtId="0" fontId="10" fillId="0" borderId="0" xfId="0" applyFont="1" applyAlignment="1">
      <alignment vertical="top" wrapText="1"/>
    </xf>
    <xf numFmtId="0" fontId="10" fillId="0" borderId="0" xfId="0" applyFont="1" applyAlignment="1">
      <alignment vertical="top"/>
    </xf>
    <xf numFmtId="168" fontId="13" fillId="0" borderId="0" xfId="0" applyNumberFormat="1" applyFont="1" applyAlignment="1">
      <alignment vertical="top"/>
    </xf>
    <xf numFmtId="37" fontId="13" fillId="0" borderId="0" xfId="0" applyNumberFormat="1" applyFont="1" applyAlignment="1">
      <alignment vertical="top"/>
    </xf>
    <xf numFmtId="0" fontId="8" fillId="0" borderId="0" xfId="0" applyFont="1" applyAlignment="1">
      <alignment vertical="top"/>
    </xf>
    <xf numFmtId="0" fontId="8" fillId="0" borderId="0" xfId="0" applyFont="1" applyAlignment="1">
      <alignment vertical="top" wrapText="1"/>
    </xf>
    <xf numFmtId="166" fontId="13" fillId="0" borderId="0" xfId="0" applyNumberFormat="1" applyFont="1" applyAlignment="1">
      <alignment vertical="top"/>
    </xf>
    <xf numFmtId="167" fontId="13" fillId="0" borderId="0" xfId="0" applyNumberFormat="1" applyFont="1" applyAlignment="1">
      <alignment vertical="top"/>
    </xf>
    <xf numFmtId="0" fontId="8" fillId="0" borderId="0" xfId="0" applyFont="1" applyAlignment="1">
      <alignment vertical="top" wrapText="1" readingOrder="1"/>
    </xf>
    <xf numFmtId="0" fontId="0" fillId="0" borderId="0" xfId="0" applyAlignment="1">
      <alignment vertical="top" wrapText="1"/>
    </xf>
    <xf numFmtId="0" fontId="13" fillId="0" borderId="0" xfId="0" applyFont="1" applyAlignment="1">
      <alignment vertical="top" wrapText="1" readingOrder="1"/>
    </xf>
    <xf numFmtId="0" fontId="9" fillId="0" borderId="0" xfId="0" applyFont="1" applyAlignment="1">
      <alignment vertical="top"/>
    </xf>
    <xf numFmtId="0" fontId="14" fillId="0" borderId="0" xfId="0" applyFont="1" applyAlignment="1">
      <alignment vertical="top" wrapText="1"/>
    </xf>
    <xf numFmtId="0" fontId="14" fillId="0" borderId="0" xfId="0" applyFont="1" applyAlignment="1">
      <alignment vertical="top"/>
    </xf>
    <xf numFmtId="37" fontId="13" fillId="0" borderId="0" xfId="0" applyNumberFormat="1" applyFont="1" applyAlignment="1">
      <alignment vertical="top" wrapText="1" readingOrder="1"/>
    </xf>
    <xf numFmtId="0" fontId="0" fillId="0" borderId="0" xfId="0" applyAlignment="1"/>
    <xf numFmtId="0" fontId="19" fillId="0" borderId="0" xfId="0" applyFont="1" applyAlignment="1"/>
    <xf numFmtId="171" fontId="0" fillId="0" borderId="0" xfId="0" applyNumberFormat="1" applyAlignment="1"/>
    <xf numFmtId="14" fontId="0" fillId="0" borderId="0" xfId="0" applyNumberFormat="1" applyAlignment="1"/>
    <xf numFmtId="171" fontId="19" fillId="0" borderId="0" xfId="0" applyNumberFormat="1" applyFont="1" applyAlignment="1"/>
    <xf numFmtId="0" fontId="20" fillId="0" borderId="0" xfId="0" applyFont="1" applyAlignment="1"/>
    <xf numFmtId="0" fontId="21" fillId="0" borderId="0" xfId="0" applyFont="1" applyAlignment="1"/>
    <xf numFmtId="164" fontId="0" fillId="0" borderId="0" xfId="2" applyFont="1" applyAlignment="1"/>
    <xf numFmtId="8" fontId="0" fillId="0" borderId="7" xfId="0" applyNumberFormat="1" applyBorder="1" applyAlignment="1"/>
    <xf numFmtId="8" fontId="0" fillId="0" borderId="0" xfId="0" applyNumberFormat="1" applyAlignment="1"/>
    <xf numFmtId="165" fontId="0" fillId="0" borderId="0" xfId="1" applyFont="1" applyAlignment="1"/>
    <xf numFmtId="8" fontId="0" fillId="0" borderId="0" xfId="2" applyNumberFormat="1" applyFont="1" applyAlignment="1"/>
    <xf numFmtId="165" fontId="0" fillId="0" borderId="7" xfId="1" applyFont="1" applyBorder="1" applyAlignment="1"/>
    <xf numFmtId="0" fontId="20" fillId="0" borderId="0" xfId="0" applyFont="1" applyAlignment="1">
      <alignment wrapText="1"/>
    </xf>
    <xf numFmtId="171" fontId="22" fillId="0" borderId="0" xfId="0" applyNumberFormat="1" applyFont="1" applyAlignment="1"/>
    <xf numFmtId="14" fontId="22" fillId="0" borderId="0" xfId="0" applyNumberFormat="1" applyFont="1" applyAlignment="1"/>
    <xf numFmtId="171" fontId="0" fillId="0" borderId="7" xfId="0" applyNumberFormat="1" applyBorder="1" applyAlignment="1"/>
    <xf numFmtId="0" fontId="23" fillId="0" borderId="0" xfId="0" applyFont="1" applyAlignment="1"/>
    <xf numFmtId="0" fontId="19" fillId="0" borderId="0" xfId="0" applyFont="1" applyFill="1" applyAlignment="1"/>
    <xf numFmtId="165" fontId="0" fillId="0" borderId="0" xfId="2" applyNumberFormat="1" applyFont="1" applyAlignment="1"/>
    <xf numFmtId="165" fontId="0" fillId="0" borderId="0" xfId="1" applyFont="1" applyBorder="1" applyAlignment="1"/>
    <xf numFmtId="8" fontId="0" fillId="0" borderId="0" xfId="0" applyNumberFormat="1" applyBorder="1" applyAlignment="1"/>
    <xf numFmtId="171" fontId="0" fillId="0" borderId="0" xfId="0" applyNumberFormat="1" applyBorder="1" applyAlignment="1"/>
    <xf numFmtId="0" fontId="8" fillId="0" borderId="0" xfId="0" applyFont="1" applyAlignment="1"/>
    <xf numFmtId="164" fontId="0" fillId="0" borderId="7" xfId="2" applyFont="1" applyBorder="1" applyAlignment="1"/>
    <xf numFmtId="44" fontId="0" fillId="0" borderId="0" xfId="0" applyNumberFormat="1" applyAlignment="1"/>
    <xf numFmtId="164" fontId="19" fillId="0" borderId="0" xfId="2" applyFont="1" applyAlignment="1"/>
    <xf numFmtId="170" fontId="8" fillId="2" borderId="0" xfId="0" applyNumberFormat="1" applyFont="1" applyFill="1">
      <alignment vertical="top"/>
    </xf>
    <xf numFmtId="170" fontId="7" fillId="2" borderId="0" xfId="0" applyNumberFormat="1" applyFont="1" applyFill="1">
      <alignment vertical="top"/>
    </xf>
    <xf numFmtId="165" fontId="12" fillId="2" borderId="0" xfId="1" applyFont="1" applyFill="1">
      <alignment vertical="top"/>
    </xf>
    <xf numFmtId="170" fontId="18" fillId="2" borderId="0" xfId="1" applyNumberFormat="1" applyFont="1" applyFill="1" applyAlignment="1">
      <alignment vertical="top"/>
    </xf>
    <xf numFmtId="170" fontId="12" fillId="2" borderId="0" xfId="1" applyNumberFormat="1" applyFont="1" applyFill="1">
      <alignment vertical="top"/>
    </xf>
    <xf numFmtId="0" fontId="16" fillId="2" borderId="0" xfId="0" applyFont="1" applyFill="1">
      <alignment vertical="top"/>
    </xf>
    <xf numFmtId="0" fontId="16" fillId="2" borderId="0" xfId="0" applyFont="1" applyFill="1" applyAlignment="1">
      <alignment vertical="top"/>
    </xf>
    <xf numFmtId="0" fontId="16" fillId="2" borderId="0" xfId="0" applyFont="1" applyFill="1" applyAlignment="1">
      <alignment vertical="top" wrapText="1" readingOrder="1"/>
    </xf>
    <xf numFmtId="0" fontId="17" fillId="2" borderId="0" xfId="0" applyFont="1" applyFill="1" applyAlignment="1">
      <alignment vertical="top" wrapText="1"/>
    </xf>
    <xf numFmtId="14" fontId="12" fillId="2" borderId="0" xfId="0" applyNumberFormat="1" applyFont="1" applyFill="1">
      <alignment vertical="top"/>
    </xf>
    <xf numFmtId="14" fontId="17" fillId="2" borderId="0" xfId="0" applyNumberFormat="1" applyFont="1" applyFill="1" applyAlignment="1">
      <alignment vertical="top" wrapText="1"/>
    </xf>
    <xf numFmtId="165" fontId="17" fillId="2" borderId="0" xfId="1" applyFont="1" applyFill="1" applyAlignment="1">
      <alignment horizontal="center" vertical="top" wrapText="1"/>
    </xf>
    <xf numFmtId="0" fontId="17" fillId="2" borderId="0" xfId="0" applyFont="1" applyFill="1" applyAlignment="1">
      <alignment horizontal="center" vertical="top" wrapText="1"/>
    </xf>
    <xf numFmtId="165" fontId="16" fillId="2" borderId="0" xfId="1" applyFont="1" applyFill="1">
      <alignment vertical="top"/>
    </xf>
    <xf numFmtId="14" fontId="16" fillId="2" borderId="0" xfId="0" applyNumberFormat="1" applyFont="1" applyFill="1">
      <alignment vertical="top"/>
    </xf>
    <xf numFmtId="0" fontId="16" fillId="2" borderId="0" xfId="0" applyFont="1" applyFill="1" applyAlignment="1">
      <alignment horizontal="center" vertical="top"/>
    </xf>
    <xf numFmtId="0" fontId="16" fillId="2" borderId="2" xfId="0" applyFont="1" applyFill="1" applyBorder="1">
      <alignment vertical="top"/>
    </xf>
    <xf numFmtId="0" fontId="16" fillId="2" borderId="4" xfId="0" applyFont="1" applyFill="1" applyBorder="1">
      <alignment vertical="top"/>
    </xf>
    <xf numFmtId="0" fontId="16" fillId="2" borderId="1" xfId="0" applyFont="1" applyFill="1" applyBorder="1" applyAlignment="1">
      <alignment vertical="top" wrapText="1" readingOrder="1"/>
    </xf>
    <xf numFmtId="14" fontId="16" fillId="2" borderId="2" xfId="0" applyNumberFormat="1" applyFont="1" applyFill="1" applyBorder="1" applyAlignment="1">
      <alignment horizontal="center" vertical="top" wrapText="1" readingOrder="1"/>
    </xf>
    <xf numFmtId="0" fontId="16" fillId="2" borderId="3" xfId="0" applyFont="1" applyFill="1" applyBorder="1" applyAlignment="1">
      <alignment vertical="top" wrapText="1" readingOrder="1"/>
    </xf>
    <xf numFmtId="0" fontId="16" fillId="2" borderId="4" xfId="0" applyFont="1" applyFill="1" applyBorder="1" applyAlignment="1">
      <alignment vertical="top" wrapText="1" readingOrder="1"/>
    </xf>
    <xf numFmtId="0" fontId="16" fillId="2" borderId="1" xfId="0" applyFont="1" applyFill="1" applyBorder="1" applyAlignment="1">
      <alignment vertical="top"/>
    </xf>
    <xf numFmtId="0" fontId="16" fillId="2" borderId="1" xfId="0" applyFont="1" applyFill="1" applyBorder="1" applyAlignment="1">
      <alignment horizontal="center" vertical="top" wrapText="1" readingOrder="1"/>
    </xf>
    <xf numFmtId="0" fontId="16" fillId="2" borderId="1" xfId="0" applyFont="1" applyFill="1" applyBorder="1" applyAlignment="1">
      <alignment vertical="top" readingOrder="1"/>
    </xf>
    <xf numFmtId="0" fontId="16" fillId="2" borderId="1" xfId="0" applyFont="1" applyFill="1" applyBorder="1" applyAlignment="1">
      <alignment horizontal="center" vertical="top" readingOrder="1"/>
    </xf>
    <xf numFmtId="0" fontId="16" fillId="2" borderId="6" xfId="0" applyFont="1" applyFill="1" applyBorder="1" applyAlignment="1">
      <alignment vertical="top" wrapText="1" readingOrder="1"/>
    </xf>
    <xf numFmtId="0" fontId="16" fillId="2" borderId="8" xfId="0" applyFont="1" applyFill="1" applyBorder="1" applyAlignment="1">
      <alignment vertical="top" wrapText="1" readingOrder="1"/>
    </xf>
    <xf numFmtId="0" fontId="16" fillId="2" borderId="5" xfId="0" applyFont="1" applyFill="1" applyBorder="1" applyAlignment="1">
      <alignment vertical="top" wrapText="1" readingOrder="1"/>
    </xf>
    <xf numFmtId="14" fontId="16" fillId="2" borderId="6" xfId="0" applyNumberFormat="1" applyFont="1" applyFill="1" applyBorder="1" applyAlignment="1">
      <alignment horizontal="center" vertical="top" wrapText="1" readingOrder="1"/>
    </xf>
    <xf numFmtId="165" fontId="16" fillId="2" borderId="7" xfId="1" applyFont="1" applyFill="1" applyBorder="1" applyAlignment="1">
      <alignment vertical="top" wrapText="1" readingOrder="1"/>
    </xf>
    <xf numFmtId="165" fontId="16" fillId="2" borderId="8" xfId="1" applyFont="1" applyFill="1" applyBorder="1" applyAlignment="1">
      <alignment vertical="top" wrapText="1" readingOrder="1"/>
    </xf>
    <xf numFmtId="0" fontId="16" fillId="2" borderId="5" xfId="0" applyFont="1" applyFill="1" applyBorder="1" applyAlignment="1">
      <alignment vertical="top"/>
    </xf>
    <xf numFmtId="0" fontId="16" fillId="2" borderId="5" xfId="0" applyFont="1" applyFill="1" applyBorder="1" applyAlignment="1">
      <alignment horizontal="center" vertical="top" wrapText="1" readingOrder="1"/>
    </xf>
    <xf numFmtId="0" fontId="16" fillId="2" borderId="5" xfId="0" applyFont="1" applyFill="1" applyBorder="1" applyAlignment="1">
      <alignment horizontal="center" vertical="top" readingOrder="1"/>
    </xf>
    <xf numFmtId="0" fontId="16" fillId="2" borderId="9" xfId="0" applyFont="1" applyFill="1" applyBorder="1" applyAlignment="1">
      <alignment vertical="top"/>
    </xf>
    <xf numFmtId="0" fontId="12" fillId="2" borderId="9" xfId="0" applyFont="1" applyFill="1" applyBorder="1" applyAlignment="1">
      <alignment vertical="top" wrapText="1" readingOrder="1"/>
    </xf>
    <xf numFmtId="0" fontId="16" fillId="2" borderId="9" xfId="0" applyFont="1" applyFill="1" applyBorder="1" applyAlignment="1">
      <alignment vertical="top" wrapText="1"/>
    </xf>
    <xf numFmtId="14" fontId="16" fillId="2" borderId="9" xfId="1" applyNumberFormat="1" applyFont="1" applyFill="1" applyBorder="1" applyAlignment="1">
      <alignment vertical="top" wrapText="1"/>
    </xf>
    <xf numFmtId="170" fontId="16" fillId="2" borderId="9" xfId="1" applyNumberFormat="1" applyFont="1" applyFill="1" applyBorder="1" applyAlignment="1">
      <alignment vertical="top" wrapText="1"/>
    </xf>
    <xf numFmtId="0" fontId="16" fillId="2" borderId="9" xfId="0" applyFont="1" applyFill="1" applyBorder="1" applyAlignment="1">
      <alignment horizontal="center" vertical="top" wrapText="1"/>
    </xf>
    <xf numFmtId="0" fontId="12" fillId="2" borderId="9" xfId="0" applyFont="1" applyFill="1" applyBorder="1">
      <alignment vertical="top"/>
    </xf>
    <xf numFmtId="0" fontId="12" fillId="2" borderId="10" xfId="0" applyFont="1" applyFill="1" applyBorder="1" applyAlignment="1">
      <alignment vertical="top" wrapText="1"/>
    </xf>
    <xf numFmtId="0" fontId="12" fillId="2" borderId="10" xfId="0" applyFont="1" applyFill="1" applyBorder="1" applyAlignment="1">
      <alignment vertical="top" readingOrder="1"/>
    </xf>
    <xf numFmtId="0" fontId="12" fillId="2" borderId="10" xfId="0" applyFont="1" applyFill="1" applyBorder="1" applyAlignment="1">
      <alignment horizontal="left" vertical="top" wrapText="1"/>
    </xf>
    <xf numFmtId="0" fontId="12" fillId="2" borderId="12" xfId="0" applyFont="1" applyFill="1" applyBorder="1">
      <alignment vertical="top"/>
    </xf>
    <xf numFmtId="0" fontId="12" fillId="2" borderId="13" xfId="0" applyFont="1" applyFill="1" applyBorder="1">
      <alignment vertical="top"/>
    </xf>
    <xf numFmtId="0" fontId="16" fillId="2" borderId="10" xfId="0" applyFont="1" applyFill="1" applyBorder="1" applyAlignment="1">
      <alignment vertical="top"/>
    </xf>
    <xf numFmtId="0" fontId="12" fillId="2" borderId="10" xfId="0" applyFont="1" applyFill="1" applyBorder="1" applyAlignment="1">
      <alignment vertical="top"/>
    </xf>
    <xf numFmtId="170" fontId="16" fillId="2" borderId="10" xfId="1" applyNumberFormat="1" applyFont="1" applyFill="1" applyBorder="1" applyAlignment="1">
      <alignment vertical="top"/>
    </xf>
    <xf numFmtId="170" fontId="12" fillId="2" borderId="10" xfId="1" applyNumberFormat="1" applyFont="1" applyFill="1" applyBorder="1">
      <alignment vertical="top"/>
    </xf>
    <xf numFmtId="0" fontId="12" fillId="2" borderId="10" xfId="0" applyFont="1" applyFill="1" applyBorder="1">
      <alignment vertical="top"/>
    </xf>
    <xf numFmtId="0" fontId="16" fillId="2" borderId="12" xfId="0" applyFont="1" applyFill="1" applyBorder="1">
      <alignment vertical="top"/>
    </xf>
    <xf numFmtId="0" fontId="16" fillId="2" borderId="13" xfId="0" applyFont="1" applyFill="1" applyBorder="1">
      <alignment vertical="top"/>
    </xf>
    <xf numFmtId="0" fontId="16" fillId="2" borderId="10" xfId="0" applyFont="1" applyFill="1" applyBorder="1" applyAlignment="1">
      <alignment horizontal="left" vertical="top" wrapText="1"/>
    </xf>
    <xf numFmtId="0" fontId="16" fillId="2" borderId="10" xfId="0" applyFont="1" applyFill="1" applyBorder="1">
      <alignment vertical="top"/>
    </xf>
    <xf numFmtId="14" fontId="16" fillId="2" borderId="10" xfId="1" applyNumberFormat="1" applyFont="1" applyFill="1" applyBorder="1">
      <alignment vertical="top"/>
    </xf>
    <xf numFmtId="168" fontId="16" fillId="2" borderId="10" xfId="0" applyNumberFormat="1" applyFont="1" applyFill="1" applyBorder="1" applyAlignment="1">
      <alignment horizontal="right" vertical="top"/>
    </xf>
    <xf numFmtId="168" fontId="16" fillId="2" borderId="10" xfId="0" applyNumberFormat="1" applyFont="1" applyFill="1" applyBorder="1" applyAlignment="1">
      <alignment horizontal="center" vertical="top"/>
    </xf>
    <xf numFmtId="0" fontId="16" fillId="2" borderId="10" xfId="0" applyFont="1" applyFill="1" applyBorder="1" applyAlignment="1">
      <alignment vertical="top" wrapText="1"/>
    </xf>
    <xf numFmtId="14" fontId="16" fillId="2" borderId="10" xfId="1" applyNumberFormat="1" applyFont="1" applyFill="1" applyBorder="1" applyAlignment="1">
      <alignment vertical="top"/>
    </xf>
    <xf numFmtId="170" fontId="16" fillId="2" borderId="10" xfId="1" applyNumberFormat="1" applyFont="1" applyFill="1" applyBorder="1" applyAlignment="1">
      <alignment horizontal="right" vertical="top"/>
    </xf>
    <xf numFmtId="0" fontId="16" fillId="2" borderId="12" xfId="0" applyFont="1" applyFill="1" applyBorder="1" applyAlignment="1">
      <alignment vertical="top" wrapText="1"/>
    </xf>
    <xf numFmtId="0" fontId="16" fillId="2" borderId="13" xfId="0" applyFont="1" applyFill="1" applyBorder="1" applyAlignment="1">
      <alignment vertical="top" wrapText="1"/>
    </xf>
    <xf numFmtId="14" fontId="16" fillId="2" borderId="10" xfId="1" applyNumberFormat="1" applyFont="1" applyFill="1" applyBorder="1" applyAlignment="1">
      <alignment vertical="top" wrapText="1"/>
    </xf>
    <xf numFmtId="170" fontId="16" fillId="2" borderId="10" xfId="1" applyNumberFormat="1" applyFont="1" applyFill="1" applyBorder="1" applyAlignment="1">
      <alignment vertical="top" wrapText="1"/>
    </xf>
    <xf numFmtId="0" fontId="16" fillId="2" borderId="10" xfId="0" applyFont="1" applyFill="1" applyBorder="1" applyAlignment="1">
      <alignment horizontal="center" vertical="top" wrapText="1"/>
    </xf>
    <xf numFmtId="0" fontId="16" fillId="2" borderId="12" xfId="0" applyFont="1" applyFill="1" applyBorder="1" applyAlignment="1">
      <alignment vertical="top"/>
    </xf>
    <xf numFmtId="14" fontId="12" fillId="2" borderId="10" xfId="1" applyNumberFormat="1" applyFont="1" applyFill="1" applyBorder="1">
      <alignment vertical="top"/>
    </xf>
    <xf numFmtId="0" fontId="12" fillId="2" borderId="10" xfId="0" applyFont="1" applyFill="1" applyBorder="1" applyAlignment="1">
      <alignment horizontal="left" vertical="top" wrapText="1" readingOrder="1"/>
    </xf>
    <xf numFmtId="0" fontId="12" fillId="2" borderId="16" xfId="0" applyFont="1" applyFill="1" applyBorder="1" applyAlignment="1">
      <alignment vertical="top" wrapText="1"/>
    </xf>
    <xf numFmtId="0" fontId="12" fillId="2" borderId="9" xfId="0" applyFont="1" applyFill="1" applyBorder="1" applyAlignment="1">
      <alignment vertical="top" wrapText="1"/>
    </xf>
    <xf numFmtId="0" fontId="12" fillId="2" borderId="11" xfId="0" applyFont="1" applyFill="1" applyBorder="1" applyAlignment="1">
      <alignment vertical="top" wrapText="1"/>
    </xf>
    <xf numFmtId="0" fontId="12" fillId="2" borderId="17" xfId="0" applyFont="1" applyFill="1" applyBorder="1" applyAlignment="1">
      <alignment vertical="top" wrapText="1"/>
    </xf>
    <xf numFmtId="0" fontId="16" fillId="2" borderId="10" xfId="0" applyFont="1" applyFill="1" applyBorder="1" applyAlignment="1">
      <alignment horizontal="center" vertical="top"/>
    </xf>
    <xf numFmtId="168" fontId="16" fillId="2" borderId="10" xfId="0" applyNumberFormat="1" applyFont="1" applyFill="1" applyBorder="1" applyAlignment="1">
      <alignment vertical="top"/>
    </xf>
    <xf numFmtId="168" fontId="12" fillId="2" borderId="10" xfId="0" applyNumberFormat="1" applyFont="1" applyFill="1" applyBorder="1" applyAlignment="1">
      <alignment vertical="top"/>
    </xf>
    <xf numFmtId="168" fontId="12" fillId="2" borderId="10" xfId="0" applyNumberFormat="1" applyFont="1" applyFill="1" applyBorder="1" applyAlignment="1">
      <alignment horizontal="center" vertical="top"/>
    </xf>
    <xf numFmtId="0" fontId="16" fillId="2" borderId="13" xfId="0" applyFont="1" applyFill="1" applyBorder="1" applyAlignment="1">
      <alignment horizontal="left" vertical="top" wrapText="1"/>
    </xf>
    <xf numFmtId="170" fontId="16" fillId="2" borderId="10" xfId="1" applyNumberFormat="1" applyFont="1" applyFill="1" applyBorder="1" applyAlignment="1">
      <alignment horizontal="left" vertical="top" wrapText="1"/>
    </xf>
    <xf numFmtId="14" fontId="12" fillId="2" borderId="10" xfId="0" applyNumberFormat="1" applyFont="1" applyFill="1" applyBorder="1" applyAlignment="1">
      <alignment vertical="top"/>
    </xf>
    <xf numFmtId="0" fontId="16" fillId="2" borderId="14" xfId="0" applyFont="1" applyFill="1" applyBorder="1">
      <alignment vertical="top"/>
    </xf>
    <xf numFmtId="0" fontId="16" fillId="2" borderId="15" xfId="0" applyFont="1" applyFill="1" applyBorder="1">
      <alignment vertical="top"/>
    </xf>
    <xf numFmtId="0" fontId="16" fillId="2" borderId="11" xfId="0" applyFont="1" applyFill="1" applyBorder="1" applyAlignment="1">
      <alignment vertical="top"/>
    </xf>
    <xf numFmtId="14" fontId="16" fillId="2" borderId="11" xfId="1" applyNumberFormat="1" applyFont="1" applyFill="1" applyBorder="1" applyAlignment="1">
      <alignment vertical="top"/>
    </xf>
    <xf numFmtId="170" fontId="16" fillId="2" borderId="11" xfId="1" applyNumberFormat="1" applyFont="1" applyFill="1" applyBorder="1" applyAlignment="1">
      <alignment vertical="top"/>
    </xf>
    <xf numFmtId="0" fontId="16" fillId="2" borderId="11" xfId="0" applyFont="1" applyFill="1" applyBorder="1">
      <alignment vertical="top"/>
    </xf>
    <xf numFmtId="0" fontId="16" fillId="2" borderId="11" xfId="0" applyFont="1" applyFill="1" applyBorder="1" applyAlignment="1">
      <alignment horizontal="center" vertical="top"/>
    </xf>
    <xf numFmtId="165" fontId="16" fillId="2" borderId="10" xfId="1" applyFont="1" applyFill="1" applyBorder="1" applyAlignment="1">
      <alignment vertical="top"/>
    </xf>
    <xf numFmtId="172" fontId="16" fillId="2" borderId="0" xfId="1" applyNumberFormat="1" applyFont="1" applyFill="1">
      <alignment vertical="top"/>
    </xf>
    <xf numFmtId="172" fontId="16" fillId="2" borderId="0" xfId="0" applyNumberFormat="1" applyFont="1" applyFill="1">
      <alignment vertical="top"/>
    </xf>
    <xf numFmtId="172" fontId="16" fillId="2" borderId="1" xfId="0" applyNumberFormat="1" applyFont="1" applyFill="1" applyBorder="1" applyAlignment="1">
      <alignment horizontal="center" vertical="top" readingOrder="1"/>
    </xf>
    <xf numFmtId="172" fontId="16" fillId="2" borderId="5" xfId="0" applyNumberFormat="1" applyFont="1" applyFill="1" applyBorder="1" applyAlignment="1">
      <alignment horizontal="center" vertical="top" readingOrder="1"/>
    </xf>
    <xf numFmtId="172" fontId="12" fillId="2" borderId="9" xfId="0" applyNumberFormat="1" applyFont="1" applyFill="1" applyBorder="1">
      <alignment vertical="top"/>
    </xf>
    <xf numFmtId="172" fontId="12" fillId="2" borderId="10" xfId="1" applyNumberFormat="1" applyFont="1" applyFill="1" applyBorder="1" applyAlignment="1">
      <alignment vertical="top"/>
    </xf>
    <xf numFmtId="172" fontId="12" fillId="2" borderId="10" xfId="1" applyNumberFormat="1" applyFont="1" applyFill="1" applyBorder="1">
      <alignment vertical="top"/>
    </xf>
    <xf numFmtId="172" fontId="16" fillId="2" borderId="10" xfId="1" applyNumberFormat="1" applyFont="1" applyFill="1" applyBorder="1" applyAlignment="1">
      <alignment vertical="top"/>
    </xf>
    <xf numFmtId="172" fontId="8" fillId="2" borderId="0" xfId="1" applyNumberFormat="1" applyFont="1" applyFill="1" applyAlignment="1">
      <alignment vertical="top"/>
    </xf>
    <xf numFmtId="172" fontId="8" fillId="2" borderId="0" xfId="1" applyNumberFormat="1" applyFont="1" applyFill="1">
      <alignment vertical="top"/>
    </xf>
    <xf numFmtId="172" fontId="8" fillId="2" borderId="0" xfId="0" applyNumberFormat="1" applyFont="1" applyFill="1">
      <alignment vertical="top"/>
    </xf>
    <xf numFmtId="172" fontId="18" fillId="2" borderId="0" xfId="1" applyNumberFormat="1" applyFont="1" applyFill="1" applyAlignment="1">
      <alignment vertical="top"/>
    </xf>
    <xf numFmtId="172" fontId="7" fillId="2" borderId="0" xfId="1" applyNumberFormat="1" applyFont="1" applyFill="1">
      <alignment vertical="top"/>
    </xf>
    <xf numFmtId="172" fontId="7" fillId="2" borderId="0" xfId="0" applyNumberFormat="1" applyFont="1" applyFill="1">
      <alignment vertical="top"/>
    </xf>
    <xf numFmtId="172" fontId="7" fillId="2" borderId="1" xfId="0" applyNumberFormat="1" applyFont="1" applyFill="1" applyBorder="1" applyAlignment="1">
      <alignment horizontal="center" vertical="top" readingOrder="1"/>
    </xf>
    <xf numFmtId="172" fontId="7" fillId="2" borderId="5" xfId="0" applyNumberFormat="1" applyFont="1" applyFill="1" applyBorder="1" applyAlignment="1">
      <alignment horizontal="center" vertical="top" readingOrder="1"/>
    </xf>
    <xf numFmtId="172" fontId="8" fillId="2" borderId="9" xfId="0" applyNumberFormat="1" applyFont="1" applyFill="1" applyBorder="1">
      <alignment vertical="top"/>
    </xf>
    <xf numFmtId="172" fontId="8" fillId="2" borderId="10" xfId="1" applyNumberFormat="1" applyFont="1" applyFill="1" applyBorder="1" applyAlignment="1">
      <alignment vertical="top"/>
    </xf>
    <xf numFmtId="172" fontId="8" fillId="2" borderId="10" xfId="1" applyNumberFormat="1" applyFont="1" applyFill="1" applyBorder="1">
      <alignment vertical="top"/>
    </xf>
    <xf numFmtId="172" fontId="7" fillId="2" borderId="10" xfId="1" applyNumberFormat="1" applyFont="1" applyFill="1" applyBorder="1" applyAlignment="1">
      <alignment vertical="top"/>
    </xf>
    <xf numFmtId="165" fontId="7" fillId="2" borderId="10" xfId="1" applyFont="1" applyFill="1" applyBorder="1" applyAlignment="1">
      <alignment vertical="top"/>
    </xf>
    <xf numFmtId="0" fontId="7" fillId="2" borderId="18" xfId="0" applyFont="1" applyFill="1" applyBorder="1" applyAlignment="1">
      <alignment vertical="top"/>
    </xf>
    <xf numFmtId="0" fontId="8" fillId="2" borderId="19" xfId="0" applyFont="1" applyFill="1" applyBorder="1" applyAlignment="1">
      <alignment vertical="top" wrapText="1" readingOrder="1"/>
    </xf>
    <xf numFmtId="0" fontId="8" fillId="2" borderId="17" xfId="0" applyFont="1" applyFill="1" applyBorder="1" applyAlignment="1">
      <alignment vertical="top" wrapText="1" readingOrder="1"/>
    </xf>
    <xf numFmtId="0" fontId="7" fillId="2" borderId="17" xfId="0" applyFont="1" applyFill="1" applyBorder="1" applyAlignment="1">
      <alignment vertical="top" wrapText="1"/>
    </xf>
    <xf numFmtId="14" fontId="7" fillId="2" borderId="17" xfId="1" applyNumberFormat="1" applyFont="1" applyFill="1" applyBorder="1" applyAlignment="1">
      <alignment vertical="top" wrapText="1"/>
    </xf>
    <xf numFmtId="170" fontId="7" fillId="2" borderId="17" xfId="1" applyNumberFormat="1" applyFont="1" applyFill="1" applyBorder="1" applyAlignment="1">
      <alignment vertical="top" wrapText="1"/>
    </xf>
    <xf numFmtId="0" fontId="7" fillId="2" borderId="17" xfId="0" applyFont="1" applyFill="1" applyBorder="1" applyAlignment="1">
      <alignment horizontal="center" vertical="top" wrapText="1"/>
    </xf>
    <xf numFmtId="172" fontId="8" fillId="2" borderId="17" xfId="0" applyNumberFormat="1" applyFont="1" applyFill="1" applyBorder="1">
      <alignment vertical="top"/>
    </xf>
    <xf numFmtId="0" fontId="12" fillId="2" borderId="17" xfId="0" applyFont="1" applyFill="1" applyBorder="1">
      <alignment vertical="top"/>
    </xf>
    <xf numFmtId="0" fontId="7" fillId="2" borderId="20" xfId="0" applyFont="1" applyFill="1" applyBorder="1" applyAlignment="1">
      <alignment vertical="top"/>
    </xf>
    <xf numFmtId="0" fontId="8" fillId="2" borderId="21" xfId="0" applyFont="1" applyFill="1" applyBorder="1" applyAlignment="1">
      <alignment vertical="top" wrapText="1" readingOrder="1"/>
    </xf>
    <xf numFmtId="0" fontId="8" fillId="2" borderId="18" xfId="0" applyFont="1" applyFill="1" applyBorder="1" applyAlignment="1">
      <alignment vertical="top"/>
    </xf>
    <xf numFmtId="14" fontId="8" fillId="2" borderId="17" xfId="0" applyNumberFormat="1" applyFont="1" applyFill="1" applyBorder="1" applyAlignment="1">
      <alignment vertical="top" wrapText="1"/>
    </xf>
    <xf numFmtId="14" fontId="8" fillId="2" borderId="17" xfId="1" applyNumberFormat="1" applyFont="1" applyFill="1" applyBorder="1" applyAlignment="1">
      <alignment vertical="top" wrapText="1"/>
    </xf>
    <xf numFmtId="170" fontId="8" fillId="2" borderId="17" xfId="1" applyNumberFormat="1" applyFont="1" applyFill="1" applyBorder="1" applyAlignment="1">
      <alignment vertical="top" wrapText="1"/>
    </xf>
    <xf numFmtId="0" fontId="8" fillId="2" borderId="17" xfId="0" applyFont="1" applyFill="1" applyBorder="1" applyAlignment="1">
      <alignment vertical="top" wrapText="1"/>
    </xf>
    <xf numFmtId="0" fontId="8" fillId="2" borderId="17" xfId="0" applyFont="1" applyFill="1" applyBorder="1" applyAlignment="1">
      <alignment horizontal="center" vertical="top" wrapText="1"/>
    </xf>
    <xf numFmtId="14" fontId="8" fillId="0" borderId="17" xfId="0" applyNumberFormat="1" applyFont="1" applyFill="1" applyBorder="1" applyAlignment="1">
      <alignment vertical="top" wrapText="1"/>
    </xf>
    <xf numFmtId="43" fontId="7" fillId="2" borderId="11" xfId="1" applyNumberFormat="1" applyFont="1" applyFill="1" applyBorder="1" applyAlignment="1">
      <alignment vertical="top"/>
    </xf>
    <xf numFmtId="37" fontId="0" fillId="0" borderId="0" xfId="0" applyNumberFormat="1">
      <alignment vertical="top"/>
    </xf>
    <xf numFmtId="0" fontId="16" fillId="2" borderId="0" xfId="0" applyFont="1" applyFill="1" applyAlignment="1">
      <alignment horizontal="center" vertical="top"/>
    </xf>
    <xf numFmtId="0" fontId="7" fillId="2" borderId="0" xfId="0" applyFont="1" applyFill="1" applyAlignment="1">
      <alignment horizontal="center" vertical="top"/>
    </xf>
    <xf numFmtId="165" fontId="7" fillId="2" borderId="0" xfId="0" applyNumberFormat="1" applyFont="1" applyFill="1">
      <alignment vertical="top"/>
    </xf>
    <xf numFmtId="43" fontId="7" fillId="2" borderId="0" xfId="0" applyNumberFormat="1" applyFont="1" applyFill="1">
      <alignment vertical="top"/>
    </xf>
    <xf numFmtId="165" fontId="8" fillId="2" borderId="0" xfId="0" applyNumberFormat="1" applyFont="1" applyFill="1">
      <alignment vertical="top"/>
    </xf>
    <xf numFmtId="0" fontId="19" fillId="3" borderId="0" xfId="0" applyFont="1" applyFill="1" applyAlignment="1"/>
    <xf numFmtId="164" fontId="0" fillId="0" borderId="0" xfId="2" applyFont="1" applyFill="1" applyAlignment="1"/>
    <xf numFmtId="8" fontId="0" fillId="0" borderId="0" xfId="2" applyNumberFormat="1" applyFont="1" applyFill="1" applyAlignment="1"/>
    <xf numFmtId="0" fontId="19" fillId="0" borderId="0" xfId="0" applyFont="1" applyAlignment="1">
      <alignment horizontal="center"/>
    </xf>
    <xf numFmtId="0" fontId="21" fillId="0" borderId="0" xfId="0" applyFont="1" applyAlignment="1">
      <alignment wrapText="1"/>
    </xf>
    <xf numFmtId="43" fontId="0" fillId="0" borderId="0" xfId="0" applyNumberFormat="1" applyAlignment="1"/>
    <xf numFmtId="171" fontId="25" fillId="0" borderId="0" xfId="0" applyNumberFormat="1" applyFont="1" applyAlignment="1"/>
    <xf numFmtId="171" fontId="21" fillId="0" borderId="0" xfId="0" applyNumberFormat="1" applyFont="1" applyAlignment="1"/>
    <xf numFmtId="43" fontId="21" fillId="0" borderId="0" xfId="0" applyNumberFormat="1" applyFont="1" applyAlignment="1"/>
    <xf numFmtId="0" fontId="26" fillId="0" borderId="0" xfId="0" applyFont="1" applyAlignment="1"/>
    <xf numFmtId="164" fontId="22" fillId="0" borderId="0" xfId="2" applyFont="1" applyAlignment="1"/>
    <xf numFmtId="164" fontId="25" fillId="0" borderId="0" xfId="2" applyFont="1" applyFill="1" applyAlignment="1"/>
    <xf numFmtId="171" fontId="0" fillId="3" borderId="0" xfId="0" applyNumberFormat="1" applyFill="1" applyAlignment="1"/>
    <xf numFmtId="173" fontId="16" fillId="2" borderId="0" xfId="1" applyNumberFormat="1" applyFont="1" applyFill="1">
      <alignment vertical="top"/>
    </xf>
    <xf numFmtId="173" fontId="16" fillId="2" borderId="0" xfId="0" applyNumberFormat="1" applyFont="1" applyFill="1">
      <alignment vertical="top"/>
    </xf>
    <xf numFmtId="173" fontId="16" fillId="2" borderId="1" xfId="0" applyNumberFormat="1" applyFont="1" applyFill="1" applyBorder="1" applyAlignment="1">
      <alignment horizontal="center" vertical="top" readingOrder="1"/>
    </xf>
    <xf numFmtId="173" fontId="16" fillId="2" borderId="5" xfId="0" applyNumberFormat="1" applyFont="1" applyFill="1" applyBorder="1" applyAlignment="1">
      <alignment horizontal="center" vertical="top" readingOrder="1"/>
    </xf>
    <xf numFmtId="173" fontId="12" fillId="2" borderId="9" xfId="1" applyNumberFormat="1" applyFont="1" applyFill="1" applyBorder="1">
      <alignment vertical="top"/>
    </xf>
    <xf numFmtId="173" fontId="12" fillId="2" borderId="10" xfId="1" applyNumberFormat="1" applyFont="1" applyFill="1" applyBorder="1" applyAlignment="1">
      <alignment vertical="top"/>
    </xf>
    <xf numFmtId="173" fontId="12" fillId="2" borderId="10" xfId="1" applyNumberFormat="1" applyFont="1" applyFill="1" applyBorder="1">
      <alignment vertical="top"/>
    </xf>
    <xf numFmtId="173" fontId="16" fillId="2" borderId="10" xfId="1" applyNumberFormat="1" applyFont="1" applyFill="1" applyBorder="1" applyAlignment="1">
      <alignment vertical="top"/>
    </xf>
    <xf numFmtId="173" fontId="16" fillId="2" borderId="11" xfId="1" applyNumberFormat="1" applyFont="1" applyFill="1" applyBorder="1" applyAlignment="1">
      <alignment vertical="top"/>
    </xf>
    <xf numFmtId="173" fontId="18" fillId="2" borderId="0" xfId="1" applyNumberFormat="1" applyFont="1" applyFill="1" applyAlignment="1">
      <alignment vertical="top"/>
    </xf>
    <xf numFmtId="173" fontId="8" fillId="2" borderId="0" xfId="1" applyNumberFormat="1" applyFont="1" applyFill="1">
      <alignment vertical="top"/>
    </xf>
    <xf numFmtId="173" fontId="18" fillId="2" borderId="0" xfId="1" applyNumberFormat="1" applyFont="1" applyFill="1" applyAlignment="1">
      <alignment horizontal="center" vertical="top"/>
    </xf>
    <xf numFmtId="173" fontId="8" fillId="2" borderId="0" xfId="0" applyNumberFormat="1" applyFont="1" applyFill="1">
      <alignment vertical="top"/>
    </xf>
    <xf numFmtId="172" fontId="18" fillId="2" borderId="0" xfId="1" applyNumberFormat="1" applyFont="1" applyFill="1" applyAlignment="1">
      <alignment horizontal="center" vertical="top"/>
    </xf>
    <xf numFmtId="0" fontId="7" fillId="2" borderId="0" xfId="0" applyFont="1" applyFill="1" applyAlignment="1">
      <alignment horizontal="center" vertical="top"/>
    </xf>
    <xf numFmtId="165" fontId="7" fillId="2" borderId="11" xfId="1" applyFont="1" applyFill="1" applyBorder="1" applyAlignment="1">
      <alignment vertical="top"/>
    </xf>
    <xf numFmtId="164" fontId="22" fillId="0" borderId="0" xfId="2" applyFont="1" applyFill="1" applyAlignment="1"/>
    <xf numFmtId="165" fontId="12" fillId="0" borderId="10" xfId="1" applyFont="1" applyFill="1" applyBorder="1" applyAlignment="1">
      <alignment vertical="top"/>
    </xf>
    <xf numFmtId="170" fontId="12" fillId="0" borderId="10" xfId="1" applyNumberFormat="1" applyFont="1" applyFill="1" applyBorder="1" applyAlignment="1">
      <alignment vertical="top"/>
    </xf>
    <xf numFmtId="0" fontId="1" fillId="2" borderId="10" xfId="0" applyFont="1" applyFill="1" applyBorder="1" applyAlignment="1">
      <alignment vertical="top" wrapText="1"/>
    </xf>
    <xf numFmtId="171" fontId="19" fillId="3" borderId="0" xfId="0" applyNumberFormat="1" applyFont="1" applyFill="1" applyAlignment="1"/>
    <xf numFmtId="165" fontId="17" fillId="0" borderId="0" xfId="1" applyFont="1" applyFill="1" applyAlignment="1">
      <alignment horizontal="center" vertical="top" wrapText="1"/>
    </xf>
    <xf numFmtId="0" fontId="16" fillId="0" borderId="0" xfId="0" applyFont="1" applyFill="1">
      <alignment vertical="top"/>
    </xf>
    <xf numFmtId="0" fontId="16" fillId="0" borderId="1" xfId="0" applyFont="1" applyFill="1" applyBorder="1" applyAlignment="1">
      <alignment horizontal="center" vertical="top" wrapText="1" readingOrder="1"/>
    </xf>
    <xf numFmtId="0" fontId="16" fillId="0" borderId="5" xfId="0" applyFont="1" applyFill="1" applyBorder="1" applyAlignment="1">
      <alignment horizontal="center" vertical="top" wrapText="1" readingOrder="1"/>
    </xf>
    <xf numFmtId="170" fontId="16" fillId="0" borderId="9" xfId="1" applyNumberFormat="1" applyFont="1" applyFill="1" applyBorder="1" applyAlignment="1">
      <alignment vertical="top" wrapText="1"/>
    </xf>
    <xf numFmtId="170" fontId="12" fillId="0" borderId="10" xfId="1" applyNumberFormat="1" applyFont="1" applyFill="1" applyBorder="1">
      <alignment vertical="top"/>
    </xf>
    <xf numFmtId="170" fontId="16" fillId="0" borderId="10" xfId="1" applyNumberFormat="1" applyFont="1" applyFill="1" applyBorder="1" applyAlignment="1">
      <alignment vertical="top"/>
    </xf>
    <xf numFmtId="170" fontId="16" fillId="0" borderId="10" xfId="1" applyNumberFormat="1" applyFont="1" applyFill="1" applyBorder="1" applyAlignment="1">
      <alignment horizontal="right" vertical="top"/>
    </xf>
    <xf numFmtId="170" fontId="16" fillId="0" borderId="10" xfId="1" applyNumberFormat="1" applyFont="1" applyFill="1" applyBorder="1" applyAlignment="1">
      <alignment vertical="top" wrapText="1"/>
    </xf>
    <xf numFmtId="170" fontId="16" fillId="0" borderId="10" xfId="1" applyNumberFormat="1" applyFont="1" applyFill="1" applyBorder="1" applyAlignment="1">
      <alignment horizontal="left" vertical="top" wrapText="1"/>
    </xf>
    <xf numFmtId="170" fontId="16" fillId="0" borderId="11" xfId="1" applyNumberFormat="1" applyFont="1" applyFill="1" applyBorder="1" applyAlignment="1">
      <alignment vertical="top"/>
    </xf>
    <xf numFmtId="172" fontId="18" fillId="0" borderId="0" xfId="1" applyNumberFormat="1" applyFont="1" applyFill="1" applyAlignment="1">
      <alignment vertical="top"/>
    </xf>
    <xf numFmtId="172" fontId="8" fillId="0" borderId="0" xfId="1" applyNumberFormat="1" applyFont="1" applyFill="1">
      <alignment vertical="top"/>
    </xf>
    <xf numFmtId="170" fontId="18" fillId="0" borderId="0" xfId="1" applyNumberFormat="1" applyFont="1" applyFill="1" applyAlignment="1">
      <alignment horizontal="center" vertical="top"/>
    </xf>
    <xf numFmtId="14" fontId="18" fillId="0" borderId="0" xfId="1" applyNumberFormat="1" applyFont="1" applyFill="1" applyAlignment="1">
      <alignment horizontal="center" vertical="top"/>
    </xf>
    <xf numFmtId="0" fontId="8" fillId="0" borderId="0" xfId="0" applyFont="1" applyFill="1">
      <alignment vertical="top"/>
    </xf>
    <xf numFmtId="14" fontId="17" fillId="0" borderId="0" xfId="0" applyNumberFormat="1" applyFont="1" applyFill="1" applyAlignment="1">
      <alignment vertical="top" wrapText="1"/>
    </xf>
    <xf numFmtId="14" fontId="11" fillId="0" borderId="0" xfId="0" applyNumberFormat="1" applyFont="1" applyFill="1" applyAlignment="1">
      <alignment vertical="top" wrapText="1"/>
    </xf>
    <xf numFmtId="165" fontId="11" fillId="0" borderId="0" xfId="1" applyFont="1" applyFill="1" applyAlignment="1">
      <alignment horizontal="center" vertical="top" wrapText="1"/>
    </xf>
    <xf numFmtId="0" fontId="7" fillId="0" borderId="0" xfId="0" applyFont="1" applyFill="1">
      <alignment vertical="top"/>
    </xf>
    <xf numFmtId="0" fontId="7" fillId="0" borderId="1" xfId="0" applyFont="1" applyFill="1" applyBorder="1" applyAlignment="1">
      <alignment horizontal="center" vertical="top" wrapText="1" readingOrder="1"/>
    </xf>
    <xf numFmtId="0" fontId="7" fillId="0" borderId="5" xfId="0" applyFont="1" applyFill="1" applyBorder="1" applyAlignment="1">
      <alignment horizontal="center" vertical="top" wrapText="1" readingOrder="1"/>
    </xf>
    <xf numFmtId="170" fontId="7" fillId="0" borderId="9" xfId="1" applyNumberFormat="1" applyFont="1" applyFill="1" applyBorder="1" applyAlignment="1">
      <alignment vertical="top" wrapText="1"/>
    </xf>
    <xf numFmtId="170" fontId="7" fillId="0" borderId="17" xfId="1" applyNumberFormat="1" applyFont="1" applyFill="1" applyBorder="1" applyAlignment="1">
      <alignment vertical="top" wrapText="1"/>
    </xf>
    <xf numFmtId="170" fontId="8" fillId="0" borderId="17" xfId="1" applyNumberFormat="1" applyFont="1" applyFill="1" applyBorder="1" applyAlignment="1">
      <alignment vertical="top" wrapText="1"/>
    </xf>
    <xf numFmtId="170" fontId="7" fillId="0" borderId="10" xfId="1" applyNumberFormat="1" applyFont="1" applyFill="1" applyBorder="1" applyAlignment="1">
      <alignment vertical="top"/>
    </xf>
    <xf numFmtId="170" fontId="8" fillId="0" borderId="10" xfId="1" applyNumberFormat="1" applyFont="1" applyFill="1" applyBorder="1" applyAlignment="1">
      <alignment vertical="top"/>
    </xf>
    <xf numFmtId="170" fontId="8" fillId="0" borderId="10" xfId="1" applyNumberFormat="1" applyFont="1" applyFill="1" applyBorder="1">
      <alignment vertical="top"/>
    </xf>
    <xf numFmtId="170" fontId="7" fillId="0" borderId="10" xfId="1" applyNumberFormat="1" applyFont="1" applyFill="1" applyBorder="1" applyAlignment="1">
      <alignment horizontal="right" vertical="top"/>
    </xf>
    <xf numFmtId="170" fontId="7" fillId="0" borderId="10" xfId="1" applyNumberFormat="1" applyFont="1" applyFill="1" applyBorder="1" applyAlignment="1">
      <alignment vertical="top" wrapText="1"/>
    </xf>
    <xf numFmtId="170" fontId="7" fillId="0" borderId="16" xfId="1" applyNumberFormat="1" applyFont="1" applyFill="1" applyBorder="1" applyAlignment="1">
      <alignment vertical="top"/>
    </xf>
    <xf numFmtId="172" fontId="18" fillId="0" borderId="0" xfId="1" applyNumberFormat="1" applyFont="1" applyFill="1" applyBorder="1" applyAlignment="1">
      <alignment vertical="top"/>
    </xf>
    <xf numFmtId="172" fontId="8" fillId="0" borderId="0" xfId="1" applyNumberFormat="1" applyFont="1" applyFill="1" applyBorder="1">
      <alignment vertical="top"/>
    </xf>
    <xf numFmtId="172" fontId="18" fillId="0" borderId="0" xfId="1" applyNumberFormat="1" applyFont="1" applyFill="1" applyBorder="1" applyAlignment="1">
      <alignment horizontal="center" vertical="top"/>
    </xf>
    <xf numFmtId="14" fontId="18" fillId="0" borderId="0" xfId="1" applyNumberFormat="1" applyFont="1" applyFill="1" applyBorder="1" applyAlignment="1">
      <alignment horizontal="center" vertical="top"/>
    </xf>
    <xf numFmtId="0" fontId="16" fillId="0" borderId="0" xfId="0" applyFont="1" applyFill="1" applyAlignment="1">
      <alignment vertical="top"/>
    </xf>
    <xf numFmtId="0" fontId="27" fillId="0" borderId="0" xfId="0" applyFont="1" applyFill="1" applyAlignment="1">
      <alignment vertical="top"/>
    </xf>
    <xf numFmtId="165" fontId="12" fillId="0" borderId="0" xfId="1" applyFont="1" applyFill="1">
      <alignment vertical="top"/>
    </xf>
    <xf numFmtId="0" fontId="16" fillId="0" borderId="0" xfId="0" applyFont="1" applyFill="1" applyAlignment="1">
      <alignment vertical="top" wrapText="1" readingOrder="1"/>
    </xf>
    <xf numFmtId="0" fontId="17" fillId="0" borderId="0" xfId="0" applyFont="1" applyFill="1" applyAlignment="1">
      <alignment vertical="top" wrapText="1"/>
    </xf>
    <xf numFmtId="14" fontId="12" fillId="0" borderId="0" xfId="0" applyNumberFormat="1" applyFont="1" applyFill="1">
      <alignment vertical="top"/>
    </xf>
    <xf numFmtId="0" fontId="17" fillId="0" borderId="0" xfId="0" applyFont="1" applyFill="1" applyAlignment="1">
      <alignment horizontal="center" vertical="top" wrapText="1"/>
    </xf>
    <xf numFmtId="173" fontId="16" fillId="0" borderId="0" xfId="1" applyNumberFormat="1" applyFont="1" applyFill="1">
      <alignment vertical="top"/>
    </xf>
    <xf numFmtId="165" fontId="16" fillId="0" borderId="0" xfId="1" applyFont="1" applyFill="1">
      <alignment vertical="top"/>
    </xf>
    <xf numFmtId="14" fontId="16" fillId="0" borderId="0" xfId="0" applyNumberFormat="1" applyFont="1" applyFill="1">
      <alignment vertical="top"/>
    </xf>
    <xf numFmtId="0" fontId="16" fillId="0" borderId="0" xfId="0" applyFont="1" applyFill="1" applyAlignment="1">
      <alignment horizontal="center" vertical="top"/>
    </xf>
    <xf numFmtId="173" fontId="16" fillId="0" borderId="0" xfId="0" applyNumberFormat="1" applyFont="1" applyFill="1">
      <alignment vertical="top"/>
    </xf>
    <xf numFmtId="0" fontId="16" fillId="0" borderId="2" xfId="0" applyFont="1" applyFill="1" applyBorder="1">
      <alignment vertical="top"/>
    </xf>
    <xf numFmtId="0" fontId="16" fillId="0" borderId="4" xfId="0" applyFont="1" applyFill="1" applyBorder="1">
      <alignment vertical="top"/>
    </xf>
    <xf numFmtId="0" fontId="16" fillId="0" borderId="1" xfId="0" applyFont="1" applyFill="1" applyBorder="1" applyAlignment="1">
      <alignment vertical="top" wrapText="1" readingOrder="1"/>
    </xf>
    <xf numFmtId="14" fontId="16" fillId="0" borderId="2" xfId="0" applyNumberFormat="1" applyFont="1" applyFill="1" applyBorder="1" applyAlignment="1">
      <alignment horizontal="center" vertical="top" wrapText="1" readingOrder="1"/>
    </xf>
    <xf numFmtId="0" fontId="16" fillId="0" borderId="3" xfId="0" applyFont="1" applyFill="1" applyBorder="1" applyAlignment="1">
      <alignment vertical="top" wrapText="1" readingOrder="1"/>
    </xf>
    <xf numFmtId="165" fontId="16" fillId="0" borderId="4" xfId="1" applyFont="1" applyFill="1" applyBorder="1" applyAlignment="1">
      <alignment vertical="top" wrapText="1" readingOrder="1"/>
    </xf>
    <xf numFmtId="0" fontId="16" fillId="0" borderId="1" xfId="0" applyFont="1" applyFill="1" applyBorder="1" applyAlignment="1">
      <alignment vertical="top"/>
    </xf>
    <xf numFmtId="0" fontId="16" fillId="0" borderId="1" xfId="0" applyFont="1" applyFill="1" applyBorder="1" applyAlignment="1">
      <alignment vertical="top" readingOrder="1"/>
    </xf>
    <xf numFmtId="0" fontId="16" fillId="0" borderId="1" xfId="0" applyFont="1" applyFill="1" applyBorder="1" applyAlignment="1">
      <alignment horizontal="center" vertical="top" readingOrder="1"/>
    </xf>
    <xf numFmtId="173" fontId="16" fillId="0" borderId="1" xfId="0" applyNumberFormat="1" applyFont="1" applyFill="1" applyBorder="1" applyAlignment="1">
      <alignment horizontal="center" vertical="top" readingOrder="1"/>
    </xf>
    <xf numFmtId="0" fontId="16" fillId="0" borderId="6" xfId="0" applyFont="1" applyFill="1" applyBorder="1" applyAlignment="1">
      <alignment vertical="top" wrapText="1" readingOrder="1"/>
    </xf>
    <xf numFmtId="0" fontId="16" fillId="0" borderId="8" xfId="0" applyFont="1" applyFill="1" applyBorder="1" applyAlignment="1">
      <alignment vertical="top" wrapText="1" readingOrder="1"/>
    </xf>
    <xf numFmtId="0" fontId="16" fillId="0" borderId="5" xfId="0" applyFont="1" applyFill="1" applyBorder="1" applyAlignment="1">
      <alignment vertical="top" wrapText="1" readingOrder="1"/>
    </xf>
    <xf numFmtId="14" fontId="16" fillId="0" borderId="6" xfId="0" applyNumberFormat="1" applyFont="1" applyFill="1" applyBorder="1" applyAlignment="1">
      <alignment horizontal="center" vertical="top" wrapText="1" readingOrder="1"/>
    </xf>
    <xf numFmtId="165" fontId="16" fillId="0" borderId="7" xfId="1" applyFont="1" applyFill="1" applyBorder="1" applyAlignment="1">
      <alignment vertical="top" wrapText="1" readingOrder="1"/>
    </xf>
    <xf numFmtId="165" fontId="16" fillId="0" borderId="8" xfId="1" applyFont="1" applyFill="1" applyBorder="1" applyAlignment="1">
      <alignment vertical="top" wrapText="1" readingOrder="1"/>
    </xf>
    <xf numFmtId="0" fontId="16" fillId="0" borderId="5" xfId="0" applyFont="1" applyFill="1" applyBorder="1" applyAlignment="1">
      <alignment vertical="top"/>
    </xf>
    <xf numFmtId="0" fontId="16" fillId="0" borderId="5" xfId="0" applyFont="1" applyFill="1" applyBorder="1" applyAlignment="1">
      <alignment horizontal="center" vertical="top" readingOrder="1"/>
    </xf>
    <xf numFmtId="173" fontId="16" fillId="0" borderId="5" xfId="0" applyNumberFormat="1" applyFont="1" applyFill="1" applyBorder="1" applyAlignment="1">
      <alignment horizontal="center" vertical="top" readingOrder="1"/>
    </xf>
    <xf numFmtId="0" fontId="16" fillId="0" borderId="9" xfId="0" applyFont="1" applyFill="1" applyBorder="1" applyAlignment="1">
      <alignment vertical="top"/>
    </xf>
    <xf numFmtId="0" fontId="12" fillId="0" borderId="9" xfId="0" applyFont="1" applyFill="1" applyBorder="1" applyAlignment="1">
      <alignment vertical="top" wrapText="1" readingOrder="1"/>
    </xf>
    <xf numFmtId="0" fontId="16" fillId="0" borderId="9" xfId="0" applyFont="1" applyFill="1" applyBorder="1" applyAlignment="1">
      <alignment vertical="top" wrapText="1"/>
    </xf>
    <xf numFmtId="14" fontId="16" fillId="0" borderId="9" xfId="1" applyNumberFormat="1" applyFont="1" applyFill="1" applyBorder="1" applyAlignment="1">
      <alignment vertical="top" wrapText="1"/>
    </xf>
    <xf numFmtId="165" fontId="16" fillId="0" borderId="9" xfId="1" applyFont="1" applyFill="1" applyBorder="1" applyAlignment="1">
      <alignment vertical="top" wrapText="1"/>
    </xf>
    <xf numFmtId="0" fontId="16" fillId="0" borderId="9" xfId="0" applyFont="1" applyFill="1" applyBorder="1" applyAlignment="1">
      <alignment horizontal="center" vertical="top" wrapText="1"/>
    </xf>
    <xf numFmtId="173" fontId="12" fillId="0" borderId="9" xfId="1" applyNumberFormat="1" applyFont="1" applyFill="1" applyBorder="1">
      <alignment vertical="top"/>
    </xf>
    <xf numFmtId="0" fontId="12" fillId="0" borderId="9" xfId="0" applyFont="1" applyFill="1" applyBorder="1">
      <alignment vertical="top"/>
    </xf>
    <xf numFmtId="0" fontId="12" fillId="0" borderId="12" xfId="0" applyFont="1" applyFill="1" applyBorder="1" applyAlignment="1">
      <alignment vertical="top"/>
    </xf>
    <xf numFmtId="0" fontId="12" fillId="0" borderId="13" xfId="0" applyFont="1" applyFill="1" applyBorder="1" applyAlignment="1">
      <alignment vertical="top"/>
    </xf>
    <xf numFmtId="0" fontId="12" fillId="0" borderId="10" xfId="0" applyFont="1" applyFill="1" applyBorder="1" applyAlignment="1">
      <alignment vertical="top" wrapText="1"/>
    </xf>
    <xf numFmtId="166" fontId="12" fillId="0" borderId="10" xfId="0" applyNumberFormat="1" applyFont="1" applyFill="1" applyBorder="1" applyAlignment="1">
      <alignment vertical="top"/>
    </xf>
    <xf numFmtId="14" fontId="12" fillId="0" borderId="10" xfId="1" applyNumberFormat="1" applyFont="1" applyFill="1" applyBorder="1" applyAlignment="1">
      <alignment vertical="top"/>
    </xf>
    <xf numFmtId="39" fontId="12" fillId="0" borderId="10" xfId="0" applyNumberFormat="1" applyFont="1" applyFill="1" applyBorder="1" applyAlignment="1">
      <alignment horizontal="right" vertical="top"/>
    </xf>
    <xf numFmtId="0" fontId="12" fillId="0" borderId="10" xfId="0" applyFont="1" applyFill="1" applyBorder="1" applyAlignment="1">
      <alignment horizontal="center" vertical="top"/>
    </xf>
    <xf numFmtId="173" fontId="12" fillId="0" borderId="10" xfId="1" applyNumberFormat="1" applyFont="1" applyFill="1" applyBorder="1" applyAlignment="1">
      <alignment vertical="top"/>
    </xf>
    <xf numFmtId="0" fontId="12" fillId="0" borderId="10" xfId="0" applyFont="1" applyFill="1" applyBorder="1" applyAlignment="1">
      <alignment vertical="top" readingOrder="1"/>
    </xf>
    <xf numFmtId="0" fontId="12" fillId="0" borderId="10" xfId="0" applyFont="1" applyFill="1" applyBorder="1" applyAlignment="1">
      <alignment horizontal="left" vertical="top" wrapText="1"/>
    </xf>
    <xf numFmtId="0" fontId="12" fillId="0" borderId="10" xfId="0" applyFont="1" applyFill="1" applyBorder="1" applyAlignment="1">
      <alignment vertical="top" wrapText="1" readingOrder="1"/>
    </xf>
    <xf numFmtId="0" fontId="12" fillId="0" borderId="12" xfId="0" applyFont="1" applyFill="1" applyBorder="1">
      <alignment vertical="top"/>
    </xf>
    <xf numFmtId="0" fontId="12" fillId="0" borderId="13" xfId="0" applyFont="1" applyFill="1" applyBorder="1">
      <alignment vertical="top"/>
    </xf>
    <xf numFmtId="0" fontId="16" fillId="0" borderId="10" xfId="0" applyFont="1" applyFill="1" applyBorder="1" applyAlignment="1">
      <alignment vertical="top"/>
    </xf>
    <xf numFmtId="0" fontId="12" fillId="0" borderId="10" xfId="0" applyFont="1" applyFill="1" applyBorder="1" applyAlignment="1">
      <alignment vertical="top"/>
    </xf>
    <xf numFmtId="165" fontId="16" fillId="0" borderId="10" xfId="1" applyFont="1" applyFill="1" applyBorder="1" applyAlignment="1">
      <alignment vertical="top"/>
    </xf>
    <xf numFmtId="0" fontId="12" fillId="0" borderId="10" xfId="0" applyFont="1" applyFill="1" applyBorder="1">
      <alignment vertical="top"/>
    </xf>
    <xf numFmtId="173" fontId="12" fillId="0" borderId="10" xfId="1" applyNumberFormat="1" applyFont="1" applyFill="1" applyBorder="1">
      <alignment vertical="top"/>
    </xf>
    <xf numFmtId="0" fontId="16" fillId="0" borderId="12" xfId="0" applyFont="1" applyFill="1" applyBorder="1">
      <alignment vertical="top"/>
    </xf>
    <xf numFmtId="0" fontId="16" fillId="0" borderId="13" xfId="0" applyFont="1" applyFill="1" applyBorder="1">
      <alignment vertical="top"/>
    </xf>
    <xf numFmtId="0" fontId="16" fillId="0" borderId="10" xfId="0" applyFont="1" applyFill="1" applyBorder="1" applyAlignment="1">
      <alignment horizontal="left" vertical="top" wrapText="1"/>
    </xf>
    <xf numFmtId="0" fontId="16" fillId="0" borderId="10" xfId="0" applyFont="1" applyFill="1" applyBorder="1">
      <alignment vertical="top"/>
    </xf>
    <xf numFmtId="14" fontId="16" fillId="0" borderId="10" xfId="1" applyNumberFormat="1" applyFont="1" applyFill="1" applyBorder="1">
      <alignment vertical="top"/>
    </xf>
    <xf numFmtId="168" fontId="16" fillId="0" borderId="10" xfId="0" applyNumberFormat="1" applyFont="1" applyFill="1" applyBorder="1" applyAlignment="1">
      <alignment horizontal="right" vertical="top"/>
    </xf>
    <xf numFmtId="168" fontId="16" fillId="0" borderId="10" xfId="0" applyNumberFormat="1" applyFont="1" applyFill="1" applyBorder="1" applyAlignment="1">
      <alignment horizontal="center" vertical="top"/>
    </xf>
    <xf numFmtId="165" fontId="7" fillId="0" borderId="0" xfId="0" applyNumberFormat="1" applyFont="1" applyFill="1">
      <alignment vertical="top"/>
    </xf>
    <xf numFmtId="0" fontId="16" fillId="0" borderId="10" xfId="0" applyFont="1" applyFill="1" applyBorder="1" applyAlignment="1">
      <alignment vertical="top" wrapText="1"/>
    </xf>
    <xf numFmtId="14" fontId="16" fillId="0" borderId="10" xfId="1" applyNumberFormat="1" applyFont="1" applyFill="1" applyBorder="1" applyAlignment="1">
      <alignment vertical="top"/>
    </xf>
    <xf numFmtId="165" fontId="16" fillId="0" borderId="10" xfId="1" applyFont="1" applyFill="1" applyBorder="1" applyAlignment="1">
      <alignment horizontal="right" vertical="top"/>
    </xf>
    <xf numFmtId="173" fontId="16" fillId="0" borderId="10" xfId="1" applyNumberFormat="1" applyFont="1" applyFill="1" applyBorder="1" applyAlignment="1">
      <alignment vertical="top"/>
    </xf>
    <xf numFmtId="0" fontId="16" fillId="0" borderId="12" xfId="0" applyFont="1" applyFill="1" applyBorder="1" applyAlignment="1">
      <alignment vertical="top" wrapText="1"/>
    </xf>
    <xf numFmtId="0" fontId="16" fillId="0" borderId="13" xfId="0" applyFont="1" applyFill="1" applyBorder="1" applyAlignment="1">
      <alignment vertical="top" wrapText="1"/>
    </xf>
    <xf numFmtId="14" fontId="16" fillId="0" borderId="10" xfId="1" applyNumberFormat="1" applyFont="1" applyFill="1" applyBorder="1" applyAlignment="1">
      <alignment vertical="top" wrapText="1"/>
    </xf>
    <xf numFmtId="165" fontId="16" fillId="0" borderId="10" xfId="1" applyFont="1" applyFill="1" applyBorder="1" applyAlignment="1">
      <alignment vertical="top" wrapText="1"/>
    </xf>
    <xf numFmtId="0" fontId="16" fillId="0" borderId="10" xfId="0" applyFont="1" applyFill="1" applyBorder="1" applyAlignment="1">
      <alignment horizontal="center" vertical="top" wrapText="1"/>
    </xf>
    <xf numFmtId="0" fontId="16" fillId="0" borderId="12" xfId="0" applyFont="1" applyFill="1" applyBorder="1" applyAlignment="1">
      <alignment vertical="top"/>
    </xf>
    <xf numFmtId="14" fontId="12" fillId="0" borderId="10" xfId="1" applyNumberFormat="1" applyFont="1" applyFill="1" applyBorder="1">
      <alignment vertical="top"/>
    </xf>
    <xf numFmtId="165" fontId="12" fillId="0" borderId="10" xfId="1" applyFont="1" applyFill="1" applyBorder="1">
      <alignment vertical="top"/>
    </xf>
    <xf numFmtId="0" fontId="12" fillId="0" borderId="10" xfId="0" applyFont="1" applyFill="1" applyBorder="1" applyAlignment="1">
      <alignment horizontal="left" vertical="top" wrapText="1" readingOrder="1"/>
    </xf>
    <xf numFmtId="0" fontId="12" fillId="0" borderId="16" xfId="0" applyFont="1" applyFill="1" applyBorder="1" applyAlignment="1">
      <alignment vertical="top" wrapText="1"/>
    </xf>
    <xf numFmtId="0" fontId="12" fillId="0" borderId="9" xfId="0" applyFont="1" applyFill="1" applyBorder="1" applyAlignment="1">
      <alignment vertical="top" wrapText="1"/>
    </xf>
    <xf numFmtId="0" fontId="12" fillId="0" borderId="11" xfId="0" applyFont="1" applyFill="1" applyBorder="1" applyAlignment="1">
      <alignment vertical="top" wrapText="1"/>
    </xf>
    <xf numFmtId="0" fontId="12" fillId="0" borderId="17" xfId="0" applyFont="1" applyFill="1" applyBorder="1" applyAlignment="1">
      <alignment vertical="top" wrapText="1"/>
    </xf>
    <xf numFmtId="43" fontId="7" fillId="0" borderId="0" xfId="0" applyNumberFormat="1" applyFont="1" applyFill="1">
      <alignment vertical="top"/>
    </xf>
    <xf numFmtId="0" fontId="16" fillId="0" borderId="10" xfId="0" applyFont="1" applyFill="1" applyBorder="1" applyAlignment="1">
      <alignment horizontal="center" vertical="top"/>
    </xf>
    <xf numFmtId="165" fontId="8" fillId="0" borderId="0" xfId="0" applyNumberFormat="1" applyFont="1" applyFill="1">
      <alignment vertical="top"/>
    </xf>
    <xf numFmtId="0" fontId="12" fillId="0" borderId="0" xfId="0" applyFont="1" applyFill="1">
      <alignment vertical="top"/>
    </xf>
    <xf numFmtId="165" fontId="8" fillId="0" borderId="0" xfId="1" applyFont="1" applyFill="1">
      <alignment vertical="top"/>
    </xf>
    <xf numFmtId="168" fontId="16" fillId="0" borderId="10" xfId="0" applyNumberFormat="1" applyFont="1" applyFill="1" applyBorder="1" applyAlignment="1">
      <alignment vertical="top"/>
    </xf>
    <xf numFmtId="168" fontId="12" fillId="0" borderId="10" xfId="0" applyNumberFormat="1" applyFont="1" applyFill="1" applyBorder="1" applyAlignment="1">
      <alignment vertical="top"/>
    </xf>
    <xf numFmtId="168" fontId="12" fillId="0" borderId="10" xfId="0" applyNumberFormat="1" applyFont="1" applyFill="1" applyBorder="1" applyAlignment="1">
      <alignment horizontal="center" vertical="top"/>
    </xf>
    <xf numFmtId="0" fontId="16" fillId="0" borderId="13" xfId="0" applyFont="1" applyFill="1" applyBorder="1" applyAlignment="1">
      <alignment horizontal="left" vertical="top" wrapText="1"/>
    </xf>
    <xf numFmtId="165" fontId="7" fillId="0" borderId="0" xfId="1" applyFont="1" applyFill="1">
      <alignment vertical="top"/>
    </xf>
    <xf numFmtId="14" fontId="12" fillId="0" borderId="10" xfId="0" applyNumberFormat="1" applyFont="1" applyFill="1" applyBorder="1" applyAlignment="1">
      <alignment vertical="top"/>
    </xf>
    <xf numFmtId="0" fontId="18" fillId="0" borderId="0" xfId="0" applyFont="1" applyFill="1">
      <alignment vertical="top"/>
    </xf>
    <xf numFmtId="0" fontId="16" fillId="0" borderId="14" xfId="0" applyFont="1" applyFill="1" applyBorder="1">
      <alignment vertical="top"/>
    </xf>
    <xf numFmtId="0" fontId="16" fillId="0" borderId="15" xfId="0" applyFont="1" applyFill="1" applyBorder="1">
      <alignment vertical="top"/>
    </xf>
    <xf numFmtId="0" fontId="16" fillId="0" borderId="11" xfId="0" applyFont="1" applyFill="1" applyBorder="1" applyAlignment="1">
      <alignment vertical="top"/>
    </xf>
    <xf numFmtId="14" fontId="16" fillId="0" borderId="11" xfId="1" applyNumberFormat="1" applyFont="1" applyFill="1" applyBorder="1" applyAlignment="1">
      <alignment vertical="top"/>
    </xf>
    <xf numFmtId="165" fontId="16" fillId="0" borderId="11" xfId="1" applyFont="1" applyFill="1" applyBorder="1" applyAlignment="1">
      <alignment vertical="top"/>
    </xf>
    <xf numFmtId="0" fontId="16" fillId="0" borderId="11" xfId="0" applyFont="1" applyFill="1" applyBorder="1">
      <alignment vertical="top"/>
    </xf>
    <xf numFmtId="0" fontId="16" fillId="0" borderId="11" xfId="0" applyFont="1" applyFill="1" applyBorder="1" applyAlignment="1">
      <alignment horizontal="center" vertical="top"/>
    </xf>
    <xf numFmtId="0" fontId="8" fillId="0" borderId="0" xfId="0" applyFont="1" applyFill="1" applyAlignment="1">
      <alignment vertical="top" wrapText="1" readingOrder="1"/>
    </xf>
    <xf numFmtId="0" fontId="8" fillId="0" borderId="0" xfId="0" applyFont="1" applyFill="1" applyAlignment="1">
      <alignment vertical="top"/>
    </xf>
    <xf numFmtId="14" fontId="8" fillId="0" borderId="0" xfId="1" applyNumberFormat="1" applyFont="1" applyFill="1" applyAlignment="1">
      <alignment vertical="top"/>
    </xf>
    <xf numFmtId="170" fontId="8" fillId="0" borderId="0" xfId="1" applyNumberFormat="1" applyFont="1" applyFill="1" applyAlignment="1">
      <alignment vertical="top"/>
    </xf>
    <xf numFmtId="165" fontId="8" fillId="0" borderId="0" xfId="1" applyFont="1" applyFill="1" applyAlignment="1">
      <alignment vertical="top"/>
    </xf>
    <xf numFmtId="170" fontId="18" fillId="0" borderId="0" xfId="1" applyNumberFormat="1" applyFont="1" applyFill="1" applyAlignment="1">
      <alignment vertical="top"/>
    </xf>
    <xf numFmtId="37" fontId="8" fillId="0" borderId="0" xfId="0" applyNumberFormat="1" applyFont="1" applyFill="1" applyAlignment="1">
      <alignment horizontal="center" vertical="top"/>
    </xf>
    <xf numFmtId="173" fontId="18" fillId="0" borderId="0" xfId="1" applyNumberFormat="1" applyFont="1" applyFill="1" applyAlignment="1">
      <alignment vertical="top"/>
    </xf>
    <xf numFmtId="170" fontId="8" fillId="0" borderId="0" xfId="1" applyNumberFormat="1" applyFont="1" applyFill="1">
      <alignment vertical="top"/>
    </xf>
    <xf numFmtId="0" fontId="8" fillId="0" borderId="0" xfId="0" applyFont="1" applyFill="1" applyAlignment="1">
      <alignment horizontal="center" vertical="top"/>
    </xf>
    <xf numFmtId="173" fontId="8" fillId="0" borderId="0" xfId="1" applyNumberFormat="1" applyFont="1" applyFill="1">
      <alignment vertical="top"/>
    </xf>
    <xf numFmtId="14" fontId="8" fillId="0" borderId="0" xfId="1" applyNumberFormat="1" applyFont="1" applyFill="1" applyAlignment="1">
      <alignment vertical="top" wrapText="1" readingOrder="1"/>
    </xf>
    <xf numFmtId="170" fontId="8" fillId="0" borderId="0" xfId="1" applyNumberFormat="1" applyFont="1" applyFill="1" applyAlignment="1">
      <alignment vertical="top" wrapText="1" readingOrder="1"/>
    </xf>
    <xf numFmtId="165" fontId="8" fillId="0" borderId="0" xfId="1" applyFont="1" applyFill="1" applyAlignment="1">
      <alignment vertical="top" wrapText="1" readingOrder="1"/>
    </xf>
    <xf numFmtId="170" fontId="12" fillId="0" borderId="0" xfId="1" applyNumberFormat="1" applyFont="1" applyFill="1">
      <alignment vertical="top"/>
    </xf>
    <xf numFmtId="14" fontId="8" fillId="0" borderId="0" xfId="0" applyNumberFormat="1" applyFont="1" applyFill="1" applyAlignment="1">
      <alignment vertical="top"/>
    </xf>
    <xf numFmtId="173" fontId="18" fillId="0" borderId="0" xfId="1" applyNumberFormat="1" applyFont="1" applyFill="1" applyAlignment="1">
      <alignment horizontal="center" vertical="top"/>
    </xf>
    <xf numFmtId="14" fontId="8" fillId="0" borderId="0" xfId="1" applyNumberFormat="1" applyFont="1" applyFill="1">
      <alignment vertical="top"/>
    </xf>
    <xf numFmtId="0" fontId="7" fillId="0" borderId="0" xfId="0" applyFont="1" applyFill="1" applyAlignment="1">
      <alignment vertical="top"/>
    </xf>
    <xf numFmtId="164" fontId="18" fillId="0" borderId="0" xfId="2" applyFont="1" applyFill="1">
      <alignment vertical="top"/>
    </xf>
    <xf numFmtId="14" fontId="8" fillId="0" borderId="0" xfId="0" applyNumberFormat="1" applyFont="1" applyFill="1">
      <alignment vertical="top"/>
    </xf>
    <xf numFmtId="173" fontId="8" fillId="0" borderId="0" xfId="0" applyNumberFormat="1" applyFont="1" applyFill="1">
      <alignment vertical="top"/>
    </xf>
    <xf numFmtId="174" fontId="12" fillId="0" borderId="10" xfId="1" applyNumberFormat="1" applyFont="1" applyFill="1" applyBorder="1" applyAlignment="1">
      <alignment vertical="top"/>
    </xf>
    <xf numFmtId="0" fontId="1" fillId="0" borderId="0" xfId="0" applyFont="1" applyFill="1" applyAlignment="1">
      <alignment horizontal="center" vertical="top"/>
    </xf>
    <xf numFmtId="170" fontId="1" fillId="0" borderId="0" xfId="1" applyNumberFormat="1" applyFont="1" applyFill="1">
      <alignment vertical="top"/>
    </xf>
    <xf numFmtId="0" fontId="16" fillId="0" borderId="0" xfId="0" applyFont="1" applyFill="1" applyAlignment="1">
      <alignment horizontal="center" vertical="top"/>
    </xf>
    <xf numFmtId="0" fontId="7" fillId="2" borderId="0" xfId="0" applyFont="1" applyFill="1" applyAlignment="1">
      <alignment horizontal="center" vertical="top"/>
    </xf>
    <xf numFmtId="170" fontId="29" fillId="0" borderId="10" xfId="1" applyNumberFormat="1" applyFont="1" applyFill="1" applyBorder="1" applyAlignment="1">
      <alignment vertical="top"/>
    </xf>
    <xf numFmtId="165" fontId="18" fillId="0" borderId="0" xfId="1" applyFont="1" applyFill="1" applyAlignment="1">
      <alignment vertical="top"/>
    </xf>
    <xf numFmtId="165" fontId="18" fillId="0" borderId="0" xfId="1" applyFont="1" applyFill="1" applyAlignment="1">
      <alignment horizontal="center" vertical="top"/>
    </xf>
    <xf numFmtId="43" fontId="8" fillId="0" borderId="0" xfId="0" applyNumberFormat="1" applyFont="1" applyFill="1">
      <alignment vertical="top"/>
    </xf>
    <xf numFmtId="165" fontId="7" fillId="0" borderId="10" xfId="1" applyFont="1" applyFill="1" applyBorder="1" applyAlignment="1">
      <alignment vertical="top"/>
    </xf>
    <xf numFmtId="165" fontId="7" fillId="0" borderId="16" xfId="1" applyFont="1" applyFill="1" applyBorder="1" applyAlignment="1">
      <alignment vertical="top"/>
    </xf>
    <xf numFmtId="165" fontId="18" fillId="0" borderId="0" xfId="1" applyFont="1" applyFill="1" applyBorder="1" applyAlignment="1">
      <alignment vertical="top"/>
    </xf>
    <xf numFmtId="170" fontId="17" fillId="0" borderId="0" xfId="1" applyNumberFormat="1" applyFont="1" applyFill="1" applyAlignment="1">
      <alignment vertical="top" wrapText="1"/>
    </xf>
    <xf numFmtId="170" fontId="16" fillId="0" borderId="0" xfId="1" applyNumberFormat="1" applyFont="1" applyFill="1">
      <alignment vertical="top"/>
    </xf>
    <xf numFmtId="170" fontId="16" fillId="0" borderId="1" xfId="1" applyNumberFormat="1" applyFont="1" applyFill="1" applyBorder="1" applyAlignment="1">
      <alignment horizontal="center" vertical="top" wrapText="1" readingOrder="1"/>
    </xf>
    <xf numFmtId="170" fontId="16" fillId="0" borderId="1" xfId="1" applyNumberFormat="1" applyFont="1" applyFill="1" applyBorder="1" applyAlignment="1">
      <alignment horizontal="center" vertical="top" readingOrder="1"/>
    </xf>
    <xf numFmtId="170" fontId="16" fillId="0" borderId="5" xfId="1" applyNumberFormat="1" applyFont="1" applyFill="1" applyBorder="1" applyAlignment="1">
      <alignment horizontal="center" vertical="top" readingOrder="1"/>
    </xf>
    <xf numFmtId="170" fontId="12" fillId="0" borderId="9" xfId="1" applyNumberFormat="1" applyFont="1" applyFill="1" applyBorder="1">
      <alignment vertical="top"/>
    </xf>
    <xf numFmtId="175" fontId="12" fillId="0" borderId="10" xfId="1" applyNumberFormat="1" applyFont="1" applyFill="1" applyBorder="1" applyAlignment="1">
      <alignment vertical="top"/>
    </xf>
    <xf numFmtId="170" fontId="7" fillId="0" borderId="0" xfId="0" applyNumberFormat="1" applyFont="1" applyFill="1">
      <alignment vertical="top"/>
    </xf>
    <xf numFmtId="0" fontId="1" fillId="0" borderId="0" xfId="0" applyFont="1" applyFill="1" applyAlignment="1">
      <alignment vertical="top"/>
    </xf>
    <xf numFmtId="165" fontId="18" fillId="0" borderId="0" xfId="1" applyFont="1" applyFill="1">
      <alignment vertical="top"/>
    </xf>
    <xf numFmtId="0" fontId="16" fillId="0" borderId="0" xfId="0" applyFont="1" applyFill="1" applyAlignment="1">
      <alignment horizontal="center" vertical="top"/>
    </xf>
    <xf numFmtId="0" fontId="7" fillId="2" borderId="0" xfId="0" applyFont="1" applyFill="1" applyAlignment="1">
      <alignment horizontal="center" vertical="top"/>
    </xf>
    <xf numFmtId="165" fontId="1" fillId="0" borderId="0" xfId="1" applyFont="1" applyFill="1" applyAlignment="1">
      <alignment vertical="top"/>
    </xf>
    <xf numFmtId="0" fontId="1" fillId="0" borderId="0" xfId="0" applyFont="1" applyFill="1">
      <alignment vertical="top"/>
    </xf>
    <xf numFmtId="16" fontId="8" fillId="0" borderId="0" xfId="0" applyNumberFormat="1" applyFont="1" applyFill="1" applyAlignment="1">
      <alignment horizontal="center" vertical="top"/>
    </xf>
    <xf numFmtId="165" fontId="7" fillId="0" borderId="11" xfId="1" applyFont="1" applyFill="1" applyBorder="1" applyAlignment="1">
      <alignment vertical="top"/>
    </xf>
    <xf numFmtId="170" fontId="1" fillId="2" borderId="0" xfId="1" applyNumberFormat="1" applyFont="1" applyFill="1" applyAlignment="1">
      <alignment horizontal="right" vertical="top" readingOrder="1"/>
    </xf>
    <xf numFmtId="0" fontId="1" fillId="2" borderId="0" xfId="0" applyFont="1" applyFill="1" applyAlignment="1">
      <alignment vertical="top"/>
    </xf>
    <xf numFmtId="170" fontId="8" fillId="0" borderId="0" xfId="0" applyNumberFormat="1" applyFont="1" applyFill="1">
      <alignment vertical="top"/>
    </xf>
    <xf numFmtId="0" fontId="16" fillId="0" borderId="0" xfId="0" applyFont="1" applyFill="1" applyAlignment="1">
      <alignment horizontal="center" vertical="top"/>
    </xf>
    <xf numFmtId="0" fontId="16" fillId="0" borderId="0" xfId="0" applyFont="1" applyFill="1" applyAlignment="1">
      <alignment horizontal="center" vertical="top" readingOrder="1"/>
    </xf>
    <xf numFmtId="0" fontId="7" fillId="2" borderId="0" xfId="0" applyFont="1" applyFill="1" applyAlignment="1">
      <alignment horizontal="center" vertical="top"/>
    </xf>
    <xf numFmtId="0" fontId="7" fillId="2" borderId="0" xfId="0" applyFont="1" applyFill="1" applyAlignment="1">
      <alignment horizontal="center" vertical="top" readingOrder="1"/>
    </xf>
    <xf numFmtId="0" fontId="16" fillId="2" borderId="0" xfId="0" applyFont="1" applyFill="1" applyAlignment="1">
      <alignment horizontal="center" vertical="top"/>
    </xf>
    <xf numFmtId="0" fontId="16" fillId="2" borderId="0" xfId="0" applyFont="1" applyFill="1" applyAlignment="1">
      <alignment horizontal="center" vertical="top" readingOrder="1"/>
    </xf>
    <xf numFmtId="0" fontId="4" fillId="0" borderId="0" xfId="0" applyFont="1" applyAlignment="1">
      <alignment horizontal="center" vertical="top" wrapText="1" readingOrder="1"/>
    </xf>
    <xf numFmtId="0" fontId="0" fillId="0" borderId="0" xfId="0" applyFont="1" applyAlignment="1">
      <alignment horizontal="left" vertical="top" wrapText="1" readingOrder="1"/>
    </xf>
    <xf numFmtId="0" fontId="4" fillId="0" borderId="0" xfId="0" applyFont="1" applyAlignment="1">
      <alignment horizontal="left" vertical="top" wrapText="1" readingOrder="1"/>
    </xf>
    <xf numFmtId="0" fontId="2" fillId="0" borderId="0" xfId="0" applyFont="1" applyAlignment="1">
      <alignment horizontal="center" vertical="top"/>
    </xf>
    <xf numFmtId="0" fontId="3" fillId="0" borderId="0" xfId="0" applyFont="1" applyAlignment="1">
      <alignment horizontal="right" vertical="top"/>
    </xf>
    <xf numFmtId="0" fontId="5" fillId="0" borderId="0" xfId="0" applyFont="1" applyAlignment="1">
      <alignment horizontal="center" vertical="top" wrapText="1"/>
    </xf>
    <xf numFmtId="0" fontId="0" fillId="0" borderId="0" xfId="0" applyFont="1" applyAlignment="1">
      <alignment horizontal="center" vertical="top" wrapText="1" readingOrder="1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left" vertical="top" wrapText="1"/>
    </xf>
    <xf numFmtId="166" fontId="3" fillId="0" borderId="0" xfId="0" applyNumberFormat="1" applyFont="1" applyAlignment="1">
      <alignment horizontal="left" vertical="top"/>
    </xf>
    <xf numFmtId="167" fontId="3" fillId="0" borderId="0" xfId="0" applyNumberFormat="1" applyFont="1" applyAlignment="1">
      <alignment horizontal="right" vertical="top"/>
    </xf>
    <xf numFmtId="0" fontId="6" fillId="0" borderId="0" xfId="0" applyFont="1" applyAlignment="1">
      <alignment horizontal="left" vertical="top" wrapText="1"/>
    </xf>
    <xf numFmtId="37" fontId="3" fillId="0" borderId="0" xfId="0" applyNumberFormat="1" applyFont="1" applyAlignment="1">
      <alignment horizontal="right" vertical="top"/>
    </xf>
    <xf numFmtId="168" fontId="3" fillId="0" borderId="0" xfId="0" applyNumberFormat="1" applyFont="1" applyAlignment="1">
      <alignment horizontal="right" vertical="top"/>
    </xf>
    <xf numFmtId="169" fontId="3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left" vertical="top" wrapText="1" readingOrder="1"/>
    </xf>
    <xf numFmtId="0" fontId="13" fillId="0" borderId="0" xfId="0" applyFont="1" applyAlignment="1">
      <alignment horizontal="right" vertical="top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FD84E-D857-4B0C-AFBE-9011C5D483C4}">
  <sheetPr>
    <pageSetUpPr fitToPage="1"/>
  </sheetPr>
  <dimension ref="A1:AA824"/>
  <sheetViews>
    <sheetView tabSelected="1" workbookViewId="0">
      <pane ySplit="1560" topLeftCell="A530" activePane="bottomLeft"/>
      <selection activeCell="C5" sqref="C5"/>
      <selection pane="bottomLeft" activeCell="H540" sqref="H540"/>
    </sheetView>
  </sheetViews>
  <sheetFormatPr defaultColWidth="6.85546875" defaultRowHeight="12.75" x14ac:dyDescent="0.2"/>
  <cols>
    <col min="1" max="2" width="6.85546875" style="343"/>
    <col min="3" max="3" width="59.7109375" style="343" bestFit="1" customWidth="1"/>
    <col min="4" max="4" width="10.28515625" style="343" bestFit="1" customWidth="1"/>
    <col min="5" max="5" width="10.140625" style="484" bestFit="1" customWidth="1"/>
    <col min="6" max="6" width="10.28515625" style="449" bestFit="1" customWidth="1"/>
    <col min="7" max="7" width="11.28515625" style="449" bestFit="1" customWidth="1"/>
    <col min="8" max="10" width="12.85546875" style="343" bestFit="1" customWidth="1"/>
    <col min="11" max="11" width="10.28515625" style="343" bestFit="1" customWidth="1"/>
    <col min="12" max="12" width="8.28515625" style="343" bestFit="1" customWidth="1"/>
    <col min="13" max="13" width="7" style="343" bestFit="1" customWidth="1"/>
    <col min="14" max="14" width="6.85546875" style="473"/>
    <col min="15" max="15" width="8.7109375" style="473" hidden="1" customWidth="1"/>
    <col min="16" max="16" width="8.7109375" style="343" hidden="1" customWidth="1"/>
    <col min="17" max="17" width="9.85546875" style="343" hidden="1" customWidth="1"/>
    <col min="18" max="18" width="8.7109375" style="473" hidden="1" customWidth="1"/>
    <col min="19" max="19" width="8.7109375" style="343" hidden="1" customWidth="1"/>
    <col min="20" max="20" width="11.28515625" style="472" bestFit="1" customWidth="1"/>
    <col min="21" max="21" width="12.85546875" style="472" bestFit="1" customWidth="1"/>
    <col min="22" max="22" width="12.85546875" style="343" bestFit="1" customWidth="1"/>
    <col min="23" max="23" width="10.28515625" style="343" bestFit="1" customWidth="1"/>
    <col min="24" max="24" width="6.85546875" style="343"/>
    <col min="25" max="25" width="12.85546875" style="343" bestFit="1" customWidth="1"/>
    <col min="26" max="26" width="9.28515625" style="343" bestFit="1" customWidth="1"/>
    <col min="27" max="27" width="10.28515625" style="343" bestFit="1" customWidth="1"/>
    <col min="28" max="16384" width="6.85546875" style="343"/>
  </cols>
  <sheetData>
    <row r="1" spans="1:26" ht="18" x14ac:dyDescent="0.2">
      <c r="A1" s="329"/>
      <c r="B1" s="363"/>
      <c r="C1" s="364"/>
      <c r="D1" s="517" t="s">
        <v>0</v>
      </c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365"/>
    </row>
    <row r="2" spans="1:26" ht="15.75" customHeight="1" x14ac:dyDescent="0.2">
      <c r="A2" s="329"/>
      <c r="B2" s="366"/>
      <c r="C2" s="366"/>
      <c r="D2" s="518" t="s">
        <v>1</v>
      </c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  <c r="R2" s="518"/>
      <c r="S2" s="518"/>
      <c r="T2" s="518"/>
      <c r="U2" s="518"/>
      <c r="V2" s="365"/>
    </row>
    <row r="3" spans="1:26" ht="13.5" customHeight="1" x14ac:dyDescent="0.2">
      <c r="A3" s="329"/>
      <c r="B3" s="367"/>
      <c r="C3" s="367"/>
      <c r="D3" s="367"/>
      <c r="E3" s="368"/>
      <c r="F3" s="365"/>
      <c r="G3" s="365"/>
      <c r="H3" s="344">
        <v>44197</v>
      </c>
      <c r="I3" s="328"/>
      <c r="J3" s="344">
        <v>44377</v>
      </c>
      <c r="K3" s="367"/>
      <c r="L3" s="367"/>
      <c r="M3" s="367"/>
      <c r="N3" s="369"/>
      <c r="O3" s="369"/>
      <c r="P3" s="367"/>
      <c r="Q3" s="367"/>
      <c r="R3" s="369"/>
      <c r="S3" s="367"/>
      <c r="T3" s="498" t="s">
        <v>1639</v>
      </c>
      <c r="U3" s="499">
        <f>ROUND((+J3-H3)/365*12,0)</f>
        <v>6</v>
      </c>
      <c r="V3" s="371"/>
    </row>
    <row r="4" spans="1:26" ht="3" customHeight="1" x14ac:dyDescent="0.2">
      <c r="A4" s="329"/>
      <c r="B4" s="329"/>
      <c r="C4" s="329"/>
      <c r="D4" s="329"/>
      <c r="E4" s="372"/>
      <c r="F4" s="371"/>
      <c r="G4" s="371"/>
      <c r="H4" s="329"/>
      <c r="I4" s="329"/>
      <c r="J4" s="329"/>
      <c r="K4" s="329"/>
      <c r="L4" s="329"/>
      <c r="M4" s="329"/>
      <c r="N4" s="508"/>
      <c r="O4" s="508"/>
      <c r="P4" s="329"/>
      <c r="Q4" s="329"/>
      <c r="R4" s="508"/>
      <c r="S4" s="329"/>
      <c r="T4" s="499"/>
      <c r="U4" s="499"/>
      <c r="V4" s="329"/>
    </row>
    <row r="5" spans="1:26" ht="15" customHeight="1" x14ac:dyDescent="0.2">
      <c r="A5" s="375"/>
      <c r="B5" s="376"/>
      <c r="C5" s="376"/>
      <c r="D5" s="377" t="s">
        <v>4</v>
      </c>
      <c r="E5" s="378" t="s">
        <v>1641</v>
      </c>
      <c r="F5" s="379"/>
      <c r="G5" s="380"/>
      <c r="H5" s="381" t="s">
        <v>1643</v>
      </c>
      <c r="I5" s="330" t="s">
        <v>1646</v>
      </c>
      <c r="J5" s="382" t="s">
        <v>1647</v>
      </c>
      <c r="K5" s="330" t="s">
        <v>1649</v>
      </c>
      <c r="L5" s="330" t="s">
        <v>1650</v>
      </c>
      <c r="M5" s="330" t="s">
        <v>1634</v>
      </c>
      <c r="N5" s="383" t="s">
        <v>1634</v>
      </c>
      <c r="O5" s="383" t="s">
        <v>1664</v>
      </c>
      <c r="P5" s="330" t="s">
        <v>1665</v>
      </c>
      <c r="Q5" s="330" t="s">
        <v>1666</v>
      </c>
      <c r="R5" s="383" t="s">
        <v>1661</v>
      </c>
      <c r="S5" s="330" t="s">
        <v>1660</v>
      </c>
      <c r="T5" s="500" t="s">
        <v>1662</v>
      </c>
      <c r="U5" s="501" t="s">
        <v>1653</v>
      </c>
      <c r="V5" s="383" t="s">
        <v>2086</v>
      </c>
    </row>
    <row r="6" spans="1:26" ht="15" customHeight="1" x14ac:dyDescent="0.2">
      <c r="A6" s="385" t="s">
        <v>1636</v>
      </c>
      <c r="B6" s="386"/>
      <c r="C6" s="386" t="s">
        <v>12</v>
      </c>
      <c r="D6" s="387" t="s">
        <v>1640</v>
      </c>
      <c r="E6" s="388" t="s">
        <v>1640</v>
      </c>
      <c r="F6" s="389" t="s">
        <v>1642</v>
      </c>
      <c r="G6" s="390" t="s">
        <v>1644</v>
      </c>
      <c r="H6" s="391" t="s">
        <v>1644</v>
      </c>
      <c r="I6" s="331" t="s">
        <v>1645</v>
      </c>
      <c r="J6" s="387"/>
      <c r="K6" s="387"/>
      <c r="L6" s="387"/>
      <c r="M6" s="331" t="s">
        <v>1651</v>
      </c>
      <c r="N6" s="392" t="s">
        <v>1633</v>
      </c>
      <c r="O6" s="392" t="s">
        <v>1634</v>
      </c>
      <c r="P6" s="392" t="s">
        <v>1634</v>
      </c>
      <c r="Q6" s="392" t="s">
        <v>1667</v>
      </c>
      <c r="R6" s="392" t="s">
        <v>1634</v>
      </c>
      <c r="S6" s="392" t="s">
        <v>1634</v>
      </c>
      <c r="T6" s="502" t="s">
        <v>1634</v>
      </c>
      <c r="U6" s="502" t="s">
        <v>1652</v>
      </c>
      <c r="V6" s="392" t="s">
        <v>2087</v>
      </c>
      <c r="W6" s="487" t="s">
        <v>2390</v>
      </c>
      <c r="Z6" s="347" t="s">
        <v>2404</v>
      </c>
    </row>
    <row r="7" spans="1:26" ht="15.75" customHeight="1" x14ac:dyDescent="0.2">
      <c r="A7" s="394" t="s">
        <v>14</v>
      </c>
      <c r="B7" s="395"/>
      <c r="C7" s="395"/>
      <c r="D7" s="396"/>
      <c r="E7" s="397"/>
      <c r="F7" s="332"/>
      <c r="G7" s="398"/>
      <c r="H7" s="332"/>
      <c r="I7" s="332"/>
      <c r="J7" s="332"/>
      <c r="K7" s="332"/>
      <c r="L7" s="332"/>
      <c r="M7" s="396"/>
      <c r="N7" s="399"/>
      <c r="O7" s="399"/>
      <c r="P7" s="396"/>
      <c r="Q7" s="396"/>
      <c r="R7" s="399"/>
      <c r="S7" s="396"/>
      <c r="T7" s="332"/>
      <c r="U7" s="503"/>
      <c r="V7" s="401"/>
      <c r="Z7" s="511" t="s">
        <v>2405</v>
      </c>
    </row>
    <row r="8" spans="1:26" ht="15.75" customHeight="1" x14ac:dyDescent="0.2">
      <c r="A8" s="402" t="s">
        <v>15</v>
      </c>
      <c r="B8" s="403"/>
      <c r="C8" s="404" t="s">
        <v>16</v>
      </c>
      <c r="D8" s="405">
        <v>41878</v>
      </c>
      <c r="E8" s="406"/>
      <c r="F8" s="325"/>
      <c r="G8" s="324"/>
      <c r="H8" s="324">
        <v>1000</v>
      </c>
      <c r="I8" s="325">
        <v>844</v>
      </c>
      <c r="J8" s="325">
        <v>0</v>
      </c>
      <c r="K8" s="325">
        <f t="shared" ref="K8:K71" si="0">INT(IF($E8&gt;0,IF(+F8-I8+Q8&lt;0,0,+F8-I8+Q8),0))</f>
        <v>0</v>
      </c>
      <c r="L8" s="325">
        <f t="shared" ref="L8:L71" si="1">INT(IF($E8&gt;0,IF(K8=0,-F8+I8-Q8,0),0))</f>
        <v>0</v>
      </c>
      <c r="M8" s="407">
        <v>2.5</v>
      </c>
      <c r="N8" s="408" t="s">
        <v>17</v>
      </c>
      <c r="O8" s="325">
        <f>IF(E8&gt;0,INT(IF($N8="D",IF($D8&lt;$H$3,$I8*($M8/100)*((E8-$H$3)/365),$J8*($M8/100)*($J$3-$D8)/365),0)),0)</f>
        <v>0</v>
      </c>
      <c r="P8" s="325">
        <f>IF(E8&gt;0,INT(IF($N8="P",IF($D8&lt;$H$3,$H8*($M8/100)*(E8-$H$3)/365,$J8*($M8/100)*($J$3-$D8)/365),0)),0)</f>
        <v>0</v>
      </c>
      <c r="Q8" s="325">
        <f>+O8+P8</f>
        <v>0</v>
      </c>
      <c r="R8" s="325">
        <f t="shared" ref="R8:R71" si="2">INT(IF($E8&gt;0,0,(IF($N8="D",IF($D8&lt;$H$3,$I8*($M8/100)*$U$3/12,$J8*($M8/100)*($J$3-$D8)/365),0))))</f>
        <v>0</v>
      </c>
      <c r="S8" s="325">
        <f t="shared" ref="S8:S71" si="3">INT(IF($E8&gt;0,0,(IF($N8="P",IF($D8&lt;$H$3,$H8*($M8/100)*$U$3/12,$J8*($M8/100)*($J$3-$D8)/365),0))))</f>
        <v>12</v>
      </c>
      <c r="T8" s="325">
        <f>+R8+S8+Q8</f>
        <v>12</v>
      </c>
      <c r="U8" s="325">
        <f t="shared" ref="U8:U71" si="4">+I8+J8-T8-F8+K8-L8</f>
        <v>832</v>
      </c>
      <c r="V8" s="325">
        <f>IF(E8&gt;0,+H8+J8,0)</f>
        <v>0</v>
      </c>
      <c r="W8" s="449" cm="1">
        <f t="array" ref="W8">+IF(U8&lt;0,error,0)</f>
        <v>0</v>
      </c>
      <c r="Z8" s="511" t="s">
        <v>2406</v>
      </c>
    </row>
    <row r="9" spans="1:26" ht="18" customHeight="1" x14ac:dyDescent="0.2">
      <c r="A9" s="402" t="s">
        <v>18</v>
      </c>
      <c r="B9" s="403"/>
      <c r="C9" s="410" t="s">
        <v>19</v>
      </c>
      <c r="D9" s="405">
        <v>41831</v>
      </c>
      <c r="E9" s="406"/>
      <c r="F9" s="325"/>
      <c r="G9" s="324"/>
      <c r="H9" s="324">
        <v>2660</v>
      </c>
      <c r="I9" s="325">
        <v>2229</v>
      </c>
      <c r="J9" s="325">
        <v>0</v>
      </c>
      <c r="K9" s="325">
        <f t="shared" si="0"/>
        <v>0</v>
      </c>
      <c r="L9" s="325">
        <f t="shared" si="1"/>
        <v>0</v>
      </c>
      <c r="M9" s="407">
        <v>2.5</v>
      </c>
      <c r="N9" s="408" t="s">
        <v>17</v>
      </c>
      <c r="O9" s="325">
        <f t="shared" ref="O9:O72" si="5">IF(E9&gt;0,INT(IF($N9="D",IF($D9&lt;$H$3,$I9*($M9/100)*((E9-$H$3)/365),$J9*($M9/100)*($J$3-$D9)/365),0)),0)</f>
        <v>0</v>
      </c>
      <c r="P9" s="325">
        <f t="shared" ref="P9:P72" si="6">IF(E9&gt;0,INT(IF($N9="P",IF($D9&lt;$H$3,$H9*($M9/100)*(E9-$H$3)/365,$J9*($M9/100)*($J$3-$D9)/365),0)),0)</f>
        <v>0</v>
      </c>
      <c r="Q9" s="325">
        <f t="shared" ref="Q9:Q72" si="7">+O9+P9</f>
        <v>0</v>
      </c>
      <c r="R9" s="325">
        <f t="shared" si="2"/>
        <v>0</v>
      </c>
      <c r="S9" s="325">
        <f t="shared" si="3"/>
        <v>33</v>
      </c>
      <c r="T9" s="325">
        <f t="shared" ref="T9:T72" si="8">+R9+S9+Q9</f>
        <v>33</v>
      </c>
      <c r="U9" s="325">
        <f t="shared" si="4"/>
        <v>2196</v>
      </c>
      <c r="V9" s="325">
        <f t="shared" ref="V9:V72" si="9">IF(E9&gt;0,+H9+J9,0)</f>
        <v>0</v>
      </c>
      <c r="W9" s="449" cm="1">
        <f t="array" ref="W9">+IF(U9&lt;0,error,0)</f>
        <v>0</v>
      </c>
      <c r="Z9" s="511" t="s">
        <v>2407</v>
      </c>
    </row>
    <row r="10" spans="1:26" ht="18" customHeight="1" x14ac:dyDescent="0.2">
      <c r="A10" s="402" t="s">
        <v>20</v>
      </c>
      <c r="B10" s="403"/>
      <c r="C10" s="410" t="s">
        <v>21</v>
      </c>
      <c r="D10" s="405">
        <v>41850</v>
      </c>
      <c r="E10" s="406"/>
      <c r="F10" s="325"/>
      <c r="G10" s="324"/>
      <c r="H10" s="324">
        <v>2584</v>
      </c>
      <c r="I10" s="325">
        <v>2170</v>
      </c>
      <c r="J10" s="325">
        <v>0</v>
      </c>
      <c r="K10" s="325">
        <f t="shared" si="0"/>
        <v>0</v>
      </c>
      <c r="L10" s="325">
        <f t="shared" si="1"/>
        <v>0</v>
      </c>
      <c r="M10" s="407">
        <v>2.5</v>
      </c>
      <c r="N10" s="408" t="s">
        <v>17</v>
      </c>
      <c r="O10" s="325">
        <f t="shared" si="5"/>
        <v>0</v>
      </c>
      <c r="P10" s="325">
        <f t="shared" si="6"/>
        <v>0</v>
      </c>
      <c r="Q10" s="325">
        <f t="shared" si="7"/>
        <v>0</v>
      </c>
      <c r="R10" s="325">
        <f t="shared" si="2"/>
        <v>0</v>
      </c>
      <c r="S10" s="325">
        <f t="shared" si="3"/>
        <v>32</v>
      </c>
      <c r="T10" s="325">
        <f t="shared" si="8"/>
        <v>32</v>
      </c>
      <c r="U10" s="325">
        <f t="shared" si="4"/>
        <v>2138</v>
      </c>
      <c r="V10" s="325">
        <f t="shared" si="9"/>
        <v>0</v>
      </c>
      <c r="W10" s="449" cm="1">
        <f t="array" ref="W10">+IF(U10&lt;0,error,0)</f>
        <v>0</v>
      </c>
      <c r="Z10" s="511" t="s">
        <v>2408</v>
      </c>
    </row>
    <row r="11" spans="1:26" ht="18" customHeight="1" x14ac:dyDescent="0.2">
      <c r="A11" s="402" t="s">
        <v>22</v>
      </c>
      <c r="B11" s="403"/>
      <c r="C11" s="410" t="s">
        <v>23</v>
      </c>
      <c r="D11" s="405">
        <v>42033</v>
      </c>
      <c r="E11" s="406"/>
      <c r="F11" s="325"/>
      <c r="G11" s="324"/>
      <c r="H11" s="324">
        <v>3332</v>
      </c>
      <c r="I11" s="325">
        <v>2841</v>
      </c>
      <c r="J11" s="325">
        <v>0</v>
      </c>
      <c r="K11" s="325">
        <f t="shared" si="0"/>
        <v>0</v>
      </c>
      <c r="L11" s="325">
        <f t="shared" si="1"/>
        <v>0</v>
      </c>
      <c r="M11" s="407">
        <v>2.5</v>
      </c>
      <c r="N11" s="408" t="s">
        <v>17</v>
      </c>
      <c r="O11" s="325">
        <f t="shared" si="5"/>
        <v>0</v>
      </c>
      <c r="P11" s="325">
        <f t="shared" si="6"/>
        <v>0</v>
      </c>
      <c r="Q11" s="325">
        <f t="shared" si="7"/>
        <v>0</v>
      </c>
      <c r="R11" s="325">
        <f t="shared" si="2"/>
        <v>0</v>
      </c>
      <c r="S11" s="325">
        <f t="shared" si="3"/>
        <v>41</v>
      </c>
      <c r="T11" s="325">
        <f t="shared" si="8"/>
        <v>41</v>
      </c>
      <c r="U11" s="325">
        <f t="shared" si="4"/>
        <v>2800</v>
      </c>
      <c r="V11" s="325">
        <f t="shared" si="9"/>
        <v>0</v>
      </c>
      <c r="W11" s="449" cm="1">
        <f t="array" ref="W11">+IF(U11&lt;0,error,0)</f>
        <v>0</v>
      </c>
      <c r="Z11" s="511" t="s">
        <v>2409</v>
      </c>
    </row>
    <row r="12" spans="1:26" ht="18" customHeight="1" x14ac:dyDescent="0.2">
      <c r="A12" s="402" t="s">
        <v>24</v>
      </c>
      <c r="B12" s="403"/>
      <c r="C12" s="410" t="s">
        <v>25</v>
      </c>
      <c r="D12" s="405">
        <v>42067</v>
      </c>
      <c r="E12" s="406"/>
      <c r="F12" s="325"/>
      <c r="G12" s="324"/>
      <c r="H12" s="324">
        <v>3036</v>
      </c>
      <c r="I12" s="325">
        <v>2596</v>
      </c>
      <c r="J12" s="325">
        <v>0</v>
      </c>
      <c r="K12" s="325">
        <f t="shared" si="0"/>
        <v>0</v>
      </c>
      <c r="L12" s="325">
        <f t="shared" si="1"/>
        <v>0</v>
      </c>
      <c r="M12" s="407">
        <v>2.5</v>
      </c>
      <c r="N12" s="408" t="s">
        <v>17</v>
      </c>
      <c r="O12" s="325">
        <f t="shared" si="5"/>
        <v>0</v>
      </c>
      <c r="P12" s="325">
        <f t="shared" si="6"/>
        <v>0</v>
      </c>
      <c r="Q12" s="325">
        <f t="shared" si="7"/>
        <v>0</v>
      </c>
      <c r="R12" s="325">
        <f t="shared" si="2"/>
        <v>0</v>
      </c>
      <c r="S12" s="325">
        <f t="shared" si="3"/>
        <v>37</v>
      </c>
      <c r="T12" s="325">
        <f t="shared" si="8"/>
        <v>37</v>
      </c>
      <c r="U12" s="325">
        <f t="shared" si="4"/>
        <v>2559</v>
      </c>
      <c r="V12" s="325">
        <f t="shared" si="9"/>
        <v>0</v>
      </c>
      <c r="W12" s="449" cm="1">
        <f t="array" ref="W12">+IF(U12&lt;0,error,0)</f>
        <v>0</v>
      </c>
      <c r="Z12" s="511" t="s">
        <v>2410</v>
      </c>
    </row>
    <row r="13" spans="1:26" ht="18" customHeight="1" x14ac:dyDescent="0.2">
      <c r="A13" s="402" t="s">
        <v>26</v>
      </c>
      <c r="B13" s="403"/>
      <c r="C13" s="411" t="s">
        <v>27</v>
      </c>
      <c r="D13" s="405">
        <v>42475</v>
      </c>
      <c r="E13" s="406"/>
      <c r="F13" s="325"/>
      <c r="G13" s="324"/>
      <c r="H13" s="324">
        <v>67371.570000000007</v>
      </c>
      <c r="I13" s="325">
        <v>59434.57</v>
      </c>
      <c r="J13" s="325">
        <v>0</v>
      </c>
      <c r="K13" s="325">
        <f t="shared" si="0"/>
        <v>0</v>
      </c>
      <c r="L13" s="325">
        <f t="shared" si="1"/>
        <v>0</v>
      </c>
      <c r="M13" s="407">
        <v>2.5</v>
      </c>
      <c r="N13" s="408" t="s">
        <v>17</v>
      </c>
      <c r="O13" s="325">
        <f t="shared" si="5"/>
        <v>0</v>
      </c>
      <c r="P13" s="325">
        <f t="shared" si="6"/>
        <v>0</v>
      </c>
      <c r="Q13" s="325">
        <f t="shared" si="7"/>
        <v>0</v>
      </c>
      <c r="R13" s="325">
        <f t="shared" si="2"/>
        <v>0</v>
      </c>
      <c r="S13" s="325">
        <f t="shared" si="3"/>
        <v>842</v>
      </c>
      <c r="T13" s="325">
        <f t="shared" si="8"/>
        <v>842</v>
      </c>
      <c r="U13" s="325">
        <f t="shared" si="4"/>
        <v>58592.57</v>
      </c>
      <c r="V13" s="325">
        <f t="shared" si="9"/>
        <v>0</v>
      </c>
      <c r="W13" s="449" cm="1">
        <f t="array" ref="W13">+IF(U13&lt;0,error,0)</f>
        <v>0</v>
      </c>
      <c r="Z13" s="511" t="s">
        <v>2411</v>
      </c>
    </row>
    <row r="14" spans="1:26" ht="18" customHeight="1" x14ac:dyDescent="0.2">
      <c r="A14" s="402" t="s">
        <v>28</v>
      </c>
      <c r="B14" s="403"/>
      <c r="C14" s="404" t="s">
        <v>29</v>
      </c>
      <c r="D14" s="405">
        <v>42429</v>
      </c>
      <c r="E14" s="406"/>
      <c r="F14" s="325"/>
      <c r="G14" s="324"/>
      <c r="H14" s="324">
        <v>4933.6400000000003</v>
      </c>
      <c r="I14" s="325">
        <v>4339.6400000000003</v>
      </c>
      <c r="J14" s="325">
        <v>0</v>
      </c>
      <c r="K14" s="325">
        <f t="shared" si="0"/>
        <v>0</v>
      </c>
      <c r="L14" s="325">
        <f t="shared" si="1"/>
        <v>0</v>
      </c>
      <c r="M14" s="407">
        <v>2.5</v>
      </c>
      <c r="N14" s="408" t="s">
        <v>17</v>
      </c>
      <c r="O14" s="325">
        <f t="shared" si="5"/>
        <v>0</v>
      </c>
      <c r="P14" s="325">
        <f t="shared" si="6"/>
        <v>0</v>
      </c>
      <c r="Q14" s="325">
        <f t="shared" si="7"/>
        <v>0</v>
      </c>
      <c r="R14" s="325">
        <f t="shared" si="2"/>
        <v>0</v>
      </c>
      <c r="S14" s="325">
        <f t="shared" si="3"/>
        <v>61</v>
      </c>
      <c r="T14" s="325">
        <f t="shared" si="8"/>
        <v>61</v>
      </c>
      <c r="U14" s="325">
        <f t="shared" si="4"/>
        <v>4278.6400000000003</v>
      </c>
      <c r="V14" s="325">
        <f t="shared" si="9"/>
        <v>0</v>
      </c>
      <c r="W14" s="449" cm="1">
        <f t="array" ref="W14">+IF(U14&lt;0,error,0)</f>
        <v>0</v>
      </c>
    </row>
    <row r="15" spans="1:26" ht="18" customHeight="1" x14ac:dyDescent="0.2">
      <c r="A15" s="402" t="s">
        <v>30</v>
      </c>
      <c r="B15" s="403"/>
      <c r="C15" s="404" t="s">
        <v>31</v>
      </c>
      <c r="D15" s="405">
        <v>42551</v>
      </c>
      <c r="E15" s="406"/>
      <c r="F15" s="325"/>
      <c r="G15" s="324"/>
      <c r="H15" s="324">
        <v>96714.930000000008</v>
      </c>
      <c r="I15" s="325">
        <v>85823.930000000008</v>
      </c>
      <c r="J15" s="325">
        <v>0</v>
      </c>
      <c r="K15" s="325">
        <f t="shared" si="0"/>
        <v>0</v>
      </c>
      <c r="L15" s="325">
        <f t="shared" si="1"/>
        <v>0</v>
      </c>
      <c r="M15" s="407">
        <v>2.5</v>
      </c>
      <c r="N15" s="408" t="s">
        <v>17</v>
      </c>
      <c r="O15" s="325">
        <f t="shared" si="5"/>
        <v>0</v>
      </c>
      <c r="P15" s="325">
        <f t="shared" si="6"/>
        <v>0</v>
      </c>
      <c r="Q15" s="325">
        <f t="shared" si="7"/>
        <v>0</v>
      </c>
      <c r="R15" s="325">
        <f t="shared" si="2"/>
        <v>0</v>
      </c>
      <c r="S15" s="325">
        <f t="shared" si="3"/>
        <v>1208</v>
      </c>
      <c r="T15" s="325">
        <f t="shared" si="8"/>
        <v>1208</v>
      </c>
      <c r="U15" s="325">
        <f t="shared" si="4"/>
        <v>84615.930000000008</v>
      </c>
      <c r="V15" s="325">
        <f t="shared" si="9"/>
        <v>0</v>
      </c>
      <c r="W15" s="449" cm="1">
        <f t="array" ref="W15">+IF(U15&lt;0,error,0)</f>
        <v>0</v>
      </c>
    </row>
    <row r="16" spans="1:26" ht="18" customHeight="1" x14ac:dyDescent="0.2">
      <c r="A16" s="402" t="s">
        <v>32</v>
      </c>
      <c r="B16" s="403"/>
      <c r="C16" s="410" t="s">
        <v>33</v>
      </c>
      <c r="D16" s="405">
        <v>42377</v>
      </c>
      <c r="E16" s="406"/>
      <c r="F16" s="325"/>
      <c r="G16" s="324"/>
      <c r="H16" s="324">
        <v>2975</v>
      </c>
      <c r="I16" s="325">
        <v>2606</v>
      </c>
      <c r="J16" s="325">
        <v>0</v>
      </c>
      <c r="K16" s="325">
        <f t="shared" si="0"/>
        <v>0</v>
      </c>
      <c r="L16" s="325">
        <f t="shared" si="1"/>
        <v>0</v>
      </c>
      <c r="M16" s="407">
        <v>2.5</v>
      </c>
      <c r="N16" s="408" t="s">
        <v>17</v>
      </c>
      <c r="O16" s="325">
        <f t="shared" si="5"/>
        <v>0</v>
      </c>
      <c r="P16" s="325">
        <f t="shared" si="6"/>
        <v>0</v>
      </c>
      <c r="Q16" s="325">
        <f t="shared" si="7"/>
        <v>0</v>
      </c>
      <c r="R16" s="325">
        <f t="shared" si="2"/>
        <v>0</v>
      </c>
      <c r="S16" s="325">
        <f t="shared" si="3"/>
        <v>37</v>
      </c>
      <c r="T16" s="325">
        <f t="shared" si="8"/>
        <v>37</v>
      </c>
      <c r="U16" s="325">
        <f t="shared" si="4"/>
        <v>2569</v>
      </c>
      <c r="V16" s="325">
        <f t="shared" si="9"/>
        <v>0</v>
      </c>
      <c r="W16" s="449" cm="1">
        <f t="array" ref="W16">+IF(U16&lt;0,error,0)</f>
        <v>0</v>
      </c>
    </row>
    <row r="17" spans="1:23" ht="18" customHeight="1" x14ac:dyDescent="0.2">
      <c r="A17" s="402" t="s">
        <v>34</v>
      </c>
      <c r="B17" s="403"/>
      <c r="C17" s="411" t="s">
        <v>35</v>
      </c>
      <c r="D17" s="405">
        <v>42385</v>
      </c>
      <c r="E17" s="406"/>
      <c r="F17" s="325"/>
      <c r="G17" s="324"/>
      <c r="H17" s="324">
        <v>51063.4</v>
      </c>
      <c r="I17" s="325">
        <v>44732.4</v>
      </c>
      <c r="J17" s="325">
        <v>0</v>
      </c>
      <c r="K17" s="325">
        <f t="shared" si="0"/>
        <v>0</v>
      </c>
      <c r="L17" s="325">
        <f t="shared" si="1"/>
        <v>0</v>
      </c>
      <c r="M17" s="407">
        <v>2.5</v>
      </c>
      <c r="N17" s="408" t="s">
        <v>17</v>
      </c>
      <c r="O17" s="325">
        <f t="shared" si="5"/>
        <v>0</v>
      </c>
      <c r="P17" s="325">
        <f t="shared" si="6"/>
        <v>0</v>
      </c>
      <c r="Q17" s="325">
        <f t="shared" si="7"/>
        <v>0</v>
      </c>
      <c r="R17" s="325">
        <f t="shared" si="2"/>
        <v>0</v>
      </c>
      <c r="S17" s="325">
        <f t="shared" si="3"/>
        <v>638</v>
      </c>
      <c r="T17" s="325">
        <f t="shared" si="8"/>
        <v>638</v>
      </c>
      <c r="U17" s="325">
        <f t="shared" si="4"/>
        <v>44094.400000000001</v>
      </c>
      <c r="V17" s="325">
        <f t="shared" si="9"/>
        <v>0</v>
      </c>
      <c r="W17" s="449" cm="1">
        <f t="array" ref="W17">+IF(U17&lt;0,error,0)</f>
        <v>0</v>
      </c>
    </row>
    <row r="18" spans="1:23" ht="18" customHeight="1" x14ac:dyDescent="0.2">
      <c r="A18" s="402" t="s">
        <v>36</v>
      </c>
      <c r="B18" s="403"/>
      <c r="C18" s="410" t="s">
        <v>37</v>
      </c>
      <c r="D18" s="405">
        <v>42428</v>
      </c>
      <c r="E18" s="406"/>
      <c r="F18" s="325"/>
      <c r="G18" s="324"/>
      <c r="H18" s="324">
        <v>25219.350000000002</v>
      </c>
      <c r="I18" s="325">
        <v>22169.350000000002</v>
      </c>
      <c r="J18" s="325">
        <v>0</v>
      </c>
      <c r="K18" s="325">
        <f t="shared" si="0"/>
        <v>0</v>
      </c>
      <c r="L18" s="325">
        <f t="shared" si="1"/>
        <v>0</v>
      </c>
      <c r="M18" s="407">
        <v>2.5</v>
      </c>
      <c r="N18" s="408" t="s">
        <v>17</v>
      </c>
      <c r="O18" s="325">
        <f t="shared" si="5"/>
        <v>0</v>
      </c>
      <c r="P18" s="325">
        <f t="shared" si="6"/>
        <v>0</v>
      </c>
      <c r="Q18" s="325">
        <f t="shared" si="7"/>
        <v>0</v>
      </c>
      <c r="R18" s="325">
        <f t="shared" si="2"/>
        <v>0</v>
      </c>
      <c r="S18" s="325">
        <f t="shared" si="3"/>
        <v>315</v>
      </c>
      <c r="T18" s="325">
        <f t="shared" si="8"/>
        <v>315</v>
      </c>
      <c r="U18" s="325">
        <f t="shared" si="4"/>
        <v>21854.350000000002</v>
      </c>
      <c r="V18" s="325">
        <f t="shared" si="9"/>
        <v>0</v>
      </c>
      <c r="W18" s="449" cm="1">
        <f t="array" ref="W18">+IF(U18&lt;0,error,0)</f>
        <v>0</v>
      </c>
    </row>
    <row r="19" spans="1:23" ht="18" customHeight="1" x14ac:dyDescent="0.2">
      <c r="A19" s="402" t="s">
        <v>38</v>
      </c>
      <c r="B19" s="403"/>
      <c r="C19" s="410" t="s">
        <v>39</v>
      </c>
      <c r="D19" s="405">
        <v>42428</v>
      </c>
      <c r="E19" s="406"/>
      <c r="F19" s="325"/>
      <c r="G19" s="324"/>
      <c r="H19" s="324">
        <v>499182.86</v>
      </c>
      <c r="I19" s="325">
        <v>438755.86</v>
      </c>
      <c r="J19" s="325">
        <v>0</v>
      </c>
      <c r="K19" s="325">
        <f t="shared" si="0"/>
        <v>0</v>
      </c>
      <c r="L19" s="325">
        <f t="shared" si="1"/>
        <v>0</v>
      </c>
      <c r="M19" s="407">
        <v>2.5</v>
      </c>
      <c r="N19" s="408" t="s">
        <v>17</v>
      </c>
      <c r="O19" s="325">
        <f t="shared" si="5"/>
        <v>0</v>
      </c>
      <c r="P19" s="325">
        <f t="shared" si="6"/>
        <v>0</v>
      </c>
      <c r="Q19" s="325">
        <f t="shared" si="7"/>
        <v>0</v>
      </c>
      <c r="R19" s="325">
        <f t="shared" si="2"/>
        <v>0</v>
      </c>
      <c r="S19" s="325">
        <f t="shared" si="3"/>
        <v>6239</v>
      </c>
      <c r="T19" s="325">
        <f t="shared" si="8"/>
        <v>6239</v>
      </c>
      <c r="U19" s="325">
        <f t="shared" si="4"/>
        <v>432516.86</v>
      </c>
      <c r="V19" s="325">
        <f t="shared" si="9"/>
        <v>0</v>
      </c>
      <c r="W19" s="449" cm="1">
        <f t="array" ref="W19">+IF(U19&lt;0,error,0)</f>
        <v>0</v>
      </c>
    </row>
    <row r="20" spans="1:23" ht="18" customHeight="1" x14ac:dyDescent="0.2">
      <c r="A20" s="402" t="s">
        <v>40</v>
      </c>
      <c r="B20" s="403"/>
      <c r="C20" s="412" t="s">
        <v>41</v>
      </c>
      <c r="D20" s="405">
        <v>42274</v>
      </c>
      <c r="E20" s="406"/>
      <c r="F20" s="325"/>
      <c r="G20" s="324"/>
      <c r="H20" s="324">
        <v>76772.05</v>
      </c>
      <c r="I20" s="325">
        <v>66671.05</v>
      </c>
      <c r="J20" s="325">
        <v>0</v>
      </c>
      <c r="K20" s="325">
        <f t="shared" si="0"/>
        <v>0</v>
      </c>
      <c r="L20" s="325">
        <f t="shared" si="1"/>
        <v>0</v>
      </c>
      <c r="M20" s="407">
        <v>2.5</v>
      </c>
      <c r="N20" s="408" t="s">
        <v>17</v>
      </c>
      <c r="O20" s="325">
        <f t="shared" si="5"/>
        <v>0</v>
      </c>
      <c r="P20" s="325">
        <f t="shared" si="6"/>
        <v>0</v>
      </c>
      <c r="Q20" s="325">
        <f t="shared" si="7"/>
        <v>0</v>
      </c>
      <c r="R20" s="325">
        <f t="shared" si="2"/>
        <v>0</v>
      </c>
      <c r="S20" s="325">
        <f t="shared" si="3"/>
        <v>959</v>
      </c>
      <c r="T20" s="325">
        <f t="shared" si="8"/>
        <v>959</v>
      </c>
      <c r="U20" s="325">
        <f t="shared" si="4"/>
        <v>65712.05</v>
      </c>
      <c r="V20" s="325">
        <f t="shared" si="9"/>
        <v>0</v>
      </c>
      <c r="W20" s="449" cm="1">
        <f t="array" ref="W20">+IF(U20&lt;0,error,0)</f>
        <v>0</v>
      </c>
    </row>
    <row r="21" spans="1:23" ht="18" customHeight="1" x14ac:dyDescent="0.2">
      <c r="A21" s="402" t="s">
        <v>42</v>
      </c>
      <c r="B21" s="403"/>
      <c r="C21" s="411" t="s">
        <v>43</v>
      </c>
      <c r="D21" s="405">
        <v>42415</v>
      </c>
      <c r="E21" s="406"/>
      <c r="F21" s="325"/>
      <c r="G21" s="324"/>
      <c r="H21" s="324">
        <v>3300</v>
      </c>
      <c r="I21" s="325">
        <v>2897</v>
      </c>
      <c r="J21" s="325">
        <v>0</v>
      </c>
      <c r="K21" s="325">
        <f t="shared" si="0"/>
        <v>0</v>
      </c>
      <c r="L21" s="325">
        <f t="shared" si="1"/>
        <v>0</v>
      </c>
      <c r="M21" s="407">
        <v>2.5</v>
      </c>
      <c r="N21" s="408" t="s">
        <v>17</v>
      </c>
      <c r="O21" s="325">
        <f t="shared" si="5"/>
        <v>0</v>
      </c>
      <c r="P21" s="325">
        <f t="shared" si="6"/>
        <v>0</v>
      </c>
      <c r="Q21" s="325">
        <f t="shared" si="7"/>
        <v>0</v>
      </c>
      <c r="R21" s="325">
        <f t="shared" si="2"/>
        <v>0</v>
      </c>
      <c r="S21" s="325">
        <f t="shared" si="3"/>
        <v>41</v>
      </c>
      <c r="T21" s="325">
        <f t="shared" si="8"/>
        <v>41</v>
      </c>
      <c r="U21" s="325">
        <f t="shared" si="4"/>
        <v>2856</v>
      </c>
      <c r="V21" s="325">
        <f t="shared" si="9"/>
        <v>0</v>
      </c>
      <c r="W21" s="449" cm="1">
        <f t="array" ref="W21">+IF(U21&lt;0,error,0)</f>
        <v>0</v>
      </c>
    </row>
    <row r="22" spans="1:23" ht="18" customHeight="1" x14ac:dyDescent="0.2">
      <c r="A22" s="402" t="s">
        <v>44</v>
      </c>
      <c r="B22" s="403"/>
      <c r="C22" s="412" t="s">
        <v>45</v>
      </c>
      <c r="D22" s="405">
        <v>42319</v>
      </c>
      <c r="E22" s="406"/>
      <c r="F22" s="325"/>
      <c r="G22" s="324"/>
      <c r="H22" s="324">
        <v>80345.240000000005</v>
      </c>
      <c r="I22" s="325">
        <v>70020.240000000005</v>
      </c>
      <c r="J22" s="325">
        <v>0</v>
      </c>
      <c r="K22" s="325">
        <f t="shared" si="0"/>
        <v>0</v>
      </c>
      <c r="L22" s="325">
        <f t="shared" si="1"/>
        <v>0</v>
      </c>
      <c r="M22" s="407">
        <v>2.5</v>
      </c>
      <c r="N22" s="408" t="s">
        <v>17</v>
      </c>
      <c r="O22" s="325">
        <f t="shared" si="5"/>
        <v>0</v>
      </c>
      <c r="P22" s="325">
        <f t="shared" si="6"/>
        <v>0</v>
      </c>
      <c r="Q22" s="325">
        <f t="shared" si="7"/>
        <v>0</v>
      </c>
      <c r="R22" s="325">
        <f t="shared" si="2"/>
        <v>0</v>
      </c>
      <c r="S22" s="325">
        <f t="shared" si="3"/>
        <v>1004</v>
      </c>
      <c r="T22" s="325">
        <f t="shared" si="8"/>
        <v>1004</v>
      </c>
      <c r="U22" s="325">
        <f t="shared" si="4"/>
        <v>69016.240000000005</v>
      </c>
      <c r="V22" s="325">
        <f t="shared" si="9"/>
        <v>0</v>
      </c>
      <c r="W22" s="449" cm="1">
        <f t="array" ref="W22">+IF(U22&lt;0,error,0)</f>
        <v>0</v>
      </c>
    </row>
    <row r="23" spans="1:23" ht="18" customHeight="1" x14ac:dyDescent="0.2">
      <c r="A23" s="402" t="s">
        <v>46</v>
      </c>
      <c r="B23" s="403"/>
      <c r="C23" s="411" t="s">
        <v>47</v>
      </c>
      <c r="D23" s="405">
        <v>42556</v>
      </c>
      <c r="E23" s="406"/>
      <c r="F23" s="325"/>
      <c r="G23" s="324"/>
      <c r="H23" s="324">
        <v>876.25</v>
      </c>
      <c r="I23" s="325">
        <v>781.25</v>
      </c>
      <c r="J23" s="325">
        <v>0</v>
      </c>
      <c r="K23" s="325">
        <f t="shared" si="0"/>
        <v>0</v>
      </c>
      <c r="L23" s="325">
        <f t="shared" si="1"/>
        <v>0</v>
      </c>
      <c r="M23" s="407">
        <v>2.5</v>
      </c>
      <c r="N23" s="408" t="s">
        <v>17</v>
      </c>
      <c r="O23" s="325">
        <f t="shared" si="5"/>
        <v>0</v>
      </c>
      <c r="P23" s="325">
        <f t="shared" si="6"/>
        <v>0</v>
      </c>
      <c r="Q23" s="325">
        <f t="shared" si="7"/>
        <v>0</v>
      </c>
      <c r="R23" s="325">
        <f t="shared" si="2"/>
        <v>0</v>
      </c>
      <c r="S23" s="325">
        <f t="shared" si="3"/>
        <v>10</v>
      </c>
      <c r="T23" s="325">
        <f t="shared" si="8"/>
        <v>10</v>
      </c>
      <c r="U23" s="325">
        <f t="shared" si="4"/>
        <v>771.25</v>
      </c>
      <c r="V23" s="325">
        <f t="shared" si="9"/>
        <v>0</v>
      </c>
      <c r="W23" s="449" cm="1">
        <f t="array" ref="W23">+IF(U23&lt;0,error,0)</f>
        <v>0</v>
      </c>
    </row>
    <row r="24" spans="1:23" ht="18" customHeight="1" x14ac:dyDescent="0.2">
      <c r="A24" s="402" t="s">
        <v>48</v>
      </c>
      <c r="B24" s="403"/>
      <c r="C24" s="404" t="s">
        <v>49</v>
      </c>
      <c r="D24" s="405">
        <v>42704</v>
      </c>
      <c r="E24" s="406"/>
      <c r="F24" s="325"/>
      <c r="G24" s="324"/>
      <c r="H24" s="324">
        <v>1950</v>
      </c>
      <c r="I24" s="325">
        <v>1753</v>
      </c>
      <c r="J24" s="325">
        <v>0</v>
      </c>
      <c r="K24" s="325">
        <f t="shared" si="0"/>
        <v>0</v>
      </c>
      <c r="L24" s="325">
        <f t="shared" si="1"/>
        <v>0</v>
      </c>
      <c r="M24" s="407">
        <v>2.5</v>
      </c>
      <c r="N24" s="408" t="s">
        <v>17</v>
      </c>
      <c r="O24" s="325">
        <f t="shared" si="5"/>
        <v>0</v>
      </c>
      <c r="P24" s="325">
        <f t="shared" si="6"/>
        <v>0</v>
      </c>
      <c r="Q24" s="325">
        <f t="shared" si="7"/>
        <v>0</v>
      </c>
      <c r="R24" s="325">
        <f t="shared" si="2"/>
        <v>0</v>
      </c>
      <c r="S24" s="325">
        <f t="shared" si="3"/>
        <v>24</v>
      </c>
      <c r="T24" s="325">
        <f t="shared" si="8"/>
        <v>24</v>
      </c>
      <c r="U24" s="325">
        <f t="shared" si="4"/>
        <v>1729</v>
      </c>
      <c r="V24" s="325">
        <f t="shared" si="9"/>
        <v>0</v>
      </c>
      <c r="W24" s="449" cm="1">
        <f t="array" ref="W24">+IF(U24&lt;0,error,0)</f>
        <v>0</v>
      </c>
    </row>
    <row r="25" spans="1:23" ht="18" customHeight="1" x14ac:dyDescent="0.2">
      <c r="A25" s="402" t="s">
        <v>50</v>
      </c>
      <c r="B25" s="403"/>
      <c r="C25" s="404" t="s">
        <v>51</v>
      </c>
      <c r="D25" s="405">
        <v>42821</v>
      </c>
      <c r="E25" s="406"/>
      <c r="F25" s="325"/>
      <c r="G25" s="324"/>
      <c r="H25" s="324">
        <v>62109</v>
      </c>
      <c r="I25" s="325">
        <v>56264</v>
      </c>
      <c r="J25" s="325">
        <v>0</v>
      </c>
      <c r="K25" s="325">
        <f t="shared" si="0"/>
        <v>0</v>
      </c>
      <c r="L25" s="325">
        <f t="shared" si="1"/>
        <v>0</v>
      </c>
      <c r="M25" s="407">
        <v>2.5</v>
      </c>
      <c r="N25" s="408" t="s">
        <v>17</v>
      </c>
      <c r="O25" s="325">
        <f t="shared" si="5"/>
        <v>0</v>
      </c>
      <c r="P25" s="325">
        <f t="shared" si="6"/>
        <v>0</v>
      </c>
      <c r="Q25" s="325">
        <f t="shared" si="7"/>
        <v>0</v>
      </c>
      <c r="R25" s="325">
        <f t="shared" si="2"/>
        <v>0</v>
      </c>
      <c r="S25" s="325">
        <f t="shared" si="3"/>
        <v>776</v>
      </c>
      <c r="T25" s="325">
        <f t="shared" si="8"/>
        <v>776</v>
      </c>
      <c r="U25" s="325">
        <f t="shared" si="4"/>
        <v>55488</v>
      </c>
      <c r="V25" s="325">
        <f t="shared" si="9"/>
        <v>0</v>
      </c>
      <c r="W25" s="449" cm="1">
        <f t="array" ref="W25">+IF(U25&lt;0,error,0)</f>
        <v>0</v>
      </c>
    </row>
    <row r="26" spans="1:23" ht="18" customHeight="1" x14ac:dyDescent="0.2">
      <c r="A26" s="402" t="s">
        <v>52</v>
      </c>
      <c r="B26" s="403"/>
      <c r="C26" s="404" t="s">
        <v>53</v>
      </c>
      <c r="D26" s="405">
        <v>42916</v>
      </c>
      <c r="E26" s="406"/>
      <c r="F26" s="325"/>
      <c r="G26" s="324"/>
      <c r="H26" s="324">
        <v>69675.72</v>
      </c>
      <c r="I26" s="325">
        <v>63572.72</v>
      </c>
      <c r="J26" s="325">
        <v>0</v>
      </c>
      <c r="K26" s="325">
        <f t="shared" si="0"/>
        <v>0</v>
      </c>
      <c r="L26" s="325">
        <f t="shared" si="1"/>
        <v>0</v>
      </c>
      <c r="M26" s="407">
        <v>2.5</v>
      </c>
      <c r="N26" s="408" t="s">
        <v>17</v>
      </c>
      <c r="O26" s="325">
        <f t="shared" si="5"/>
        <v>0</v>
      </c>
      <c r="P26" s="325">
        <f t="shared" si="6"/>
        <v>0</v>
      </c>
      <c r="Q26" s="325">
        <f t="shared" si="7"/>
        <v>0</v>
      </c>
      <c r="R26" s="325">
        <f t="shared" si="2"/>
        <v>0</v>
      </c>
      <c r="S26" s="325">
        <f t="shared" si="3"/>
        <v>870</v>
      </c>
      <c r="T26" s="325">
        <f t="shared" si="8"/>
        <v>870</v>
      </c>
      <c r="U26" s="325">
        <f t="shared" si="4"/>
        <v>62702.720000000001</v>
      </c>
      <c r="V26" s="325">
        <f t="shared" si="9"/>
        <v>0</v>
      </c>
      <c r="W26" s="449" cm="1">
        <f t="array" ref="W26">+IF(U26&lt;0,error,0)</f>
        <v>0</v>
      </c>
    </row>
    <row r="27" spans="1:23" ht="18" customHeight="1" x14ac:dyDescent="0.2">
      <c r="A27" s="402" t="s">
        <v>54</v>
      </c>
      <c r="B27" s="403"/>
      <c r="C27" s="404" t="s">
        <v>55</v>
      </c>
      <c r="D27" s="405">
        <v>42664</v>
      </c>
      <c r="E27" s="406"/>
      <c r="F27" s="325"/>
      <c r="G27" s="324"/>
      <c r="H27" s="324">
        <v>28247.11</v>
      </c>
      <c r="I27" s="325">
        <v>25286.11</v>
      </c>
      <c r="J27" s="325">
        <v>0</v>
      </c>
      <c r="K27" s="325">
        <f t="shared" si="0"/>
        <v>0</v>
      </c>
      <c r="L27" s="325">
        <f t="shared" si="1"/>
        <v>0</v>
      </c>
      <c r="M27" s="407">
        <v>2.5</v>
      </c>
      <c r="N27" s="408" t="s">
        <v>17</v>
      </c>
      <c r="O27" s="325">
        <f t="shared" si="5"/>
        <v>0</v>
      </c>
      <c r="P27" s="325">
        <f t="shared" si="6"/>
        <v>0</v>
      </c>
      <c r="Q27" s="325">
        <f t="shared" si="7"/>
        <v>0</v>
      </c>
      <c r="R27" s="325">
        <f t="shared" si="2"/>
        <v>0</v>
      </c>
      <c r="S27" s="325">
        <f t="shared" si="3"/>
        <v>353</v>
      </c>
      <c r="T27" s="325">
        <f t="shared" si="8"/>
        <v>353</v>
      </c>
      <c r="U27" s="325">
        <f t="shared" si="4"/>
        <v>24933.11</v>
      </c>
      <c r="V27" s="325">
        <f t="shared" si="9"/>
        <v>0</v>
      </c>
      <c r="W27" s="449" cm="1">
        <f t="array" ref="W27">+IF(U27&lt;0,error,0)</f>
        <v>0</v>
      </c>
    </row>
    <row r="28" spans="1:23" ht="18" customHeight="1" x14ac:dyDescent="0.2">
      <c r="A28" s="402" t="s">
        <v>56</v>
      </c>
      <c r="B28" s="403"/>
      <c r="C28" s="404" t="s">
        <v>57</v>
      </c>
      <c r="D28" s="405">
        <v>42916</v>
      </c>
      <c r="E28" s="406"/>
      <c r="F28" s="325"/>
      <c r="G28" s="324"/>
      <c r="H28" s="324">
        <v>37437.360000000001</v>
      </c>
      <c r="I28" s="325">
        <v>34160.36</v>
      </c>
      <c r="J28" s="325">
        <v>0</v>
      </c>
      <c r="K28" s="325">
        <f t="shared" si="0"/>
        <v>0</v>
      </c>
      <c r="L28" s="325">
        <f t="shared" si="1"/>
        <v>0</v>
      </c>
      <c r="M28" s="407">
        <v>2.5</v>
      </c>
      <c r="N28" s="408" t="s">
        <v>17</v>
      </c>
      <c r="O28" s="325">
        <f t="shared" si="5"/>
        <v>0</v>
      </c>
      <c r="P28" s="325">
        <f t="shared" si="6"/>
        <v>0</v>
      </c>
      <c r="Q28" s="325">
        <f t="shared" si="7"/>
        <v>0</v>
      </c>
      <c r="R28" s="325">
        <f t="shared" si="2"/>
        <v>0</v>
      </c>
      <c r="S28" s="325">
        <f t="shared" si="3"/>
        <v>467</v>
      </c>
      <c r="T28" s="325">
        <f t="shared" si="8"/>
        <v>467</v>
      </c>
      <c r="U28" s="325">
        <f t="shared" si="4"/>
        <v>33693.360000000001</v>
      </c>
      <c r="V28" s="325">
        <f t="shared" si="9"/>
        <v>0</v>
      </c>
      <c r="W28" s="449" cm="1">
        <f t="array" ref="W28">+IF(U28&lt;0,error,0)</f>
        <v>0</v>
      </c>
    </row>
    <row r="29" spans="1:23" ht="18" customHeight="1" x14ac:dyDescent="0.2">
      <c r="A29" s="402" t="s">
        <v>58</v>
      </c>
      <c r="B29" s="403"/>
      <c r="C29" s="404" t="s">
        <v>59</v>
      </c>
      <c r="D29" s="405">
        <v>42759</v>
      </c>
      <c r="E29" s="406"/>
      <c r="F29" s="325"/>
      <c r="G29" s="324"/>
      <c r="H29" s="324">
        <v>1391</v>
      </c>
      <c r="I29" s="325">
        <v>1255</v>
      </c>
      <c r="J29" s="325">
        <v>0</v>
      </c>
      <c r="K29" s="325">
        <f t="shared" si="0"/>
        <v>0</v>
      </c>
      <c r="L29" s="325">
        <f t="shared" si="1"/>
        <v>0</v>
      </c>
      <c r="M29" s="407">
        <v>2.5</v>
      </c>
      <c r="N29" s="408" t="s">
        <v>17</v>
      </c>
      <c r="O29" s="325">
        <f t="shared" si="5"/>
        <v>0</v>
      </c>
      <c r="P29" s="325">
        <f t="shared" si="6"/>
        <v>0</v>
      </c>
      <c r="Q29" s="325">
        <f t="shared" si="7"/>
        <v>0</v>
      </c>
      <c r="R29" s="325">
        <f t="shared" si="2"/>
        <v>0</v>
      </c>
      <c r="S29" s="325">
        <f t="shared" si="3"/>
        <v>17</v>
      </c>
      <c r="T29" s="325">
        <f t="shared" si="8"/>
        <v>17</v>
      </c>
      <c r="U29" s="325">
        <f t="shared" si="4"/>
        <v>1238</v>
      </c>
      <c r="V29" s="325">
        <f t="shared" si="9"/>
        <v>0</v>
      </c>
      <c r="W29" s="449" cm="1">
        <f t="array" ref="W29">+IF(U29&lt;0,error,0)</f>
        <v>0</v>
      </c>
    </row>
    <row r="30" spans="1:23" ht="18" customHeight="1" x14ac:dyDescent="0.2">
      <c r="A30" s="402" t="s">
        <v>60</v>
      </c>
      <c r="B30" s="403"/>
      <c r="C30" s="404" t="s">
        <v>61</v>
      </c>
      <c r="D30" s="405">
        <v>42916</v>
      </c>
      <c r="E30" s="406"/>
      <c r="F30" s="325"/>
      <c r="G30" s="324"/>
      <c r="H30" s="324">
        <v>4441.5</v>
      </c>
      <c r="I30" s="325">
        <v>4053.5</v>
      </c>
      <c r="J30" s="325">
        <v>0</v>
      </c>
      <c r="K30" s="325">
        <f t="shared" si="0"/>
        <v>0</v>
      </c>
      <c r="L30" s="325">
        <f t="shared" si="1"/>
        <v>0</v>
      </c>
      <c r="M30" s="407">
        <v>2.5</v>
      </c>
      <c r="N30" s="408" t="s">
        <v>17</v>
      </c>
      <c r="O30" s="325">
        <f t="shared" si="5"/>
        <v>0</v>
      </c>
      <c r="P30" s="325">
        <f t="shared" si="6"/>
        <v>0</v>
      </c>
      <c r="Q30" s="325">
        <f t="shared" si="7"/>
        <v>0</v>
      </c>
      <c r="R30" s="325">
        <f t="shared" si="2"/>
        <v>0</v>
      </c>
      <c r="S30" s="325">
        <f t="shared" si="3"/>
        <v>55</v>
      </c>
      <c r="T30" s="325">
        <f t="shared" si="8"/>
        <v>55</v>
      </c>
      <c r="U30" s="325">
        <f t="shared" si="4"/>
        <v>3998.5</v>
      </c>
      <c r="V30" s="325">
        <f t="shared" si="9"/>
        <v>0</v>
      </c>
      <c r="W30" s="449" cm="1">
        <f t="array" ref="W30">+IF(U30&lt;0,error,0)</f>
        <v>0</v>
      </c>
    </row>
    <row r="31" spans="1:23" ht="18" customHeight="1" x14ac:dyDescent="0.2">
      <c r="A31" s="402" t="s">
        <v>62</v>
      </c>
      <c r="B31" s="403"/>
      <c r="C31" s="412" t="s">
        <v>63</v>
      </c>
      <c r="D31" s="405">
        <v>42552</v>
      </c>
      <c r="E31" s="406"/>
      <c r="F31" s="325"/>
      <c r="G31" s="324"/>
      <c r="H31" s="324">
        <v>1728.33</v>
      </c>
      <c r="I31" s="325">
        <v>1536.33</v>
      </c>
      <c r="J31" s="325">
        <v>0</v>
      </c>
      <c r="K31" s="325">
        <f t="shared" si="0"/>
        <v>0</v>
      </c>
      <c r="L31" s="325">
        <f t="shared" si="1"/>
        <v>0</v>
      </c>
      <c r="M31" s="407">
        <v>2.5</v>
      </c>
      <c r="N31" s="408" t="s">
        <v>17</v>
      </c>
      <c r="O31" s="325">
        <f t="shared" si="5"/>
        <v>0</v>
      </c>
      <c r="P31" s="325">
        <f t="shared" si="6"/>
        <v>0</v>
      </c>
      <c r="Q31" s="325">
        <f t="shared" si="7"/>
        <v>0</v>
      </c>
      <c r="R31" s="325">
        <f t="shared" si="2"/>
        <v>0</v>
      </c>
      <c r="S31" s="325">
        <f t="shared" si="3"/>
        <v>21</v>
      </c>
      <c r="T31" s="325">
        <f t="shared" si="8"/>
        <v>21</v>
      </c>
      <c r="U31" s="325">
        <f t="shared" si="4"/>
        <v>1515.33</v>
      </c>
      <c r="V31" s="325">
        <f t="shared" si="9"/>
        <v>0</v>
      </c>
      <c r="W31" s="449" cm="1">
        <f t="array" ref="W31">+IF(U31&lt;0,error,0)</f>
        <v>0</v>
      </c>
    </row>
    <row r="32" spans="1:23" ht="18" customHeight="1" x14ac:dyDescent="0.2">
      <c r="A32" s="402" t="s">
        <v>64</v>
      </c>
      <c r="B32" s="403"/>
      <c r="C32" s="411" t="s">
        <v>65</v>
      </c>
      <c r="D32" s="405">
        <v>42552</v>
      </c>
      <c r="E32" s="406"/>
      <c r="F32" s="325"/>
      <c r="G32" s="324"/>
      <c r="H32" s="324">
        <v>1939.3700000000001</v>
      </c>
      <c r="I32" s="325">
        <v>1723.3700000000001</v>
      </c>
      <c r="J32" s="325">
        <v>0</v>
      </c>
      <c r="K32" s="325">
        <f t="shared" si="0"/>
        <v>0</v>
      </c>
      <c r="L32" s="325">
        <f t="shared" si="1"/>
        <v>0</v>
      </c>
      <c r="M32" s="407">
        <v>2.5</v>
      </c>
      <c r="N32" s="408" t="s">
        <v>17</v>
      </c>
      <c r="O32" s="325">
        <f t="shared" si="5"/>
        <v>0</v>
      </c>
      <c r="P32" s="325">
        <f t="shared" si="6"/>
        <v>0</v>
      </c>
      <c r="Q32" s="325">
        <f t="shared" si="7"/>
        <v>0</v>
      </c>
      <c r="R32" s="325">
        <f t="shared" si="2"/>
        <v>0</v>
      </c>
      <c r="S32" s="325">
        <f t="shared" si="3"/>
        <v>24</v>
      </c>
      <c r="T32" s="325">
        <f t="shared" si="8"/>
        <v>24</v>
      </c>
      <c r="U32" s="325">
        <f t="shared" si="4"/>
        <v>1699.3700000000001</v>
      </c>
      <c r="V32" s="325">
        <f t="shared" si="9"/>
        <v>0</v>
      </c>
      <c r="W32" s="449" cm="1">
        <f t="array" ref="W32">+IF(U32&lt;0,error,0)</f>
        <v>0</v>
      </c>
    </row>
    <row r="33" spans="1:23" ht="18" customHeight="1" x14ac:dyDescent="0.2">
      <c r="A33" s="402" t="s">
        <v>66</v>
      </c>
      <c r="B33" s="403"/>
      <c r="C33" s="412" t="s">
        <v>67</v>
      </c>
      <c r="D33" s="405">
        <v>42552</v>
      </c>
      <c r="E33" s="406"/>
      <c r="F33" s="325"/>
      <c r="G33" s="324"/>
      <c r="H33" s="324">
        <v>4654.43</v>
      </c>
      <c r="I33" s="325">
        <v>4132.43</v>
      </c>
      <c r="J33" s="325">
        <v>0</v>
      </c>
      <c r="K33" s="325">
        <f t="shared" si="0"/>
        <v>0</v>
      </c>
      <c r="L33" s="325">
        <f t="shared" si="1"/>
        <v>0</v>
      </c>
      <c r="M33" s="407">
        <v>2.5</v>
      </c>
      <c r="N33" s="408" t="s">
        <v>17</v>
      </c>
      <c r="O33" s="325">
        <f t="shared" si="5"/>
        <v>0</v>
      </c>
      <c r="P33" s="325">
        <f t="shared" si="6"/>
        <v>0</v>
      </c>
      <c r="Q33" s="325">
        <f t="shared" si="7"/>
        <v>0</v>
      </c>
      <c r="R33" s="325">
        <f t="shared" si="2"/>
        <v>0</v>
      </c>
      <c r="S33" s="325">
        <f t="shared" si="3"/>
        <v>58</v>
      </c>
      <c r="T33" s="325">
        <f t="shared" si="8"/>
        <v>58</v>
      </c>
      <c r="U33" s="325">
        <f t="shared" si="4"/>
        <v>4074.4300000000003</v>
      </c>
      <c r="V33" s="325">
        <f t="shared" si="9"/>
        <v>0</v>
      </c>
      <c r="W33" s="449" cm="1">
        <f t="array" ref="W33">+IF(U33&lt;0,error,0)</f>
        <v>0</v>
      </c>
    </row>
    <row r="34" spans="1:23" ht="18" customHeight="1" x14ac:dyDescent="0.2">
      <c r="A34" s="402" t="s">
        <v>68</v>
      </c>
      <c r="B34" s="403"/>
      <c r="C34" s="412" t="s">
        <v>69</v>
      </c>
      <c r="D34" s="405">
        <v>42552</v>
      </c>
      <c r="E34" s="406"/>
      <c r="F34" s="325"/>
      <c r="G34" s="324"/>
      <c r="H34" s="324">
        <v>8058.1</v>
      </c>
      <c r="I34" s="325">
        <v>7155.1</v>
      </c>
      <c r="J34" s="325">
        <v>0</v>
      </c>
      <c r="K34" s="325">
        <f t="shared" si="0"/>
        <v>0</v>
      </c>
      <c r="L34" s="325">
        <f t="shared" si="1"/>
        <v>0</v>
      </c>
      <c r="M34" s="407">
        <v>2.5</v>
      </c>
      <c r="N34" s="408" t="s">
        <v>17</v>
      </c>
      <c r="O34" s="325">
        <f t="shared" si="5"/>
        <v>0</v>
      </c>
      <c r="P34" s="325">
        <f t="shared" si="6"/>
        <v>0</v>
      </c>
      <c r="Q34" s="325">
        <f t="shared" si="7"/>
        <v>0</v>
      </c>
      <c r="R34" s="325">
        <f t="shared" si="2"/>
        <v>0</v>
      </c>
      <c r="S34" s="325">
        <f t="shared" si="3"/>
        <v>100</v>
      </c>
      <c r="T34" s="325">
        <f t="shared" si="8"/>
        <v>100</v>
      </c>
      <c r="U34" s="325">
        <f t="shared" si="4"/>
        <v>7055.1</v>
      </c>
      <c r="V34" s="325">
        <f t="shared" si="9"/>
        <v>0</v>
      </c>
      <c r="W34" s="449" cm="1">
        <f t="array" ref="W34">+IF(U34&lt;0,error,0)</f>
        <v>0</v>
      </c>
    </row>
    <row r="35" spans="1:23" ht="18" customHeight="1" x14ac:dyDescent="0.2">
      <c r="A35" s="402" t="s">
        <v>70</v>
      </c>
      <c r="B35" s="403"/>
      <c r="C35" s="411" t="s">
        <v>71</v>
      </c>
      <c r="D35" s="405">
        <v>42821</v>
      </c>
      <c r="E35" s="406"/>
      <c r="F35" s="325"/>
      <c r="G35" s="324"/>
      <c r="H35" s="324">
        <v>17489.650000000001</v>
      </c>
      <c r="I35" s="325">
        <v>15845.650000000001</v>
      </c>
      <c r="J35" s="325">
        <v>0</v>
      </c>
      <c r="K35" s="325">
        <f t="shared" si="0"/>
        <v>0</v>
      </c>
      <c r="L35" s="325">
        <f t="shared" si="1"/>
        <v>0</v>
      </c>
      <c r="M35" s="407">
        <v>2.5</v>
      </c>
      <c r="N35" s="408" t="s">
        <v>17</v>
      </c>
      <c r="O35" s="325">
        <f t="shared" si="5"/>
        <v>0</v>
      </c>
      <c r="P35" s="325">
        <f t="shared" si="6"/>
        <v>0</v>
      </c>
      <c r="Q35" s="325">
        <f t="shared" si="7"/>
        <v>0</v>
      </c>
      <c r="R35" s="325">
        <f t="shared" si="2"/>
        <v>0</v>
      </c>
      <c r="S35" s="325">
        <f t="shared" si="3"/>
        <v>218</v>
      </c>
      <c r="T35" s="325">
        <f t="shared" si="8"/>
        <v>218</v>
      </c>
      <c r="U35" s="325">
        <f t="shared" si="4"/>
        <v>15627.650000000001</v>
      </c>
      <c r="V35" s="325">
        <f t="shared" si="9"/>
        <v>0</v>
      </c>
      <c r="W35" s="449" cm="1">
        <f t="array" ref="W35">+IF(U35&lt;0,error,0)</f>
        <v>0</v>
      </c>
    </row>
    <row r="36" spans="1:23" ht="18" customHeight="1" x14ac:dyDescent="0.2">
      <c r="A36" s="402" t="s">
        <v>72</v>
      </c>
      <c r="B36" s="403"/>
      <c r="C36" s="412" t="s">
        <v>73</v>
      </c>
      <c r="D36" s="405">
        <v>42821</v>
      </c>
      <c r="E36" s="406"/>
      <c r="F36" s="325"/>
      <c r="G36" s="324"/>
      <c r="H36" s="324">
        <v>5347.05</v>
      </c>
      <c r="I36" s="325">
        <v>4847.05</v>
      </c>
      <c r="J36" s="325">
        <v>0</v>
      </c>
      <c r="K36" s="325">
        <f t="shared" si="0"/>
        <v>0</v>
      </c>
      <c r="L36" s="325">
        <f t="shared" si="1"/>
        <v>0</v>
      </c>
      <c r="M36" s="407">
        <v>2.5</v>
      </c>
      <c r="N36" s="408" t="s">
        <v>17</v>
      </c>
      <c r="O36" s="325">
        <f t="shared" si="5"/>
        <v>0</v>
      </c>
      <c r="P36" s="325">
        <f t="shared" si="6"/>
        <v>0</v>
      </c>
      <c r="Q36" s="325">
        <f t="shared" si="7"/>
        <v>0</v>
      </c>
      <c r="R36" s="325">
        <f t="shared" si="2"/>
        <v>0</v>
      </c>
      <c r="S36" s="325">
        <f t="shared" si="3"/>
        <v>66</v>
      </c>
      <c r="T36" s="325">
        <f t="shared" si="8"/>
        <v>66</v>
      </c>
      <c r="U36" s="325">
        <f t="shared" si="4"/>
        <v>4781.05</v>
      </c>
      <c r="V36" s="325">
        <f t="shared" si="9"/>
        <v>0</v>
      </c>
      <c r="W36" s="449" cm="1">
        <f t="array" ref="W36">+IF(U36&lt;0,error,0)</f>
        <v>0</v>
      </c>
    </row>
    <row r="37" spans="1:23" ht="18" customHeight="1" x14ac:dyDescent="0.2">
      <c r="A37" s="402" t="s">
        <v>74</v>
      </c>
      <c r="B37" s="403"/>
      <c r="C37" s="412" t="s">
        <v>75</v>
      </c>
      <c r="D37" s="405">
        <v>42822</v>
      </c>
      <c r="E37" s="406"/>
      <c r="F37" s="325"/>
      <c r="G37" s="324"/>
      <c r="H37" s="324">
        <v>2312.66</v>
      </c>
      <c r="I37" s="325">
        <v>2098.66</v>
      </c>
      <c r="J37" s="325">
        <v>0</v>
      </c>
      <c r="K37" s="325">
        <f t="shared" si="0"/>
        <v>0</v>
      </c>
      <c r="L37" s="325">
        <f t="shared" si="1"/>
        <v>0</v>
      </c>
      <c r="M37" s="407">
        <v>2.5</v>
      </c>
      <c r="N37" s="408" t="s">
        <v>17</v>
      </c>
      <c r="O37" s="325">
        <f t="shared" si="5"/>
        <v>0</v>
      </c>
      <c r="P37" s="325">
        <f t="shared" si="6"/>
        <v>0</v>
      </c>
      <c r="Q37" s="325">
        <f t="shared" si="7"/>
        <v>0</v>
      </c>
      <c r="R37" s="325">
        <f t="shared" si="2"/>
        <v>0</v>
      </c>
      <c r="S37" s="325">
        <f t="shared" si="3"/>
        <v>28</v>
      </c>
      <c r="T37" s="325">
        <f t="shared" si="8"/>
        <v>28</v>
      </c>
      <c r="U37" s="325">
        <f t="shared" si="4"/>
        <v>2070.66</v>
      </c>
      <c r="V37" s="325">
        <f t="shared" si="9"/>
        <v>0</v>
      </c>
      <c r="W37" s="449" cm="1">
        <f t="array" ref="W37">+IF(U37&lt;0,error,0)</f>
        <v>0</v>
      </c>
    </row>
    <row r="38" spans="1:23" ht="18" customHeight="1" x14ac:dyDescent="0.2">
      <c r="A38" s="402" t="s">
        <v>76</v>
      </c>
      <c r="B38" s="403"/>
      <c r="C38" s="412" t="s">
        <v>77</v>
      </c>
      <c r="D38" s="405">
        <v>42618</v>
      </c>
      <c r="E38" s="406"/>
      <c r="F38" s="325"/>
      <c r="G38" s="324"/>
      <c r="H38" s="324">
        <v>1354.5</v>
      </c>
      <c r="I38" s="325">
        <v>1211.5</v>
      </c>
      <c r="J38" s="325">
        <v>0</v>
      </c>
      <c r="K38" s="325">
        <f t="shared" si="0"/>
        <v>0</v>
      </c>
      <c r="L38" s="325">
        <f t="shared" si="1"/>
        <v>0</v>
      </c>
      <c r="M38" s="407">
        <v>2.5</v>
      </c>
      <c r="N38" s="408" t="s">
        <v>17</v>
      </c>
      <c r="O38" s="325">
        <f t="shared" si="5"/>
        <v>0</v>
      </c>
      <c r="P38" s="325">
        <f t="shared" si="6"/>
        <v>0</v>
      </c>
      <c r="Q38" s="325">
        <f t="shared" si="7"/>
        <v>0</v>
      </c>
      <c r="R38" s="325">
        <f t="shared" si="2"/>
        <v>0</v>
      </c>
      <c r="S38" s="325">
        <f t="shared" si="3"/>
        <v>16</v>
      </c>
      <c r="T38" s="325">
        <f t="shared" si="8"/>
        <v>16</v>
      </c>
      <c r="U38" s="325">
        <f t="shared" si="4"/>
        <v>1195.5</v>
      </c>
      <c r="V38" s="325">
        <f t="shared" si="9"/>
        <v>0</v>
      </c>
      <c r="W38" s="449" cm="1">
        <f t="array" ref="W38">+IF(U38&lt;0,error,0)</f>
        <v>0</v>
      </c>
    </row>
    <row r="39" spans="1:23" ht="18" customHeight="1" x14ac:dyDescent="0.2">
      <c r="A39" s="402" t="s">
        <v>78</v>
      </c>
      <c r="B39" s="403"/>
      <c r="C39" s="411" t="s">
        <v>79</v>
      </c>
      <c r="D39" s="405">
        <v>42715</v>
      </c>
      <c r="E39" s="406"/>
      <c r="F39" s="325"/>
      <c r="G39" s="324"/>
      <c r="H39" s="324">
        <v>708</v>
      </c>
      <c r="I39" s="325">
        <v>639</v>
      </c>
      <c r="J39" s="325">
        <v>0</v>
      </c>
      <c r="K39" s="325">
        <f t="shared" si="0"/>
        <v>0</v>
      </c>
      <c r="L39" s="325">
        <f t="shared" si="1"/>
        <v>0</v>
      </c>
      <c r="M39" s="407">
        <v>2.5</v>
      </c>
      <c r="N39" s="408" t="s">
        <v>17</v>
      </c>
      <c r="O39" s="325">
        <f t="shared" si="5"/>
        <v>0</v>
      </c>
      <c r="P39" s="325">
        <f t="shared" si="6"/>
        <v>0</v>
      </c>
      <c r="Q39" s="325">
        <f t="shared" si="7"/>
        <v>0</v>
      </c>
      <c r="R39" s="325">
        <f t="shared" si="2"/>
        <v>0</v>
      </c>
      <c r="S39" s="325">
        <f t="shared" si="3"/>
        <v>8</v>
      </c>
      <c r="T39" s="325">
        <f t="shared" si="8"/>
        <v>8</v>
      </c>
      <c r="U39" s="325">
        <f t="shared" si="4"/>
        <v>631</v>
      </c>
      <c r="V39" s="325">
        <f t="shared" si="9"/>
        <v>0</v>
      </c>
      <c r="W39" s="449" cm="1">
        <f t="array" ref="W39">+IF(U39&lt;0,error,0)</f>
        <v>0</v>
      </c>
    </row>
    <row r="40" spans="1:23" ht="18" customHeight="1" x14ac:dyDescent="0.2">
      <c r="A40" s="402" t="s">
        <v>80</v>
      </c>
      <c r="B40" s="403"/>
      <c r="C40" s="404" t="s">
        <v>81</v>
      </c>
      <c r="D40" s="405">
        <v>42715</v>
      </c>
      <c r="E40" s="406"/>
      <c r="F40" s="325"/>
      <c r="G40" s="324"/>
      <c r="H40" s="324">
        <v>1638</v>
      </c>
      <c r="I40" s="325">
        <v>1474</v>
      </c>
      <c r="J40" s="325">
        <v>0</v>
      </c>
      <c r="K40" s="325">
        <f t="shared" si="0"/>
        <v>0</v>
      </c>
      <c r="L40" s="325">
        <f t="shared" si="1"/>
        <v>0</v>
      </c>
      <c r="M40" s="407">
        <v>2.5</v>
      </c>
      <c r="N40" s="408" t="s">
        <v>17</v>
      </c>
      <c r="O40" s="325">
        <f t="shared" si="5"/>
        <v>0</v>
      </c>
      <c r="P40" s="325">
        <f t="shared" si="6"/>
        <v>0</v>
      </c>
      <c r="Q40" s="325">
        <f t="shared" si="7"/>
        <v>0</v>
      </c>
      <c r="R40" s="325">
        <f t="shared" si="2"/>
        <v>0</v>
      </c>
      <c r="S40" s="325">
        <f t="shared" si="3"/>
        <v>20</v>
      </c>
      <c r="T40" s="325">
        <f t="shared" si="8"/>
        <v>20</v>
      </c>
      <c r="U40" s="325">
        <f t="shared" si="4"/>
        <v>1454</v>
      </c>
      <c r="V40" s="325">
        <f t="shared" si="9"/>
        <v>0</v>
      </c>
      <c r="W40" s="449" cm="1">
        <f t="array" ref="W40">+IF(U40&lt;0,error,0)</f>
        <v>0</v>
      </c>
    </row>
    <row r="41" spans="1:23" ht="18" customHeight="1" x14ac:dyDescent="0.2">
      <c r="A41" s="402" t="s">
        <v>82</v>
      </c>
      <c r="B41" s="403"/>
      <c r="C41" s="404" t="s">
        <v>83</v>
      </c>
      <c r="D41" s="405">
        <v>42978</v>
      </c>
      <c r="E41" s="406"/>
      <c r="F41" s="325"/>
      <c r="G41" s="324"/>
      <c r="H41" s="324">
        <v>1606.5</v>
      </c>
      <c r="I41" s="325">
        <v>1473.5</v>
      </c>
      <c r="J41" s="325">
        <v>0</v>
      </c>
      <c r="K41" s="325">
        <f t="shared" si="0"/>
        <v>0</v>
      </c>
      <c r="L41" s="325">
        <f t="shared" si="1"/>
        <v>0</v>
      </c>
      <c r="M41" s="407">
        <v>2.5</v>
      </c>
      <c r="N41" s="408" t="s">
        <v>17</v>
      </c>
      <c r="O41" s="325">
        <f t="shared" si="5"/>
        <v>0</v>
      </c>
      <c r="P41" s="325">
        <f t="shared" si="6"/>
        <v>0</v>
      </c>
      <c r="Q41" s="325">
        <f t="shared" si="7"/>
        <v>0</v>
      </c>
      <c r="R41" s="325">
        <f t="shared" si="2"/>
        <v>0</v>
      </c>
      <c r="S41" s="325">
        <f t="shared" si="3"/>
        <v>20</v>
      </c>
      <c r="T41" s="325">
        <f t="shared" si="8"/>
        <v>20</v>
      </c>
      <c r="U41" s="325">
        <f t="shared" si="4"/>
        <v>1453.5</v>
      </c>
      <c r="V41" s="325">
        <f t="shared" si="9"/>
        <v>0</v>
      </c>
      <c r="W41" s="449" cm="1">
        <f t="array" ref="W41">+IF(U41&lt;0,error,0)</f>
        <v>0</v>
      </c>
    </row>
    <row r="42" spans="1:23" ht="18" customHeight="1" x14ac:dyDescent="0.2">
      <c r="A42" s="402" t="s">
        <v>84</v>
      </c>
      <c r="B42" s="403"/>
      <c r="C42" s="404" t="s">
        <v>85</v>
      </c>
      <c r="D42" s="405">
        <v>43052</v>
      </c>
      <c r="E42" s="406"/>
      <c r="F42" s="325"/>
      <c r="G42" s="324"/>
      <c r="H42" s="324">
        <v>4693.5</v>
      </c>
      <c r="I42" s="325">
        <v>4328.5</v>
      </c>
      <c r="J42" s="325">
        <v>0</v>
      </c>
      <c r="K42" s="325">
        <f t="shared" si="0"/>
        <v>0</v>
      </c>
      <c r="L42" s="325">
        <f t="shared" si="1"/>
        <v>0</v>
      </c>
      <c r="M42" s="407">
        <v>2.5</v>
      </c>
      <c r="N42" s="408" t="s">
        <v>17</v>
      </c>
      <c r="O42" s="325">
        <f t="shared" si="5"/>
        <v>0</v>
      </c>
      <c r="P42" s="325">
        <f t="shared" si="6"/>
        <v>0</v>
      </c>
      <c r="Q42" s="325">
        <f t="shared" si="7"/>
        <v>0</v>
      </c>
      <c r="R42" s="325">
        <f t="shared" si="2"/>
        <v>0</v>
      </c>
      <c r="S42" s="325">
        <f t="shared" si="3"/>
        <v>58</v>
      </c>
      <c r="T42" s="325">
        <f t="shared" si="8"/>
        <v>58</v>
      </c>
      <c r="U42" s="325">
        <f t="shared" si="4"/>
        <v>4270.5</v>
      </c>
      <c r="V42" s="325">
        <f t="shared" si="9"/>
        <v>0</v>
      </c>
      <c r="W42" s="449" cm="1">
        <f t="array" ref="W42">+IF(U42&lt;0,error,0)</f>
        <v>0</v>
      </c>
    </row>
    <row r="43" spans="1:23" ht="18" customHeight="1" x14ac:dyDescent="0.2">
      <c r="A43" s="402" t="s">
        <v>86</v>
      </c>
      <c r="B43" s="403"/>
      <c r="C43" s="404" t="s">
        <v>87</v>
      </c>
      <c r="D43" s="405">
        <v>43221</v>
      </c>
      <c r="E43" s="406"/>
      <c r="F43" s="325"/>
      <c r="G43" s="324"/>
      <c r="H43" s="324">
        <v>5525</v>
      </c>
      <c r="I43" s="325">
        <v>5157</v>
      </c>
      <c r="J43" s="325">
        <v>0</v>
      </c>
      <c r="K43" s="325">
        <f t="shared" si="0"/>
        <v>0</v>
      </c>
      <c r="L43" s="325">
        <f t="shared" si="1"/>
        <v>0</v>
      </c>
      <c r="M43" s="407">
        <v>2.5</v>
      </c>
      <c r="N43" s="408" t="s">
        <v>17</v>
      </c>
      <c r="O43" s="325">
        <f t="shared" si="5"/>
        <v>0</v>
      </c>
      <c r="P43" s="325">
        <f t="shared" si="6"/>
        <v>0</v>
      </c>
      <c r="Q43" s="325">
        <f t="shared" si="7"/>
        <v>0</v>
      </c>
      <c r="R43" s="325">
        <f t="shared" si="2"/>
        <v>0</v>
      </c>
      <c r="S43" s="325">
        <f t="shared" si="3"/>
        <v>69</v>
      </c>
      <c r="T43" s="325">
        <f t="shared" si="8"/>
        <v>69</v>
      </c>
      <c r="U43" s="325">
        <f t="shared" si="4"/>
        <v>5088</v>
      </c>
      <c r="V43" s="325">
        <f t="shared" si="9"/>
        <v>0</v>
      </c>
      <c r="W43" s="449" cm="1">
        <f t="array" ref="W43">+IF(U43&lt;0,error,0)</f>
        <v>0</v>
      </c>
    </row>
    <row r="44" spans="1:23" ht="18" customHeight="1" x14ac:dyDescent="0.2">
      <c r="A44" s="402" t="s">
        <v>88</v>
      </c>
      <c r="B44" s="403"/>
      <c r="C44" s="404" t="s">
        <v>89</v>
      </c>
      <c r="D44" s="405">
        <v>43281</v>
      </c>
      <c r="E44" s="406"/>
      <c r="F44" s="325"/>
      <c r="G44" s="324"/>
      <c r="H44" s="324">
        <v>1798</v>
      </c>
      <c r="I44" s="325">
        <v>1686</v>
      </c>
      <c r="J44" s="325">
        <v>0</v>
      </c>
      <c r="K44" s="325">
        <f t="shared" si="0"/>
        <v>0</v>
      </c>
      <c r="L44" s="325">
        <f t="shared" si="1"/>
        <v>0</v>
      </c>
      <c r="M44" s="407">
        <v>2.5</v>
      </c>
      <c r="N44" s="408" t="s">
        <v>17</v>
      </c>
      <c r="O44" s="325">
        <f t="shared" si="5"/>
        <v>0</v>
      </c>
      <c r="P44" s="325">
        <f t="shared" si="6"/>
        <v>0</v>
      </c>
      <c r="Q44" s="325">
        <f t="shared" si="7"/>
        <v>0</v>
      </c>
      <c r="R44" s="325">
        <f t="shared" si="2"/>
        <v>0</v>
      </c>
      <c r="S44" s="325">
        <f t="shared" si="3"/>
        <v>22</v>
      </c>
      <c r="T44" s="325">
        <f t="shared" si="8"/>
        <v>22</v>
      </c>
      <c r="U44" s="325">
        <f t="shared" si="4"/>
        <v>1664</v>
      </c>
      <c r="V44" s="325">
        <f t="shared" si="9"/>
        <v>0</v>
      </c>
      <c r="W44" s="449" cm="1">
        <f t="array" ref="W44">+IF(U44&lt;0,error,0)</f>
        <v>0</v>
      </c>
    </row>
    <row r="45" spans="1:23" ht="18" customHeight="1" x14ac:dyDescent="0.2">
      <c r="A45" s="402" t="s">
        <v>90</v>
      </c>
      <c r="B45" s="403"/>
      <c r="C45" s="404" t="s">
        <v>91</v>
      </c>
      <c r="D45" s="405">
        <v>43248</v>
      </c>
      <c r="E45" s="406"/>
      <c r="F45" s="325"/>
      <c r="G45" s="324"/>
      <c r="H45" s="324">
        <v>1153.18</v>
      </c>
      <c r="I45" s="325">
        <v>1080.18</v>
      </c>
      <c r="J45" s="325">
        <v>0</v>
      </c>
      <c r="K45" s="325">
        <f t="shared" si="0"/>
        <v>0</v>
      </c>
      <c r="L45" s="325">
        <f t="shared" si="1"/>
        <v>0</v>
      </c>
      <c r="M45" s="407">
        <v>2.5</v>
      </c>
      <c r="N45" s="408" t="s">
        <v>17</v>
      </c>
      <c r="O45" s="325">
        <f t="shared" si="5"/>
        <v>0</v>
      </c>
      <c r="P45" s="325">
        <f t="shared" si="6"/>
        <v>0</v>
      </c>
      <c r="Q45" s="325">
        <f t="shared" si="7"/>
        <v>0</v>
      </c>
      <c r="R45" s="325">
        <f t="shared" si="2"/>
        <v>0</v>
      </c>
      <c r="S45" s="325">
        <f t="shared" si="3"/>
        <v>14</v>
      </c>
      <c r="T45" s="325">
        <f t="shared" si="8"/>
        <v>14</v>
      </c>
      <c r="U45" s="325">
        <f t="shared" si="4"/>
        <v>1066.18</v>
      </c>
      <c r="V45" s="325">
        <f t="shared" si="9"/>
        <v>0</v>
      </c>
      <c r="W45" s="449" cm="1">
        <f t="array" ref="W45">+IF(U45&lt;0,error,0)</f>
        <v>0</v>
      </c>
    </row>
    <row r="46" spans="1:23" ht="18" customHeight="1" x14ac:dyDescent="0.2">
      <c r="A46" s="402" t="s">
        <v>92</v>
      </c>
      <c r="B46" s="403"/>
      <c r="C46" s="404" t="s">
        <v>93</v>
      </c>
      <c r="D46" s="405">
        <v>43236</v>
      </c>
      <c r="E46" s="406"/>
      <c r="F46" s="325"/>
      <c r="G46" s="324"/>
      <c r="H46" s="324">
        <v>1855</v>
      </c>
      <c r="I46" s="325">
        <v>1734</v>
      </c>
      <c r="J46" s="325">
        <v>0</v>
      </c>
      <c r="K46" s="325">
        <f t="shared" si="0"/>
        <v>0</v>
      </c>
      <c r="L46" s="325">
        <f t="shared" si="1"/>
        <v>0</v>
      </c>
      <c r="M46" s="407">
        <v>2.5</v>
      </c>
      <c r="N46" s="408" t="s">
        <v>17</v>
      </c>
      <c r="O46" s="325">
        <f t="shared" si="5"/>
        <v>0</v>
      </c>
      <c r="P46" s="325">
        <f t="shared" si="6"/>
        <v>0</v>
      </c>
      <c r="Q46" s="325">
        <f t="shared" si="7"/>
        <v>0</v>
      </c>
      <c r="R46" s="325">
        <f t="shared" si="2"/>
        <v>0</v>
      </c>
      <c r="S46" s="325">
        <f t="shared" si="3"/>
        <v>23</v>
      </c>
      <c r="T46" s="325">
        <f t="shared" si="8"/>
        <v>23</v>
      </c>
      <c r="U46" s="325">
        <f t="shared" si="4"/>
        <v>1711</v>
      </c>
      <c r="V46" s="325">
        <f t="shared" si="9"/>
        <v>0</v>
      </c>
      <c r="W46" s="449" cm="1">
        <f t="array" ref="W46">+IF(U46&lt;0,error,0)</f>
        <v>0</v>
      </c>
    </row>
    <row r="47" spans="1:23" ht="18" customHeight="1" x14ac:dyDescent="0.2">
      <c r="A47" s="402" t="s">
        <v>94</v>
      </c>
      <c r="B47" s="403"/>
      <c r="C47" s="412" t="s">
        <v>95</v>
      </c>
      <c r="D47" s="405">
        <v>42978</v>
      </c>
      <c r="E47" s="406"/>
      <c r="F47" s="325"/>
      <c r="G47" s="324"/>
      <c r="H47" s="324">
        <v>6331.5</v>
      </c>
      <c r="I47" s="325">
        <v>5804.5</v>
      </c>
      <c r="J47" s="325">
        <v>0</v>
      </c>
      <c r="K47" s="325">
        <f t="shared" si="0"/>
        <v>0</v>
      </c>
      <c r="L47" s="325">
        <f t="shared" si="1"/>
        <v>0</v>
      </c>
      <c r="M47" s="407">
        <v>2.5</v>
      </c>
      <c r="N47" s="408" t="s">
        <v>17</v>
      </c>
      <c r="O47" s="325">
        <f t="shared" si="5"/>
        <v>0</v>
      </c>
      <c r="P47" s="325">
        <f t="shared" si="6"/>
        <v>0</v>
      </c>
      <c r="Q47" s="325">
        <f t="shared" si="7"/>
        <v>0</v>
      </c>
      <c r="R47" s="325">
        <f t="shared" si="2"/>
        <v>0</v>
      </c>
      <c r="S47" s="325">
        <f t="shared" si="3"/>
        <v>79</v>
      </c>
      <c r="T47" s="325">
        <f t="shared" si="8"/>
        <v>79</v>
      </c>
      <c r="U47" s="325">
        <f t="shared" si="4"/>
        <v>5725.5</v>
      </c>
      <c r="V47" s="325">
        <f t="shared" si="9"/>
        <v>0</v>
      </c>
      <c r="W47" s="449" cm="1">
        <f t="array" ref="W47">+IF(U47&lt;0,error,0)</f>
        <v>0</v>
      </c>
    </row>
    <row r="48" spans="1:23" ht="18" customHeight="1" x14ac:dyDescent="0.2">
      <c r="A48" s="402" t="s">
        <v>96</v>
      </c>
      <c r="B48" s="403"/>
      <c r="C48" s="404" t="s">
        <v>97</v>
      </c>
      <c r="D48" s="405">
        <v>42999</v>
      </c>
      <c r="E48" s="406"/>
      <c r="F48" s="325"/>
      <c r="G48" s="324"/>
      <c r="H48" s="324">
        <v>2335.2000000000003</v>
      </c>
      <c r="I48" s="325">
        <v>2145.2000000000003</v>
      </c>
      <c r="J48" s="325">
        <v>0</v>
      </c>
      <c r="K48" s="325">
        <f t="shared" si="0"/>
        <v>0</v>
      </c>
      <c r="L48" s="325">
        <f t="shared" si="1"/>
        <v>0</v>
      </c>
      <c r="M48" s="407">
        <v>2.5</v>
      </c>
      <c r="N48" s="408" t="s">
        <v>17</v>
      </c>
      <c r="O48" s="325">
        <f t="shared" si="5"/>
        <v>0</v>
      </c>
      <c r="P48" s="325">
        <f t="shared" si="6"/>
        <v>0</v>
      </c>
      <c r="Q48" s="325">
        <f t="shared" si="7"/>
        <v>0</v>
      </c>
      <c r="R48" s="325">
        <f t="shared" si="2"/>
        <v>0</v>
      </c>
      <c r="S48" s="325">
        <f t="shared" si="3"/>
        <v>29</v>
      </c>
      <c r="T48" s="325">
        <f t="shared" si="8"/>
        <v>29</v>
      </c>
      <c r="U48" s="325">
        <f t="shared" si="4"/>
        <v>2116.2000000000003</v>
      </c>
      <c r="V48" s="325">
        <f t="shared" si="9"/>
        <v>0</v>
      </c>
      <c r="W48" s="449" cm="1">
        <f t="array" ref="W48">+IF(U48&lt;0,error,0)</f>
        <v>0</v>
      </c>
    </row>
    <row r="49" spans="1:23" ht="18" customHeight="1" x14ac:dyDescent="0.2">
      <c r="A49" s="402" t="s">
        <v>98</v>
      </c>
      <c r="B49" s="403"/>
      <c r="C49" s="404" t="s">
        <v>99</v>
      </c>
      <c r="D49" s="405">
        <v>43008</v>
      </c>
      <c r="E49" s="406"/>
      <c r="F49" s="325"/>
      <c r="G49" s="324"/>
      <c r="H49" s="324">
        <v>5544</v>
      </c>
      <c r="I49" s="325">
        <v>5095</v>
      </c>
      <c r="J49" s="325">
        <v>0</v>
      </c>
      <c r="K49" s="325">
        <f t="shared" si="0"/>
        <v>0</v>
      </c>
      <c r="L49" s="325">
        <f t="shared" si="1"/>
        <v>0</v>
      </c>
      <c r="M49" s="407">
        <v>2.5</v>
      </c>
      <c r="N49" s="408" t="s">
        <v>17</v>
      </c>
      <c r="O49" s="325">
        <f t="shared" si="5"/>
        <v>0</v>
      </c>
      <c r="P49" s="325">
        <f t="shared" si="6"/>
        <v>0</v>
      </c>
      <c r="Q49" s="325">
        <f t="shared" si="7"/>
        <v>0</v>
      </c>
      <c r="R49" s="325">
        <f t="shared" si="2"/>
        <v>0</v>
      </c>
      <c r="S49" s="325">
        <f t="shared" si="3"/>
        <v>69</v>
      </c>
      <c r="T49" s="325">
        <f t="shared" si="8"/>
        <v>69</v>
      </c>
      <c r="U49" s="325">
        <f t="shared" si="4"/>
        <v>5026</v>
      </c>
      <c r="V49" s="325">
        <f t="shared" si="9"/>
        <v>0</v>
      </c>
      <c r="W49" s="449" cm="1">
        <f t="array" ref="W49">+IF(U49&lt;0,error,0)</f>
        <v>0</v>
      </c>
    </row>
    <row r="50" spans="1:23" ht="18" customHeight="1" x14ac:dyDescent="0.2">
      <c r="A50" s="402" t="s">
        <v>100</v>
      </c>
      <c r="B50" s="403"/>
      <c r="C50" s="404" t="s">
        <v>101</v>
      </c>
      <c r="D50" s="405">
        <v>43013</v>
      </c>
      <c r="E50" s="406"/>
      <c r="F50" s="325"/>
      <c r="G50" s="324"/>
      <c r="H50" s="324">
        <v>2712.9700000000003</v>
      </c>
      <c r="I50" s="325">
        <v>2496.9700000000003</v>
      </c>
      <c r="J50" s="325">
        <v>0</v>
      </c>
      <c r="K50" s="325">
        <f t="shared" si="0"/>
        <v>0</v>
      </c>
      <c r="L50" s="325">
        <f t="shared" si="1"/>
        <v>0</v>
      </c>
      <c r="M50" s="407">
        <v>2.5</v>
      </c>
      <c r="N50" s="408" t="s">
        <v>17</v>
      </c>
      <c r="O50" s="325">
        <f t="shared" si="5"/>
        <v>0</v>
      </c>
      <c r="P50" s="325">
        <f t="shared" si="6"/>
        <v>0</v>
      </c>
      <c r="Q50" s="325">
        <f t="shared" si="7"/>
        <v>0</v>
      </c>
      <c r="R50" s="325">
        <f t="shared" si="2"/>
        <v>0</v>
      </c>
      <c r="S50" s="325">
        <f t="shared" si="3"/>
        <v>33</v>
      </c>
      <c r="T50" s="325">
        <f t="shared" si="8"/>
        <v>33</v>
      </c>
      <c r="U50" s="325">
        <f t="shared" si="4"/>
        <v>2463.9700000000003</v>
      </c>
      <c r="V50" s="325">
        <f t="shared" si="9"/>
        <v>0</v>
      </c>
      <c r="W50" s="449" cm="1">
        <f t="array" ref="W50">+IF(U50&lt;0,error,0)</f>
        <v>0</v>
      </c>
    </row>
    <row r="51" spans="1:23" ht="18" customHeight="1" x14ac:dyDescent="0.2">
      <c r="A51" s="402" t="s">
        <v>102</v>
      </c>
      <c r="B51" s="403"/>
      <c r="C51" s="404" t="s">
        <v>103</v>
      </c>
      <c r="D51" s="405">
        <v>43122</v>
      </c>
      <c r="E51" s="406"/>
      <c r="F51" s="325"/>
      <c r="G51" s="324"/>
      <c r="H51" s="324">
        <v>1562.96</v>
      </c>
      <c r="I51" s="325">
        <v>1450.96</v>
      </c>
      <c r="J51" s="325">
        <v>0</v>
      </c>
      <c r="K51" s="325">
        <f t="shared" si="0"/>
        <v>0</v>
      </c>
      <c r="L51" s="325">
        <f t="shared" si="1"/>
        <v>0</v>
      </c>
      <c r="M51" s="407">
        <v>2.5</v>
      </c>
      <c r="N51" s="408" t="s">
        <v>17</v>
      </c>
      <c r="O51" s="325">
        <f t="shared" si="5"/>
        <v>0</v>
      </c>
      <c r="P51" s="325">
        <f t="shared" si="6"/>
        <v>0</v>
      </c>
      <c r="Q51" s="325">
        <f t="shared" si="7"/>
        <v>0</v>
      </c>
      <c r="R51" s="325">
        <f t="shared" si="2"/>
        <v>0</v>
      </c>
      <c r="S51" s="325">
        <f t="shared" si="3"/>
        <v>19</v>
      </c>
      <c r="T51" s="325">
        <f t="shared" si="8"/>
        <v>19</v>
      </c>
      <c r="U51" s="325">
        <f t="shared" si="4"/>
        <v>1431.96</v>
      </c>
      <c r="V51" s="325">
        <f t="shared" si="9"/>
        <v>0</v>
      </c>
      <c r="W51" s="449" cm="1">
        <f t="array" ref="W51">+IF(U51&lt;0,error,0)</f>
        <v>0</v>
      </c>
    </row>
    <row r="52" spans="1:23" ht="18" customHeight="1" x14ac:dyDescent="0.2">
      <c r="A52" s="402" t="s">
        <v>104</v>
      </c>
      <c r="B52" s="403"/>
      <c r="C52" s="404" t="s">
        <v>105</v>
      </c>
      <c r="D52" s="405">
        <v>43122</v>
      </c>
      <c r="E52" s="406"/>
      <c r="F52" s="325"/>
      <c r="G52" s="324"/>
      <c r="H52" s="324">
        <v>2460</v>
      </c>
      <c r="I52" s="325">
        <v>2282</v>
      </c>
      <c r="J52" s="325">
        <v>0</v>
      </c>
      <c r="K52" s="325">
        <f t="shared" si="0"/>
        <v>0</v>
      </c>
      <c r="L52" s="325">
        <f t="shared" si="1"/>
        <v>0</v>
      </c>
      <c r="M52" s="407">
        <v>2.5</v>
      </c>
      <c r="N52" s="408" t="s">
        <v>17</v>
      </c>
      <c r="O52" s="325">
        <f t="shared" si="5"/>
        <v>0</v>
      </c>
      <c r="P52" s="325">
        <f t="shared" si="6"/>
        <v>0</v>
      </c>
      <c r="Q52" s="325">
        <f t="shared" si="7"/>
        <v>0</v>
      </c>
      <c r="R52" s="325">
        <f t="shared" si="2"/>
        <v>0</v>
      </c>
      <c r="S52" s="325">
        <f t="shared" si="3"/>
        <v>30</v>
      </c>
      <c r="T52" s="325">
        <f t="shared" si="8"/>
        <v>30</v>
      </c>
      <c r="U52" s="325">
        <f t="shared" si="4"/>
        <v>2252</v>
      </c>
      <c r="V52" s="325">
        <f t="shared" si="9"/>
        <v>0</v>
      </c>
      <c r="W52" s="449" cm="1">
        <f t="array" ref="W52">+IF(U52&lt;0,error,0)</f>
        <v>0</v>
      </c>
    </row>
    <row r="53" spans="1:23" ht="18" customHeight="1" x14ac:dyDescent="0.2">
      <c r="A53" s="402" t="s">
        <v>106</v>
      </c>
      <c r="B53" s="403"/>
      <c r="C53" s="404" t="s">
        <v>107</v>
      </c>
      <c r="D53" s="405">
        <v>43131</v>
      </c>
      <c r="E53" s="406"/>
      <c r="F53" s="325"/>
      <c r="G53" s="324"/>
      <c r="H53" s="324">
        <v>3969</v>
      </c>
      <c r="I53" s="325">
        <v>3682</v>
      </c>
      <c r="J53" s="325">
        <v>0</v>
      </c>
      <c r="K53" s="325">
        <f t="shared" si="0"/>
        <v>0</v>
      </c>
      <c r="L53" s="325">
        <f t="shared" si="1"/>
        <v>0</v>
      </c>
      <c r="M53" s="407">
        <v>2.5</v>
      </c>
      <c r="N53" s="408" t="s">
        <v>17</v>
      </c>
      <c r="O53" s="325">
        <f t="shared" si="5"/>
        <v>0</v>
      </c>
      <c r="P53" s="325">
        <f t="shared" si="6"/>
        <v>0</v>
      </c>
      <c r="Q53" s="325">
        <f t="shared" si="7"/>
        <v>0</v>
      </c>
      <c r="R53" s="325">
        <f t="shared" si="2"/>
        <v>0</v>
      </c>
      <c r="S53" s="325">
        <f t="shared" si="3"/>
        <v>49</v>
      </c>
      <c r="T53" s="325">
        <f t="shared" si="8"/>
        <v>49</v>
      </c>
      <c r="U53" s="325">
        <f t="shared" si="4"/>
        <v>3633</v>
      </c>
      <c r="V53" s="325">
        <f t="shared" si="9"/>
        <v>0</v>
      </c>
      <c r="W53" s="449" cm="1">
        <f t="array" ref="W53">+IF(U53&lt;0,error,0)</f>
        <v>0</v>
      </c>
    </row>
    <row r="54" spans="1:23" ht="18" customHeight="1" x14ac:dyDescent="0.2">
      <c r="A54" s="402" t="s">
        <v>108</v>
      </c>
      <c r="B54" s="403"/>
      <c r="C54" s="404" t="s">
        <v>109</v>
      </c>
      <c r="D54" s="405">
        <v>43159</v>
      </c>
      <c r="E54" s="406"/>
      <c r="F54" s="325"/>
      <c r="G54" s="324"/>
      <c r="H54" s="324">
        <v>3720</v>
      </c>
      <c r="I54" s="325">
        <v>3458</v>
      </c>
      <c r="J54" s="325">
        <v>0</v>
      </c>
      <c r="K54" s="325">
        <f t="shared" si="0"/>
        <v>0</v>
      </c>
      <c r="L54" s="325">
        <f t="shared" si="1"/>
        <v>0</v>
      </c>
      <c r="M54" s="407">
        <v>2.5</v>
      </c>
      <c r="N54" s="408" t="s">
        <v>17</v>
      </c>
      <c r="O54" s="325">
        <f t="shared" si="5"/>
        <v>0</v>
      </c>
      <c r="P54" s="325">
        <f t="shared" si="6"/>
        <v>0</v>
      </c>
      <c r="Q54" s="325">
        <f t="shared" si="7"/>
        <v>0</v>
      </c>
      <c r="R54" s="325">
        <f t="shared" si="2"/>
        <v>0</v>
      </c>
      <c r="S54" s="325">
        <f t="shared" si="3"/>
        <v>46</v>
      </c>
      <c r="T54" s="325">
        <f t="shared" si="8"/>
        <v>46</v>
      </c>
      <c r="U54" s="325">
        <f t="shared" si="4"/>
        <v>3412</v>
      </c>
      <c r="V54" s="325">
        <f t="shared" si="9"/>
        <v>0</v>
      </c>
      <c r="W54" s="449" cm="1">
        <f t="array" ref="W54">+IF(U54&lt;0,error,0)</f>
        <v>0</v>
      </c>
    </row>
    <row r="55" spans="1:23" ht="18" customHeight="1" x14ac:dyDescent="0.2">
      <c r="A55" s="402" t="s">
        <v>110</v>
      </c>
      <c r="B55" s="403"/>
      <c r="C55" s="404" t="s">
        <v>111</v>
      </c>
      <c r="D55" s="405">
        <v>43009</v>
      </c>
      <c r="E55" s="406"/>
      <c r="F55" s="325"/>
      <c r="G55" s="324"/>
      <c r="H55" s="324">
        <v>6250</v>
      </c>
      <c r="I55" s="325">
        <v>5743</v>
      </c>
      <c r="J55" s="325">
        <v>0</v>
      </c>
      <c r="K55" s="325">
        <f t="shared" si="0"/>
        <v>0</v>
      </c>
      <c r="L55" s="325">
        <f t="shared" si="1"/>
        <v>0</v>
      </c>
      <c r="M55" s="407">
        <v>2.5</v>
      </c>
      <c r="N55" s="408" t="s">
        <v>17</v>
      </c>
      <c r="O55" s="325">
        <f t="shared" si="5"/>
        <v>0</v>
      </c>
      <c r="P55" s="325">
        <f t="shared" si="6"/>
        <v>0</v>
      </c>
      <c r="Q55" s="325">
        <f t="shared" si="7"/>
        <v>0</v>
      </c>
      <c r="R55" s="325">
        <f t="shared" si="2"/>
        <v>0</v>
      </c>
      <c r="S55" s="325">
        <f t="shared" si="3"/>
        <v>78</v>
      </c>
      <c r="T55" s="325">
        <f t="shared" si="8"/>
        <v>78</v>
      </c>
      <c r="U55" s="325">
        <f t="shared" si="4"/>
        <v>5665</v>
      </c>
      <c r="V55" s="325">
        <f t="shared" si="9"/>
        <v>0</v>
      </c>
      <c r="W55" s="449" cm="1">
        <f t="array" ref="W55">+IF(U55&lt;0,error,0)</f>
        <v>0</v>
      </c>
    </row>
    <row r="56" spans="1:23" ht="18" customHeight="1" x14ac:dyDescent="0.2">
      <c r="A56" s="402" t="s">
        <v>112</v>
      </c>
      <c r="B56" s="403"/>
      <c r="C56" s="404" t="s">
        <v>113</v>
      </c>
      <c r="D56" s="405">
        <v>43009</v>
      </c>
      <c r="E56" s="406"/>
      <c r="F56" s="325"/>
      <c r="G56" s="324"/>
      <c r="H56" s="324">
        <v>1702.31</v>
      </c>
      <c r="I56" s="325">
        <v>1565.31</v>
      </c>
      <c r="J56" s="325">
        <v>0</v>
      </c>
      <c r="K56" s="325">
        <f t="shared" si="0"/>
        <v>0</v>
      </c>
      <c r="L56" s="325">
        <f t="shared" si="1"/>
        <v>0</v>
      </c>
      <c r="M56" s="407">
        <v>2.5</v>
      </c>
      <c r="N56" s="408" t="s">
        <v>17</v>
      </c>
      <c r="O56" s="325">
        <f t="shared" si="5"/>
        <v>0</v>
      </c>
      <c r="P56" s="325">
        <f t="shared" si="6"/>
        <v>0</v>
      </c>
      <c r="Q56" s="325">
        <f t="shared" si="7"/>
        <v>0</v>
      </c>
      <c r="R56" s="325">
        <f t="shared" si="2"/>
        <v>0</v>
      </c>
      <c r="S56" s="325">
        <f t="shared" si="3"/>
        <v>21</v>
      </c>
      <c r="T56" s="325">
        <f t="shared" si="8"/>
        <v>21</v>
      </c>
      <c r="U56" s="325">
        <f t="shared" si="4"/>
        <v>1544.31</v>
      </c>
      <c r="V56" s="325">
        <f t="shared" si="9"/>
        <v>0</v>
      </c>
      <c r="W56" s="449" cm="1">
        <f t="array" ref="W56">+IF(U56&lt;0,error,0)</f>
        <v>0</v>
      </c>
    </row>
    <row r="57" spans="1:23" ht="18" customHeight="1" x14ac:dyDescent="0.2">
      <c r="A57" s="402" t="s">
        <v>114</v>
      </c>
      <c r="B57" s="403"/>
      <c r="C57" s="404" t="s">
        <v>115</v>
      </c>
      <c r="D57" s="405">
        <v>43109</v>
      </c>
      <c r="E57" s="406"/>
      <c r="F57" s="325"/>
      <c r="G57" s="324"/>
      <c r="H57" s="324">
        <v>1108</v>
      </c>
      <c r="I57" s="325">
        <v>1028</v>
      </c>
      <c r="J57" s="325">
        <v>0</v>
      </c>
      <c r="K57" s="325">
        <f t="shared" si="0"/>
        <v>0</v>
      </c>
      <c r="L57" s="325">
        <f t="shared" si="1"/>
        <v>0</v>
      </c>
      <c r="M57" s="407">
        <v>2.5</v>
      </c>
      <c r="N57" s="408" t="s">
        <v>17</v>
      </c>
      <c r="O57" s="325">
        <f t="shared" si="5"/>
        <v>0</v>
      </c>
      <c r="P57" s="325">
        <f t="shared" si="6"/>
        <v>0</v>
      </c>
      <c r="Q57" s="325">
        <f t="shared" si="7"/>
        <v>0</v>
      </c>
      <c r="R57" s="325">
        <f t="shared" si="2"/>
        <v>0</v>
      </c>
      <c r="S57" s="325">
        <f t="shared" si="3"/>
        <v>13</v>
      </c>
      <c r="T57" s="325">
        <f t="shared" si="8"/>
        <v>13</v>
      </c>
      <c r="U57" s="325">
        <f t="shared" si="4"/>
        <v>1015</v>
      </c>
      <c r="V57" s="325">
        <f t="shared" si="9"/>
        <v>0</v>
      </c>
      <c r="W57" s="449" cm="1">
        <f t="array" ref="W57">+IF(U57&lt;0,error,0)</f>
        <v>0</v>
      </c>
    </row>
    <row r="58" spans="1:23" ht="18" customHeight="1" x14ac:dyDescent="0.2">
      <c r="A58" s="402" t="s">
        <v>116</v>
      </c>
      <c r="B58" s="403"/>
      <c r="C58" s="404" t="s">
        <v>117</v>
      </c>
      <c r="D58" s="405">
        <v>43112</v>
      </c>
      <c r="E58" s="406"/>
      <c r="F58" s="325"/>
      <c r="G58" s="324"/>
      <c r="H58" s="324">
        <v>2399.88</v>
      </c>
      <c r="I58" s="325">
        <v>2225.88</v>
      </c>
      <c r="J58" s="325">
        <v>0</v>
      </c>
      <c r="K58" s="325">
        <f t="shared" si="0"/>
        <v>0</v>
      </c>
      <c r="L58" s="325">
        <f t="shared" si="1"/>
        <v>0</v>
      </c>
      <c r="M58" s="407">
        <v>2.5</v>
      </c>
      <c r="N58" s="408" t="s">
        <v>17</v>
      </c>
      <c r="O58" s="325">
        <f t="shared" si="5"/>
        <v>0</v>
      </c>
      <c r="P58" s="325">
        <f t="shared" si="6"/>
        <v>0</v>
      </c>
      <c r="Q58" s="325">
        <f t="shared" si="7"/>
        <v>0</v>
      </c>
      <c r="R58" s="325">
        <f t="shared" si="2"/>
        <v>0</v>
      </c>
      <c r="S58" s="325">
        <f t="shared" si="3"/>
        <v>29</v>
      </c>
      <c r="T58" s="325">
        <f t="shared" si="8"/>
        <v>29</v>
      </c>
      <c r="U58" s="325">
        <f t="shared" si="4"/>
        <v>2196.88</v>
      </c>
      <c r="V58" s="325">
        <f t="shared" si="9"/>
        <v>0</v>
      </c>
      <c r="W58" s="449" cm="1">
        <f t="array" ref="W58">+IF(U58&lt;0,error,0)</f>
        <v>0</v>
      </c>
    </row>
    <row r="59" spans="1:23" ht="18" customHeight="1" x14ac:dyDescent="0.2">
      <c r="A59" s="402" t="s">
        <v>118</v>
      </c>
      <c r="B59" s="403"/>
      <c r="C59" s="404" t="s">
        <v>119</v>
      </c>
      <c r="D59" s="405">
        <v>43116</v>
      </c>
      <c r="E59" s="406"/>
      <c r="F59" s="325"/>
      <c r="G59" s="324"/>
      <c r="H59" s="324">
        <v>15330</v>
      </c>
      <c r="I59" s="325">
        <v>14199</v>
      </c>
      <c r="J59" s="325">
        <v>0</v>
      </c>
      <c r="K59" s="325">
        <f t="shared" si="0"/>
        <v>0</v>
      </c>
      <c r="L59" s="325">
        <f t="shared" si="1"/>
        <v>0</v>
      </c>
      <c r="M59" s="407">
        <v>2.5</v>
      </c>
      <c r="N59" s="408" t="s">
        <v>17</v>
      </c>
      <c r="O59" s="325">
        <f t="shared" si="5"/>
        <v>0</v>
      </c>
      <c r="P59" s="325">
        <f t="shared" si="6"/>
        <v>0</v>
      </c>
      <c r="Q59" s="325">
        <f t="shared" si="7"/>
        <v>0</v>
      </c>
      <c r="R59" s="325">
        <f t="shared" si="2"/>
        <v>0</v>
      </c>
      <c r="S59" s="325">
        <f t="shared" si="3"/>
        <v>191</v>
      </c>
      <c r="T59" s="325">
        <f t="shared" si="8"/>
        <v>191</v>
      </c>
      <c r="U59" s="325">
        <f t="shared" si="4"/>
        <v>14008</v>
      </c>
      <c r="V59" s="325">
        <f t="shared" si="9"/>
        <v>0</v>
      </c>
      <c r="W59" s="449" cm="1">
        <f t="array" ref="W59">+IF(U59&lt;0,error,0)</f>
        <v>0</v>
      </c>
    </row>
    <row r="60" spans="1:23" ht="18" customHeight="1" x14ac:dyDescent="0.2">
      <c r="A60" s="402" t="s">
        <v>120</v>
      </c>
      <c r="B60" s="403"/>
      <c r="C60" s="412" t="s">
        <v>121</v>
      </c>
      <c r="D60" s="405">
        <v>43117</v>
      </c>
      <c r="E60" s="406"/>
      <c r="F60" s="325"/>
      <c r="G60" s="324"/>
      <c r="H60" s="324">
        <v>45454.55</v>
      </c>
      <c r="I60" s="325">
        <v>42098.55</v>
      </c>
      <c r="J60" s="325">
        <v>0</v>
      </c>
      <c r="K60" s="325">
        <f t="shared" si="0"/>
        <v>0</v>
      </c>
      <c r="L60" s="325">
        <f t="shared" si="1"/>
        <v>0</v>
      </c>
      <c r="M60" s="407">
        <v>2.5</v>
      </c>
      <c r="N60" s="408" t="s">
        <v>17</v>
      </c>
      <c r="O60" s="325">
        <f t="shared" si="5"/>
        <v>0</v>
      </c>
      <c r="P60" s="325">
        <f t="shared" si="6"/>
        <v>0</v>
      </c>
      <c r="Q60" s="325">
        <f t="shared" si="7"/>
        <v>0</v>
      </c>
      <c r="R60" s="325">
        <f t="shared" si="2"/>
        <v>0</v>
      </c>
      <c r="S60" s="325">
        <f t="shared" si="3"/>
        <v>568</v>
      </c>
      <c r="T60" s="325">
        <f t="shared" si="8"/>
        <v>568</v>
      </c>
      <c r="U60" s="325">
        <f t="shared" si="4"/>
        <v>41530.550000000003</v>
      </c>
      <c r="V60" s="325">
        <f t="shared" si="9"/>
        <v>0</v>
      </c>
      <c r="W60" s="449" cm="1">
        <f t="array" ref="W60">+IF(U60&lt;0,error,0)</f>
        <v>0</v>
      </c>
    </row>
    <row r="61" spans="1:23" ht="18" customHeight="1" x14ac:dyDescent="0.2">
      <c r="A61" s="402" t="s">
        <v>122</v>
      </c>
      <c r="B61" s="403"/>
      <c r="C61" s="411" t="s">
        <v>123</v>
      </c>
      <c r="D61" s="405">
        <v>43131</v>
      </c>
      <c r="E61" s="406"/>
      <c r="F61" s="325"/>
      <c r="G61" s="324"/>
      <c r="H61" s="324">
        <v>1953</v>
      </c>
      <c r="I61" s="325">
        <v>1813</v>
      </c>
      <c r="J61" s="325">
        <v>0</v>
      </c>
      <c r="K61" s="325">
        <f t="shared" si="0"/>
        <v>0</v>
      </c>
      <c r="L61" s="325">
        <f t="shared" si="1"/>
        <v>0</v>
      </c>
      <c r="M61" s="407">
        <v>2.5</v>
      </c>
      <c r="N61" s="408" t="s">
        <v>17</v>
      </c>
      <c r="O61" s="325">
        <f t="shared" si="5"/>
        <v>0</v>
      </c>
      <c r="P61" s="325">
        <f t="shared" si="6"/>
        <v>0</v>
      </c>
      <c r="Q61" s="325">
        <f t="shared" si="7"/>
        <v>0</v>
      </c>
      <c r="R61" s="325">
        <f t="shared" si="2"/>
        <v>0</v>
      </c>
      <c r="S61" s="325">
        <f t="shared" si="3"/>
        <v>24</v>
      </c>
      <c r="T61" s="325">
        <f t="shared" si="8"/>
        <v>24</v>
      </c>
      <c r="U61" s="325">
        <f t="shared" si="4"/>
        <v>1789</v>
      </c>
      <c r="V61" s="325">
        <f t="shared" si="9"/>
        <v>0</v>
      </c>
      <c r="W61" s="449" cm="1">
        <f t="array" ref="W61">+IF(U61&lt;0,error,0)</f>
        <v>0</v>
      </c>
    </row>
    <row r="62" spans="1:23" ht="18" customHeight="1" x14ac:dyDescent="0.2">
      <c r="A62" s="402" t="s">
        <v>124</v>
      </c>
      <c r="B62" s="403"/>
      <c r="C62" s="412" t="s">
        <v>125</v>
      </c>
      <c r="D62" s="405">
        <v>42917</v>
      </c>
      <c r="E62" s="406"/>
      <c r="F62" s="325"/>
      <c r="G62" s="324"/>
      <c r="H62" s="324">
        <v>16448.25</v>
      </c>
      <c r="I62" s="325">
        <v>15011.25</v>
      </c>
      <c r="J62" s="325">
        <v>0</v>
      </c>
      <c r="K62" s="325">
        <f t="shared" si="0"/>
        <v>0</v>
      </c>
      <c r="L62" s="325">
        <f t="shared" si="1"/>
        <v>0</v>
      </c>
      <c r="M62" s="407">
        <v>2.5</v>
      </c>
      <c r="N62" s="408" t="s">
        <v>17</v>
      </c>
      <c r="O62" s="325">
        <f t="shared" si="5"/>
        <v>0</v>
      </c>
      <c r="P62" s="325">
        <f t="shared" si="6"/>
        <v>0</v>
      </c>
      <c r="Q62" s="325">
        <f t="shared" si="7"/>
        <v>0</v>
      </c>
      <c r="R62" s="325">
        <f t="shared" si="2"/>
        <v>0</v>
      </c>
      <c r="S62" s="325">
        <f t="shared" si="3"/>
        <v>205</v>
      </c>
      <c r="T62" s="325">
        <f t="shared" si="8"/>
        <v>205</v>
      </c>
      <c r="U62" s="325">
        <f t="shared" si="4"/>
        <v>14806.25</v>
      </c>
      <c r="V62" s="325">
        <f t="shared" si="9"/>
        <v>0</v>
      </c>
      <c r="W62" s="449" cm="1">
        <f t="array" ref="W62">+IF(U62&lt;0,error,0)</f>
        <v>0</v>
      </c>
    </row>
    <row r="63" spans="1:23" ht="18" customHeight="1" x14ac:dyDescent="0.2">
      <c r="A63" s="402" t="s">
        <v>126</v>
      </c>
      <c r="B63" s="403"/>
      <c r="C63" s="411" t="s">
        <v>127</v>
      </c>
      <c r="D63" s="405">
        <v>43153</v>
      </c>
      <c r="E63" s="406"/>
      <c r="F63" s="325"/>
      <c r="G63" s="324"/>
      <c r="H63" s="324">
        <v>1829.8400000000001</v>
      </c>
      <c r="I63" s="325">
        <v>1702.8400000000001</v>
      </c>
      <c r="J63" s="325">
        <v>0</v>
      </c>
      <c r="K63" s="325">
        <f t="shared" si="0"/>
        <v>0</v>
      </c>
      <c r="L63" s="325">
        <f t="shared" si="1"/>
        <v>0</v>
      </c>
      <c r="M63" s="407">
        <v>2.5</v>
      </c>
      <c r="N63" s="408" t="s">
        <v>17</v>
      </c>
      <c r="O63" s="325">
        <f t="shared" si="5"/>
        <v>0</v>
      </c>
      <c r="P63" s="325">
        <f t="shared" si="6"/>
        <v>0</v>
      </c>
      <c r="Q63" s="325">
        <f t="shared" si="7"/>
        <v>0</v>
      </c>
      <c r="R63" s="325">
        <f t="shared" si="2"/>
        <v>0</v>
      </c>
      <c r="S63" s="325">
        <f t="shared" si="3"/>
        <v>22</v>
      </c>
      <c r="T63" s="325">
        <f t="shared" si="8"/>
        <v>22</v>
      </c>
      <c r="U63" s="325">
        <f t="shared" si="4"/>
        <v>1680.8400000000001</v>
      </c>
      <c r="V63" s="325">
        <f t="shared" si="9"/>
        <v>0</v>
      </c>
      <c r="W63" s="449" cm="1">
        <f t="array" ref="W63">+IF(U63&lt;0,error,0)</f>
        <v>0</v>
      </c>
    </row>
    <row r="64" spans="1:23" ht="18" customHeight="1" x14ac:dyDescent="0.2">
      <c r="A64" s="402" t="s">
        <v>128</v>
      </c>
      <c r="B64" s="403"/>
      <c r="C64" s="404" t="s">
        <v>129</v>
      </c>
      <c r="D64" s="405">
        <v>43165</v>
      </c>
      <c r="E64" s="406"/>
      <c r="F64" s="325"/>
      <c r="G64" s="324"/>
      <c r="H64" s="324">
        <v>104545.45</v>
      </c>
      <c r="I64" s="325">
        <v>97169.45</v>
      </c>
      <c r="J64" s="325">
        <v>0</v>
      </c>
      <c r="K64" s="325">
        <f t="shared" si="0"/>
        <v>0</v>
      </c>
      <c r="L64" s="325">
        <f t="shared" si="1"/>
        <v>0</v>
      </c>
      <c r="M64" s="407">
        <v>2.5</v>
      </c>
      <c r="N64" s="408" t="s">
        <v>17</v>
      </c>
      <c r="O64" s="325">
        <f t="shared" si="5"/>
        <v>0</v>
      </c>
      <c r="P64" s="325">
        <f t="shared" si="6"/>
        <v>0</v>
      </c>
      <c r="Q64" s="325">
        <f t="shared" si="7"/>
        <v>0</v>
      </c>
      <c r="R64" s="325">
        <f t="shared" si="2"/>
        <v>0</v>
      </c>
      <c r="S64" s="325">
        <f t="shared" si="3"/>
        <v>1306</v>
      </c>
      <c r="T64" s="325">
        <f t="shared" si="8"/>
        <v>1306</v>
      </c>
      <c r="U64" s="325">
        <f t="shared" si="4"/>
        <v>95863.45</v>
      </c>
      <c r="V64" s="325">
        <f t="shared" si="9"/>
        <v>0</v>
      </c>
      <c r="W64" s="449" cm="1">
        <f t="array" ref="W64">+IF(U64&lt;0,error,0)</f>
        <v>0</v>
      </c>
    </row>
    <row r="65" spans="1:23" ht="18" customHeight="1" x14ac:dyDescent="0.2">
      <c r="A65" s="402" t="s">
        <v>130</v>
      </c>
      <c r="B65" s="403"/>
      <c r="C65" s="404" t="s">
        <v>131</v>
      </c>
      <c r="D65" s="405">
        <v>42975</v>
      </c>
      <c r="E65" s="406"/>
      <c r="F65" s="325"/>
      <c r="G65" s="324"/>
      <c r="H65" s="324">
        <v>4404.3</v>
      </c>
      <c r="I65" s="325">
        <v>4036.3</v>
      </c>
      <c r="J65" s="325">
        <v>0</v>
      </c>
      <c r="K65" s="325">
        <f t="shared" si="0"/>
        <v>0</v>
      </c>
      <c r="L65" s="325">
        <f t="shared" si="1"/>
        <v>0</v>
      </c>
      <c r="M65" s="407">
        <v>2.5</v>
      </c>
      <c r="N65" s="408" t="s">
        <v>17</v>
      </c>
      <c r="O65" s="325">
        <f t="shared" si="5"/>
        <v>0</v>
      </c>
      <c r="P65" s="325">
        <f t="shared" si="6"/>
        <v>0</v>
      </c>
      <c r="Q65" s="325">
        <f t="shared" si="7"/>
        <v>0</v>
      </c>
      <c r="R65" s="325">
        <f t="shared" si="2"/>
        <v>0</v>
      </c>
      <c r="S65" s="325">
        <f t="shared" si="3"/>
        <v>55</v>
      </c>
      <c r="T65" s="325">
        <f t="shared" si="8"/>
        <v>55</v>
      </c>
      <c r="U65" s="325">
        <f t="shared" si="4"/>
        <v>3981.3</v>
      </c>
      <c r="V65" s="325">
        <f t="shared" si="9"/>
        <v>0</v>
      </c>
      <c r="W65" s="449" cm="1">
        <f t="array" ref="W65">+IF(U65&lt;0,error,0)</f>
        <v>0</v>
      </c>
    </row>
    <row r="66" spans="1:23" ht="18" customHeight="1" x14ac:dyDescent="0.2">
      <c r="A66" s="402" t="s">
        <v>132</v>
      </c>
      <c r="B66" s="403"/>
      <c r="C66" s="404" t="s">
        <v>133</v>
      </c>
      <c r="D66" s="405">
        <v>43007</v>
      </c>
      <c r="E66" s="406"/>
      <c r="F66" s="325"/>
      <c r="G66" s="324"/>
      <c r="H66" s="324">
        <v>3528.4</v>
      </c>
      <c r="I66" s="325">
        <v>3242.4</v>
      </c>
      <c r="J66" s="325">
        <v>0</v>
      </c>
      <c r="K66" s="325">
        <f t="shared" si="0"/>
        <v>0</v>
      </c>
      <c r="L66" s="325">
        <f t="shared" si="1"/>
        <v>0</v>
      </c>
      <c r="M66" s="407">
        <v>2.5</v>
      </c>
      <c r="N66" s="408" t="s">
        <v>17</v>
      </c>
      <c r="O66" s="325">
        <f t="shared" si="5"/>
        <v>0</v>
      </c>
      <c r="P66" s="325">
        <f t="shared" si="6"/>
        <v>0</v>
      </c>
      <c r="Q66" s="325">
        <f t="shared" si="7"/>
        <v>0</v>
      </c>
      <c r="R66" s="325">
        <f t="shared" si="2"/>
        <v>0</v>
      </c>
      <c r="S66" s="325">
        <f t="shared" si="3"/>
        <v>44</v>
      </c>
      <c r="T66" s="325">
        <f t="shared" si="8"/>
        <v>44</v>
      </c>
      <c r="U66" s="325">
        <f t="shared" si="4"/>
        <v>3198.4</v>
      </c>
      <c r="V66" s="325">
        <f t="shared" si="9"/>
        <v>0</v>
      </c>
      <c r="W66" s="449" cm="1">
        <f t="array" ref="W66">+IF(U66&lt;0,error,0)</f>
        <v>0</v>
      </c>
    </row>
    <row r="67" spans="1:23" ht="18" customHeight="1" x14ac:dyDescent="0.2">
      <c r="A67" s="402" t="s">
        <v>134</v>
      </c>
      <c r="B67" s="403"/>
      <c r="C67" s="404" t="s">
        <v>135</v>
      </c>
      <c r="D67" s="405">
        <v>43008</v>
      </c>
      <c r="E67" s="406"/>
      <c r="F67" s="325"/>
      <c r="G67" s="324"/>
      <c r="H67" s="324">
        <v>1260</v>
      </c>
      <c r="I67" s="325">
        <v>1160</v>
      </c>
      <c r="J67" s="325">
        <v>0</v>
      </c>
      <c r="K67" s="325">
        <f t="shared" si="0"/>
        <v>0</v>
      </c>
      <c r="L67" s="325">
        <f t="shared" si="1"/>
        <v>0</v>
      </c>
      <c r="M67" s="407">
        <v>2.5</v>
      </c>
      <c r="N67" s="408" t="s">
        <v>17</v>
      </c>
      <c r="O67" s="325">
        <f t="shared" si="5"/>
        <v>0</v>
      </c>
      <c r="P67" s="325">
        <f t="shared" si="6"/>
        <v>0</v>
      </c>
      <c r="Q67" s="325">
        <f t="shared" si="7"/>
        <v>0</v>
      </c>
      <c r="R67" s="325">
        <f t="shared" si="2"/>
        <v>0</v>
      </c>
      <c r="S67" s="325">
        <f t="shared" si="3"/>
        <v>15</v>
      </c>
      <c r="T67" s="325">
        <f t="shared" si="8"/>
        <v>15</v>
      </c>
      <c r="U67" s="325">
        <f t="shared" si="4"/>
        <v>1145</v>
      </c>
      <c r="V67" s="325">
        <f t="shared" si="9"/>
        <v>0</v>
      </c>
      <c r="W67" s="449" cm="1">
        <f t="array" ref="W67">+IF(U67&lt;0,error,0)</f>
        <v>0</v>
      </c>
    </row>
    <row r="68" spans="1:23" ht="18" customHeight="1" x14ac:dyDescent="0.2">
      <c r="A68" s="402" t="s">
        <v>136</v>
      </c>
      <c r="B68" s="403"/>
      <c r="C68" s="404" t="s">
        <v>137</v>
      </c>
      <c r="D68" s="405">
        <v>43013</v>
      </c>
      <c r="E68" s="406"/>
      <c r="F68" s="325"/>
      <c r="G68" s="324"/>
      <c r="H68" s="324">
        <v>3521.9900000000002</v>
      </c>
      <c r="I68" s="325">
        <v>3236.9900000000002</v>
      </c>
      <c r="J68" s="325">
        <v>0</v>
      </c>
      <c r="K68" s="325">
        <f t="shared" si="0"/>
        <v>0</v>
      </c>
      <c r="L68" s="325">
        <f t="shared" si="1"/>
        <v>0</v>
      </c>
      <c r="M68" s="407">
        <v>2.5</v>
      </c>
      <c r="N68" s="408" t="s">
        <v>17</v>
      </c>
      <c r="O68" s="325">
        <f t="shared" si="5"/>
        <v>0</v>
      </c>
      <c r="P68" s="325">
        <f t="shared" si="6"/>
        <v>0</v>
      </c>
      <c r="Q68" s="325">
        <f t="shared" si="7"/>
        <v>0</v>
      </c>
      <c r="R68" s="325">
        <f t="shared" si="2"/>
        <v>0</v>
      </c>
      <c r="S68" s="325">
        <f t="shared" si="3"/>
        <v>44</v>
      </c>
      <c r="T68" s="325">
        <f t="shared" si="8"/>
        <v>44</v>
      </c>
      <c r="U68" s="325">
        <f t="shared" si="4"/>
        <v>3192.9900000000002</v>
      </c>
      <c r="V68" s="325">
        <f t="shared" si="9"/>
        <v>0</v>
      </c>
      <c r="W68" s="449" cm="1">
        <f t="array" ref="W68">+IF(U68&lt;0,error,0)</f>
        <v>0</v>
      </c>
    </row>
    <row r="69" spans="1:23" ht="18" customHeight="1" x14ac:dyDescent="0.2">
      <c r="A69" s="402" t="s">
        <v>138</v>
      </c>
      <c r="B69" s="403"/>
      <c r="C69" s="404" t="s">
        <v>133</v>
      </c>
      <c r="D69" s="405">
        <v>43059</v>
      </c>
      <c r="E69" s="406"/>
      <c r="F69" s="325"/>
      <c r="G69" s="324"/>
      <c r="H69" s="324">
        <v>3019.37</v>
      </c>
      <c r="I69" s="325">
        <v>2786.37</v>
      </c>
      <c r="J69" s="325">
        <v>0</v>
      </c>
      <c r="K69" s="325">
        <f t="shared" si="0"/>
        <v>0</v>
      </c>
      <c r="L69" s="325">
        <f t="shared" si="1"/>
        <v>0</v>
      </c>
      <c r="M69" s="407">
        <v>2.5</v>
      </c>
      <c r="N69" s="408" t="s">
        <v>17</v>
      </c>
      <c r="O69" s="325">
        <f t="shared" si="5"/>
        <v>0</v>
      </c>
      <c r="P69" s="325">
        <f t="shared" si="6"/>
        <v>0</v>
      </c>
      <c r="Q69" s="325">
        <f t="shared" si="7"/>
        <v>0</v>
      </c>
      <c r="R69" s="325">
        <f t="shared" si="2"/>
        <v>0</v>
      </c>
      <c r="S69" s="325">
        <f t="shared" si="3"/>
        <v>37</v>
      </c>
      <c r="T69" s="325">
        <f t="shared" si="8"/>
        <v>37</v>
      </c>
      <c r="U69" s="325">
        <f t="shared" si="4"/>
        <v>2749.37</v>
      </c>
      <c r="V69" s="325">
        <f t="shared" si="9"/>
        <v>0</v>
      </c>
      <c r="W69" s="449" cm="1">
        <f t="array" ref="W69">+IF(U69&lt;0,error,0)</f>
        <v>0</v>
      </c>
    </row>
    <row r="70" spans="1:23" ht="18" customHeight="1" x14ac:dyDescent="0.2">
      <c r="A70" s="402" t="s">
        <v>139</v>
      </c>
      <c r="B70" s="403"/>
      <c r="C70" s="404" t="s">
        <v>133</v>
      </c>
      <c r="D70" s="405">
        <v>43059</v>
      </c>
      <c r="E70" s="406"/>
      <c r="F70" s="325"/>
      <c r="G70" s="324"/>
      <c r="H70" s="324">
        <v>5210.82</v>
      </c>
      <c r="I70" s="325">
        <v>4805.82</v>
      </c>
      <c r="J70" s="325">
        <v>0</v>
      </c>
      <c r="K70" s="325">
        <f t="shared" si="0"/>
        <v>0</v>
      </c>
      <c r="L70" s="325">
        <f t="shared" si="1"/>
        <v>0</v>
      </c>
      <c r="M70" s="407">
        <v>2.5</v>
      </c>
      <c r="N70" s="408" t="s">
        <v>17</v>
      </c>
      <c r="O70" s="325">
        <f t="shared" si="5"/>
        <v>0</v>
      </c>
      <c r="P70" s="325">
        <f t="shared" si="6"/>
        <v>0</v>
      </c>
      <c r="Q70" s="325">
        <f t="shared" si="7"/>
        <v>0</v>
      </c>
      <c r="R70" s="325">
        <f t="shared" si="2"/>
        <v>0</v>
      </c>
      <c r="S70" s="325">
        <f t="shared" si="3"/>
        <v>65</v>
      </c>
      <c r="T70" s="325">
        <f t="shared" si="8"/>
        <v>65</v>
      </c>
      <c r="U70" s="325">
        <f t="shared" si="4"/>
        <v>4740.82</v>
      </c>
      <c r="V70" s="325">
        <f t="shared" si="9"/>
        <v>0</v>
      </c>
      <c r="W70" s="449" cm="1">
        <f t="array" ref="W70">+IF(U70&lt;0,error,0)</f>
        <v>0</v>
      </c>
    </row>
    <row r="71" spans="1:23" ht="18" customHeight="1" x14ac:dyDescent="0.2">
      <c r="A71" s="402" t="s">
        <v>140</v>
      </c>
      <c r="B71" s="403"/>
      <c r="C71" s="412" t="s">
        <v>141</v>
      </c>
      <c r="D71" s="405">
        <v>43069</v>
      </c>
      <c r="E71" s="406"/>
      <c r="F71" s="325"/>
      <c r="G71" s="324"/>
      <c r="H71" s="324">
        <v>2679.5</v>
      </c>
      <c r="I71" s="325">
        <v>2474.5</v>
      </c>
      <c r="J71" s="325">
        <v>0</v>
      </c>
      <c r="K71" s="325">
        <f t="shared" si="0"/>
        <v>0</v>
      </c>
      <c r="L71" s="325">
        <f t="shared" si="1"/>
        <v>0</v>
      </c>
      <c r="M71" s="407">
        <v>2.5</v>
      </c>
      <c r="N71" s="408" t="s">
        <v>17</v>
      </c>
      <c r="O71" s="325">
        <f t="shared" si="5"/>
        <v>0</v>
      </c>
      <c r="P71" s="325">
        <f t="shared" si="6"/>
        <v>0</v>
      </c>
      <c r="Q71" s="325">
        <f t="shared" si="7"/>
        <v>0</v>
      </c>
      <c r="R71" s="325">
        <f t="shared" si="2"/>
        <v>0</v>
      </c>
      <c r="S71" s="325">
        <f t="shared" si="3"/>
        <v>33</v>
      </c>
      <c r="T71" s="325">
        <f t="shared" si="8"/>
        <v>33</v>
      </c>
      <c r="U71" s="325">
        <f t="shared" si="4"/>
        <v>2441.5</v>
      </c>
      <c r="V71" s="325">
        <f t="shared" si="9"/>
        <v>0</v>
      </c>
      <c r="W71" s="449" cm="1">
        <f t="array" ref="W71">+IF(U71&lt;0,error,0)</f>
        <v>0</v>
      </c>
    </row>
    <row r="72" spans="1:23" ht="18" customHeight="1" x14ac:dyDescent="0.2">
      <c r="A72" s="402" t="s">
        <v>142</v>
      </c>
      <c r="B72" s="403"/>
      <c r="C72" s="411" t="s">
        <v>143</v>
      </c>
      <c r="D72" s="405">
        <v>43100</v>
      </c>
      <c r="E72" s="406"/>
      <c r="F72" s="325"/>
      <c r="G72" s="324"/>
      <c r="H72" s="324">
        <v>4158</v>
      </c>
      <c r="I72" s="325">
        <v>3849</v>
      </c>
      <c r="J72" s="325">
        <v>0</v>
      </c>
      <c r="K72" s="325">
        <f t="shared" ref="K72:K135" si="10">INT(IF($E72&gt;0,IF(+F72-I72+Q72&lt;0,0,+F72-I72+Q72),0))</f>
        <v>0</v>
      </c>
      <c r="L72" s="325">
        <f t="shared" ref="L72:L135" si="11">INT(IF($E72&gt;0,IF(K72=0,-F72+I72-Q72,0),0))</f>
        <v>0</v>
      </c>
      <c r="M72" s="407">
        <v>2.5</v>
      </c>
      <c r="N72" s="408" t="s">
        <v>17</v>
      </c>
      <c r="O72" s="325">
        <f t="shared" si="5"/>
        <v>0</v>
      </c>
      <c r="P72" s="325">
        <f t="shared" si="6"/>
        <v>0</v>
      </c>
      <c r="Q72" s="325">
        <f t="shared" si="7"/>
        <v>0</v>
      </c>
      <c r="R72" s="325">
        <f t="shared" ref="R72:R135" si="12">INT(IF($E72&gt;0,0,(IF($N72="D",IF($D72&lt;$H$3,$I72*($M72/100)*$U$3/12,$J72*($M72/100)*($J$3-$D72)/365),0))))</f>
        <v>0</v>
      </c>
      <c r="S72" s="325">
        <f t="shared" ref="S72:S135" si="13">INT(IF($E72&gt;0,0,(IF($N72="P",IF($D72&lt;$H$3,$H72*($M72/100)*$U$3/12,$J72*($M72/100)*($J$3-$D72)/365),0))))</f>
        <v>51</v>
      </c>
      <c r="T72" s="325">
        <f t="shared" si="8"/>
        <v>51</v>
      </c>
      <c r="U72" s="325">
        <f t="shared" ref="U72:U135" si="14">+I72+J72-T72-F72+K72-L72</f>
        <v>3798</v>
      </c>
      <c r="V72" s="325">
        <f t="shared" si="9"/>
        <v>0</v>
      </c>
      <c r="W72" s="449" cm="1">
        <f t="array" ref="W72">+IF(U72&lt;0,error,0)</f>
        <v>0</v>
      </c>
    </row>
    <row r="73" spans="1:23" ht="18" customHeight="1" x14ac:dyDescent="0.2">
      <c r="A73" s="402" t="s">
        <v>144</v>
      </c>
      <c r="B73" s="403"/>
      <c r="C73" s="404" t="s">
        <v>145</v>
      </c>
      <c r="D73" s="405">
        <v>43146</v>
      </c>
      <c r="E73" s="406"/>
      <c r="F73" s="325"/>
      <c r="G73" s="324"/>
      <c r="H73" s="324">
        <v>1217.99</v>
      </c>
      <c r="I73" s="325">
        <v>1131.99</v>
      </c>
      <c r="J73" s="325">
        <v>0</v>
      </c>
      <c r="K73" s="325">
        <f t="shared" si="10"/>
        <v>0</v>
      </c>
      <c r="L73" s="325">
        <f t="shared" si="11"/>
        <v>0</v>
      </c>
      <c r="M73" s="407">
        <v>2.5</v>
      </c>
      <c r="N73" s="408" t="s">
        <v>17</v>
      </c>
      <c r="O73" s="325">
        <f t="shared" ref="O73:O136" si="15">IF(E73&gt;0,INT(IF($N73="D",IF($D73&lt;$H$3,$I73*($M73/100)*((E73-$H$3)/365),$J73*($M73/100)*($J$3-$D73)/365),0)),0)</f>
        <v>0</v>
      </c>
      <c r="P73" s="325">
        <f t="shared" ref="P73:P136" si="16">IF(E73&gt;0,INT(IF($N73="P",IF($D73&lt;$H$3,$H73*($M73/100)*(E73-$H$3)/365,$J73*($M73/100)*($J$3-$D73)/365),0)),0)</f>
        <v>0</v>
      </c>
      <c r="Q73" s="325">
        <f t="shared" ref="Q73:Q136" si="17">+O73+P73</f>
        <v>0</v>
      </c>
      <c r="R73" s="325">
        <f t="shared" si="12"/>
        <v>0</v>
      </c>
      <c r="S73" s="325">
        <f t="shared" si="13"/>
        <v>15</v>
      </c>
      <c r="T73" s="325">
        <f t="shared" ref="T73:T136" si="18">+R73+S73+Q73</f>
        <v>15</v>
      </c>
      <c r="U73" s="325">
        <f t="shared" si="14"/>
        <v>1116.99</v>
      </c>
      <c r="V73" s="325">
        <f t="shared" ref="V73:V136" si="19">IF(E73&gt;0,+H73+J73,0)</f>
        <v>0</v>
      </c>
      <c r="W73" s="449" cm="1">
        <f t="array" ref="W73">+IF(U73&lt;0,error,0)</f>
        <v>0</v>
      </c>
    </row>
    <row r="74" spans="1:23" ht="18" customHeight="1" x14ac:dyDescent="0.2">
      <c r="A74" s="402" t="s">
        <v>146</v>
      </c>
      <c r="B74" s="403"/>
      <c r="C74" s="404" t="s">
        <v>147</v>
      </c>
      <c r="D74" s="405">
        <v>42917</v>
      </c>
      <c r="E74" s="406"/>
      <c r="F74" s="325"/>
      <c r="G74" s="324"/>
      <c r="H74" s="324">
        <v>4836</v>
      </c>
      <c r="I74" s="325">
        <v>4414</v>
      </c>
      <c r="J74" s="325">
        <v>0</v>
      </c>
      <c r="K74" s="325">
        <f t="shared" si="10"/>
        <v>0</v>
      </c>
      <c r="L74" s="325">
        <f t="shared" si="11"/>
        <v>0</v>
      </c>
      <c r="M74" s="407">
        <v>2.5</v>
      </c>
      <c r="N74" s="408" t="s">
        <v>17</v>
      </c>
      <c r="O74" s="325">
        <f t="shared" si="15"/>
        <v>0</v>
      </c>
      <c r="P74" s="325">
        <f t="shared" si="16"/>
        <v>0</v>
      </c>
      <c r="Q74" s="325">
        <f t="shared" si="17"/>
        <v>0</v>
      </c>
      <c r="R74" s="325">
        <f t="shared" si="12"/>
        <v>0</v>
      </c>
      <c r="S74" s="325">
        <f t="shared" si="13"/>
        <v>60</v>
      </c>
      <c r="T74" s="325">
        <f t="shared" si="18"/>
        <v>60</v>
      </c>
      <c r="U74" s="325">
        <f t="shared" si="14"/>
        <v>4354</v>
      </c>
      <c r="V74" s="325">
        <f t="shared" si="19"/>
        <v>0</v>
      </c>
      <c r="W74" s="449" cm="1">
        <f t="array" ref="W74">+IF(U74&lt;0,error,0)</f>
        <v>0</v>
      </c>
    </row>
    <row r="75" spans="1:23" ht="18" customHeight="1" x14ac:dyDescent="0.2">
      <c r="A75" s="402" t="s">
        <v>148</v>
      </c>
      <c r="B75" s="403"/>
      <c r="C75" s="412" t="s">
        <v>149</v>
      </c>
      <c r="D75" s="405">
        <v>43220</v>
      </c>
      <c r="E75" s="406"/>
      <c r="F75" s="325"/>
      <c r="G75" s="324"/>
      <c r="H75" s="324">
        <v>2542</v>
      </c>
      <c r="I75" s="325">
        <v>2374</v>
      </c>
      <c r="J75" s="325">
        <v>0</v>
      </c>
      <c r="K75" s="325">
        <f t="shared" si="10"/>
        <v>0</v>
      </c>
      <c r="L75" s="325">
        <f t="shared" si="11"/>
        <v>0</v>
      </c>
      <c r="M75" s="407">
        <v>2.5</v>
      </c>
      <c r="N75" s="408" t="s">
        <v>17</v>
      </c>
      <c r="O75" s="325">
        <f t="shared" si="15"/>
        <v>0</v>
      </c>
      <c r="P75" s="325">
        <f t="shared" si="16"/>
        <v>0</v>
      </c>
      <c r="Q75" s="325">
        <f t="shared" si="17"/>
        <v>0</v>
      </c>
      <c r="R75" s="325">
        <f t="shared" si="12"/>
        <v>0</v>
      </c>
      <c r="S75" s="325">
        <f t="shared" si="13"/>
        <v>31</v>
      </c>
      <c r="T75" s="325">
        <f t="shared" si="18"/>
        <v>31</v>
      </c>
      <c r="U75" s="325">
        <f t="shared" si="14"/>
        <v>2343</v>
      </c>
      <c r="V75" s="325">
        <f t="shared" si="19"/>
        <v>0</v>
      </c>
      <c r="W75" s="449" cm="1">
        <f t="array" ref="W75">+IF(U75&lt;0,error,0)</f>
        <v>0</v>
      </c>
    </row>
    <row r="76" spans="1:23" ht="18" customHeight="1" x14ac:dyDescent="0.2">
      <c r="A76" s="402" t="s">
        <v>150</v>
      </c>
      <c r="B76" s="403"/>
      <c r="C76" s="411" t="s">
        <v>151</v>
      </c>
      <c r="D76" s="405">
        <v>43220</v>
      </c>
      <c r="E76" s="406"/>
      <c r="F76" s="325"/>
      <c r="G76" s="324"/>
      <c r="H76" s="324">
        <v>1848</v>
      </c>
      <c r="I76" s="325">
        <v>1726</v>
      </c>
      <c r="J76" s="325">
        <v>0</v>
      </c>
      <c r="K76" s="325">
        <f t="shared" si="10"/>
        <v>0</v>
      </c>
      <c r="L76" s="325">
        <f t="shared" si="11"/>
        <v>0</v>
      </c>
      <c r="M76" s="407">
        <v>2.5</v>
      </c>
      <c r="N76" s="408" t="s">
        <v>17</v>
      </c>
      <c r="O76" s="325">
        <f t="shared" si="15"/>
        <v>0</v>
      </c>
      <c r="P76" s="325">
        <f t="shared" si="16"/>
        <v>0</v>
      </c>
      <c r="Q76" s="325">
        <f t="shared" si="17"/>
        <v>0</v>
      </c>
      <c r="R76" s="325">
        <f t="shared" si="12"/>
        <v>0</v>
      </c>
      <c r="S76" s="325">
        <f t="shared" si="13"/>
        <v>23</v>
      </c>
      <c r="T76" s="325">
        <f t="shared" si="18"/>
        <v>23</v>
      </c>
      <c r="U76" s="325">
        <f t="shared" si="14"/>
        <v>1703</v>
      </c>
      <c r="V76" s="325">
        <f t="shared" si="19"/>
        <v>0</v>
      </c>
      <c r="W76" s="449" cm="1">
        <f t="array" ref="W76">+IF(U76&lt;0,error,0)</f>
        <v>0</v>
      </c>
    </row>
    <row r="77" spans="1:23" ht="18" customHeight="1" x14ac:dyDescent="0.2">
      <c r="A77" s="402" t="s">
        <v>152</v>
      </c>
      <c r="B77" s="403"/>
      <c r="C77" s="404" t="s">
        <v>153</v>
      </c>
      <c r="D77" s="405">
        <v>43220</v>
      </c>
      <c r="E77" s="406"/>
      <c r="F77" s="325"/>
      <c r="G77" s="324"/>
      <c r="H77" s="324">
        <v>3342.07</v>
      </c>
      <c r="I77" s="325">
        <v>3122.07</v>
      </c>
      <c r="J77" s="325">
        <v>0</v>
      </c>
      <c r="K77" s="325">
        <f t="shared" si="10"/>
        <v>0</v>
      </c>
      <c r="L77" s="325">
        <f t="shared" si="11"/>
        <v>0</v>
      </c>
      <c r="M77" s="407">
        <v>2.5</v>
      </c>
      <c r="N77" s="408" t="s">
        <v>17</v>
      </c>
      <c r="O77" s="325">
        <f t="shared" si="15"/>
        <v>0</v>
      </c>
      <c r="P77" s="325">
        <f t="shared" si="16"/>
        <v>0</v>
      </c>
      <c r="Q77" s="325">
        <f t="shared" si="17"/>
        <v>0</v>
      </c>
      <c r="R77" s="325">
        <f t="shared" si="12"/>
        <v>0</v>
      </c>
      <c r="S77" s="325">
        <f t="shared" si="13"/>
        <v>41</v>
      </c>
      <c r="T77" s="325">
        <f t="shared" si="18"/>
        <v>41</v>
      </c>
      <c r="U77" s="325">
        <f t="shared" si="14"/>
        <v>3081.07</v>
      </c>
      <c r="V77" s="325">
        <f t="shared" si="19"/>
        <v>0</v>
      </c>
      <c r="W77" s="449" cm="1">
        <f t="array" ref="W77">+IF(U77&lt;0,error,0)</f>
        <v>0</v>
      </c>
    </row>
    <row r="78" spans="1:23" ht="18" customHeight="1" x14ac:dyDescent="0.2">
      <c r="A78" s="402" t="s">
        <v>154</v>
      </c>
      <c r="B78" s="403"/>
      <c r="C78" s="404" t="s">
        <v>155</v>
      </c>
      <c r="D78" s="405">
        <v>43251</v>
      </c>
      <c r="E78" s="406"/>
      <c r="F78" s="325"/>
      <c r="G78" s="324"/>
      <c r="H78" s="324">
        <v>2883</v>
      </c>
      <c r="I78" s="325">
        <v>2697</v>
      </c>
      <c r="J78" s="325">
        <v>0</v>
      </c>
      <c r="K78" s="325">
        <f t="shared" si="10"/>
        <v>0</v>
      </c>
      <c r="L78" s="325">
        <f t="shared" si="11"/>
        <v>0</v>
      </c>
      <c r="M78" s="407">
        <v>2.5</v>
      </c>
      <c r="N78" s="408" t="s">
        <v>17</v>
      </c>
      <c r="O78" s="325">
        <f t="shared" si="15"/>
        <v>0</v>
      </c>
      <c r="P78" s="325">
        <f t="shared" si="16"/>
        <v>0</v>
      </c>
      <c r="Q78" s="325">
        <f t="shared" si="17"/>
        <v>0</v>
      </c>
      <c r="R78" s="325">
        <f t="shared" si="12"/>
        <v>0</v>
      </c>
      <c r="S78" s="325">
        <f t="shared" si="13"/>
        <v>36</v>
      </c>
      <c r="T78" s="325">
        <f t="shared" si="18"/>
        <v>36</v>
      </c>
      <c r="U78" s="325">
        <f t="shared" si="14"/>
        <v>2661</v>
      </c>
      <c r="V78" s="325">
        <f t="shared" si="19"/>
        <v>0</v>
      </c>
      <c r="W78" s="449" cm="1">
        <f t="array" ref="W78">+IF(U78&lt;0,error,0)</f>
        <v>0</v>
      </c>
    </row>
    <row r="79" spans="1:23" ht="18" customHeight="1" x14ac:dyDescent="0.2">
      <c r="A79" s="402" t="s">
        <v>156</v>
      </c>
      <c r="B79" s="403"/>
      <c r="C79" s="404" t="s">
        <v>157</v>
      </c>
      <c r="D79" s="405">
        <v>43251</v>
      </c>
      <c r="E79" s="406"/>
      <c r="F79" s="325"/>
      <c r="G79" s="324"/>
      <c r="H79" s="324">
        <v>2108</v>
      </c>
      <c r="I79" s="325">
        <v>1974</v>
      </c>
      <c r="J79" s="325">
        <v>0</v>
      </c>
      <c r="K79" s="325">
        <f t="shared" si="10"/>
        <v>0</v>
      </c>
      <c r="L79" s="325">
        <f t="shared" si="11"/>
        <v>0</v>
      </c>
      <c r="M79" s="407">
        <v>2.5</v>
      </c>
      <c r="N79" s="408" t="s">
        <v>17</v>
      </c>
      <c r="O79" s="325">
        <f t="shared" si="15"/>
        <v>0</v>
      </c>
      <c r="P79" s="325">
        <f t="shared" si="16"/>
        <v>0</v>
      </c>
      <c r="Q79" s="325">
        <f t="shared" si="17"/>
        <v>0</v>
      </c>
      <c r="R79" s="325">
        <f t="shared" si="12"/>
        <v>0</v>
      </c>
      <c r="S79" s="325">
        <f t="shared" si="13"/>
        <v>26</v>
      </c>
      <c r="T79" s="325">
        <f t="shared" si="18"/>
        <v>26</v>
      </c>
      <c r="U79" s="325">
        <f t="shared" si="14"/>
        <v>1948</v>
      </c>
      <c r="V79" s="325">
        <f t="shared" si="19"/>
        <v>0</v>
      </c>
      <c r="W79" s="449" cm="1">
        <f t="array" ref="W79">+IF(U79&lt;0,error,0)</f>
        <v>0</v>
      </c>
    </row>
    <row r="80" spans="1:23" ht="18" customHeight="1" x14ac:dyDescent="0.2">
      <c r="A80" s="402" t="s">
        <v>158</v>
      </c>
      <c r="B80" s="403"/>
      <c r="C80" s="404" t="s">
        <v>53</v>
      </c>
      <c r="D80" s="405">
        <v>43281</v>
      </c>
      <c r="E80" s="406"/>
      <c r="F80" s="325"/>
      <c r="G80" s="324"/>
      <c r="H80" s="324">
        <v>2604</v>
      </c>
      <c r="I80" s="325">
        <v>2443</v>
      </c>
      <c r="J80" s="325">
        <v>0</v>
      </c>
      <c r="K80" s="325">
        <f t="shared" si="10"/>
        <v>0</v>
      </c>
      <c r="L80" s="325">
        <f t="shared" si="11"/>
        <v>0</v>
      </c>
      <c r="M80" s="407">
        <v>2.5</v>
      </c>
      <c r="N80" s="408" t="s">
        <v>17</v>
      </c>
      <c r="O80" s="325">
        <f t="shared" si="15"/>
        <v>0</v>
      </c>
      <c r="P80" s="325">
        <f t="shared" si="16"/>
        <v>0</v>
      </c>
      <c r="Q80" s="325">
        <f t="shared" si="17"/>
        <v>0</v>
      </c>
      <c r="R80" s="325">
        <f t="shared" si="12"/>
        <v>0</v>
      </c>
      <c r="S80" s="325">
        <f t="shared" si="13"/>
        <v>32</v>
      </c>
      <c r="T80" s="325">
        <f t="shared" si="18"/>
        <v>32</v>
      </c>
      <c r="U80" s="325">
        <f t="shared" si="14"/>
        <v>2411</v>
      </c>
      <c r="V80" s="325">
        <f t="shared" si="19"/>
        <v>0</v>
      </c>
      <c r="W80" s="449" cm="1">
        <f t="array" ref="W80">+IF(U80&lt;0,error,0)</f>
        <v>0</v>
      </c>
    </row>
    <row r="81" spans="1:23" ht="18" customHeight="1" x14ac:dyDescent="0.2">
      <c r="A81" s="402" t="s">
        <v>159</v>
      </c>
      <c r="B81" s="403"/>
      <c r="C81" s="404" t="s">
        <v>160</v>
      </c>
      <c r="D81" s="405">
        <v>43165</v>
      </c>
      <c r="E81" s="406"/>
      <c r="F81" s="325"/>
      <c r="G81" s="324"/>
      <c r="H81" s="324">
        <v>2315.2400000000002</v>
      </c>
      <c r="I81" s="325">
        <v>2155.2400000000002</v>
      </c>
      <c r="J81" s="325">
        <v>0</v>
      </c>
      <c r="K81" s="325">
        <f t="shared" si="10"/>
        <v>0</v>
      </c>
      <c r="L81" s="325">
        <f t="shared" si="11"/>
        <v>0</v>
      </c>
      <c r="M81" s="407">
        <v>2.5</v>
      </c>
      <c r="N81" s="408" t="s">
        <v>17</v>
      </c>
      <c r="O81" s="325">
        <f t="shared" si="15"/>
        <v>0</v>
      </c>
      <c r="P81" s="325">
        <f t="shared" si="16"/>
        <v>0</v>
      </c>
      <c r="Q81" s="325">
        <f t="shared" si="17"/>
        <v>0</v>
      </c>
      <c r="R81" s="325">
        <f t="shared" si="12"/>
        <v>0</v>
      </c>
      <c r="S81" s="325">
        <f t="shared" si="13"/>
        <v>28</v>
      </c>
      <c r="T81" s="325">
        <f t="shared" si="18"/>
        <v>28</v>
      </c>
      <c r="U81" s="325">
        <f t="shared" si="14"/>
        <v>2127.2400000000002</v>
      </c>
      <c r="V81" s="325">
        <f t="shared" si="19"/>
        <v>0</v>
      </c>
      <c r="W81" s="449" cm="1">
        <f t="array" ref="W81">+IF(U81&lt;0,error,0)</f>
        <v>0</v>
      </c>
    </row>
    <row r="82" spans="1:23" ht="18" customHeight="1" x14ac:dyDescent="0.2">
      <c r="A82" s="402" t="s">
        <v>161</v>
      </c>
      <c r="B82" s="403"/>
      <c r="C82" s="404" t="s">
        <v>162</v>
      </c>
      <c r="D82" s="405">
        <v>43186</v>
      </c>
      <c r="E82" s="406"/>
      <c r="F82" s="325"/>
      <c r="G82" s="324"/>
      <c r="H82" s="324">
        <v>6455.62</v>
      </c>
      <c r="I82" s="325">
        <v>6011.62</v>
      </c>
      <c r="J82" s="325">
        <v>0</v>
      </c>
      <c r="K82" s="325">
        <f t="shared" si="10"/>
        <v>0</v>
      </c>
      <c r="L82" s="325">
        <f t="shared" si="11"/>
        <v>0</v>
      </c>
      <c r="M82" s="407">
        <v>2.5</v>
      </c>
      <c r="N82" s="408" t="s">
        <v>17</v>
      </c>
      <c r="O82" s="325">
        <f t="shared" si="15"/>
        <v>0</v>
      </c>
      <c r="P82" s="325">
        <f t="shared" si="16"/>
        <v>0</v>
      </c>
      <c r="Q82" s="325">
        <f t="shared" si="17"/>
        <v>0</v>
      </c>
      <c r="R82" s="325">
        <f t="shared" si="12"/>
        <v>0</v>
      </c>
      <c r="S82" s="325">
        <f t="shared" si="13"/>
        <v>80</v>
      </c>
      <c r="T82" s="325">
        <f t="shared" si="18"/>
        <v>80</v>
      </c>
      <c r="U82" s="325">
        <f t="shared" si="14"/>
        <v>5931.62</v>
      </c>
      <c r="V82" s="325">
        <f t="shared" si="19"/>
        <v>0</v>
      </c>
      <c r="W82" s="449" cm="1">
        <f t="array" ref="W82">+IF(U82&lt;0,error,0)</f>
        <v>0</v>
      </c>
    </row>
    <row r="83" spans="1:23" ht="18" customHeight="1" x14ac:dyDescent="0.2">
      <c r="A83" s="402" t="s">
        <v>163</v>
      </c>
      <c r="B83" s="403"/>
      <c r="C83" s="404" t="s">
        <v>164</v>
      </c>
      <c r="D83" s="405">
        <v>43263</v>
      </c>
      <c r="E83" s="406"/>
      <c r="F83" s="325"/>
      <c r="G83" s="324"/>
      <c r="H83" s="324">
        <v>68376.94</v>
      </c>
      <c r="I83" s="325">
        <v>64011.94</v>
      </c>
      <c r="J83" s="325">
        <v>0</v>
      </c>
      <c r="K83" s="325">
        <f t="shared" si="10"/>
        <v>0</v>
      </c>
      <c r="L83" s="325">
        <f t="shared" si="11"/>
        <v>0</v>
      </c>
      <c r="M83" s="407">
        <v>2.5</v>
      </c>
      <c r="N83" s="408" t="s">
        <v>17</v>
      </c>
      <c r="O83" s="325">
        <f t="shared" si="15"/>
        <v>0</v>
      </c>
      <c r="P83" s="325">
        <f t="shared" si="16"/>
        <v>0</v>
      </c>
      <c r="Q83" s="325">
        <f t="shared" si="17"/>
        <v>0</v>
      </c>
      <c r="R83" s="325">
        <f t="shared" si="12"/>
        <v>0</v>
      </c>
      <c r="S83" s="325">
        <f t="shared" si="13"/>
        <v>854</v>
      </c>
      <c r="T83" s="325">
        <f t="shared" si="18"/>
        <v>854</v>
      </c>
      <c r="U83" s="325">
        <f t="shared" si="14"/>
        <v>63157.94</v>
      </c>
      <c r="V83" s="325">
        <f t="shared" si="19"/>
        <v>0</v>
      </c>
      <c r="W83" s="449" cm="1">
        <f t="array" ref="W83">+IF(U83&lt;0,error,0)</f>
        <v>0</v>
      </c>
    </row>
    <row r="84" spans="1:23" ht="18" customHeight="1" x14ac:dyDescent="0.2">
      <c r="A84" s="402" t="s">
        <v>165</v>
      </c>
      <c r="B84" s="403"/>
      <c r="C84" s="404" t="s">
        <v>166</v>
      </c>
      <c r="D84" s="405">
        <v>42989</v>
      </c>
      <c r="E84" s="406"/>
      <c r="F84" s="325"/>
      <c r="G84" s="324"/>
      <c r="H84" s="324">
        <v>805.6</v>
      </c>
      <c r="I84" s="325">
        <v>740.6</v>
      </c>
      <c r="J84" s="325">
        <v>0</v>
      </c>
      <c r="K84" s="325">
        <f t="shared" si="10"/>
        <v>0</v>
      </c>
      <c r="L84" s="325">
        <f t="shared" si="11"/>
        <v>0</v>
      </c>
      <c r="M84" s="407">
        <v>2.5</v>
      </c>
      <c r="N84" s="408" t="s">
        <v>17</v>
      </c>
      <c r="O84" s="325">
        <f t="shared" si="15"/>
        <v>0</v>
      </c>
      <c r="P84" s="325">
        <f t="shared" si="16"/>
        <v>0</v>
      </c>
      <c r="Q84" s="325">
        <f t="shared" si="17"/>
        <v>0</v>
      </c>
      <c r="R84" s="325">
        <f t="shared" si="12"/>
        <v>0</v>
      </c>
      <c r="S84" s="325">
        <f t="shared" si="13"/>
        <v>10</v>
      </c>
      <c r="T84" s="325">
        <f t="shared" si="18"/>
        <v>10</v>
      </c>
      <c r="U84" s="325">
        <f t="shared" si="14"/>
        <v>730.6</v>
      </c>
      <c r="V84" s="325">
        <f t="shared" si="19"/>
        <v>0</v>
      </c>
      <c r="W84" s="449" cm="1">
        <f t="array" ref="W84">+IF(U84&lt;0,error,0)</f>
        <v>0</v>
      </c>
    </row>
    <row r="85" spans="1:23" ht="18" customHeight="1" x14ac:dyDescent="0.2">
      <c r="A85" s="402" t="s">
        <v>167</v>
      </c>
      <c r="B85" s="403"/>
      <c r="C85" s="404" t="s">
        <v>168</v>
      </c>
      <c r="D85" s="405">
        <v>43019</v>
      </c>
      <c r="E85" s="406"/>
      <c r="F85" s="325"/>
      <c r="G85" s="324"/>
      <c r="H85" s="324">
        <v>636</v>
      </c>
      <c r="I85" s="325">
        <v>588</v>
      </c>
      <c r="J85" s="325">
        <v>0</v>
      </c>
      <c r="K85" s="325">
        <f t="shared" si="10"/>
        <v>0</v>
      </c>
      <c r="L85" s="325">
        <f t="shared" si="11"/>
        <v>0</v>
      </c>
      <c r="M85" s="407">
        <v>2.5</v>
      </c>
      <c r="N85" s="408" t="s">
        <v>17</v>
      </c>
      <c r="O85" s="325">
        <f t="shared" si="15"/>
        <v>0</v>
      </c>
      <c r="P85" s="325">
        <f t="shared" si="16"/>
        <v>0</v>
      </c>
      <c r="Q85" s="325">
        <f t="shared" si="17"/>
        <v>0</v>
      </c>
      <c r="R85" s="325">
        <f t="shared" si="12"/>
        <v>0</v>
      </c>
      <c r="S85" s="325">
        <f t="shared" si="13"/>
        <v>7</v>
      </c>
      <c r="T85" s="325">
        <f t="shared" si="18"/>
        <v>7</v>
      </c>
      <c r="U85" s="325">
        <f t="shared" si="14"/>
        <v>581</v>
      </c>
      <c r="V85" s="325">
        <f t="shared" si="19"/>
        <v>0</v>
      </c>
      <c r="W85" s="449" cm="1">
        <f t="array" ref="W85">+IF(U85&lt;0,error,0)</f>
        <v>0</v>
      </c>
    </row>
    <row r="86" spans="1:23" ht="18" customHeight="1" x14ac:dyDescent="0.2">
      <c r="A86" s="402" t="s">
        <v>169</v>
      </c>
      <c r="B86" s="403"/>
      <c r="C86" s="404" t="s">
        <v>170</v>
      </c>
      <c r="D86" s="405">
        <v>43069</v>
      </c>
      <c r="E86" s="406"/>
      <c r="F86" s="325"/>
      <c r="G86" s="324"/>
      <c r="H86" s="324">
        <v>472.5</v>
      </c>
      <c r="I86" s="325">
        <v>439.5</v>
      </c>
      <c r="J86" s="325">
        <v>0</v>
      </c>
      <c r="K86" s="325">
        <f t="shared" si="10"/>
        <v>0</v>
      </c>
      <c r="L86" s="325">
        <f t="shared" si="11"/>
        <v>0</v>
      </c>
      <c r="M86" s="407">
        <v>2.5</v>
      </c>
      <c r="N86" s="408" t="s">
        <v>17</v>
      </c>
      <c r="O86" s="325">
        <f t="shared" si="15"/>
        <v>0</v>
      </c>
      <c r="P86" s="325">
        <f t="shared" si="16"/>
        <v>0</v>
      </c>
      <c r="Q86" s="325">
        <f t="shared" si="17"/>
        <v>0</v>
      </c>
      <c r="R86" s="325">
        <f t="shared" si="12"/>
        <v>0</v>
      </c>
      <c r="S86" s="325">
        <f t="shared" si="13"/>
        <v>5</v>
      </c>
      <c r="T86" s="325">
        <f t="shared" si="18"/>
        <v>5</v>
      </c>
      <c r="U86" s="325">
        <f t="shared" si="14"/>
        <v>434.5</v>
      </c>
      <c r="V86" s="325">
        <f t="shared" si="19"/>
        <v>0</v>
      </c>
      <c r="W86" s="449" cm="1">
        <f t="array" ref="W86">+IF(U86&lt;0,error,0)</f>
        <v>0</v>
      </c>
    </row>
    <row r="87" spans="1:23" ht="18" customHeight="1" x14ac:dyDescent="0.2">
      <c r="A87" s="402" t="s">
        <v>171</v>
      </c>
      <c r="B87" s="403"/>
      <c r="C87" s="404" t="s">
        <v>172</v>
      </c>
      <c r="D87" s="405">
        <v>43008</v>
      </c>
      <c r="E87" s="406"/>
      <c r="F87" s="325"/>
      <c r="G87" s="324"/>
      <c r="H87" s="324">
        <v>945</v>
      </c>
      <c r="I87" s="325">
        <v>871</v>
      </c>
      <c r="J87" s="325">
        <v>0</v>
      </c>
      <c r="K87" s="325">
        <f t="shared" si="10"/>
        <v>0</v>
      </c>
      <c r="L87" s="325">
        <f t="shared" si="11"/>
        <v>0</v>
      </c>
      <c r="M87" s="407">
        <v>2.5</v>
      </c>
      <c r="N87" s="408" t="s">
        <v>17</v>
      </c>
      <c r="O87" s="325">
        <f t="shared" si="15"/>
        <v>0</v>
      </c>
      <c r="P87" s="325">
        <f t="shared" si="16"/>
        <v>0</v>
      </c>
      <c r="Q87" s="325">
        <f t="shared" si="17"/>
        <v>0</v>
      </c>
      <c r="R87" s="325">
        <f t="shared" si="12"/>
        <v>0</v>
      </c>
      <c r="S87" s="325">
        <f t="shared" si="13"/>
        <v>11</v>
      </c>
      <c r="T87" s="325">
        <f t="shared" si="18"/>
        <v>11</v>
      </c>
      <c r="U87" s="325">
        <f t="shared" si="14"/>
        <v>860</v>
      </c>
      <c r="V87" s="325">
        <f t="shared" si="19"/>
        <v>0</v>
      </c>
      <c r="W87" s="449" cm="1">
        <f t="array" ref="W87">+IF(U87&lt;0,error,0)</f>
        <v>0</v>
      </c>
    </row>
    <row r="88" spans="1:23" ht="18" customHeight="1" x14ac:dyDescent="0.2">
      <c r="A88" s="402" t="s">
        <v>173</v>
      </c>
      <c r="B88" s="403"/>
      <c r="C88" s="404" t="s">
        <v>174</v>
      </c>
      <c r="D88" s="405">
        <v>43077</v>
      </c>
      <c r="E88" s="406"/>
      <c r="F88" s="325"/>
      <c r="G88" s="324"/>
      <c r="H88" s="324">
        <v>650</v>
      </c>
      <c r="I88" s="325">
        <v>601</v>
      </c>
      <c r="J88" s="325">
        <v>0</v>
      </c>
      <c r="K88" s="325">
        <f t="shared" si="10"/>
        <v>0</v>
      </c>
      <c r="L88" s="325">
        <f t="shared" si="11"/>
        <v>0</v>
      </c>
      <c r="M88" s="407">
        <v>2.5</v>
      </c>
      <c r="N88" s="408" t="s">
        <v>17</v>
      </c>
      <c r="O88" s="325">
        <f t="shared" si="15"/>
        <v>0</v>
      </c>
      <c r="P88" s="325">
        <f t="shared" si="16"/>
        <v>0</v>
      </c>
      <c r="Q88" s="325">
        <f t="shared" si="17"/>
        <v>0</v>
      </c>
      <c r="R88" s="325">
        <f t="shared" si="12"/>
        <v>0</v>
      </c>
      <c r="S88" s="325">
        <f t="shared" si="13"/>
        <v>8</v>
      </c>
      <c r="T88" s="325">
        <f t="shared" si="18"/>
        <v>8</v>
      </c>
      <c r="U88" s="325">
        <f t="shared" si="14"/>
        <v>593</v>
      </c>
      <c r="V88" s="325">
        <f t="shared" si="19"/>
        <v>0</v>
      </c>
      <c r="W88" s="449" cm="1">
        <f t="array" ref="W88">+IF(U88&lt;0,error,0)</f>
        <v>0</v>
      </c>
    </row>
    <row r="89" spans="1:23" ht="18" customHeight="1" x14ac:dyDescent="0.2">
      <c r="A89" s="402" t="s">
        <v>175</v>
      </c>
      <c r="B89" s="403"/>
      <c r="C89" s="412" t="s">
        <v>176</v>
      </c>
      <c r="D89" s="405">
        <v>43116</v>
      </c>
      <c r="E89" s="406"/>
      <c r="F89" s="325"/>
      <c r="G89" s="324"/>
      <c r="H89" s="324">
        <v>420</v>
      </c>
      <c r="I89" s="325">
        <v>390</v>
      </c>
      <c r="J89" s="325">
        <v>0</v>
      </c>
      <c r="K89" s="325">
        <f t="shared" si="10"/>
        <v>0</v>
      </c>
      <c r="L89" s="325">
        <f t="shared" si="11"/>
        <v>0</v>
      </c>
      <c r="M89" s="407">
        <v>2.5</v>
      </c>
      <c r="N89" s="408" t="s">
        <v>17</v>
      </c>
      <c r="O89" s="325">
        <f t="shared" si="15"/>
        <v>0</v>
      </c>
      <c r="P89" s="325">
        <f t="shared" si="16"/>
        <v>0</v>
      </c>
      <c r="Q89" s="325">
        <f t="shared" si="17"/>
        <v>0</v>
      </c>
      <c r="R89" s="325">
        <f t="shared" si="12"/>
        <v>0</v>
      </c>
      <c r="S89" s="325">
        <f t="shared" si="13"/>
        <v>5</v>
      </c>
      <c r="T89" s="325">
        <f t="shared" si="18"/>
        <v>5</v>
      </c>
      <c r="U89" s="325">
        <f t="shared" si="14"/>
        <v>385</v>
      </c>
      <c r="V89" s="325">
        <f t="shared" si="19"/>
        <v>0</v>
      </c>
      <c r="W89" s="449" cm="1">
        <f t="array" ref="W89">+IF(U89&lt;0,error,0)</f>
        <v>0</v>
      </c>
    </row>
    <row r="90" spans="1:23" ht="18" customHeight="1" x14ac:dyDescent="0.2">
      <c r="A90" s="402" t="s">
        <v>177</v>
      </c>
      <c r="B90" s="403"/>
      <c r="C90" s="411" t="s">
        <v>178</v>
      </c>
      <c r="D90" s="405">
        <v>43182</v>
      </c>
      <c r="E90" s="406"/>
      <c r="F90" s="325"/>
      <c r="G90" s="324"/>
      <c r="H90" s="324">
        <v>740</v>
      </c>
      <c r="I90" s="325">
        <v>690</v>
      </c>
      <c r="J90" s="325">
        <v>0</v>
      </c>
      <c r="K90" s="325">
        <f t="shared" si="10"/>
        <v>0</v>
      </c>
      <c r="L90" s="325">
        <f t="shared" si="11"/>
        <v>0</v>
      </c>
      <c r="M90" s="407">
        <v>2.5</v>
      </c>
      <c r="N90" s="408" t="s">
        <v>17</v>
      </c>
      <c r="O90" s="325">
        <f t="shared" si="15"/>
        <v>0</v>
      </c>
      <c r="P90" s="325">
        <f t="shared" si="16"/>
        <v>0</v>
      </c>
      <c r="Q90" s="325">
        <f t="shared" si="17"/>
        <v>0</v>
      </c>
      <c r="R90" s="325">
        <f t="shared" si="12"/>
        <v>0</v>
      </c>
      <c r="S90" s="325">
        <f t="shared" si="13"/>
        <v>9</v>
      </c>
      <c r="T90" s="325">
        <f t="shared" si="18"/>
        <v>9</v>
      </c>
      <c r="U90" s="325">
        <f t="shared" si="14"/>
        <v>681</v>
      </c>
      <c r="V90" s="325">
        <f t="shared" si="19"/>
        <v>0</v>
      </c>
      <c r="W90" s="449" cm="1">
        <f t="array" ref="W90">+IF(U90&lt;0,error,0)</f>
        <v>0</v>
      </c>
    </row>
    <row r="91" spans="1:23" ht="18" customHeight="1" x14ac:dyDescent="0.2">
      <c r="A91" s="402" t="s">
        <v>179</v>
      </c>
      <c r="B91" s="403"/>
      <c r="C91" s="412" t="s">
        <v>180</v>
      </c>
      <c r="D91" s="405">
        <v>43034</v>
      </c>
      <c r="E91" s="406"/>
      <c r="F91" s="325"/>
      <c r="G91" s="324"/>
      <c r="H91" s="324">
        <v>910</v>
      </c>
      <c r="I91" s="325">
        <v>839</v>
      </c>
      <c r="J91" s="325">
        <v>0</v>
      </c>
      <c r="K91" s="325">
        <f t="shared" si="10"/>
        <v>0</v>
      </c>
      <c r="L91" s="325">
        <f t="shared" si="11"/>
        <v>0</v>
      </c>
      <c r="M91" s="407">
        <v>2.5</v>
      </c>
      <c r="N91" s="408" t="s">
        <v>17</v>
      </c>
      <c r="O91" s="325">
        <f t="shared" si="15"/>
        <v>0</v>
      </c>
      <c r="P91" s="325">
        <f t="shared" si="16"/>
        <v>0</v>
      </c>
      <c r="Q91" s="325">
        <f t="shared" si="17"/>
        <v>0</v>
      </c>
      <c r="R91" s="325">
        <f t="shared" si="12"/>
        <v>0</v>
      </c>
      <c r="S91" s="325">
        <f t="shared" si="13"/>
        <v>11</v>
      </c>
      <c r="T91" s="325">
        <f t="shared" si="18"/>
        <v>11</v>
      </c>
      <c r="U91" s="325">
        <f t="shared" si="14"/>
        <v>828</v>
      </c>
      <c r="V91" s="325">
        <f t="shared" si="19"/>
        <v>0</v>
      </c>
      <c r="W91" s="449" cm="1">
        <f t="array" ref="W91">+IF(U91&lt;0,error,0)</f>
        <v>0</v>
      </c>
    </row>
    <row r="92" spans="1:23" ht="18" customHeight="1" x14ac:dyDescent="0.2">
      <c r="A92" s="402" t="s">
        <v>181</v>
      </c>
      <c r="B92" s="403"/>
      <c r="C92" s="411" t="s">
        <v>145</v>
      </c>
      <c r="D92" s="405">
        <v>43068</v>
      </c>
      <c r="E92" s="406"/>
      <c r="F92" s="325"/>
      <c r="G92" s="324"/>
      <c r="H92" s="324">
        <v>499.40000000000003</v>
      </c>
      <c r="I92" s="325">
        <v>462.40000000000003</v>
      </c>
      <c r="J92" s="325">
        <v>0</v>
      </c>
      <c r="K92" s="325">
        <f t="shared" si="10"/>
        <v>0</v>
      </c>
      <c r="L92" s="325">
        <f t="shared" si="11"/>
        <v>0</v>
      </c>
      <c r="M92" s="407">
        <v>2.5</v>
      </c>
      <c r="N92" s="408" t="s">
        <v>17</v>
      </c>
      <c r="O92" s="325">
        <f t="shared" si="15"/>
        <v>0</v>
      </c>
      <c r="P92" s="325">
        <f t="shared" si="16"/>
        <v>0</v>
      </c>
      <c r="Q92" s="325">
        <f t="shared" si="17"/>
        <v>0</v>
      </c>
      <c r="R92" s="325">
        <f t="shared" si="12"/>
        <v>0</v>
      </c>
      <c r="S92" s="325">
        <f t="shared" si="13"/>
        <v>6</v>
      </c>
      <c r="T92" s="325">
        <f t="shared" si="18"/>
        <v>6</v>
      </c>
      <c r="U92" s="325">
        <f t="shared" si="14"/>
        <v>456.40000000000003</v>
      </c>
      <c r="V92" s="325">
        <f t="shared" si="19"/>
        <v>0</v>
      </c>
      <c r="W92" s="449" cm="1">
        <f t="array" ref="W92">+IF(U92&lt;0,error,0)</f>
        <v>0</v>
      </c>
    </row>
    <row r="93" spans="1:23" ht="18" customHeight="1" x14ac:dyDescent="0.2">
      <c r="A93" s="402" t="s">
        <v>182</v>
      </c>
      <c r="B93" s="403"/>
      <c r="C93" s="404" t="s">
        <v>183</v>
      </c>
      <c r="D93" s="405">
        <v>43152</v>
      </c>
      <c r="E93" s="406"/>
      <c r="F93" s="325"/>
      <c r="G93" s="324"/>
      <c r="H93" s="324">
        <v>810</v>
      </c>
      <c r="I93" s="325">
        <v>754</v>
      </c>
      <c r="J93" s="325">
        <v>0</v>
      </c>
      <c r="K93" s="325">
        <f t="shared" si="10"/>
        <v>0</v>
      </c>
      <c r="L93" s="325">
        <f t="shared" si="11"/>
        <v>0</v>
      </c>
      <c r="M93" s="407">
        <v>2.5</v>
      </c>
      <c r="N93" s="408" t="s">
        <v>17</v>
      </c>
      <c r="O93" s="325">
        <f t="shared" si="15"/>
        <v>0</v>
      </c>
      <c r="P93" s="325">
        <f t="shared" si="16"/>
        <v>0</v>
      </c>
      <c r="Q93" s="325">
        <f t="shared" si="17"/>
        <v>0</v>
      </c>
      <c r="R93" s="325">
        <f t="shared" si="12"/>
        <v>0</v>
      </c>
      <c r="S93" s="325">
        <f t="shared" si="13"/>
        <v>10</v>
      </c>
      <c r="T93" s="325">
        <f t="shared" si="18"/>
        <v>10</v>
      </c>
      <c r="U93" s="325">
        <f t="shared" si="14"/>
        <v>744</v>
      </c>
      <c r="V93" s="325">
        <f t="shared" si="19"/>
        <v>0</v>
      </c>
      <c r="W93" s="449" cm="1">
        <f t="array" ref="W93">+IF(U93&lt;0,error,0)</f>
        <v>0</v>
      </c>
    </row>
    <row r="94" spans="1:23" ht="18" customHeight="1" x14ac:dyDescent="0.2">
      <c r="A94" s="402" t="s">
        <v>184</v>
      </c>
      <c r="B94" s="403"/>
      <c r="C94" s="404" t="s">
        <v>185</v>
      </c>
      <c r="D94" s="405">
        <v>43249</v>
      </c>
      <c r="E94" s="406"/>
      <c r="F94" s="325"/>
      <c r="G94" s="324"/>
      <c r="H94" s="324">
        <v>722.39</v>
      </c>
      <c r="I94" s="325">
        <v>675.39</v>
      </c>
      <c r="J94" s="325">
        <v>0</v>
      </c>
      <c r="K94" s="325">
        <f t="shared" si="10"/>
        <v>0</v>
      </c>
      <c r="L94" s="325">
        <f t="shared" si="11"/>
        <v>0</v>
      </c>
      <c r="M94" s="407">
        <v>2.5</v>
      </c>
      <c r="N94" s="408" t="s">
        <v>17</v>
      </c>
      <c r="O94" s="325">
        <f t="shared" si="15"/>
        <v>0</v>
      </c>
      <c r="P94" s="325">
        <f t="shared" si="16"/>
        <v>0</v>
      </c>
      <c r="Q94" s="325">
        <f t="shared" si="17"/>
        <v>0</v>
      </c>
      <c r="R94" s="325">
        <f t="shared" si="12"/>
        <v>0</v>
      </c>
      <c r="S94" s="325">
        <f t="shared" si="13"/>
        <v>9</v>
      </c>
      <c r="T94" s="325">
        <f t="shared" si="18"/>
        <v>9</v>
      </c>
      <c r="U94" s="325">
        <f t="shared" si="14"/>
        <v>666.39</v>
      </c>
      <c r="V94" s="325">
        <f t="shared" si="19"/>
        <v>0</v>
      </c>
      <c r="W94" s="449" cm="1">
        <f t="array" ref="W94">+IF(U94&lt;0,error,0)</f>
        <v>0</v>
      </c>
    </row>
    <row r="95" spans="1:23" ht="18" customHeight="1" x14ac:dyDescent="0.2">
      <c r="A95" s="402" t="s">
        <v>186</v>
      </c>
      <c r="B95" s="403"/>
      <c r="C95" s="404" t="s">
        <v>187</v>
      </c>
      <c r="D95" s="405">
        <v>43264</v>
      </c>
      <c r="E95" s="406"/>
      <c r="F95" s="325"/>
      <c r="G95" s="324"/>
      <c r="H95" s="324">
        <v>310</v>
      </c>
      <c r="I95" s="325">
        <v>293</v>
      </c>
      <c r="J95" s="325">
        <v>0</v>
      </c>
      <c r="K95" s="325">
        <f t="shared" si="10"/>
        <v>0</v>
      </c>
      <c r="L95" s="325">
        <f t="shared" si="11"/>
        <v>0</v>
      </c>
      <c r="M95" s="407">
        <v>2.5</v>
      </c>
      <c r="N95" s="408" t="s">
        <v>17</v>
      </c>
      <c r="O95" s="325">
        <f t="shared" si="15"/>
        <v>0</v>
      </c>
      <c r="P95" s="325">
        <f t="shared" si="16"/>
        <v>0</v>
      </c>
      <c r="Q95" s="325">
        <f t="shared" si="17"/>
        <v>0</v>
      </c>
      <c r="R95" s="325">
        <f t="shared" si="12"/>
        <v>0</v>
      </c>
      <c r="S95" s="325">
        <f t="shared" si="13"/>
        <v>3</v>
      </c>
      <c r="T95" s="325">
        <f t="shared" si="18"/>
        <v>3</v>
      </c>
      <c r="U95" s="325">
        <f t="shared" si="14"/>
        <v>290</v>
      </c>
      <c r="V95" s="325">
        <f t="shared" si="19"/>
        <v>0</v>
      </c>
      <c r="W95" s="449" cm="1">
        <f t="array" ref="W95">+IF(U95&lt;0,error,0)</f>
        <v>0</v>
      </c>
    </row>
    <row r="96" spans="1:23" ht="18" customHeight="1" x14ac:dyDescent="0.2">
      <c r="A96" s="402" t="s">
        <v>188</v>
      </c>
      <c r="B96" s="403"/>
      <c r="C96" s="404" t="s">
        <v>189</v>
      </c>
      <c r="D96" s="405">
        <v>43281</v>
      </c>
      <c r="E96" s="406"/>
      <c r="F96" s="325"/>
      <c r="G96" s="324"/>
      <c r="H96" s="324">
        <v>434</v>
      </c>
      <c r="I96" s="325">
        <v>407</v>
      </c>
      <c r="J96" s="325">
        <v>0</v>
      </c>
      <c r="K96" s="325">
        <f t="shared" si="10"/>
        <v>0</v>
      </c>
      <c r="L96" s="325">
        <f t="shared" si="11"/>
        <v>0</v>
      </c>
      <c r="M96" s="407">
        <v>2.5</v>
      </c>
      <c r="N96" s="408" t="s">
        <v>17</v>
      </c>
      <c r="O96" s="325">
        <f t="shared" si="15"/>
        <v>0</v>
      </c>
      <c r="P96" s="325">
        <f t="shared" si="16"/>
        <v>0</v>
      </c>
      <c r="Q96" s="325">
        <f t="shared" si="17"/>
        <v>0</v>
      </c>
      <c r="R96" s="325">
        <f t="shared" si="12"/>
        <v>0</v>
      </c>
      <c r="S96" s="325">
        <f t="shared" si="13"/>
        <v>5</v>
      </c>
      <c r="T96" s="325">
        <f t="shared" si="18"/>
        <v>5</v>
      </c>
      <c r="U96" s="325">
        <f t="shared" si="14"/>
        <v>402</v>
      </c>
      <c r="V96" s="325">
        <f t="shared" si="19"/>
        <v>0</v>
      </c>
      <c r="W96" s="449" cm="1">
        <f t="array" ref="W96">+IF(U96&lt;0,error,0)</f>
        <v>0</v>
      </c>
    </row>
    <row r="97" spans="1:23" ht="18" customHeight="1" x14ac:dyDescent="0.2">
      <c r="A97" s="402" t="s">
        <v>190</v>
      </c>
      <c r="B97" s="403"/>
      <c r="C97" s="412" t="s">
        <v>191</v>
      </c>
      <c r="D97" s="405">
        <v>42989</v>
      </c>
      <c r="E97" s="406"/>
      <c r="F97" s="325"/>
      <c r="G97" s="324"/>
      <c r="H97" s="324">
        <v>190</v>
      </c>
      <c r="I97" s="325">
        <v>176</v>
      </c>
      <c r="J97" s="325">
        <v>0</v>
      </c>
      <c r="K97" s="325">
        <f t="shared" si="10"/>
        <v>0</v>
      </c>
      <c r="L97" s="325">
        <f t="shared" si="11"/>
        <v>0</v>
      </c>
      <c r="M97" s="407">
        <v>2.5</v>
      </c>
      <c r="N97" s="408" t="s">
        <v>17</v>
      </c>
      <c r="O97" s="325">
        <f t="shared" si="15"/>
        <v>0</v>
      </c>
      <c r="P97" s="325">
        <f t="shared" si="16"/>
        <v>0</v>
      </c>
      <c r="Q97" s="325">
        <f t="shared" si="17"/>
        <v>0</v>
      </c>
      <c r="R97" s="325">
        <f t="shared" si="12"/>
        <v>0</v>
      </c>
      <c r="S97" s="325">
        <f t="shared" si="13"/>
        <v>2</v>
      </c>
      <c r="T97" s="325">
        <f t="shared" si="18"/>
        <v>2</v>
      </c>
      <c r="U97" s="325">
        <f t="shared" si="14"/>
        <v>174</v>
      </c>
      <c r="V97" s="325">
        <f t="shared" si="19"/>
        <v>0</v>
      </c>
      <c r="W97" s="449" cm="1">
        <f t="array" ref="W97">+IF(U97&lt;0,error,0)</f>
        <v>0</v>
      </c>
    </row>
    <row r="98" spans="1:23" ht="18" customHeight="1" x14ac:dyDescent="0.2">
      <c r="A98" s="402" t="s">
        <v>192</v>
      </c>
      <c r="B98" s="403"/>
      <c r="C98" s="412" t="s">
        <v>193</v>
      </c>
      <c r="D98" s="405">
        <v>42992</v>
      </c>
      <c r="E98" s="406"/>
      <c r="F98" s="325"/>
      <c r="G98" s="324"/>
      <c r="H98" s="324">
        <v>42.4</v>
      </c>
      <c r="I98" s="325">
        <v>40.4</v>
      </c>
      <c r="J98" s="325">
        <v>0</v>
      </c>
      <c r="K98" s="325">
        <f t="shared" si="10"/>
        <v>0</v>
      </c>
      <c r="L98" s="325">
        <f t="shared" si="11"/>
        <v>0</v>
      </c>
      <c r="M98" s="407">
        <v>2.5</v>
      </c>
      <c r="N98" s="408" t="s">
        <v>17</v>
      </c>
      <c r="O98" s="325">
        <f t="shared" si="15"/>
        <v>0</v>
      </c>
      <c r="P98" s="325">
        <f t="shared" si="16"/>
        <v>0</v>
      </c>
      <c r="Q98" s="325">
        <f t="shared" si="17"/>
        <v>0</v>
      </c>
      <c r="R98" s="325">
        <f t="shared" si="12"/>
        <v>0</v>
      </c>
      <c r="S98" s="325">
        <f t="shared" si="13"/>
        <v>0</v>
      </c>
      <c r="T98" s="325">
        <f t="shared" si="18"/>
        <v>0</v>
      </c>
      <c r="U98" s="325">
        <f t="shared" si="14"/>
        <v>40.4</v>
      </c>
      <c r="V98" s="325">
        <f t="shared" si="19"/>
        <v>0</v>
      </c>
      <c r="W98" s="449" cm="1">
        <f t="array" ref="W98">+IF(U98&lt;0,error,0)</f>
        <v>0</v>
      </c>
    </row>
    <row r="99" spans="1:23" ht="18" customHeight="1" x14ac:dyDescent="0.2">
      <c r="A99" s="402" t="s">
        <v>194</v>
      </c>
      <c r="B99" s="403"/>
      <c r="C99" s="412" t="s">
        <v>195</v>
      </c>
      <c r="D99" s="405">
        <v>42998</v>
      </c>
      <c r="E99" s="406"/>
      <c r="F99" s="325"/>
      <c r="G99" s="324"/>
      <c r="H99" s="324">
        <v>242</v>
      </c>
      <c r="I99" s="325">
        <v>222</v>
      </c>
      <c r="J99" s="325">
        <v>0</v>
      </c>
      <c r="K99" s="325">
        <f t="shared" si="10"/>
        <v>0</v>
      </c>
      <c r="L99" s="325">
        <f t="shared" si="11"/>
        <v>0</v>
      </c>
      <c r="M99" s="407">
        <v>2.5</v>
      </c>
      <c r="N99" s="408" t="s">
        <v>17</v>
      </c>
      <c r="O99" s="325">
        <f t="shared" si="15"/>
        <v>0</v>
      </c>
      <c r="P99" s="325">
        <f t="shared" si="16"/>
        <v>0</v>
      </c>
      <c r="Q99" s="325">
        <f t="shared" si="17"/>
        <v>0</v>
      </c>
      <c r="R99" s="325">
        <f t="shared" si="12"/>
        <v>0</v>
      </c>
      <c r="S99" s="325">
        <f t="shared" si="13"/>
        <v>3</v>
      </c>
      <c r="T99" s="325">
        <f t="shared" si="18"/>
        <v>3</v>
      </c>
      <c r="U99" s="325">
        <f t="shared" si="14"/>
        <v>219</v>
      </c>
      <c r="V99" s="325">
        <f t="shared" si="19"/>
        <v>0</v>
      </c>
      <c r="W99" s="449" cm="1">
        <f t="array" ref="W99">+IF(U99&lt;0,error,0)</f>
        <v>0</v>
      </c>
    </row>
    <row r="100" spans="1:23" ht="18" customHeight="1" x14ac:dyDescent="0.2">
      <c r="A100" s="402" t="s">
        <v>196</v>
      </c>
      <c r="B100" s="403"/>
      <c r="C100" s="412" t="s">
        <v>197</v>
      </c>
      <c r="D100" s="405">
        <v>43257</v>
      </c>
      <c r="E100" s="406"/>
      <c r="F100" s="325"/>
      <c r="G100" s="324"/>
      <c r="H100" s="324">
        <v>259.2</v>
      </c>
      <c r="I100" s="325">
        <v>243.2</v>
      </c>
      <c r="J100" s="325">
        <v>0</v>
      </c>
      <c r="K100" s="325">
        <f t="shared" si="10"/>
        <v>0</v>
      </c>
      <c r="L100" s="325">
        <f t="shared" si="11"/>
        <v>0</v>
      </c>
      <c r="M100" s="407">
        <v>2.5</v>
      </c>
      <c r="N100" s="408" t="s">
        <v>17</v>
      </c>
      <c r="O100" s="325">
        <f t="shared" si="15"/>
        <v>0</v>
      </c>
      <c r="P100" s="325">
        <f t="shared" si="16"/>
        <v>0</v>
      </c>
      <c r="Q100" s="325">
        <f t="shared" si="17"/>
        <v>0</v>
      </c>
      <c r="R100" s="325">
        <f t="shared" si="12"/>
        <v>0</v>
      </c>
      <c r="S100" s="325">
        <f t="shared" si="13"/>
        <v>3</v>
      </c>
      <c r="T100" s="325">
        <f t="shared" si="18"/>
        <v>3</v>
      </c>
      <c r="U100" s="325">
        <f t="shared" si="14"/>
        <v>240.2</v>
      </c>
      <c r="V100" s="325">
        <f t="shared" si="19"/>
        <v>0</v>
      </c>
      <c r="W100" s="449" cm="1">
        <f t="array" ref="W100">+IF(U100&lt;0,error,0)</f>
        <v>0</v>
      </c>
    </row>
    <row r="101" spans="1:23" ht="18" customHeight="1" x14ac:dyDescent="0.2">
      <c r="A101" s="402" t="s">
        <v>198</v>
      </c>
      <c r="B101" s="403"/>
      <c r="C101" s="411" t="s">
        <v>199</v>
      </c>
      <c r="D101" s="405">
        <v>43020</v>
      </c>
      <c r="E101" s="406"/>
      <c r="F101" s="325"/>
      <c r="G101" s="324"/>
      <c r="H101" s="324">
        <v>160</v>
      </c>
      <c r="I101" s="325">
        <v>147</v>
      </c>
      <c r="J101" s="325">
        <v>0</v>
      </c>
      <c r="K101" s="325">
        <f t="shared" si="10"/>
        <v>0</v>
      </c>
      <c r="L101" s="325">
        <f t="shared" si="11"/>
        <v>0</v>
      </c>
      <c r="M101" s="407">
        <v>2.5</v>
      </c>
      <c r="N101" s="408" t="s">
        <v>17</v>
      </c>
      <c r="O101" s="325">
        <f t="shared" si="15"/>
        <v>0</v>
      </c>
      <c r="P101" s="325">
        <f t="shared" si="16"/>
        <v>0</v>
      </c>
      <c r="Q101" s="325">
        <f t="shared" si="17"/>
        <v>0</v>
      </c>
      <c r="R101" s="325">
        <f t="shared" si="12"/>
        <v>0</v>
      </c>
      <c r="S101" s="325">
        <f t="shared" si="13"/>
        <v>2</v>
      </c>
      <c r="T101" s="325">
        <f t="shared" si="18"/>
        <v>2</v>
      </c>
      <c r="U101" s="325">
        <f t="shared" si="14"/>
        <v>145</v>
      </c>
      <c r="V101" s="325">
        <f t="shared" si="19"/>
        <v>0</v>
      </c>
      <c r="W101" s="449" cm="1">
        <f t="array" ref="W101">+IF(U101&lt;0,error,0)</f>
        <v>0</v>
      </c>
    </row>
    <row r="102" spans="1:23" ht="18" customHeight="1" x14ac:dyDescent="0.2">
      <c r="A102" s="402" t="s">
        <v>200</v>
      </c>
      <c r="B102" s="403"/>
      <c r="C102" s="404" t="s">
        <v>201</v>
      </c>
      <c r="D102" s="405">
        <v>43045</v>
      </c>
      <c r="E102" s="406"/>
      <c r="F102" s="325"/>
      <c r="G102" s="324"/>
      <c r="H102" s="324">
        <v>72.11</v>
      </c>
      <c r="I102" s="325">
        <v>69.11</v>
      </c>
      <c r="J102" s="325">
        <v>0</v>
      </c>
      <c r="K102" s="325">
        <f t="shared" si="10"/>
        <v>0</v>
      </c>
      <c r="L102" s="325">
        <f t="shared" si="11"/>
        <v>0</v>
      </c>
      <c r="M102" s="407">
        <v>2.5</v>
      </c>
      <c r="N102" s="408" t="s">
        <v>17</v>
      </c>
      <c r="O102" s="325">
        <f t="shared" si="15"/>
        <v>0</v>
      </c>
      <c r="P102" s="325">
        <f t="shared" si="16"/>
        <v>0</v>
      </c>
      <c r="Q102" s="325">
        <f t="shared" si="17"/>
        <v>0</v>
      </c>
      <c r="R102" s="325">
        <f t="shared" si="12"/>
        <v>0</v>
      </c>
      <c r="S102" s="325">
        <f t="shared" si="13"/>
        <v>0</v>
      </c>
      <c r="T102" s="325">
        <f t="shared" si="18"/>
        <v>0</v>
      </c>
      <c r="U102" s="325">
        <f t="shared" si="14"/>
        <v>69.11</v>
      </c>
      <c r="V102" s="325">
        <f t="shared" si="19"/>
        <v>0</v>
      </c>
      <c r="W102" s="449" cm="1">
        <f t="array" ref="W102">+IF(U102&lt;0,error,0)</f>
        <v>0</v>
      </c>
    </row>
    <row r="103" spans="1:23" ht="18" customHeight="1" x14ac:dyDescent="0.2">
      <c r="A103" s="402" t="s">
        <v>202</v>
      </c>
      <c r="B103" s="403"/>
      <c r="C103" s="412" t="s">
        <v>203</v>
      </c>
      <c r="D103" s="405">
        <v>43045</v>
      </c>
      <c r="E103" s="406"/>
      <c r="F103" s="325"/>
      <c r="G103" s="324"/>
      <c r="H103" s="324">
        <v>4.84</v>
      </c>
      <c r="I103" s="325">
        <v>2.84</v>
      </c>
      <c r="J103" s="325">
        <v>0</v>
      </c>
      <c r="K103" s="325">
        <f t="shared" si="10"/>
        <v>0</v>
      </c>
      <c r="L103" s="325">
        <f t="shared" si="11"/>
        <v>0</v>
      </c>
      <c r="M103" s="407">
        <v>2.5</v>
      </c>
      <c r="N103" s="408" t="s">
        <v>17</v>
      </c>
      <c r="O103" s="325">
        <f t="shared" si="15"/>
        <v>0</v>
      </c>
      <c r="P103" s="325">
        <f t="shared" si="16"/>
        <v>0</v>
      </c>
      <c r="Q103" s="325">
        <f t="shared" si="17"/>
        <v>0</v>
      </c>
      <c r="R103" s="325">
        <f t="shared" si="12"/>
        <v>0</v>
      </c>
      <c r="S103" s="325">
        <f t="shared" si="13"/>
        <v>0</v>
      </c>
      <c r="T103" s="325">
        <f t="shared" si="18"/>
        <v>0</v>
      </c>
      <c r="U103" s="325">
        <f t="shared" si="14"/>
        <v>2.84</v>
      </c>
      <c r="V103" s="325">
        <f t="shared" si="19"/>
        <v>0</v>
      </c>
      <c r="W103" s="449" cm="1">
        <f t="array" ref="W103">+IF(U103&lt;0,error,0)</f>
        <v>0</v>
      </c>
    </row>
    <row r="104" spans="1:23" ht="18" customHeight="1" x14ac:dyDescent="0.2">
      <c r="A104" s="402" t="s">
        <v>204</v>
      </c>
      <c r="B104" s="403"/>
      <c r="C104" s="411" t="s">
        <v>205</v>
      </c>
      <c r="D104" s="405">
        <v>43077</v>
      </c>
      <c r="E104" s="406"/>
      <c r="F104" s="325"/>
      <c r="G104" s="324"/>
      <c r="H104" s="324">
        <v>255.3</v>
      </c>
      <c r="I104" s="325">
        <v>236.3</v>
      </c>
      <c r="J104" s="325">
        <v>0</v>
      </c>
      <c r="K104" s="325">
        <f t="shared" si="10"/>
        <v>0</v>
      </c>
      <c r="L104" s="325">
        <f t="shared" si="11"/>
        <v>0</v>
      </c>
      <c r="M104" s="407">
        <v>2.5</v>
      </c>
      <c r="N104" s="408" t="s">
        <v>17</v>
      </c>
      <c r="O104" s="325">
        <f t="shared" si="15"/>
        <v>0</v>
      </c>
      <c r="P104" s="325">
        <f t="shared" si="16"/>
        <v>0</v>
      </c>
      <c r="Q104" s="325">
        <f t="shared" si="17"/>
        <v>0</v>
      </c>
      <c r="R104" s="325">
        <f t="shared" si="12"/>
        <v>0</v>
      </c>
      <c r="S104" s="325">
        <f t="shared" si="13"/>
        <v>3</v>
      </c>
      <c r="T104" s="325">
        <f t="shared" si="18"/>
        <v>3</v>
      </c>
      <c r="U104" s="325">
        <f t="shared" si="14"/>
        <v>233.3</v>
      </c>
      <c r="V104" s="325">
        <f t="shared" si="19"/>
        <v>0</v>
      </c>
      <c r="W104" s="449" cm="1">
        <f t="array" ref="W104">+IF(U104&lt;0,error,0)</f>
        <v>0</v>
      </c>
    </row>
    <row r="105" spans="1:23" ht="18" customHeight="1" x14ac:dyDescent="0.2">
      <c r="A105" s="402" t="s">
        <v>206</v>
      </c>
      <c r="B105" s="403"/>
      <c r="C105" s="404" t="s">
        <v>207</v>
      </c>
      <c r="D105" s="405">
        <v>43271</v>
      </c>
      <c r="E105" s="406"/>
      <c r="F105" s="325"/>
      <c r="G105" s="324"/>
      <c r="H105" s="324">
        <v>109.18</v>
      </c>
      <c r="I105" s="325">
        <v>103.18</v>
      </c>
      <c r="J105" s="325">
        <v>0</v>
      </c>
      <c r="K105" s="325">
        <f t="shared" si="10"/>
        <v>0</v>
      </c>
      <c r="L105" s="325">
        <f t="shared" si="11"/>
        <v>0</v>
      </c>
      <c r="M105" s="407">
        <v>2.5</v>
      </c>
      <c r="N105" s="408" t="s">
        <v>17</v>
      </c>
      <c r="O105" s="325">
        <f t="shared" si="15"/>
        <v>0</v>
      </c>
      <c r="P105" s="325">
        <f t="shared" si="16"/>
        <v>0</v>
      </c>
      <c r="Q105" s="325">
        <f t="shared" si="17"/>
        <v>0</v>
      </c>
      <c r="R105" s="325">
        <f t="shared" si="12"/>
        <v>0</v>
      </c>
      <c r="S105" s="325">
        <f t="shared" si="13"/>
        <v>1</v>
      </c>
      <c r="T105" s="325">
        <f t="shared" si="18"/>
        <v>1</v>
      </c>
      <c r="U105" s="325">
        <f t="shared" si="14"/>
        <v>102.18</v>
      </c>
      <c r="V105" s="325">
        <f t="shared" si="19"/>
        <v>0</v>
      </c>
      <c r="W105" s="449" cm="1">
        <f t="array" ref="W105">+IF(U105&lt;0,error,0)</f>
        <v>0</v>
      </c>
    </row>
    <row r="106" spans="1:23" ht="18" customHeight="1" x14ac:dyDescent="0.2">
      <c r="A106" s="402" t="s">
        <v>208</v>
      </c>
      <c r="B106" s="403"/>
      <c r="C106" s="404" t="s">
        <v>209</v>
      </c>
      <c r="D106" s="405">
        <v>43269</v>
      </c>
      <c r="E106" s="406"/>
      <c r="F106" s="325"/>
      <c r="G106" s="324"/>
      <c r="H106" s="324">
        <v>163.05000000000001</v>
      </c>
      <c r="I106" s="325">
        <v>152.05000000000001</v>
      </c>
      <c r="J106" s="325">
        <v>0</v>
      </c>
      <c r="K106" s="325">
        <f t="shared" si="10"/>
        <v>0</v>
      </c>
      <c r="L106" s="325">
        <f t="shared" si="11"/>
        <v>0</v>
      </c>
      <c r="M106" s="407">
        <v>2.5</v>
      </c>
      <c r="N106" s="408" t="s">
        <v>17</v>
      </c>
      <c r="O106" s="325">
        <f t="shared" si="15"/>
        <v>0</v>
      </c>
      <c r="P106" s="325">
        <f t="shared" si="16"/>
        <v>0</v>
      </c>
      <c r="Q106" s="325">
        <f t="shared" si="17"/>
        <v>0</v>
      </c>
      <c r="R106" s="325">
        <f t="shared" si="12"/>
        <v>0</v>
      </c>
      <c r="S106" s="325">
        <f t="shared" si="13"/>
        <v>2</v>
      </c>
      <c r="T106" s="325">
        <f t="shared" si="18"/>
        <v>2</v>
      </c>
      <c r="U106" s="325">
        <f t="shared" si="14"/>
        <v>150.05000000000001</v>
      </c>
      <c r="V106" s="325">
        <f t="shared" si="19"/>
        <v>0</v>
      </c>
      <c r="W106" s="449" cm="1">
        <f t="array" ref="W106">+IF(U106&lt;0,error,0)</f>
        <v>0</v>
      </c>
    </row>
    <row r="107" spans="1:23" ht="18" customHeight="1" x14ac:dyDescent="0.2">
      <c r="A107" s="402" t="s">
        <v>210</v>
      </c>
      <c r="B107" s="403"/>
      <c r="C107" s="404" t="s">
        <v>211</v>
      </c>
      <c r="D107" s="405">
        <v>43312</v>
      </c>
      <c r="E107" s="406"/>
      <c r="F107" s="325"/>
      <c r="G107" s="324"/>
      <c r="H107" s="324">
        <v>868</v>
      </c>
      <c r="I107" s="325">
        <v>819</v>
      </c>
      <c r="J107" s="325"/>
      <c r="K107" s="325">
        <f t="shared" si="10"/>
        <v>0</v>
      </c>
      <c r="L107" s="325">
        <f t="shared" si="11"/>
        <v>0</v>
      </c>
      <c r="M107" s="407">
        <v>2.5</v>
      </c>
      <c r="N107" s="408" t="s">
        <v>17</v>
      </c>
      <c r="O107" s="325">
        <f t="shared" si="15"/>
        <v>0</v>
      </c>
      <c r="P107" s="325">
        <f t="shared" si="16"/>
        <v>0</v>
      </c>
      <c r="Q107" s="325">
        <f t="shared" si="17"/>
        <v>0</v>
      </c>
      <c r="R107" s="325">
        <f t="shared" si="12"/>
        <v>0</v>
      </c>
      <c r="S107" s="325">
        <f t="shared" si="13"/>
        <v>10</v>
      </c>
      <c r="T107" s="325">
        <f t="shared" si="18"/>
        <v>10</v>
      </c>
      <c r="U107" s="325">
        <f t="shared" si="14"/>
        <v>809</v>
      </c>
      <c r="V107" s="325">
        <f t="shared" si="19"/>
        <v>0</v>
      </c>
      <c r="W107" s="449" cm="1">
        <f t="array" ref="W107">+IF(U107&lt;0,error,0)</f>
        <v>0</v>
      </c>
    </row>
    <row r="108" spans="1:23" ht="18" customHeight="1" x14ac:dyDescent="0.2">
      <c r="A108" s="402" t="s">
        <v>212</v>
      </c>
      <c r="B108" s="403"/>
      <c r="C108" s="404" t="s">
        <v>213</v>
      </c>
      <c r="D108" s="405">
        <v>43365</v>
      </c>
      <c r="E108" s="406"/>
      <c r="F108" s="325"/>
      <c r="G108" s="324"/>
      <c r="H108" s="324">
        <v>10874.57</v>
      </c>
      <c r="I108" s="325">
        <v>10259.57</v>
      </c>
      <c r="J108" s="325"/>
      <c r="K108" s="325">
        <f t="shared" si="10"/>
        <v>0</v>
      </c>
      <c r="L108" s="325">
        <f t="shared" si="11"/>
        <v>0</v>
      </c>
      <c r="M108" s="407">
        <v>2.5</v>
      </c>
      <c r="N108" s="408" t="s">
        <v>17</v>
      </c>
      <c r="O108" s="325">
        <f t="shared" si="15"/>
        <v>0</v>
      </c>
      <c r="P108" s="325">
        <f t="shared" si="16"/>
        <v>0</v>
      </c>
      <c r="Q108" s="325">
        <f t="shared" si="17"/>
        <v>0</v>
      </c>
      <c r="R108" s="325">
        <f t="shared" si="12"/>
        <v>0</v>
      </c>
      <c r="S108" s="325">
        <f t="shared" si="13"/>
        <v>135</v>
      </c>
      <c r="T108" s="325">
        <f t="shared" si="18"/>
        <v>135</v>
      </c>
      <c r="U108" s="325">
        <f t="shared" si="14"/>
        <v>10124.57</v>
      </c>
      <c r="V108" s="325">
        <f t="shared" si="19"/>
        <v>0</v>
      </c>
      <c r="W108" s="449" cm="1">
        <f t="array" ref="W108">+IF(U108&lt;0,error,0)</f>
        <v>0</v>
      </c>
    </row>
    <row r="109" spans="1:23" ht="18" customHeight="1" x14ac:dyDescent="0.2">
      <c r="A109" s="402" t="s">
        <v>214</v>
      </c>
      <c r="B109" s="403"/>
      <c r="C109" s="404" t="s">
        <v>213</v>
      </c>
      <c r="D109" s="405">
        <v>43370</v>
      </c>
      <c r="E109" s="406"/>
      <c r="F109" s="325"/>
      <c r="G109" s="324"/>
      <c r="H109" s="324">
        <v>3681.65</v>
      </c>
      <c r="I109" s="325">
        <v>3474.65</v>
      </c>
      <c r="J109" s="325"/>
      <c r="K109" s="325">
        <f t="shared" si="10"/>
        <v>0</v>
      </c>
      <c r="L109" s="325">
        <f t="shared" si="11"/>
        <v>0</v>
      </c>
      <c r="M109" s="407">
        <v>2.5</v>
      </c>
      <c r="N109" s="408" t="s">
        <v>17</v>
      </c>
      <c r="O109" s="325">
        <f t="shared" si="15"/>
        <v>0</v>
      </c>
      <c r="P109" s="325">
        <f t="shared" si="16"/>
        <v>0</v>
      </c>
      <c r="Q109" s="325">
        <f t="shared" si="17"/>
        <v>0</v>
      </c>
      <c r="R109" s="325">
        <f t="shared" si="12"/>
        <v>0</v>
      </c>
      <c r="S109" s="325">
        <f t="shared" si="13"/>
        <v>46</v>
      </c>
      <c r="T109" s="325">
        <f t="shared" si="18"/>
        <v>46</v>
      </c>
      <c r="U109" s="325">
        <f t="shared" si="14"/>
        <v>3428.65</v>
      </c>
      <c r="V109" s="325">
        <f t="shared" si="19"/>
        <v>0</v>
      </c>
      <c r="W109" s="449" cm="1">
        <f t="array" ref="W109">+IF(U109&lt;0,error,0)</f>
        <v>0</v>
      </c>
    </row>
    <row r="110" spans="1:23" ht="18" customHeight="1" x14ac:dyDescent="0.2">
      <c r="A110" s="402" t="s">
        <v>215</v>
      </c>
      <c r="B110" s="403"/>
      <c r="C110" s="404" t="s">
        <v>83</v>
      </c>
      <c r="D110" s="405">
        <v>43375</v>
      </c>
      <c r="E110" s="406"/>
      <c r="F110" s="325"/>
      <c r="G110" s="324"/>
      <c r="H110" s="324">
        <v>2735.33</v>
      </c>
      <c r="I110" s="325">
        <v>2583.33</v>
      </c>
      <c r="J110" s="325"/>
      <c r="K110" s="325">
        <f t="shared" si="10"/>
        <v>0</v>
      </c>
      <c r="L110" s="325">
        <f t="shared" si="11"/>
        <v>0</v>
      </c>
      <c r="M110" s="407">
        <v>2.5</v>
      </c>
      <c r="N110" s="408" t="s">
        <v>17</v>
      </c>
      <c r="O110" s="325">
        <f t="shared" si="15"/>
        <v>0</v>
      </c>
      <c r="P110" s="325">
        <f t="shared" si="16"/>
        <v>0</v>
      </c>
      <c r="Q110" s="325">
        <f t="shared" si="17"/>
        <v>0</v>
      </c>
      <c r="R110" s="325">
        <f t="shared" si="12"/>
        <v>0</v>
      </c>
      <c r="S110" s="325">
        <f t="shared" si="13"/>
        <v>34</v>
      </c>
      <c r="T110" s="325">
        <f t="shared" si="18"/>
        <v>34</v>
      </c>
      <c r="U110" s="325">
        <f t="shared" si="14"/>
        <v>2549.33</v>
      </c>
      <c r="V110" s="325">
        <f t="shared" si="19"/>
        <v>0</v>
      </c>
      <c r="W110" s="449" cm="1">
        <f t="array" ref="W110">+IF(U110&lt;0,error,0)</f>
        <v>0</v>
      </c>
    </row>
    <row r="111" spans="1:23" ht="18" customHeight="1" x14ac:dyDescent="0.2">
      <c r="A111" s="402" t="s">
        <v>216</v>
      </c>
      <c r="B111" s="403"/>
      <c r="C111" s="404" t="s">
        <v>217</v>
      </c>
      <c r="D111" s="405">
        <v>43402</v>
      </c>
      <c r="E111" s="406"/>
      <c r="F111" s="325"/>
      <c r="G111" s="324"/>
      <c r="H111" s="324">
        <v>3001.53</v>
      </c>
      <c r="I111" s="325">
        <v>2840.53</v>
      </c>
      <c r="J111" s="325"/>
      <c r="K111" s="325">
        <f t="shared" si="10"/>
        <v>0</v>
      </c>
      <c r="L111" s="325">
        <f t="shared" si="11"/>
        <v>0</v>
      </c>
      <c r="M111" s="407">
        <v>2.5</v>
      </c>
      <c r="N111" s="408" t="s">
        <v>17</v>
      </c>
      <c r="O111" s="325">
        <f t="shared" si="15"/>
        <v>0</v>
      </c>
      <c r="P111" s="325">
        <f t="shared" si="16"/>
        <v>0</v>
      </c>
      <c r="Q111" s="325">
        <f t="shared" si="17"/>
        <v>0</v>
      </c>
      <c r="R111" s="325">
        <f t="shared" si="12"/>
        <v>0</v>
      </c>
      <c r="S111" s="325">
        <f t="shared" si="13"/>
        <v>37</v>
      </c>
      <c r="T111" s="325">
        <f t="shared" si="18"/>
        <v>37</v>
      </c>
      <c r="U111" s="325">
        <f t="shared" si="14"/>
        <v>2803.53</v>
      </c>
      <c r="V111" s="325">
        <f t="shared" si="19"/>
        <v>0</v>
      </c>
      <c r="W111" s="449" cm="1">
        <f t="array" ref="W111">+IF(U111&lt;0,error,0)</f>
        <v>0</v>
      </c>
    </row>
    <row r="112" spans="1:23" ht="18" customHeight="1" x14ac:dyDescent="0.2">
      <c r="A112" s="402" t="s">
        <v>218</v>
      </c>
      <c r="B112" s="403"/>
      <c r="C112" s="404" t="s">
        <v>219</v>
      </c>
      <c r="D112" s="405">
        <v>43403</v>
      </c>
      <c r="E112" s="406"/>
      <c r="F112" s="325"/>
      <c r="G112" s="324"/>
      <c r="H112" s="324">
        <v>650.4</v>
      </c>
      <c r="I112" s="325">
        <v>616.4</v>
      </c>
      <c r="J112" s="325"/>
      <c r="K112" s="325">
        <f t="shared" si="10"/>
        <v>0</v>
      </c>
      <c r="L112" s="325">
        <f t="shared" si="11"/>
        <v>0</v>
      </c>
      <c r="M112" s="407">
        <v>2.5</v>
      </c>
      <c r="N112" s="408" t="s">
        <v>17</v>
      </c>
      <c r="O112" s="325">
        <f t="shared" si="15"/>
        <v>0</v>
      </c>
      <c r="P112" s="325">
        <f t="shared" si="16"/>
        <v>0</v>
      </c>
      <c r="Q112" s="325">
        <f t="shared" si="17"/>
        <v>0</v>
      </c>
      <c r="R112" s="325">
        <f t="shared" si="12"/>
        <v>0</v>
      </c>
      <c r="S112" s="325">
        <f t="shared" si="13"/>
        <v>8</v>
      </c>
      <c r="T112" s="325">
        <f t="shared" si="18"/>
        <v>8</v>
      </c>
      <c r="U112" s="325">
        <f t="shared" si="14"/>
        <v>608.4</v>
      </c>
      <c r="V112" s="325">
        <f t="shared" si="19"/>
        <v>0</v>
      </c>
      <c r="W112" s="449" cm="1">
        <f t="array" ref="W112">+IF(U112&lt;0,error,0)</f>
        <v>0</v>
      </c>
    </row>
    <row r="113" spans="1:23" ht="18" customHeight="1" x14ac:dyDescent="0.2">
      <c r="A113" s="402" t="s">
        <v>220</v>
      </c>
      <c r="B113" s="403"/>
      <c r="C113" s="404" t="s">
        <v>221</v>
      </c>
      <c r="D113" s="405">
        <v>43405</v>
      </c>
      <c r="E113" s="406"/>
      <c r="F113" s="325"/>
      <c r="G113" s="324"/>
      <c r="H113" s="324">
        <v>9691.65</v>
      </c>
      <c r="I113" s="325">
        <v>9167.65</v>
      </c>
      <c r="J113" s="325"/>
      <c r="K113" s="325">
        <f t="shared" si="10"/>
        <v>0</v>
      </c>
      <c r="L113" s="325">
        <f t="shared" si="11"/>
        <v>0</v>
      </c>
      <c r="M113" s="407">
        <v>2.5</v>
      </c>
      <c r="N113" s="408" t="s">
        <v>17</v>
      </c>
      <c r="O113" s="325">
        <f t="shared" si="15"/>
        <v>0</v>
      </c>
      <c r="P113" s="325">
        <f t="shared" si="16"/>
        <v>0</v>
      </c>
      <c r="Q113" s="325">
        <f t="shared" si="17"/>
        <v>0</v>
      </c>
      <c r="R113" s="325">
        <f t="shared" si="12"/>
        <v>0</v>
      </c>
      <c r="S113" s="325">
        <f t="shared" si="13"/>
        <v>121</v>
      </c>
      <c r="T113" s="325">
        <f t="shared" si="18"/>
        <v>121</v>
      </c>
      <c r="U113" s="325">
        <f t="shared" si="14"/>
        <v>9046.65</v>
      </c>
      <c r="V113" s="325">
        <f t="shared" si="19"/>
        <v>0</v>
      </c>
      <c r="W113" s="449" cm="1">
        <f t="array" ref="W113">+IF(U113&lt;0,error,0)</f>
        <v>0</v>
      </c>
    </row>
    <row r="114" spans="1:23" ht="18" customHeight="1" x14ac:dyDescent="0.2">
      <c r="A114" s="402" t="s">
        <v>222</v>
      </c>
      <c r="B114" s="403"/>
      <c r="C114" s="404" t="s">
        <v>223</v>
      </c>
      <c r="D114" s="405">
        <v>43404</v>
      </c>
      <c r="E114" s="406"/>
      <c r="F114" s="325"/>
      <c r="G114" s="324"/>
      <c r="H114" s="324">
        <v>2015</v>
      </c>
      <c r="I114" s="325">
        <v>1907</v>
      </c>
      <c r="J114" s="325"/>
      <c r="K114" s="325">
        <f t="shared" si="10"/>
        <v>0</v>
      </c>
      <c r="L114" s="325">
        <f t="shared" si="11"/>
        <v>0</v>
      </c>
      <c r="M114" s="407">
        <v>2.5</v>
      </c>
      <c r="N114" s="408" t="s">
        <v>17</v>
      </c>
      <c r="O114" s="325">
        <f t="shared" si="15"/>
        <v>0</v>
      </c>
      <c r="P114" s="325">
        <f t="shared" si="16"/>
        <v>0</v>
      </c>
      <c r="Q114" s="325">
        <f t="shared" si="17"/>
        <v>0</v>
      </c>
      <c r="R114" s="325">
        <f t="shared" si="12"/>
        <v>0</v>
      </c>
      <c r="S114" s="325">
        <f t="shared" si="13"/>
        <v>25</v>
      </c>
      <c r="T114" s="325">
        <f t="shared" si="18"/>
        <v>25</v>
      </c>
      <c r="U114" s="325">
        <f t="shared" si="14"/>
        <v>1882</v>
      </c>
      <c r="V114" s="325">
        <f t="shared" si="19"/>
        <v>0</v>
      </c>
      <c r="W114" s="449" cm="1">
        <f t="array" ref="W114">+IF(U114&lt;0,error,0)</f>
        <v>0</v>
      </c>
    </row>
    <row r="115" spans="1:23" ht="18" customHeight="1" x14ac:dyDescent="0.2">
      <c r="A115" s="402" t="s">
        <v>224</v>
      </c>
      <c r="B115" s="403"/>
      <c r="C115" s="404" t="s">
        <v>225</v>
      </c>
      <c r="D115" s="405">
        <v>43431</v>
      </c>
      <c r="E115" s="406"/>
      <c r="F115" s="325"/>
      <c r="G115" s="324"/>
      <c r="H115" s="324">
        <v>941.84</v>
      </c>
      <c r="I115" s="325">
        <v>894.84</v>
      </c>
      <c r="J115" s="325"/>
      <c r="K115" s="325">
        <f t="shared" si="10"/>
        <v>0</v>
      </c>
      <c r="L115" s="325">
        <f t="shared" si="11"/>
        <v>0</v>
      </c>
      <c r="M115" s="407">
        <v>2.5</v>
      </c>
      <c r="N115" s="408" t="s">
        <v>17</v>
      </c>
      <c r="O115" s="325">
        <f t="shared" si="15"/>
        <v>0</v>
      </c>
      <c r="P115" s="325">
        <f t="shared" si="16"/>
        <v>0</v>
      </c>
      <c r="Q115" s="325">
        <f t="shared" si="17"/>
        <v>0</v>
      </c>
      <c r="R115" s="325">
        <f t="shared" si="12"/>
        <v>0</v>
      </c>
      <c r="S115" s="325">
        <f t="shared" si="13"/>
        <v>11</v>
      </c>
      <c r="T115" s="325">
        <f t="shared" si="18"/>
        <v>11</v>
      </c>
      <c r="U115" s="325">
        <f t="shared" si="14"/>
        <v>883.84</v>
      </c>
      <c r="V115" s="325">
        <f t="shared" si="19"/>
        <v>0</v>
      </c>
      <c r="W115" s="449" cm="1">
        <f t="array" ref="W115">+IF(U115&lt;0,error,0)</f>
        <v>0</v>
      </c>
    </row>
    <row r="116" spans="1:23" ht="18" customHeight="1" x14ac:dyDescent="0.2">
      <c r="A116" s="402" t="s">
        <v>226</v>
      </c>
      <c r="B116" s="403"/>
      <c r="C116" s="404" t="s">
        <v>227</v>
      </c>
      <c r="D116" s="405">
        <v>43431</v>
      </c>
      <c r="E116" s="406"/>
      <c r="F116" s="325"/>
      <c r="G116" s="324"/>
      <c r="H116" s="324">
        <v>490</v>
      </c>
      <c r="I116" s="325">
        <v>464</v>
      </c>
      <c r="J116" s="325"/>
      <c r="K116" s="325">
        <f t="shared" si="10"/>
        <v>0</v>
      </c>
      <c r="L116" s="325">
        <f t="shared" si="11"/>
        <v>0</v>
      </c>
      <c r="M116" s="407">
        <v>2.5</v>
      </c>
      <c r="N116" s="408" t="s">
        <v>17</v>
      </c>
      <c r="O116" s="325">
        <f t="shared" si="15"/>
        <v>0</v>
      </c>
      <c r="P116" s="325">
        <f t="shared" si="16"/>
        <v>0</v>
      </c>
      <c r="Q116" s="325">
        <f t="shared" si="17"/>
        <v>0</v>
      </c>
      <c r="R116" s="325">
        <f t="shared" si="12"/>
        <v>0</v>
      </c>
      <c r="S116" s="325">
        <f t="shared" si="13"/>
        <v>6</v>
      </c>
      <c r="T116" s="325">
        <f t="shared" si="18"/>
        <v>6</v>
      </c>
      <c r="U116" s="325">
        <f t="shared" si="14"/>
        <v>458</v>
      </c>
      <c r="V116" s="325">
        <f t="shared" si="19"/>
        <v>0</v>
      </c>
      <c r="W116" s="449" cm="1">
        <f t="array" ref="W116">+IF(U116&lt;0,error,0)</f>
        <v>0</v>
      </c>
    </row>
    <row r="117" spans="1:23" ht="18" customHeight="1" x14ac:dyDescent="0.2">
      <c r="A117" s="402" t="s">
        <v>228</v>
      </c>
      <c r="B117" s="403"/>
      <c r="C117" s="404" t="s">
        <v>229</v>
      </c>
      <c r="D117" s="405">
        <v>43413</v>
      </c>
      <c r="E117" s="406"/>
      <c r="F117" s="325"/>
      <c r="G117" s="324"/>
      <c r="H117" s="324">
        <v>238.67000000000002</v>
      </c>
      <c r="I117" s="325">
        <v>228.67000000000002</v>
      </c>
      <c r="J117" s="325"/>
      <c r="K117" s="325">
        <f t="shared" si="10"/>
        <v>0</v>
      </c>
      <c r="L117" s="325">
        <f t="shared" si="11"/>
        <v>0</v>
      </c>
      <c r="M117" s="407">
        <v>2.5</v>
      </c>
      <c r="N117" s="408" t="s">
        <v>17</v>
      </c>
      <c r="O117" s="325">
        <f t="shared" si="15"/>
        <v>0</v>
      </c>
      <c r="P117" s="325">
        <f t="shared" si="16"/>
        <v>0</v>
      </c>
      <c r="Q117" s="325">
        <f t="shared" si="17"/>
        <v>0</v>
      </c>
      <c r="R117" s="325">
        <f t="shared" si="12"/>
        <v>0</v>
      </c>
      <c r="S117" s="325">
        <f t="shared" si="13"/>
        <v>2</v>
      </c>
      <c r="T117" s="325">
        <f t="shared" si="18"/>
        <v>2</v>
      </c>
      <c r="U117" s="325">
        <f t="shared" si="14"/>
        <v>226.67000000000002</v>
      </c>
      <c r="V117" s="325">
        <f t="shared" si="19"/>
        <v>0</v>
      </c>
      <c r="W117" s="449" cm="1">
        <f t="array" ref="W117">+IF(U117&lt;0,error,0)</f>
        <v>0</v>
      </c>
    </row>
    <row r="118" spans="1:23" ht="18" customHeight="1" x14ac:dyDescent="0.2">
      <c r="A118" s="402" t="s">
        <v>230</v>
      </c>
      <c r="B118" s="403"/>
      <c r="C118" s="404" t="s">
        <v>231</v>
      </c>
      <c r="D118" s="405">
        <v>43402</v>
      </c>
      <c r="E118" s="406"/>
      <c r="F118" s="325"/>
      <c r="G118" s="324"/>
      <c r="H118" s="324">
        <v>8195.41</v>
      </c>
      <c r="I118" s="325">
        <v>7751.41</v>
      </c>
      <c r="J118" s="325"/>
      <c r="K118" s="325">
        <f t="shared" si="10"/>
        <v>0</v>
      </c>
      <c r="L118" s="325">
        <f t="shared" si="11"/>
        <v>0</v>
      </c>
      <c r="M118" s="407">
        <v>2.5</v>
      </c>
      <c r="N118" s="408" t="s">
        <v>17</v>
      </c>
      <c r="O118" s="325">
        <f t="shared" si="15"/>
        <v>0</v>
      </c>
      <c r="P118" s="325">
        <f t="shared" si="16"/>
        <v>0</v>
      </c>
      <c r="Q118" s="325">
        <f t="shared" si="17"/>
        <v>0</v>
      </c>
      <c r="R118" s="325">
        <f t="shared" si="12"/>
        <v>0</v>
      </c>
      <c r="S118" s="325">
        <f t="shared" si="13"/>
        <v>102</v>
      </c>
      <c r="T118" s="325">
        <f t="shared" si="18"/>
        <v>102</v>
      </c>
      <c r="U118" s="325">
        <f t="shared" si="14"/>
        <v>7649.41</v>
      </c>
      <c r="V118" s="325">
        <f t="shared" si="19"/>
        <v>0</v>
      </c>
      <c r="W118" s="449" cm="1">
        <f t="array" ref="W118">+IF(U118&lt;0,error,0)</f>
        <v>0</v>
      </c>
    </row>
    <row r="119" spans="1:23" ht="18" customHeight="1" x14ac:dyDescent="0.2">
      <c r="A119" s="402" t="s">
        <v>232</v>
      </c>
      <c r="B119" s="403"/>
      <c r="C119" s="404" t="s">
        <v>233</v>
      </c>
      <c r="D119" s="405">
        <v>43434</v>
      </c>
      <c r="E119" s="406"/>
      <c r="F119" s="325"/>
      <c r="G119" s="324"/>
      <c r="H119" s="324">
        <v>4697.72</v>
      </c>
      <c r="I119" s="325">
        <v>4454.72</v>
      </c>
      <c r="J119" s="325"/>
      <c r="K119" s="325">
        <f t="shared" si="10"/>
        <v>0</v>
      </c>
      <c r="L119" s="325">
        <f t="shared" si="11"/>
        <v>0</v>
      </c>
      <c r="M119" s="407">
        <v>2.5</v>
      </c>
      <c r="N119" s="408" t="s">
        <v>17</v>
      </c>
      <c r="O119" s="325">
        <f t="shared" si="15"/>
        <v>0</v>
      </c>
      <c r="P119" s="325">
        <f t="shared" si="16"/>
        <v>0</v>
      </c>
      <c r="Q119" s="325">
        <f t="shared" si="17"/>
        <v>0</v>
      </c>
      <c r="R119" s="325">
        <f t="shared" si="12"/>
        <v>0</v>
      </c>
      <c r="S119" s="325">
        <f t="shared" si="13"/>
        <v>58</v>
      </c>
      <c r="T119" s="325">
        <f t="shared" si="18"/>
        <v>58</v>
      </c>
      <c r="U119" s="325">
        <f t="shared" si="14"/>
        <v>4396.72</v>
      </c>
      <c r="V119" s="325">
        <f t="shared" si="19"/>
        <v>0</v>
      </c>
      <c r="W119" s="449" cm="1">
        <f t="array" ref="W119">+IF(U119&lt;0,error,0)</f>
        <v>0</v>
      </c>
    </row>
    <row r="120" spans="1:23" ht="18" customHeight="1" x14ac:dyDescent="0.2">
      <c r="A120" s="402" t="s">
        <v>234</v>
      </c>
      <c r="B120" s="403"/>
      <c r="C120" s="404" t="s">
        <v>133</v>
      </c>
      <c r="D120" s="405">
        <v>43291</v>
      </c>
      <c r="E120" s="406"/>
      <c r="F120" s="325"/>
      <c r="G120" s="324"/>
      <c r="H120" s="324">
        <v>689.24</v>
      </c>
      <c r="I120" s="325">
        <v>648.24</v>
      </c>
      <c r="J120" s="325"/>
      <c r="K120" s="325">
        <f t="shared" si="10"/>
        <v>0</v>
      </c>
      <c r="L120" s="325">
        <f t="shared" si="11"/>
        <v>0</v>
      </c>
      <c r="M120" s="407">
        <v>2.5</v>
      </c>
      <c r="N120" s="408" t="s">
        <v>17</v>
      </c>
      <c r="O120" s="325">
        <f t="shared" si="15"/>
        <v>0</v>
      </c>
      <c r="P120" s="325">
        <f t="shared" si="16"/>
        <v>0</v>
      </c>
      <c r="Q120" s="325">
        <f t="shared" si="17"/>
        <v>0</v>
      </c>
      <c r="R120" s="325">
        <f t="shared" si="12"/>
        <v>0</v>
      </c>
      <c r="S120" s="325">
        <f t="shared" si="13"/>
        <v>8</v>
      </c>
      <c r="T120" s="325">
        <f t="shared" si="18"/>
        <v>8</v>
      </c>
      <c r="U120" s="325">
        <f t="shared" si="14"/>
        <v>640.24</v>
      </c>
      <c r="V120" s="325">
        <f t="shared" si="19"/>
        <v>0</v>
      </c>
      <c r="W120" s="449" cm="1">
        <f t="array" ref="W120">+IF(U120&lt;0,error,0)</f>
        <v>0</v>
      </c>
    </row>
    <row r="121" spans="1:23" ht="18" customHeight="1" x14ac:dyDescent="0.2">
      <c r="A121" s="402" t="s">
        <v>235</v>
      </c>
      <c r="B121" s="403"/>
      <c r="C121" s="404" t="s">
        <v>133</v>
      </c>
      <c r="D121" s="405">
        <v>43307</v>
      </c>
      <c r="E121" s="406"/>
      <c r="F121" s="325"/>
      <c r="G121" s="324"/>
      <c r="H121" s="324">
        <v>1145.6400000000001</v>
      </c>
      <c r="I121" s="325">
        <v>1077.6400000000001</v>
      </c>
      <c r="J121" s="325"/>
      <c r="K121" s="325">
        <f t="shared" si="10"/>
        <v>0</v>
      </c>
      <c r="L121" s="325">
        <f t="shared" si="11"/>
        <v>0</v>
      </c>
      <c r="M121" s="407">
        <v>2.5</v>
      </c>
      <c r="N121" s="408" t="s">
        <v>17</v>
      </c>
      <c r="O121" s="325">
        <f t="shared" si="15"/>
        <v>0</v>
      </c>
      <c r="P121" s="325">
        <f t="shared" si="16"/>
        <v>0</v>
      </c>
      <c r="Q121" s="325">
        <f t="shared" si="17"/>
        <v>0</v>
      </c>
      <c r="R121" s="325">
        <f t="shared" si="12"/>
        <v>0</v>
      </c>
      <c r="S121" s="325">
        <f t="shared" si="13"/>
        <v>14</v>
      </c>
      <c r="T121" s="325">
        <f t="shared" si="18"/>
        <v>14</v>
      </c>
      <c r="U121" s="325">
        <f t="shared" si="14"/>
        <v>1063.6400000000001</v>
      </c>
      <c r="V121" s="325">
        <f t="shared" si="19"/>
        <v>0</v>
      </c>
      <c r="W121" s="449" cm="1">
        <f t="array" ref="W121">+IF(U121&lt;0,error,0)</f>
        <v>0</v>
      </c>
    </row>
    <row r="122" spans="1:23" ht="18" customHeight="1" x14ac:dyDescent="0.2">
      <c r="A122" s="402" t="s">
        <v>236</v>
      </c>
      <c r="B122" s="403"/>
      <c r="C122" s="404" t="s">
        <v>53</v>
      </c>
      <c r="D122" s="405">
        <v>43312</v>
      </c>
      <c r="E122" s="406"/>
      <c r="F122" s="325"/>
      <c r="G122" s="324"/>
      <c r="H122" s="324">
        <v>1798</v>
      </c>
      <c r="I122" s="325">
        <v>1691</v>
      </c>
      <c r="J122" s="325"/>
      <c r="K122" s="325">
        <f t="shared" si="10"/>
        <v>0</v>
      </c>
      <c r="L122" s="325">
        <f t="shared" si="11"/>
        <v>0</v>
      </c>
      <c r="M122" s="407">
        <v>2.5</v>
      </c>
      <c r="N122" s="408" t="s">
        <v>17</v>
      </c>
      <c r="O122" s="325">
        <f t="shared" si="15"/>
        <v>0</v>
      </c>
      <c r="P122" s="325">
        <f t="shared" si="16"/>
        <v>0</v>
      </c>
      <c r="Q122" s="325">
        <f t="shared" si="17"/>
        <v>0</v>
      </c>
      <c r="R122" s="325">
        <f t="shared" si="12"/>
        <v>0</v>
      </c>
      <c r="S122" s="325">
        <f t="shared" si="13"/>
        <v>22</v>
      </c>
      <c r="T122" s="325">
        <f t="shared" si="18"/>
        <v>22</v>
      </c>
      <c r="U122" s="325">
        <f t="shared" si="14"/>
        <v>1669</v>
      </c>
      <c r="V122" s="325">
        <f t="shared" si="19"/>
        <v>0</v>
      </c>
      <c r="W122" s="449" cm="1">
        <f t="array" ref="W122">+IF(U122&lt;0,error,0)</f>
        <v>0</v>
      </c>
    </row>
    <row r="123" spans="1:23" ht="18" customHeight="1" x14ac:dyDescent="0.2">
      <c r="A123" s="402" t="s">
        <v>237</v>
      </c>
      <c r="B123" s="403"/>
      <c r="C123" s="404" t="s">
        <v>238</v>
      </c>
      <c r="D123" s="405">
        <v>43315</v>
      </c>
      <c r="E123" s="406"/>
      <c r="F123" s="325"/>
      <c r="G123" s="324"/>
      <c r="H123" s="324">
        <v>475</v>
      </c>
      <c r="I123" s="325">
        <v>450</v>
      </c>
      <c r="J123" s="325"/>
      <c r="K123" s="325">
        <f t="shared" si="10"/>
        <v>0</v>
      </c>
      <c r="L123" s="325">
        <f t="shared" si="11"/>
        <v>0</v>
      </c>
      <c r="M123" s="407">
        <v>2.5</v>
      </c>
      <c r="N123" s="408" t="s">
        <v>17</v>
      </c>
      <c r="O123" s="325">
        <f t="shared" si="15"/>
        <v>0</v>
      </c>
      <c r="P123" s="325">
        <f t="shared" si="16"/>
        <v>0</v>
      </c>
      <c r="Q123" s="325">
        <f t="shared" si="17"/>
        <v>0</v>
      </c>
      <c r="R123" s="325">
        <f t="shared" si="12"/>
        <v>0</v>
      </c>
      <c r="S123" s="325">
        <f t="shared" si="13"/>
        <v>5</v>
      </c>
      <c r="T123" s="325">
        <f t="shared" si="18"/>
        <v>5</v>
      </c>
      <c r="U123" s="325">
        <f t="shared" si="14"/>
        <v>445</v>
      </c>
      <c r="V123" s="325">
        <f t="shared" si="19"/>
        <v>0</v>
      </c>
      <c r="W123" s="449" cm="1">
        <f t="array" ref="W123">+IF(U123&lt;0,error,0)</f>
        <v>0</v>
      </c>
    </row>
    <row r="124" spans="1:23" ht="18" customHeight="1" x14ac:dyDescent="0.2">
      <c r="A124" s="402" t="s">
        <v>239</v>
      </c>
      <c r="B124" s="403"/>
      <c r="C124" s="404" t="s">
        <v>145</v>
      </c>
      <c r="D124" s="405">
        <v>43322</v>
      </c>
      <c r="E124" s="406"/>
      <c r="F124" s="325"/>
      <c r="G124" s="324"/>
      <c r="H124" s="324">
        <v>1140</v>
      </c>
      <c r="I124" s="325">
        <v>1073</v>
      </c>
      <c r="J124" s="325"/>
      <c r="K124" s="325">
        <f t="shared" si="10"/>
        <v>0</v>
      </c>
      <c r="L124" s="325">
        <f t="shared" si="11"/>
        <v>0</v>
      </c>
      <c r="M124" s="407">
        <v>2.5</v>
      </c>
      <c r="N124" s="408" t="s">
        <v>17</v>
      </c>
      <c r="O124" s="325">
        <f t="shared" si="15"/>
        <v>0</v>
      </c>
      <c r="P124" s="325">
        <f t="shared" si="16"/>
        <v>0</v>
      </c>
      <c r="Q124" s="325">
        <f t="shared" si="17"/>
        <v>0</v>
      </c>
      <c r="R124" s="325">
        <f t="shared" si="12"/>
        <v>0</v>
      </c>
      <c r="S124" s="325">
        <f t="shared" si="13"/>
        <v>14</v>
      </c>
      <c r="T124" s="325">
        <f t="shared" si="18"/>
        <v>14</v>
      </c>
      <c r="U124" s="325">
        <f t="shared" si="14"/>
        <v>1059</v>
      </c>
      <c r="V124" s="325">
        <f t="shared" si="19"/>
        <v>0</v>
      </c>
      <c r="W124" s="449" cm="1">
        <f t="array" ref="W124">+IF(U124&lt;0,error,0)</f>
        <v>0</v>
      </c>
    </row>
    <row r="125" spans="1:23" ht="18" customHeight="1" x14ac:dyDescent="0.2">
      <c r="A125" s="402" t="s">
        <v>240</v>
      </c>
      <c r="B125" s="403"/>
      <c r="C125" s="404" t="s">
        <v>241</v>
      </c>
      <c r="D125" s="405">
        <v>43327</v>
      </c>
      <c r="E125" s="406"/>
      <c r="F125" s="325"/>
      <c r="G125" s="324"/>
      <c r="H125" s="324">
        <v>910</v>
      </c>
      <c r="I125" s="325">
        <v>857</v>
      </c>
      <c r="J125" s="325"/>
      <c r="K125" s="325">
        <f t="shared" si="10"/>
        <v>0</v>
      </c>
      <c r="L125" s="325">
        <f t="shared" si="11"/>
        <v>0</v>
      </c>
      <c r="M125" s="407">
        <v>2.5</v>
      </c>
      <c r="N125" s="408" t="s">
        <v>17</v>
      </c>
      <c r="O125" s="325">
        <f t="shared" si="15"/>
        <v>0</v>
      </c>
      <c r="P125" s="325">
        <f t="shared" si="16"/>
        <v>0</v>
      </c>
      <c r="Q125" s="325">
        <f t="shared" si="17"/>
        <v>0</v>
      </c>
      <c r="R125" s="325">
        <f t="shared" si="12"/>
        <v>0</v>
      </c>
      <c r="S125" s="325">
        <f t="shared" si="13"/>
        <v>11</v>
      </c>
      <c r="T125" s="325">
        <f t="shared" si="18"/>
        <v>11</v>
      </c>
      <c r="U125" s="325">
        <f t="shared" si="14"/>
        <v>846</v>
      </c>
      <c r="V125" s="325">
        <f t="shared" si="19"/>
        <v>0</v>
      </c>
      <c r="W125" s="449" cm="1">
        <f t="array" ref="W125">+IF(U125&lt;0,error,0)</f>
        <v>0</v>
      </c>
    </row>
    <row r="126" spans="1:23" ht="18" customHeight="1" x14ac:dyDescent="0.2">
      <c r="A126" s="402" t="s">
        <v>242</v>
      </c>
      <c r="B126" s="403"/>
      <c r="C126" s="404" t="s">
        <v>243</v>
      </c>
      <c r="D126" s="405">
        <v>43336</v>
      </c>
      <c r="E126" s="406"/>
      <c r="F126" s="325"/>
      <c r="G126" s="324"/>
      <c r="H126" s="324">
        <v>590</v>
      </c>
      <c r="I126" s="325">
        <v>557</v>
      </c>
      <c r="J126" s="325"/>
      <c r="K126" s="325">
        <f t="shared" si="10"/>
        <v>0</v>
      </c>
      <c r="L126" s="325">
        <f t="shared" si="11"/>
        <v>0</v>
      </c>
      <c r="M126" s="407">
        <v>2.5</v>
      </c>
      <c r="N126" s="408" t="s">
        <v>17</v>
      </c>
      <c r="O126" s="325">
        <f t="shared" si="15"/>
        <v>0</v>
      </c>
      <c r="P126" s="325">
        <f t="shared" si="16"/>
        <v>0</v>
      </c>
      <c r="Q126" s="325">
        <f t="shared" si="17"/>
        <v>0</v>
      </c>
      <c r="R126" s="325">
        <f t="shared" si="12"/>
        <v>0</v>
      </c>
      <c r="S126" s="325">
        <f t="shared" si="13"/>
        <v>7</v>
      </c>
      <c r="T126" s="325">
        <f t="shared" si="18"/>
        <v>7</v>
      </c>
      <c r="U126" s="325">
        <f t="shared" si="14"/>
        <v>550</v>
      </c>
      <c r="V126" s="325">
        <f t="shared" si="19"/>
        <v>0</v>
      </c>
      <c r="W126" s="449" cm="1">
        <f t="array" ref="W126">+IF(U126&lt;0,error,0)</f>
        <v>0</v>
      </c>
    </row>
    <row r="127" spans="1:23" ht="18" customHeight="1" x14ac:dyDescent="0.2">
      <c r="A127" s="402" t="s">
        <v>244</v>
      </c>
      <c r="B127" s="403"/>
      <c r="C127" s="404" t="s">
        <v>53</v>
      </c>
      <c r="D127" s="405">
        <v>43343</v>
      </c>
      <c r="E127" s="406"/>
      <c r="F127" s="325"/>
      <c r="G127" s="324"/>
      <c r="H127" s="324">
        <v>2356</v>
      </c>
      <c r="I127" s="325">
        <v>2220</v>
      </c>
      <c r="J127" s="325"/>
      <c r="K127" s="325">
        <f t="shared" si="10"/>
        <v>0</v>
      </c>
      <c r="L127" s="325">
        <f t="shared" si="11"/>
        <v>0</v>
      </c>
      <c r="M127" s="407">
        <v>2.5</v>
      </c>
      <c r="N127" s="408" t="s">
        <v>17</v>
      </c>
      <c r="O127" s="325">
        <f t="shared" si="15"/>
        <v>0</v>
      </c>
      <c r="P127" s="325">
        <f t="shared" si="16"/>
        <v>0</v>
      </c>
      <c r="Q127" s="325">
        <f t="shared" si="17"/>
        <v>0</v>
      </c>
      <c r="R127" s="325">
        <f t="shared" si="12"/>
        <v>0</v>
      </c>
      <c r="S127" s="325">
        <f t="shared" si="13"/>
        <v>29</v>
      </c>
      <c r="T127" s="325">
        <f t="shared" si="18"/>
        <v>29</v>
      </c>
      <c r="U127" s="325">
        <f t="shared" si="14"/>
        <v>2191</v>
      </c>
      <c r="V127" s="325">
        <f t="shared" si="19"/>
        <v>0</v>
      </c>
      <c r="W127" s="449" cm="1">
        <f t="array" ref="W127">+IF(U127&lt;0,error,0)</f>
        <v>0</v>
      </c>
    </row>
    <row r="128" spans="1:23" ht="18" customHeight="1" x14ac:dyDescent="0.2">
      <c r="A128" s="402" t="s">
        <v>245</v>
      </c>
      <c r="B128" s="403"/>
      <c r="C128" s="404" t="s">
        <v>133</v>
      </c>
      <c r="D128" s="405">
        <v>43356</v>
      </c>
      <c r="E128" s="406"/>
      <c r="F128" s="325"/>
      <c r="G128" s="324"/>
      <c r="H128" s="324">
        <v>6444.64</v>
      </c>
      <c r="I128" s="325">
        <v>6076.64</v>
      </c>
      <c r="J128" s="325"/>
      <c r="K128" s="325">
        <f t="shared" si="10"/>
        <v>0</v>
      </c>
      <c r="L128" s="325">
        <f t="shared" si="11"/>
        <v>0</v>
      </c>
      <c r="M128" s="407">
        <v>2.5</v>
      </c>
      <c r="N128" s="408" t="s">
        <v>17</v>
      </c>
      <c r="O128" s="325">
        <f t="shared" si="15"/>
        <v>0</v>
      </c>
      <c r="P128" s="325">
        <f t="shared" si="16"/>
        <v>0</v>
      </c>
      <c r="Q128" s="325">
        <f t="shared" si="17"/>
        <v>0</v>
      </c>
      <c r="R128" s="325">
        <f t="shared" si="12"/>
        <v>0</v>
      </c>
      <c r="S128" s="325">
        <f t="shared" si="13"/>
        <v>80</v>
      </c>
      <c r="T128" s="325">
        <f t="shared" si="18"/>
        <v>80</v>
      </c>
      <c r="U128" s="325">
        <f t="shared" si="14"/>
        <v>5996.64</v>
      </c>
      <c r="V128" s="325">
        <f t="shared" si="19"/>
        <v>0</v>
      </c>
      <c r="W128" s="449" cm="1">
        <f t="array" ref="W128">+IF(U128&lt;0,error,0)</f>
        <v>0</v>
      </c>
    </row>
    <row r="129" spans="1:23" ht="18" customHeight="1" x14ac:dyDescent="0.2">
      <c r="A129" s="402" t="s">
        <v>246</v>
      </c>
      <c r="B129" s="403"/>
      <c r="C129" s="404" t="s">
        <v>133</v>
      </c>
      <c r="D129" s="405">
        <v>43361</v>
      </c>
      <c r="E129" s="406"/>
      <c r="F129" s="325"/>
      <c r="G129" s="324"/>
      <c r="H129" s="324">
        <v>2047.9</v>
      </c>
      <c r="I129" s="325">
        <v>1933.9</v>
      </c>
      <c r="J129" s="325"/>
      <c r="K129" s="325">
        <f t="shared" si="10"/>
        <v>0</v>
      </c>
      <c r="L129" s="325">
        <f t="shared" si="11"/>
        <v>0</v>
      </c>
      <c r="M129" s="407">
        <v>2.5</v>
      </c>
      <c r="N129" s="408" t="s">
        <v>17</v>
      </c>
      <c r="O129" s="325">
        <f t="shared" si="15"/>
        <v>0</v>
      </c>
      <c r="P129" s="325">
        <f t="shared" si="16"/>
        <v>0</v>
      </c>
      <c r="Q129" s="325">
        <f t="shared" si="17"/>
        <v>0</v>
      </c>
      <c r="R129" s="325">
        <f t="shared" si="12"/>
        <v>0</v>
      </c>
      <c r="S129" s="325">
        <f t="shared" si="13"/>
        <v>25</v>
      </c>
      <c r="T129" s="325">
        <f t="shared" si="18"/>
        <v>25</v>
      </c>
      <c r="U129" s="325">
        <f t="shared" si="14"/>
        <v>1908.9</v>
      </c>
      <c r="V129" s="325">
        <f t="shared" si="19"/>
        <v>0</v>
      </c>
      <c r="W129" s="449" cm="1">
        <f t="array" ref="W129">+IF(U129&lt;0,error,0)</f>
        <v>0</v>
      </c>
    </row>
    <row r="130" spans="1:23" ht="18" customHeight="1" x14ac:dyDescent="0.2">
      <c r="A130" s="402" t="s">
        <v>247</v>
      </c>
      <c r="B130" s="403"/>
      <c r="C130" s="404" t="s">
        <v>145</v>
      </c>
      <c r="D130" s="405">
        <v>43378</v>
      </c>
      <c r="E130" s="406"/>
      <c r="F130" s="325"/>
      <c r="G130" s="324"/>
      <c r="H130" s="324">
        <v>5334</v>
      </c>
      <c r="I130" s="325">
        <v>5038</v>
      </c>
      <c r="J130" s="325"/>
      <c r="K130" s="325">
        <f t="shared" si="10"/>
        <v>0</v>
      </c>
      <c r="L130" s="325">
        <f t="shared" si="11"/>
        <v>0</v>
      </c>
      <c r="M130" s="407">
        <v>2.5</v>
      </c>
      <c r="N130" s="408" t="s">
        <v>17</v>
      </c>
      <c r="O130" s="325">
        <f t="shared" si="15"/>
        <v>0</v>
      </c>
      <c r="P130" s="325">
        <f t="shared" si="16"/>
        <v>0</v>
      </c>
      <c r="Q130" s="325">
        <f t="shared" si="17"/>
        <v>0</v>
      </c>
      <c r="R130" s="325">
        <f t="shared" si="12"/>
        <v>0</v>
      </c>
      <c r="S130" s="325">
        <f t="shared" si="13"/>
        <v>66</v>
      </c>
      <c r="T130" s="325">
        <f t="shared" si="18"/>
        <v>66</v>
      </c>
      <c r="U130" s="325">
        <f t="shared" si="14"/>
        <v>4972</v>
      </c>
      <c r="V130" s="325">
        <f t="shared" si="19"/>
        <v>0</v>
      </c>
      <c r="W130" s="449" cm="1">
        <f t="array" ref="W130">+IF(U130&lt;0,error,0)</f>
        <v>0</v>
      </c>
    </row>
    <row r="131" spans="1:23" ht="18" customHeight="1" x14ac:dyDescent="0.2">
      <c r="A131" s="402" t="s">
        <v>248</v>
      </c>
      <c r="B131" s="403"/>
      <c r="C131" s="404" t="s">
        <v>133</v>
      </c>
      <c r="D131" s="405">
        <v>43391</v>
      </c>
      <c r="E131" s="406"/>
      <c r="F131" s="325"/>
      <c r="G131" s="324"/>
      <c r="H131" s="324">
        <v>497.97</v>
      </c>
      <c r="I131" s="325">
        <v>470.97</v>
      </c>
      <c r="J131" s="325"/>
      <c r="K131" s="325">
        <f t="shared" si="10"/>
        <v>0</v>
      </c>
      <c r="L131" s="325">
        <f t="shared" si="11"/>
        <v>0</v>
      </c>
      <c r="M131" s="407">
        <v>2.5</v>
      </c>
      <c r="N131" s="408" t="s">
        <v>17</v>
      </c>
      <c r="O131" s="325">
        <f t="shared" si="15"/>
        <v>0</v>
      </c>
      <c r="P131" s="325">
        <f t="shared" si="16"/>
        <v>0</v>
      </c>
      <c r="Q131" s="325">
        <f t="shared" si="17"/>
        <v>0</v>
      </c>
      <c r="R131" s="325">
        <f t="shared" si="12"/>
        <v>0</v>
      </c>
      <c r="S131" s="325">
        <f t="shared" si="13"/>
        <v>6</v>
      </c>
      <c r="T131" s="325">
        <f t="shared" si="18"/>
        <v>6</v>
      </c>
      <c r="U131" s="325">
        <f t="shared" si="14"/>
        <v>464.97</v>
      </c>
      <c r="V131" s="325">
        <f t="shared" si="19"/>
        <v>0</v>
      </c>
      <c r="W131" s="449" cm="1">
        <f t="array" ref="W131">+IF(U131&lt;0,error,0)</f>
        <v>0</v>
      </c>
    </row>
    <row r="132" spans="1:23" ht="18" customHeight="1" x14ac:dyDescent="0.2">
      <c r="A132" s="402" t="s">
        <v>249</v>
      </c>
      <c r="B132" s="403"/>
      <c r="C132" s="404" t="s">
        <v>250</v>
      </c>
      <c r="D132" s="405">
        <v>43399</v>
      </c>
      <c r="E132" s="406"/>
      <c r="F132" s="325"/>
      <c r="G132" s="324"/>
      <c r="H132" s="324">
        <v>910</v>
      </c>
      <c r="I132" s="325">
        <v>862</v>
      </c>
      <c r="J132" s="325"/>
      <c r="K132" s="325">
        <f t="shared" si="10"/>
        <v>0</v>
      </c>
      <c r="L132" s="325">
        <f t="shared" si="11"/>
        <v>0</v>
      </c>
      <c r="M132" s="407">
        <v>2.5</v>
      </c>
      <c r="N132" s="408" t="s">
        <v>17</v>
      </c>
      <c r="O132" s="325">
        <f t="shared" si="15"/>
        <v>0</v>
      </c>
      <c r="P132" s="325">
        <f t="shared" si="16"/>
        <v>0</v>
      </c>
      <c r="Q132" s="325">
        <f t="shared" si="17"/>
        <v>0</v>
      </c>
      <c r="R132" s="325">
        <f t="shared" si="12"/>
        <v>0</v>
      </c>
      <c r="S132" s="325">
        <f t="shared" si="13"/>
        <v>11</v>
      </c>
      <c r="T132" s="325">
        <f t="shared" si="18"/>
        <v>11</v>
      </c>
      <c r="U132" s="325">
        <f t="shared" si="14"/>
        <v>851</v>
      </c>
      <c r="V132" s="325">
        <f t="shared" si="19"/>
        <v>0</v>
      </c>
      <c r="W132" s="449" cm="1">
        <f t="array" ref="W132">+IF(U132&lt;0,error,0)</f>
        <v>0</v>
      </c>
    </row>
    <row r="133" spans="1:23" ht="18" customHeight="1" x14ac:dyDescent="0.2">
      <c r="A133" s="402" t="s">
        <v>251</v>
      </c>
      <c r="B133" s="403"/>
      <c r="C133" s="404" t="s">
        <v>145</v>
      </c>
      <c r="D133" s="405">
        <v>43403</v>
      </c>
      <c r="E133" s="406"/>
      <c r="F133" s="325"/>
      <c r="G133" s="324"/>
      <c r="H133" s="324">
        <v>224</v>
      </c>
      <c r="I133" s="325">
        <v>214</v>
      </c>
      <c r="J133" s="325"/>
      <c r="K133" s="325">
        <f t="shared" si="10"/>
        <v>0</v>
      </c>
      <c r="L133" s="325">
        <f t="shared" si="11"/>
        <v>0</v>
      </c>
      <c r="M133" s="407">
        <v>2.5</v>
      </c>
      <c r="N133" s="408" t="s">
        <v>17</v>
      </c>
      <c r="O133" s="325">
        <f t="shared" si="15"/>
        <v>0</v>
      </c>
      <c r="P133" s="325">
        <f t="shared" si="16"/>
        <v>0</v>
      </c>
      <c r="Q133" s="325">
        <f t="shared" si="17"/>
        <v>0</v>
      </c>
      <c r="R133" s="325">
        <f t="shared" si="12"/>
        <v>0</v>
      </c>
      <c r="S133" s="325">
        <f t="shared" si="13"/>
        <v>2</v>
      </c>
      <c r="T133" s="325">
        <f t="shared" si="18"/>
        <v>2</v>
      </c>
      <c r="U133" s="325">
        <f t="shared" si="14"/>
        <v>212</v>
      </c>
      <c r="V133" s="325">
        <f t="shared" si="19"/>
        <v>0</v>
      </c>
      <c r="W133" s="449" cm="1">
        <f t="array" ref="W133">+IF(U133&lt;0,error,0)</f>
        <v>0</v>
      </c>
    </row>
    <row r="134" spans="1:23" ht="18" customHeight="1" x14ac:dyDescent="0.2">
      <c r="A134" s="402" t="s">
        <v>252</v>
      </c>
      <c r="B134" s="403"/>
      <c r="C134" s="404" t="s">
        <v>250</v>
      </c>
      <c r="D134" s="405">
        <v>43409</v>
      </c>
      <c r="E134" s="406"/>
      <c r="F134" s="325"/>
      <c r="G134" s="324"/>
      <c r="H134" s="324">
        <v>70</v>
      </c>
      <c r="I134" s="325">
        <v>68</v>
      </c>
      <c r="J134" s="325"/>
      <c r="K134" s="325">
        <f t="shared" si="10"/>
        <v>0</v>
      </c>
      <c r="L134" s="325">
        <f t="shared" si="11"/>
        <v>0</v>
      </c>
      <c r="M134" s="407">
        <v>2.5</v>
      </c>
      <c r="N134" s="408" t="s">
        <v>17</v>
      </c>
      <c r="O134" s="325">
        <f t="shared" si="15"/>
        <v>0</v>
      </c>
      <c r="P134" s="325">
        <f t="shared" si="16"/>
        <v>0</v>
      </c>
      <c r="Q134" s="325">
        <f t="shared" si="17"/>
        <v>0</v>
      </c>
      <c r="R134" s="325">
        <f t="shared" si="12"/>
        <v>0</v>
      </c>
      <c r="S134" s="325">
        <f t="shared" si="13"/>
        <v>0</v>
      </c>
      <c r="T134" s="325">
        <f t="shared" si="18"/>
        <v>0</v>
      </c>
      <c r="U134" s="325">
        <f t="shared" si="14"/>
        <v>68</v>
      </c>
      <c r="V134" s="325">
        <f t="shared" si="19"/>
        <v>0</v>
      </c>
      <c r="W134" s="449" cm="1">
        <f t="array" ref="W134">+IF(U134&lt;0,error,0)</f>
        <v>0</v>
      </c>
    </row>
    <row r="135" spans="1:23" ht="18" customHeight="1" x14ac:dyDescent="0.2">
      <c r="A135" s="402" t="s">
        <v>253</v>
      </c>
      <c r="B135" s="403"/>
      <c r="C135" s="404" t="s">
        <v>145</v>
      </c>
      <c r="D135" s="405">
        <v>43411</v>
      </c>
      <c r="E135" s="406"/>
      <c r="F135" s="325"/>
      <c r="G135" s="324"/>
      <c r="H135" s="324">
        <v>1926.6000000000001</v>
      </c>
      <c r="I135" s="325">
        <v>1823.6000000000001</v>
      </c>
      <c r="J135" s="325"/>
      <c r="K135" s="325">
        <f t="shared" si="10"/>
        <v>0</v>
      </c>
      <c r="L135" s="325">
        <f t="shared" si="11"/>
        <v>0</v>
      </c>
      <c r="M135" s="407">
        <v>2.5</v>
      </c>
      <c r="N135" s="408" t="s">
        <v>17</v>
      </c>
      <c r="O135" s="325">
        <f t="shared" si="15"/>
        <v>0</v>
      </c>
      <c r="P135" s="325">
        <f t="shared" si="16"/>
        <v>0</v>
      </c>
      <c r="Q135" s="325">
        <f t="shared" si="17"/>
        <v>0</v>
      </c>
      <c r="R135" s="325">
        <f t="shared" si="12"/>
        <v>0</v>
      </c>
      <c r="S135" s="325">
        <f t="shared" si="13"/>
        <v>24</v>
      </c>
      <c r="T135" s="325">
        <f t="shared" si="18"/>
        <v>24</v>
      </c>
      <c r="U135" s="325">
        <f t="shared" si="14"/>
        <v>1799.6000000000001</v>
      </c>
      <c r="V135" s="325">
        <f t="shared" si="19"/>
        <v>0</v>
      </c>
      <c r="W135" s="449" cm="1">
        <f t="array" ref="W135">+IF(U135&lt;0,error,0)</f>
        <v>0</v>
      </c>
    </row>
    <row r="136" spans="1:23" ht="18" customHeight="1" x14ac:dyDescent="0.2">
      <c r="A136" s="402" t="s">
        <v>254</v>
      </c>
      <c r="B136" s="403"/>
      <c r="C136" s="404" t="s">
        <v>255</v>
      </c>
      <c r="D136" s="405">
        <v>43404</v>
      </c>
      <c r="E136" s="406"/>
      <c r="F136" s="325"/>
      <c r="G136" s="324"/>
      <c r="H136" s="324">
        <v>8255</v>
      </c>
      <c r="I136" s="325">
        <v>7808</v>
      </c>
      <c r="J136" s="325"/>
      <c r="K136" s="325">
        <f t="shared" ref="K136:K169" si="20">INT(IF($E136&gt;0,IF(+F136-I136+Q136&lt;0,0,+F136-I136+Q136),0))</f>
        <v>0</v>
      </c>
      <c r="L136" s="325">
        <f t="shared" ref="L136:L169" si="21">INT(IF($E136&gt;0,IF(K136=0,-F136+I136-Q136,0),0))</f>
        <v>0</v>
      </c>
      <c r="M136" s="407">
        <v>2.5</v>
      </c>
      <c r="N136" s="408" t="s">
        <v>17</v>
      </c>
      <c r="O136" s="325">
        <f t="shared" si="15"/>
        <v>0</v>
      </c>
      <c r="P136" s="325">
        <f t="shared" si="16"/>
        <v>0</v>
      </c>
      <c r="Q136" s="325">
        <f t="shared" si="17"/>
        <v>0</v>
      </c>
      <c r="R136" s="325">
        <f t="shared" ref="R136:R169" si="22">INT(IF($E136&gt;0,0,(IF($N136="D",IF($D136&lt;$H$3,$I136*($M136/100)*$U$3/12,$J136*($M136/100)*($J$3-$D136)/365),0))))</f>
        <v>0</v>
      </c>
      <c r="S136" s="325">
        <f t="shared" ref="S136:S169" si="23">INT(IF($E136&gt;0,0,(IF($N136="P",IF($D136&lt;$H$3,$H136*($M136/100)*$U$3/12,$J136*($M136/100)*($J$3-$D136)/365),0))))</f>
        <v>103</v>
      </c>
      <c r="T136" s="325">
        <f t="shared" si="18"/>
        <v>103</v>
      </c>
      <c r="U136" s="325">
        <f t="shared" ref="U136:U169" si="24">+I136+J136-T136-F136+K136-L136</f>
        <v>7705</v>
      </c>
      <c r="V136" s="325">
        <f t="shared" si="19"/>
        <v>0</v>
      </c>
      <c r="W136" s="449" cm="1">
        <f t="array" ref="W136">+IF(U136&lt;0,error,0)</f>
        <v>0</v>
      </c>
    </row>
    <row r="137" spans="1:23" ht="18" customHeight="1" x14ac:dyDescent="0.2">
      <c r="A137" s="402" t="s">
        <v>256</v>
      </c>
      <c r="B137" s="403"/>
      <c r="C137" s="404" t="s">
        <v>255</v>
      </c>
      <c r="D137" s="405">
        <v>43434</v>
      </c>
      <c r="E137" s="406"/>
      <c r="F137" s="325"/>
      <c r="G137" s="324"/>
      <c r="H137" s="324">
        <v>2304.5500000000002</v>
      </c>
      <c r="I137" s="325">
        <v>2186.5500000000002</v>
      </c>
      <c r="J137" s="325"/>
      <c r="K137" s="325">
        <f t="shared" si="20"/>
        <v>0</v>
      </c>
      <c r="L137" s="325">
        <f t="shared" si="21"/>
        <v>0</v>
      </c>
      <c r="M137" s="407">
        <v>2.5</v>
      </c>
      <c r="N137" s="408" t="s">
        <v>17</v>
      </c>
      <c r="O137" s="325">
        <f t="shared" ref="O137:O169" si="25">IF(E137&gt;0,INT(IF($N137="D",IF($D137&lt;$H$3,$I137*($M137/100)*((E137-$H$3)/365),$J137*($M137/100)*($J$3-$D137)/365),0)),0)</f>
        <v>0</v>
      </c>
      <c r="P137" s="325">
        <f t="shared" ref="P137:P169" si="26">IF(E137&gt;0,INT(IF($N137="P",IF($D137&lt;$H$3,$H137*($M137/100)*(E137-$H$3)/365,$J137*($M137/100)*($J$3-$D137)/365),0)),0)</f>
        <v>0</v>
      </c>
      <c r="Q137" s="325">
        <f t="shared" ref="Q137:Q169" si="27">+O137+P137</f>
        <v>0</v>
      </c>
      <c r="R137" s="325">
        <f t="shared" si="22"/>
        <v>0</v>
      </c>
      <c r="S137" s="325">
        <f t="shared" si="23"/>
        <v>28</v>
      </c>
      <c r="T137" s="325">
        <f t="shared" ref="T137:T153" si="28">+R137+S137+Q137</f>
        <v>28</v>
      </c>
      <c r="U137" s="325">
        <f t="shared" si="24"/>
        <v>2158.5500000000002</v>
      </c>
      <c r="V137" s="325">
        <f t="shared" ref="V137:V169" si="29">IF(E137&gt;0,+H137+J137,0)</f>
        <v>0</v>
      </c>
      <c r="W137" s="449" cm="1">
        <f t="array" ref="W137">+IF(U137&lt;0,error,0)</f>
        <v>0</v>
      </c>
    </row>
    <row r="138" spans="1:23" ht="18" customHeight="1" x14ac:dyDescent="0.2">
      <c r="A138" s="402" t="s">
        <v>257</v>
      </c>
      <c r="B138" s="403"/>
      <c r="C138" s="404" t="s">
        <v>258</v>
      </c>
      <c r="D138" s="405">
        <v>43291</v>
      </c>
      <c r="E138" s="406"/>
      <c r="F138" s="325"/>
      <c r="G138" s="324"/>
      <c r="H138" s="324">
        <v>62510.55</v>
      </c>
      <c r="I138" s="325">
        <v>58639.55</v>
      </c>
      <c r="J138" s="325"/>
      <c r="K138" s="325">
        <f t="shared" si="20"/>
        <v>0</v>
      </c>
      <c r="L138" s="325">
        <f t="shared" si="21"/>
        <v>0</v>
      </c>
      <c r="M138" s="407">
        <v>2.5</v>
      </c>
      <c r="N138" s="408" t="s">
        <v>17</v>
      </c>
      <c r="O138" s="325">
        <f t="shared" si="25"/>
        <v>0</v>
      </c>
      <c r="P138" s="325">
        <f t="shared" si="26"/>
        <v>0</v>
      </c>
      <c r="Q138" s="325">
        <f t="shared" si="27"/>
        <v>0</v>
      </c>
      <c r="R138" s="325">
        <f t="shared" si="22"/>
        <v>0</v>
      </c>
      <c r="S138" s="325">
        <f t="shared" si="23"/>
        <v>781</v>
      </c>
      <c r="T138" s="325">
        <f t="shared" si="28"/>
        <v>781</v>
      </c>
      <c r="U138" s="325">
        <f t="shared" si="24"/>
        <v>57858.55</v>
      </c>
      <c r="V138" s="325">
        <f t="shared" si="29"/>
        <v>0</v>
      </c>
      <c r="W138" s="449" cm="1">
        <f t="array" ref="W138">+IF(U138&lt;0,error,0)</f>
        <v>0</v>
      </c>
    </row>
    <row r="139" spans="1:23" ht="18" customHeight="1" x14ac:dyDescent="0.2">
      <c r="A139" s="402" t="s">
        <v>259</v>
      </c>
      <c r="B139" s="403"/>
      <c r="C139" s="404" t="s">
        <v>260</v>
      </c>
      <c r="D139" s="405">
        <v>43293</v>
      </c>
      <c r="E139" s="406"/>
      <c r="F139" s="325"/>
      <c r="G139" s="324"/>
      <c r="H139" s="324">
        <v>5625</v>
      </c>
      <c r="I139" s="325">
        <v>5278</v>
      </c>
      <c r="J139" s="325"/>
      <c r="K139" s="325">
        <f t="shared" si="20"/>
        <v>0</v>
      </c>
      <c r="L139" s="325">
        <f t="shared" si="21"/>
        <v>0</v>
      </c>
      <c r="M139" s="407">
        <v>2.5</v>
      </c>
      <c r="N139" s="408" t="s">
        <v>17</v>
      </c>
      <c r="O139" s="325">
        <f t="shared" si="25"/>
        <v>0</v>
      </c>
      <c r="P139" s="325">
        <f t="shared" si="26"/>
        <v>0</v>
      </c>
      <c r="Q139" s="325">
        <f t="shared" si="27"/>
        <v>0</v>
      </c>
      <c r="R139" s="325">
        <f t="shared" si="22"/>
        <v>0</v>
      </c>
      <c r="S139" s="325">
        <f t="shared" si="23"/>
        <v>70</v>
      </c>
      <c r="T139" s="325">
        <f t="shared" si="28"/>
        <v>70</v>
      </c>
      <c r="U139" s="325">
        <f t="shared" si="24"/>
        <v>5208</v>
      </c>
      <c r="V139" s="325">
        <f t="shared" si="29"/>
        <v>0</v>
      </c>
      <c r="W139" s="449" cm="1">
        <f t="array" ref="W139">+IF(U139&lt;0,error,0)</f>
        <v>0</v>
      </c>
    </row>
    <row r="140" spans="1:23" ht="18" customHeight="1" x14ac:dyDescent="0.2">
      <c r="A140" s="402" t="s">
        <v>261</v>
      </c>
      <c r="B140" s="403"/>
      <c r="C140" s="404" t="s">
        <v>262</v>
      </c>
      <c r="D140" s="405">
        <v>43297</v>
      </c>
      <c r="E140" s="406"/>
      <c r="F140" s="325"/>
      <c r="G140" s="324"/>
      <c r="H140" s="324">
        <v>5274.55</v>
      </c>
      <c r="I140" s="325">
        <v>4953.55</v>
      </c>
      <c r="J140" s="325"/>
      <c r="K140" s="325">
        <f t="shared" si="20"/>
        <v>0</v>
      </c>
      <c r="L140" s="325">
        <f t="shared" si="21"/>
        <v>0</v>
      </c>
      <c r="M140" s="407">
        <v>2.5</v>
      </c>
      <c r="N140" s="408" t="s">
        <v>17</v>
      </c>
      <c r="O140" s="325">
        <f t="shared" si="25"/>
        <v>0</v>
      </c>
      <c r="P140" s="325">
        <f t="shared" si="26"/>
        <v>0</v>
      </c>
      <c r="Q140" s="325">
        <f t="shared" si="27"/>
        <v>0</v>
      </c>
      <c r="R140" s="325">
        <f t="shared" si="22"/>
        <v>0</v>
      </c>
      <c r="S140" s="325">
        <f t="shared" si="23"/>
        <v>65</v>
      </c>
      <c r="T140" s="325">
        <f t="shared" si="28"/>
        <v>65</v>
      </c>
      <c r="U140" s="325">
        <f t="shared" si="24"/>
        <v>4888.55</v>
      </c>
      <c r="V140" s="325">
        <f t="shared" si="29"/>
        <v>0</v>
      </c>
      <c r="W140" s="449" cm="1">
        <f t="array" ref="W140">+IF(U140&lt;0,error,0)</f>
        <v>0</v>
      </c>
    </row>
    <row r="141" spans="1:23" ht="18" customHeight="1" x14ac:dyDescent="0.2">
      <c r="A141" s="402" t="s">
        <v>263</v>
      </c>
      <c r="B141" s="403"/>
      <c r="C141" s="404" t="s">
        <v>264</v>
      </c>
      <c r="D141" s="405">
        <v>43312</v>
      </c>
      <c r="E141" s="406"/>
      <c r="F141" s="325"/>
      <c r="G141" s="324"/>
      <c r="H141" s="324">
        <v>163.13</v>
      </c>
      <c r="I141" s="325">
        <v>154.13</v>
      </c>
      <c r="J141" s="325"/>
      <c r="K141" s="325">
        <f t="shared" si="20"/>
        <v>0</v>
      </c>
      <c r="L141" s="325">
        <f t="shared" si="21"/>
        <v>0</v>
      </c>
      <c r="M141" s="407">
        <v>2.5</v>
      </c>
      <c r="N141" s="408" t="s">
        <v>17</v>
      </c>
      <c r="O141" s="325">
        <f t="shared" si="25"/>
        <v>0</v>
      </c>
      <c r="P141" s="325">
        <f t="shared" si="26"/>
        <v>0</v>
      </c>
      <c r="Q141" s="325">
        <f t="shared" si="27"/>
        <v>0</v>
      </c>
      <c r="R141" s="325">
        <f t="shared" si="22"/>
        <v>0</v>
      </c>
      <c r="S141" s="325">
        <f t="shared" si="23"/>
        <v>2</v>
      </c>
      <c r="T141" s="325">
        <f t="shared" si="28"/>
        <v>2</v>
      </c>
      <c r="U141" s="325">
        <f t="shared" si="24"/>
        <v>152.13</v>
      </c>
      <c r="V141" s="325">
        <f t="shared" si="29"/>
        <v>0</v>
      </c>
      <c r="W141" s="449" cm="1">
        <f t="array" ref="W141">+IF(U141&lt;0,error,0)</f>
        <v>0</v>
      </c>
    </row>
    <row r="142" spans="1:23" ht="18" customHeight="1" x14ac:dyDescent="0.2">
      <c r="A142" s="402" t="s">
        <v>265</v>
      </c>
      <c r="B142" s="403"/>
      <c r="C142" s="404" t="s">
        <v>266</v>
      </c>
      <c r="D142" s="405">
        <v>43312</v>
      </c>
      <c r="E142" s="406"/>
      <c r="F142" s="325"/>
      <c r="G142" s="324"/>
      <c r="H142" s="324">
        <v>3542.3</v>
      </c>
      <c r="I142" s="325">
        <v>3329.3</v>
      </c>
      <c r="J142" s="325"/>
      <c r="K142" s="325">
        <f t="shared" si="20"/>
        <v>0</v>
      </c>
      <c r="L142" s="325">
        <f t="shared" si="21"/>
        <v>0</v>
      </c>
      <c r="M142" s="407">
        <v>2.5</v>
      </c>
      <c r="N142" s="408" t="s">
        <v>17</v>
      </c>
      <c r="O142" s="325">
        <f t="shared" si="25"/>
        <v>0</v>
      </c>
      <c r="P142" s="325">
        <f t="shared" si="26"/>
        <v>0</v>
      </c>
      <c r="Q142" s="325">
        <f t="shared" si="27"/>
        <v>0</v>
      </c>
      <c r="R142" s="325">
        <f t="shared" si="22"/>
        <v>0</v>
      </c>
      <c r="S142" s="325">
        <f t="shared" si="23"/>
        <v>44</v>
      </c>
      <c r="T142" s="325">
        <f t="shared" si="28"/>
        <v>44</v>
      </c>
      <c r="U142" s="325">
        <f t="shared" si="24"/>
        <v>3285.3</v>
      </c>
      <c r="V142" s="325">
        <f t="shared" si="29"/>
        <v>0</v>
      </c>
      <c r="W142" s="449" cm="1">
        <f t="array" ref="W142">+IF(U142&lt;0,error,0)</f>
        <v>0</v>
      </c>
    </row>
    <row r="143" spans="1:23" ht="18" customHeight="1" x14ac:dyDescent="0.2">
      <c r="A143" s="402" t="s">
        <v>267</v>
      </c>
      <c r="B143" s="403"/>
      <c r="C143" s="404" t="s">
        <v>268</v>
      </c>
      <c r="D143" s="405">
        <v>43312</v>
      </c>
      <c r="E143" s="406"/>
      <c r="F143" s="325"/>
      <c r="G143" s="324"/>
      <c r="H143" s="324">
        <v>1674</v>
      </c>
      <c r="I143" s="325">
        <v>1576</v>
      </c>
      <c r="J143" s="325"/>
      <c r="K143" s="325">
        <f t="shared" si="20"/>
        <v>0</v>
      </c>
      <c r="L143" s="325">
        <f t="shared" si="21"/>
        <v>0</v>
      </c>
      <c r="M143" s="407">
        <v>2.5</v>
      </c>
      <c r="N143" s="408" t="s">
        <v>17</v>
      </c>
      <c r="O143" s="325">
        <f t="shared" si="25"/>
        <v>0</v>
      </c>
      <c r="P143" s="325">
        <f t="shared" si="26"/>
        <v>0</v>
      </c>
      <c r="Q143" s="325">
        <f t="shared" si="27"/>
        <v>0</v>
      </c>
      <c r="R143" s="325">
        <f t="shared" si="22"/>
        <v>0</v>
      </c>
      <c r="S143" s="325">
        <f t="shared" si="23"/>
        <v>20</v>
      </c>
      <c r="T143" s="325">
        <f t="shared" si="28"/>
        <v>20</v>
      </c>
      <c r="U143" s="325">
        <f t="shared" si="24"/>
        <v>1556</v>
      </c>
      <c r="V143" s="325">
        <f t="shared" si="29"/>
        <v>0</v>
      </c>
      <c r="W143" s="449" cm="1">
        <f t="array" ref="W143">+IF(U143&lt;0,error,0)</f>
        <v>0</v>
      </c>
    </row>
    <row r="144" spans="1:23" ht="18" customHeight="1" x14ac:dyDescent="0.2">
      <c r="A144" s="402" t="s">
        <v>269</v>
      </c>
      <c r="B144" s="403"/>
      <c r="C144" s="404" t="s">
        <v>270</v>
      </c>
      <c r="D144" s="405">
        <v>43315</v>
      </c>
      <c r="E144" s="406"/>
      <c r="F144" s="325"/>
      <c r="G144" s="324"/>
      <c r="H144" s="324">
        <v>531.25</v>
      </c>
      <c r="I144" s="325">
        <v>502.25</v>
      </c>
      <c r="J144" s="325"/>
      <c r="K144" s="325">
        <f t="shared" si="20"/>
        <v>0</v>
      </c>
      <c r="L144" s="325">
        <f t="shared" si="21"/>
        <v>0</v>
      </c>
      <c r="M144" s="407">
        <v>2.5</v>
      </c>
      <c r="N144" s="408" t="s">
        <v>17</v>
      </c>
      <c r="O144" s="325">
        <f t="shared" si="25"/>
        <v>0</v>
      </c>
      <c r="P144" s="325">
        <f t="shared" si="26"/>
        <v>0</v>
      </c>
      <c r="Q144" s="325">
        <f t="shared" si="27"/>
        <v>0</v>
      </c>
      <c r="R144" s="325">
        <f t="shared" si="22"/>
        <v>0</v>
      </c>
      <c r="S144" s="325">
        <f t="shared" si="23"/>
        <v>6</v>
      </c>
      <c r="T144" s="325">
        <f t="shared" si="28"/>
        <v>6</v>
      </c>
      <c r="U144" s="325">
        <f t="shared" si="24"/>
        <v>496.25</v>
      </c>
      <c r="V144" s="325">
        <f t="shared" si="29"/>
        <v>0</v>
      </c>
      <c r="W144" s="449" cm="1">
        <f t="array" ref="W144">+IF(U144&lt;0,error,0)</f>
        <v>0</v>
      </c>
    </row>
    <row r="145" spans="1:23" ht="18" customHeight="1" x14ac:dyDescent="0.2">
      <c r="A145" s="402" t="s">
        <v>271</v>
      </c>
      <c r="B145" s="403"/>
      <c r="C145" s="404" t="s">
        <v>258</v>
      </c>
      <c r="D145" s="405">
        <v>43319</v>
      </c>
      <c r="E145" s="406"/>
      <c r="F145" s="325"/>
      <c r="G145" s="324"/>
      <c r="H145" s="324">
        <v>53941.08</v>
      </c>
      <c r="I145" s="325">
        <v>50704.08</v>
      </c>
      <c r="J145" s="325"/>
      <c r="K145" s="325">
        <f t="shared" si="20"/>
        <v>0</v>
      </c>
      <c r="L145" s="325">
        <f t="shared" si="21"/>
        <v>0</v>
      </c>
      <c r="M145" s="407">
        <v>2.5</v>
      </c>
      <c r="N145" s="408" t="s">
        <v>17</v>
      </c>
      <c r="O145" s="325">
        <f t="shared" si="25"/>
        <v>0</v>
      </c>
      <c r="P145" s="325">
        <f t="shared" si="26"/>
        <v>0</v>
      </c>
      <c r="Q145" s="325">
        <f t="shared" si="27"/>
        <v>0</v>
      </c>
      <c r="R145" s="325">
        <f t="shared" si="22"/>
        <v>0</v>
      </c>
      <c r="S145" s="325">
        <f t="shared" si="23"/>
        <v>674</v>
      </c>
      <c r="T145" s="325">
        <f t="shared" si="28"/>
        <v>674</v>
      </c>
      <c r="U145" s="325">
        <f t="shared" si="24"/>
        <v>50030.080000000002</v>
      </c>
      <c r="V145" s="325">
        <f t="shared" si="29"/>
        <v>0</v>
      </c>
      <c r="W145" s="449" cm="1">
        <f t="array" ref="W145">+IF(U145&lt;0,error,0)</f>
        <v>0</v>
      </c>
    </row>
    <row r="146" spans="1:23" ht="18" customHeight="1" x14ac:dyDescent="0.2">
      <c r="A146" s="402" t="s">
        <v>272</v>
      </c>
      <c r="B146" s="403"/>
      <c r="C146" s="404" t="s">
        <v>273</v>
      </c>
      <c r="D146" s="405">
        <v>43340</v>
      </c>
      <c r="E146" s="406"/>
      <c r="F146" s="325"/>
      <c r="G146" s="324"/>
      <c r="H146" s="324">
        <v>2565</v>
      </c>
      <c r="I146" s="325">
        <v>2415</v>
      </c>
      <c r="J146" s="325"/>
      <c r="K146" s="325">
        <f t="shared" si="20"/>
        <v>0</v>
      </c>
      <c r="L146" s="325">
        <f t="shared" si="21"/>
        <v>0</v>
      </c>
      <c r="M146" s="407">
        <v>2.5</v>
      </c>
      <c r="N146" s="408" t="s">
        <v>17</v>
      </c>
      <c r="O146" s="325">
        <f t="shared" si="25"/>
        <v>0</v>
      </c>
      <c r="P146" s="325">
        <f t="shared" si="26"/>
        <v>0</v>
      </c>
      <c r="Q146" s="325">
        <f t="shared" si="27"/>
        <v>0</v>
      </c>
      <c r="R146" s="325">
        <f t="shared" si="22"/>
        <v>0</v>
      </c>
      <c r="S146" s="325">
        <f t="shared" si="23"/>
        <v>32</v>
      </c>
      <c r="T146" s="325">
        <f t="shared" si="28"/>
        <v>32</v>
      </c>
      <c r="U146" s="325">
        <f t="shared" si="24"/>
        <v>2383</v>
      </c>
      <c r="V146" s="325">
        <f t="shared" si="29"/>
        <v>0</v>
      </c>
      <c r="W146" s="449" cm="1">
        <f t="array" ref="W146">+IF(U146&lt;0,error,0)</f>
        <v>0</v>
      </c>
    </row>
    <row r="147" spans="1:23" ht="18" customHeight="1" x14ac:dyDescent="0.2">
      <c r="A147" s="402" t="s">
        <v>274</v>
      </c>
      <c r="B147" s="403"/>
      <c r="C147" s="404" t="s">
        <v>268</v>
      </c>
      <c r="D147" s="405">
        <v>43343</v>
      </c>
      <c r="E147" s="406"/>
      <c r="F147" s="325"/>
      <c r="G147" s="324"/>
      <c r="H147" s="324">
        <v>1798</v>
      </c>
      <c r="I147" s="325">
        <v>1695</v>
      </c>
      <c r="J147" s="325"/>
      <c r="K147" s="325">
        <f t="shared" si="20"/>
        <v>0</v>
      </c>
      <c r="L147" s="325">
        <f t="shared" si="21"/>
        <v>0</v>
      </c>
      <c r="M147" s="407">
        <v>2.5</v>
      </c>
      <c r="N147" s="408" t="s">
        <v>17</v>
      </c>
      <c r="O147" s="325">
        <f t="shared" si="25"/>
        <v>0</v>
      </c>
      <c r="P147" s="325">
        <f t="shared" si="26"/>
        <v>0</v>
      </c>
      <c r="Q147" s="325">
        <f t="shared" si="27"/>
        <v>0</v>
      </c>
      <c r="R147" s="325">
        <f t="shared" si="22"/>
        <v>0</v>
      </c>
      <c r="S147" s="325">
        <f t="shared" si="23"/>
        <v>22</v>
      </c>
      <c r="T147" s="325">
        <f t="shared" si="28"/>
        <v>22</v>
      </c>
      <c r="U147" s="325">
        <f t="shared" si="24"/>
        <v>1673</v>
      </c>
      <c r="V147" s="325">
        <f t="shared" si="29"/>
        <v>0</v>
      </c>
      <c r="W147" s="449" cm="1">
        <f t="array" ref="W147">+IF(U147&lt;0,error,0)</f>
        <v>0</v>
      </c>
    </row>
    <row r="148" spans="1:23" ht="18" customHeight="1" x14ac:dyDescent="0.2">
      <c r="A148" s="402" t="s">
        <v>275</v>
      </c>
      <c r="B148" s="403"/>
      <c r="C148" s="404" t="s">
        <v>258</v>
      </c>
      <c r="D148" s="405">
        <v>43350</v>
      </c>
      <c r="E148" s="406"/>
      <c r="F148" s="325"/>
      <c r="G148" s="324"/>
      <c r="H148" s="324">
        <v>64500.33</v>
      </c>
      <c r="I148" s="325">
        <v>60766.33</v>
      </c>
      <c r="J148" s="325"/>
      <c r="K148" s="325">
        <f t="shared" si="20"/>
        <v>0</v>
      </c>
      <c r="L148" s="325">
        <f t="shared" si="21"/>
        <v>0</v>
      </c>
      <c r="M148" s="407">
        <v>2.5</v>
      </c>
      <c r="N148" s="408" t="s">
        <v>17</v>
      </c>
      <c r="O148" s="325">
        <f t="shared" si="25"/>
        <v>0</v>
      </c>
      <c r="P148" s="325">
        <f t="shared" si="26"/>
        <v>0</v>
      </c>
      <c r="Q148" s="325">
        <f t="shared" si="27"/>
        <v>0</v>
      </c>
      <c r="R148" s="325">
        <f t="shared" si="22"/>
        <v>0</v>
      </c>
      <c r="S148" s="325">
        <f t="shared" si="23"/>
        <v>806</v>
      </c>
      <c r="T148" s="325">
        <f t="shared" si="28"/>
        <v>806</v>
      </c>
      <c r="U148" s="325">
        <f t="shared" si="24"/>
        <v>59960.33</v>
      </c>
      <c r="V148" s="325">
        <f t="shared" si="29"/>
        <v>0</v>
      </c>
      <c r="W148" s="449" cm="1">
        <f t="array" ref="W148">+IF(U148&lt;0,error,0)</f>
        <v>0</v>
      </c>
    </row>
    <row r="149" spans="1:23" ht="18" customHeight="1" x14ac:dyDescent="0.2">
      <c r="A149" s="402" t="s">
        <v>276</v>
      </c>
      <c r="B149" s="403"/>
      <c r="C149" s="404" t="s">
        <v>277</v>
      </c>
      <c r="D149" s="405">
        <v>43356</v>
      </c>
      <c r="E149" s="406"/>
      <c r="F149" s="325"/>
      <c r="G149" s="324"/>
      <c r="H149" s="324">
        <v>4874.1500000000005</v>
      </c>
      <c r="I149" s="325">
        <v>4597.1500000000005</v>
      </c>
      <c r="J149" s="325"/>
      <c r="K149" s="325">
        <f t="shared" si="20"/>
        <v>0</v>
      </c>
      <c r="L149" s="325">
        <f t="shared" si="21"/>
        <v>0</v>
      </c>
      <c r="M149" s="407">
        <v>2.5</v>
      </c>
      <c r="N149" s="408" t="s">
        <v>17</v>
      </c>
      <c r="O149" s="325">
        <f t="shared" si="25"/>
        <v>0</v>
      </c>
      <c r="P149" s="325">
        <f t="shared" si="26"/>
        <v>0</v>
      </c>
      <c r="Q149" s="325">
        <f t="shared" si="27"/>
        <v>0</v>
      </c>
      <c r="R149" s="325">
        <f t="shared" si="22"/>
        <v>0</v>
      </c>
      <c r="S149" s="325">
        <f t="shared" si="23"/>
        <v>60</v>
      </c>
      <c r="T149" s="325">
        <f t="shared" si="28"/>
        <v>60</v>
      </c>
      <c r="U149" s="325">
        <f t="shared" si="24"/>
        <v>4537.1500000000005</v>
      </c>
      <c r="V149" s="325">
        <f t="shared" si="29"/>
        <v>0</v>
      </c>
      <c r="W149" s="449" cm="1">
        <f t="array" ref="W149">+IF(U149&lt;0,error,0)</f>
        <v>0</v>
      </c>
    </row>
    <row r="150" spans="1:23" ht="18" customHeight="1" x14ac:dyDescent="0.2">
      <c r="A150" s="402" t="s">
        <v>278</v>
      </c>
      <c r="B150" s="403"/>
      <c r="C150" s="404" t="s">
        <v>258</v>
      </c>
      <c r="D150" s="405">
        <v>43375</v>
      </c>
      <c r="E150" s="406"/>
      <c r="F150" s="325"/>
      <c r="G150" s="324"/>
      <c r="H150" s="324">
        <v>42752.950000000004</v>
      </c>
      <c r="I150" s="325">
        <v>40351.950000000004</v>
      </c>
      <c r="J150" s="325"/>
      <c r="K150" s="325">
        <f t="shared" si="20"/>
        <v>0</v>
      </c>
      <c r="L150" s="325">
        <f t="shared" si="21"/>
        <v>0</v>
      </c>
      <c r="M150" s="407">
        <v>2.5</v>
      </c>
      <c r="N150" s="408" t="s">
        <v>17</v>
      </c>
      <c r="O150" s="325">
        <f t="shared" si="25"/>
        <v>0</v>
      </c>
      <c r="P150" s="325">
        <f t="shared" si="26"/>
        <v>0</v>
      </c>
      <c r="Q150" s="325">
        <f t="shared" si="27"/>
        <v>0</v>
      </c>
      <c r="R150" s="325">
        <f t="shared" si="22"/>
        <v>0</v>
      </c>
      <c r="S150" s="325">
        <f t="shared" si="23"/>
        <v>534</v>
      </c>
      <c r="T150" s="325">
        <f t="shared" si="28"/>
        <v>534</v>
      </c>
      <c r="U150" s="325">
        <f t="shared" si="24"/>
        <v>39817.950000000004</v>
      </c>
      <c r="V150" s="325">
        <f t="shared" si="29"/>
        <v>0</v>
      </c>
      <c r="W150" s="449" cm="1">
        <f t="array" ref="W150">+IF(U150&lt;0,error,0)</f>
        <v>0</v>
      </c>
    </row>
    <row r="151" spans="1:23" ht="18" customHeight="1" x14ac:dyDescent="0.2">
      <c r="A151" s="402" t="s">
        <v>279</v>
      </c>
      <c r="B151" s="403"/>
      <c r="C151" s="412" t="s">
        <v>280</v>
      </c>
      <c r="D151" s="405">
        <v>43334</v>
      </c>
      <c r="E151" s="406"/>
      <c r="F151" s="325"/>
      <c r="G151" s="324"/>
      <c r="H151" s="324">
        <v>31700</v>
      </c>
      <c r="I151" s="325">
        <v>29831</v>
      </c>
      <c r="J151" s="325"/>
      <c r="K151" s="325">
        <f t="shared" si="20"/>
        <v>0</v>
      </c>
      <c r="L151" s="325">
        <f t="shared" si="21"/>
        <v>0</v>
      </c>
      <c r="M151" s="407">
        <v>2.5</v>
      </c>
      <c r="N151" s="408" t="s">
        <v>17</v>
      </c>
      <c r="O151" s="325">
        <f t="shared" si="25"/>
        <v>0</v>
      </c>
      <c r="P151" s="325">
        <f t="shared" si="26"/>
        <v>0</v>
      </c>
      <c r="Q151" s="325">
        <f t="shared" si="27"/>
        <v>0</v>
      </c>
      <c r="R151" s="325">
        <f t="shared" si="22"/>
        <v>0</v>
      </c>
      <c r="S151" s="325">
        <f t="shared" si="23"/>
        <v>396</v>
      </c>
      <c r="T151" s="325">
        <f t="shared" si="28"/>
        <v>396</v>
      </c>
      <c r="U151" s="325">
        <f t="shared" si="24"/>
        <v>29435</v>
      </c>
      <c r="V151" s="325">
        <f t="shared" si="29"/>
        <v>0</v>
      </c>
      <c r="W151" s="449" cm="1">
        <f t="array" ref="W151">+IF(U151&lt;0,error,0)</f>
        <v>0</v>
      </c>
    </row>
    <row r="152" spans="1:23" ht="18" customHeight="1" x14ac:dyDescent="0.2">
      <c r="A152" s="402" t="s">
        <v>281</v>
      </c>
      <c r="B152" s="403"/>
      <c r="C152" s="412" t="s">
        <v>282</v>
      </c>
      <c r="D152" s="405">
        <v>43374</v>
      </c>
      <c r="E152" s="406"/>
      <c r="F152" s="325"/>
      <c r="G152" s="324"/>
      <c r="H152" s="324">
        <v>9587.5</v>
      </c>
      <c r="I152" s="325">
        <v>9051.5</v>
      </c>
      <c r="J152" s="325"/>
      <c r="K152" s="325">
        <f t="shared" si="20"/>
        <v>0</v>
      </c>
      <c r="L152" s="325">
        <f t="shared" si="21"/>
        <v>0</v>
      </c>
      <c r="M152" s="407">
        <v>2.5</v>
      </c>
      <c r="N152" s="408" t="s">
        <v>17</v>
      </c>
      <c r="O152" s="325">
        <f t="shared" si="25"/>
        <v>0</v>
      </c>
      <c r="P152" s="325">
        <f t="shared" si="26"/>
        <v>0</v>
      </c>
      <c r="Q152" s="325">
        <f t="shared" si="27"/>
        <v>0</v>
      </c>
      <c r="R152" s="325">
        <f t="shared" si="22"/>
        <v>0</v>
      </c>
      <c r="S152" s="325">
        <f t="shared" si="23"/>
        <v>119</v>
      </c>
      <c r="T152" s="325">
        <f t="shared" si="28"/>
        <v>119</v>
      </c>
      <c r="U152" s="325">
        <f t="shared" si="24"/>
        <v>8932.5</v>
      </c>
      <c r="V152" s="325">
        <f t="shared" si="29"/>
        <v>0</v>
      </c>
      <c r="W152" s="449" cm="1">
        <f t="array" ref="W152">+IF(U152&lt;0,error,0)</f>
        <v>0</v>
      </c>
    </row>
    <row r="153" spans="1:23" ht="18" customHeight="1" x14ac:dyDescent="0.2">
      <c r="A153" s="402" t="s">
        <v>283</v>
      </c>
      <c r="B153" s="403"/>
      <c r="C153" s="404" t="s">
        <v>284</v>
      </c>
      <c r="D153" s="405">
        <v>43404</v>
      </c>
      <c r="E153" s="406"/>
      <c r="F153" s="325"/>
      <c r="G153" s="324"/>
      <c r="H153" s="324">
        <v>1040</v>
      </c>
      <c r="I153" s="325">
        <v>984</v>
      </c>
      <c r="J153" s="325"/>
      <c r="K153" s="325">
        <f t="shared" si="20"/>
        <v>0</v>
      </c>
      <c r="L153" s="325">
        <f t="shared" si="21"/>
        <v>0</v>
      </c>
      <c r="M153" s="407">
        <v>2.5</v>
      </c>
      <c r="N153" s="408" t="s">
        <v>17</v>
      </c>
      <c r="O153" s="325">
        <f t="shared" si="25"/>
        <v>0</v>
      </c>
      <c r="P153" s="325">
        <f t="shared" si="26"/>
        <v>0</v>
      </c>
      <c r="Q153" s="325">
        <f t="shared" si="27"/>
        <v>0</v>
      </c>
      <c r="R153" s="325">
        <f t="shared" si="22"/>
        <v>0</v>
      </c>
      <c r="S153" s="325">
        <f t="shared" si="23"/>
        <v>13</v>
      </c>
      <c r="T153" s="325">
        <f t="shared" si="28"/>
        <v>13</v>
      </c>
      <c r="U153" s="325">
        <f t="shared" si="24"/>
        <v>971</v>
      </c>
      <c r="V153" s="325">
        <f t="shared" si="29"/>
        <v>0</v>
      </c>
      <c r="W153" s="449" cm="1">
        <f t="array" ref="W153">+IF(U153&lt;0,error,0)</f>
        <v>0</v>
      </c>
    </row>
    <row r="154" spans="1:23" ht="18" customHeight="1" x14ac:dyDescent="0.2">
      <c r="A154" s="402">
        <v>740147</v>
      </c>
      <c r="B154" s="403"/>
      <c r="C154" s="404" t="s">
        <v>2039</v>
      </c>
      <c r="D154" s="405">
        <v>43502</v>
      </c>
      <c r="E154" s="406"/>
      <c r="F154" s="325"/>
      <c r="G154" s="324"/>
      <c r="H154" s="324">
        <v>31026.7</v>
      </c>
      <c r="I154" s="325">
        <v>29559.7</v>
      </c>
      <c r="J154" s="325"/>
      <c r="K154" s="325">
        <f t="shared" si="20"/>
        <v>0</v>
      </c>
      <c r="L154" s="325">
        <f t="shared" si="21"/>
        <v>0</v>
      </c>
      <c r="M154" s="407">
        <v>2.5</v>
      </c>
      <c r="N154" s="408" t="s">
        <v>17</v>
      </c>
      <c r="O154" s="325">
        <f t="shared" si="25"/>
        <v>0</v>
      </c>
      <c r="P154" s="325">
        <f t="shared" si="26"/>
        <v>0</v>
      </c>
      <c r="Q154" s="325">
        <f t="shared" si="27"/>
        <v>0</v>
      </c>
      <c r="R154" s="325">
        <f t="shared" si="22"/>
        <v>0</v>
      </c>
      <c r="S154" s="325">
        <f t="shared" si="23"/>
        <v>387</v>
      </c>
      <c r="T154" s="325">
        <f>+R154+S154+Q154</f>
        <v>387</v>
      </c>
      <c r="U154" s="325">
        <f t="shared" si="24"/>
        <v>29172.7</v>
      </c>
      <c r="V154" s="325">
        <f t="shared" si="29"/>
        <v>0</v>
      </c>
      <c r="W154" s="449" cm="1">
        <f t="array" ref="W154">+IF(U154&lt;0,error,0)</f>
        <v>0</v>
      </c>
    </row>
    <row r="155" spans="1:23" ht="18" customHeight="1" x14ac:dyDescent="0.2">
      <c r="A155" s="402">
        <v>740148</v>
      </c>
      <c r="B155" s="403"/>
      <c r="C155" s="404" t="s">
        <v>2040</v>
      </c>
      <c r="D155" s="405">
        <v>43566</v>
      </c>
      <c r="E155" s="406"/>
      <c r="F155" s="325"/>
      <c r="G155" s="324"/>
      <c r="H155" s="324">
        <v>13485.26</v>
      </c>
      <c r="I155" s="325">
        <v>12908.26</v>
      </c>
      <c r="J155" s="325"/>
      <c r="K155" s="325">
        <f t="shared" si="20"/>
        <v>0</v>
      </c>
      <c r="L155" s="325">
        <f t="shared" si="21"/>
        <v>0</v>
      </c>
      <c r="M155" s="407">
        <v>2.5</v>
      </c>
      <c r="N155" s="408" t="s">
        <v>17</v>
      </c>
      <c r="O155" s="325">
        <f t="shared" si="25"/>
        <v>0</v>
      </c>
      <c r="P155" s="325">
        <f t="shared" si="26"/>
        <v>0</v>
      </c>
      <c r="Q155" s="325">
        <f t="shared" si="27"/>
        <v>0</v>
      </c>
      <c r="R155" s="325">
        <f t="shared" si="22"/>
        <v>0</v>
      </c>
      <c r="S155" s="325">
        <f t="shared" si="23"/>
        <v>168</v>
      </c>
      <c r="T155" s="325">
        <f t="shared" ref="T155:T169" si="30">+R155+S155+Q155</f>
        <v>168</v>
      </c>
      <c r="U155" s="325">
        <f t="shared" si="24"/>
        <v>12740.26</v>
      </c>
      <c r="V155" s="325">
        <f t="shared" si="29"/>
        <v>0</v>
      </c>
      <c r="W155" s="449" cm="1">
        <f t="array" ref="W155">+IF(U155&lt;0,error,0)</f>
        <v>0</v>
      </c>
    </row>
    <row r="156" spans="1:23" ht="18" customHeight="1" x14ac:dyDescent="0.2">
      <c r="A156" s="402">
        <v>740149</v>
      </c>
      <c r="B156" s="403"/>
      <c r="C156" s="404" t="s">
        <v>2041</v>
      </c>
      <c r="D156" s="405">
        <v>43585</v>
      </c>
      <c r="E156" s="406"/>
      <c r="F156" s="325"/>
      <c r="G156" s="324"/>
      <c r="H156" s="324">
        <v>23909.5</v>
      </c>
      <c r="I156" s="325">
        <v>22916.5</v>
      </c>
      <c r="J156" s="325"/>
      <c r="K156" s="325">
        <f t="shared" si="20"/>
        <v>0</v>
      </c>
      <c r="L156" s="325">
        <f t="shared" si="21"/>
        <v>0</v>
      </c>
      <c r="M156" s="407">
        <v>2.5</v>
      </c>
      <c r="N156" s="408" t="s">
        <v>17</v>
      </c>
      <c r="O156" s="325">
        <f t="shared" si="25"/>
        <v>0</v>
      </c>
      <c r="P156" s="325">
        <f t="shared" si="26"/>
        <v>0</v>
      </c>
      <c r="Q156" s="325">
        <f t="shared" si="27"/>
        <v>0</v>
      </c>
      <c r="R156" s="325">
        <f t="shared" si="22"/>
        <v>0</v>
      </c>
      <c r="S156" s="325">
        <f t="shared" si="23"/>
        <v>298</v>
      </c>
      <c r="T156" s="325">
        <f t="shared" si="30"/>
        <v>298</v>
      </c>
      <c r="U156" s="325">
        <f t="shared" si="24"/>
        <v>22618.5</v>
      </c>
      <c r="V156" s="325">
        <f t="shared" si="29"/>
        <v>0</v>
      </c>
      <c r="W156" s="449" cm="1">
        <f t="array" ref="W156">+IF(U156&lt;0,error,0)</f>
        <v>0</v>
      </c>
    </row>
    <row r="157" spans="1:23" ht="18" customHeight="1" x14ac:dyDescent="0.2">
      <c r="A157" s="402">
        <v>740150</v>
      </c>
      <c r="B157" s="403"/>
      <c r="C157" s="404" t="s">
        <v>53</v>
      </c>
      <c r="D157" s="405">
        <v>43622</v>
      </c>
      <c r="E157" s="406"/>
      <c r="F157" s="325"/>
      <c r="G157" s="324"/>
      <c r="H157" s="324">
        <v>29309.15</v>
      </c>
      <c r="I157" s="325">
        <v>28163.15</v>
      </c>
      <c r="J157" s="325"/>
      <c r="K157" s="325">
        <f t="shared" si="20"/>
        <v>0</v>
      </c>
      <c r="L157" s="325">
        <f t="shared" si="21"/>
        <v>0</v>
      </c>
      <c r="M157" s="407">
        <v>2.5</v>
      </c>
      <c r="N157" s="408" t="s">
        <v>17</v>
      </c>
      <c r="O157" s="325">
        <f t="shared" si="25"/>
        <v>0</v>
      </c>
      <c r="P157" s="325">
        <f t="shared" si="26"/>
        <v>0</v>
      </c>
      <c r="Q157" s="325">
        <f t="shared" si="27"/>
        <v>0</v>
      </c>
      <c r="R157" s="325">
        <f t="shared" si="22"/>
        <v>0</v>
      </c>
      <c r="S157" s="325">
        <f t="shared" si="23"/>
        <v>366</v>
      </c>
      <c r="T157" s="325">
        <f t="shared" si="30"/>
        <v>366</v>
      </c>
      <c r="U157" s="325">
        <f t="shared" si="24"/>
        <v>27797.15</v>
      </c>
      <c r="V157" s="325">
        <f t="shared" si="29"/>
        <v>0</v>
      </c>
      <c r="W157" s="449" cm="1">
        <f t="array" ref="W157">+IF(U157&lt;0,error,0)</f>
        <v>0</v>
      </c>
    </row>
    <row r="158" spans="1:23" ht="18" customHeight="1" x14ac:dyDescent="0.2">
      <c r="A158" s="402">
        <v>740151</v>
      </c>
      <c r="B158" s="403"/>
      <c r="C158" s="404" t="s">
        <v>2042</v>
      </c>
      <c r="D158" s="405">
        <v>43617</v>
      </c>
      <c r="E158" s="406"/>
      <c r="F158" s="325"/>
      <c r="G158" s="324"/>
      <c r="H158" s="324">
        <v>38976.42</v>
      </c>
      <c r="I158" s="325">
        <v>37438.42</v>
      </c>
      <c r="J158" s="325"/>
      <c r="K158" s="325">
        <f t="shared" si="20"/>
        <v>0</v>
      </c>
      <c r="L158" s="325">
        <f t="shared" si="21"/>
        <v>0</v>
      </c>
      <c r="M158" s="407">
        <v>2.5</v>
      </c>
      <c r="N158" s="408" t="s">
        <v>17</v>
      </c>
      <c r="O158" s="325">
        <f t="shared" si="25"/>
        <v>0</v>
      </c>
      <c r="P158" s="325">
        <f t="shared" si="26"/>
        <v>0</v>
      </c>
      <c r="Q158" s="325">
        <f t="shared" si="27"/>
        <v>0</v>
      </c>
      <c r="R158" s="325">
        <f t="shared" si="22"/>
        <v>0</v>
      </c>
      <c r="S158" s="325">
        <f t="shared" si="23"/>
        <v>487</v>
      </c>
      <c r="T158" s="325">
        <f t="shared" si="30"/>
        <v>487</v>
      </c>
      <c r="U158" s="325">
        <f t="shared" si="24"/>
        <v>36951.42</v>
      </c>
      <c r="V158" s="325">
        <f t="shared" si="29"/>
        <v>0</v>
      </c>
      <c r="W158" s="449" cm="1">
        <f t="array" ref="W158">+IF(U158&lt;0,error,0)</f>
        <v>0</v>
      </c>
    </row>
    <row r="159" spans="1:23" ht="18" customHeight="1" x14ac:dyDescent="0.2">
      <c r="A159" s="402">
        <v>740152</v>
      </c>
      <c r="B159" s="403"/>
      <c r="C159" s="404" t="s">
        <v>1877</v>
      </c>
      <c r="D159" s="405">
        <v>43497</v>
      </c>
      <c r="E159" s="406"/>
      <c r="F159" s="325"/>
      <c r="G159" s="324"/>
      <c r="H159" s="324">
        <v>14080</v>
      </c>
      <c r="I159" s="325">
        <v>13409</v>
      </c>
      <c r="J159" s="325"/>
      <c r="K159" s="325">
        <f t="shared" si="20"/>
        <v>0</v>
      </c>
      <c r="L159" s="325">
        <f t="shared" si="21"/>
        <v>0</v>
      </c>
      <c r="M159" s="407">
        <v>2.5</v>
      </c>
      <c r="N159" s="408" t="s">
        <v>17</v>
      </c>
      <c r="O159" s="325">
        <f t="shared" si="25"/>
        <v>0</v>
      </c>
      <c r="P159" s="325">
        <f t="shared" si="26"/>
        <v>0</v>
      </c>
      <c r="Q159" s="325">
        <f t="shared" si="27"/>
        <v>0</v>
      </c>
      <c r="R159" s="325">
        <f t="shared" si="22"/>
        <v>0</v>
      </c>
      <c r="S159" s="325">
        <f t="shared" si="23"/>
        <v>176</v>
      </c>
      <c r="T159" s="325">
        <f t="shared" si="30"/>
        <v>176</v>
      </c>
      <c r="U159" s="325">
        <f t="shared" si="24"/>
        <v>13233</v>
      </c>
      <c r="V159" s="325">
        <f t="shared" si="29"/>
        <v>0</v>
      </c>
      <c r="W159" s="449" cm="1">
        <f t="array" ref="W159">+IF(U159&lt;0,error,0)</f>
        <v>0</v>
      </c>
    </row>
    <row r="160" spans="1:23" ht="18" customHeight="1" x14ac:dyDescent="0.2">
      <c r="A160" s="402">
        <v>740153</v>
      </c>
      <c r="B160" s="403"/>
      <c r="C160" s="404" t="s">
        <v>2108</v>
      </c>
      <c r="D160" s="405">
        <v>43709</v>
      </c>
      <c r="E160" s="406"/>
      <c r="F160" s="325"/>
      <c r="G160" s="324"/>
      <c r="H160" s="324">
        <v>7400.85</v>
      </c>
      <c r="I160" s="325">
        <v>7155.85</v>
      </c>
      <c r="J160" s="325"/>
      <c r="K160" s="325">
        <f t="shared" si="20"/>
        <v>0</v>
      </c>
      <c r="L160" s="325">
        <f t="shared" si="21"/>
        <v>0</v>
      </c>
      <c r="M160" s="407">
        <v>2.5</v>
      </c>
      <c r="N160" s="408" t="s">
        <v>17</v>
      </c>
      <c r="O160" s="325">
        <f t="shared" si="25"/>
        <v>0</v>
      </c>
      <c r="P160" s="325">
        <f t="shared" si="26"/>
        <v>0</v>
      </c>
      <c r="Q160" s="325">
        <f t="shared" si="27"/>
        <v>0</v>
      </c>
      <c r="R160" s="325">
        <f t="shared" si="22"/>
        <v>0</v>
      </c>
      <c r="S160" s="325">
        <f t="shared" si="23"/>
        <v>92</v>
      </c>
      <c r="T160" s="325">
        <f t="shared" si="30"/>
        <v>92</v>
      </c>
      <c r="U160" s="325">
        <f t="shared" si="24"/>
        <v>7063.85</v>
      </c>
      <c r="V160" s="325">
        <f t="shared" si="29"/>
        <v>0</v>
      </c>
      <c r="W160" s="449" cm="1">
        <f t="array" ref="W160">+IF(U160&lt;0,error,0)</f>
        <v>0</v>
      </c>
    </row>
    <row r="161" spans="1:26" ht="18" customHeight="1" x14ac:dyDescent="0.2">
      <c r="A161" s="402">
        <v>740154</v>
      </c>
      <c r="B161" s="403"/>
      <c r="C161" s="404" t="s">
        <v>2109</v>
      </c>
      <c r="D161" s="405">
        <v>43647</v>
      </c>
      <c r="E161" s="406"/>
      <c r="F161" s="325"/>
      <c r="G161" s="324"/>
      <c r="H161" s="324">
        <v>6012.5</v>
      </c>
      <c r="I161" s="325">
        <v>5787.5</v>
      </c>
      <c r="J161" s="325"/>
      <c r="K161" s="325">
        <f t="shared" si="20"/>
        <v>0</v>
      </c>
      <c r="L161" s="325">
        <f t="shared" si="21"/>
        <v>0</v>
      </c>
      <c r="M161" s="407">
        <v>2.5</v>
      </c>
      <c r="N161" s="408" t="s">
        <v>17</v>
      </c>
      <c r="O161" s="325">
        <f t="shared" si="25"/>
        <v>0</v>
      </c>
      <c r="P161" s="325">
        <f t="shared" si="26"/>
        <v>0</v>
      </c>
      <c r="Q161" s="325">
        <f t="shared" si="27"/>
        <v>0</v>
      </c>
      <c r="R161" s="325">
        <f t="shared" si="22"/>
        <v>0</v>
      </c>
      <c r="S161" s="325">
        <f t="shared" si="23"/>
        <v>75</v>
      </c>
      <c r="T161" s="325">
        <f t="shared" si="30"/>
        <v>75</v>
      </c>
      <c r="U161" s="325">
        <f t="shared" si="24"/>
        <v>5712.5</v>
      </c>
      <c r="V161" s="325">
        <f t="shared" si="29"/>
        <v>0</v>
      </c>
      <c r="W161" s="449" cm="1">
        <f t="array" ref="W161">+IF(U161&lt;0,error,0)</f>
        <v>0</v>
      </c>
    </row>
    <row r="162" spans="1:26" ht="18" customHeight="1" x14ac:dyDescent="0.2">
      <c r="A162" s="402">
        <v>740155</v>
      </c>
      <c r="B162" s="403"/>
      <c r="C162" s="404" t="s">
        <v>1852</v>
      </c>
      <c r="D162" s="405">
        <v>43818</v>
      </c>
      <c r="E162" s="406"/>
      <c r="F162" s="325"/>
      <c r="G162" s="324"/>
      <c r="H162" s="324">
        <v>18612.07</v>
      </c>
      <c r="I162" s="325">
        <v>18133.07</v>
      </c>
      <c r="J162" s="325"/>
      <c r="K162" s="325">
        <f t="shared" si="20"/>
        <v>0</v>
      </c>
      <c r="L162" s="325">
        <f t="shared" si="21"/>
        <v>0</v>
      </c>
      <c r="M162" s="407">
        <v>2.5</v>
      </c>
      <c r="N162" s="408" t="s">
        <v>17</v>
      </c>
      <c r="O162" s="325">
        <f t="shared" si="25"/>
        <v>0</v>
      </c>
      <c r="P162" s="325">
        <f t="shared" si="26"/>
        <v>0</v>
      </c>
      <c r="Q162" s="325">
        <f t="shared" si="27"/>
        <v>0</v>
      </c>
      <c r="R162" s="325">
        <f t="shared" si="22"/>
        <v>0</v>
      </c>
      <c r="S162" s="325">
        <f t="shared" si="23"/>
        <v>232</v>
      </c>
      <c r="T162" s="325">
        <f t="shared" si="30"/>
        <v>232</v>
      </c>
      <c r="U162" s="325">
        <f t="shared" si="24"/>
        <v>17901.07</v>
      </c>
      <c r="V162" s="325">
        <f t="shared" si="29"/>
        <v>0</v>
      </c>
      <c r="W162" s="449" cm="1">
        <f t="array" ref="W162">+IF(U162&lt;0,error,0)</f>
        <v>0</v>
      </c>
    </row>
    <row r="163" spans="1:26" ht="18" customHeight="1" x14ac:dyDescent="0.2">
      <c r="A163" s="402">
        <v>740156</v>
      </c>
      <c r="B163" s="403"/>
      <c r="C163" s="404" t="s">
        <v>53</v>
      </c>
      <c r="D163" s="405">
        <v>43830</v>
      </c>
      <c r="E163" s="406"/>
      <c r="F163" s="325"/>
      <c r="G163" s="324"/>
      <c r="H163" s="324">
        <v>29585.27</v>
      </c>
      <c r="I163" s="325">
        <v>28847.27</v>
      </c>
      <c r="J163" s="325"/>
      <c r="K163" s="325">
        <f t="shared" si="20"/>
        <v>0</v>
      </c>
      <c r="L163" s="325">
        <f t="shared" si="21"/>
        <v>0</v>
      </c>
      <c r="M163" s="407">
        <v>2.5</v>
      </c>
      <c r="N163" s="408" t="s">
        <v>17</v>
      </c>
      <c r="O163" s="325">
        <f t="shared" si="25"/>
        <v>0</v>
      </c>
      <c r="P163" s="325">
        <f t="shared" si="26"/>
        <v>0</v>
      </c>
      <c r="Q163" s="325">
        <f t="shared" si="27"/>
        <v>0</v>
      </c>
      <c r="R163" s="325">
        <f t="shared" si="22"/>
        <v>0</v>
      </c>
      <c r="S163" s="325">
        <f t="shared" si="23"/>
        <v>369</v>
      </c>
      <c r="T163" s="325">
        <f t="shared" si="30"/>
        <v>369</v>
      </c>
      <c r="U163" s="325">
        <f t="shared" si="24"/>
        <v>28478.27</v>
      </c>
      <c r="V163" s="325">
        <f t="shared" si="29"/>
        <v>0</v>
      </c>
      <c r="W163" s="449" cm="1">
        <f t="array" ref="W163">+IF(U163&lt;0,error,0)</f>
        <v>0</v>
      </c>
    </row>
    <row r="164" spans="1:26" ht="18" customHeight="1" x14ac:dyDescent="0.2">
      <c r="A164" s="402">
        <v>740157</v>
      </c>
      <c r="B164" s="403"/>
      <c r="C164" s="404" t="s">
        <v>2110</v>
      </c>
      <c r="D164" s="405">
        <v>43739</v>
      </c>
      <c r="E164" s="406"/>
      <c r="F164" s="325"/>
      <c r="G164" s="324"/>
      <c r="H164" s="324">
        <v>6325.23</v>
      </c>
      <c r="I164" s="325">
        <v>6128.23</v>
      </c>
      <c r="J164" s="325"/>
      <c r="K164" s="325">
        <f t="shared" si="20"/>
        <v>0</v>
      </c>
      <c r="L164" s="325">
        <f t="shared" si="21"/>
        <v>0</v>
      </c>
      <c r="M164" s="407">
        <v>2.5</v>
      </c>
      <c r="N164" s="408" t="s">
        <v>17</v>
      </c>
      <c r="O164" s="325">
        <f t="shared" si="25"/>
        <v>0</v>
      </c>
      <c r="P164" s="325">
        <f t="shared" si="26"/>
        <v>0</v>
      </c>
      <c r="Q164" s="325">
        <f t="shared" si="27"/>
        <v>0</v>
      </c>
      <c r="R164" s="325">
        <f t="shared" si="22"/>
        <v>0</v>
      </c>
      <c r="S164" s="325">
        <f t="shared" si="23"/>
        <v>79</v>
      </c>
      <c r="T164" s="325">
        <f t="shared" si="30"/>
        <v>79</v>
      </c>
      <c r="U164" s="325">
        <f t="shared" si="24"/>
        <v>6049.23</v>
      </c>
      <c r="V164" s="325">
        <f t="shared" si="29"/>
        <v>0</v>
      </c>
      <c r="W164" s="449" cm="1">
        <f t="array" ref="W164">+IF(U164&lt;0,error,0)</f>
        <v>0</v>
      </c>
    </row>
    <row r="165" spans="1:26" ht="18" customHeight="1" x14ac:dyDescent="0.2">
      <c r="A165" s="402">
        <v>740158</v>
      </c>
      <c r="B165" s="403"/>
      <c r="C165" s="404" t="s">
        <v>2111</v>
      </c>
      <c r="D165" s="405">
        <v>43739</v>
      </c>
      <c r="E165" s="406"/>
      <c r="F165" s="325"/>
      <c r="G165" s="324"/>
      <c r="H165" s="324">
        <v>1657.6</v>
      </c>
      <c r="I165" s="325">
        <v>1607.6</v>
      </c>
      <c r="J165" s="325"/>
      <c r="K165" s="325">
        <f t="shared" si="20"/>
        <v>0</v>
      </c>
      <c r="L165" s="325">
        <f t="shared" si="21"/>
        <v>0</v>
      </c>
      <c r="M165" s="407">
        <v>2.5</v>
      </c>
      <c r="N165" s="408" t="s">
        <v>17</v>
      </c>
      <c r="O165" s="325">
        <f t="shared" si="25"/>
        <v>0</v>
      </c>
      <c r="P165" s="325">
        <f t="shared" si="26"/>
        <v>0</v>
      </c>
      <c r="Q165" s="325">
        <f t="shared" si="27"/>
        <v>0</v>
      </c>
      <c r="R165" s="325">
        <f t="shared" si="22"/>
        <v>0</v>
      </c>
      <c r="S165" s="325">
        <f t="shared" si="23"/>
        <v>20</v>
      </c>
      <c r="T165" s="325">
        <f t="shared" si="30"/>
        <v>20</v>
      </c>
      <c r="U165" s="325">
        <f t="shared" si="24"/>
        <v>1587.6</v>
      </c>
      <c r="V165" s="325">
        <f t="shared" si="29"/>
        <v>0</v>
      </c>
      <c r="W165" s="449" cm="1">
        <f t="array" ref="W165">+IF(U165&lt;0,error,0)</f>
        <v>0</v>
      </c>
    </row>
    <row r="166" spans="1:26" ht="18" customHeight="1" x14ac:dyDescent="0.2">
      <c r="A166" s="402">
        <v>740159</v>
      </c>
      <c r="B166" s="403"/>
      <c r="C166" s="404" t="s">
        <v>2112</v>
      </c>
      <c r="D166" s="405">
        <v>43761</v>
      </c>
      <c r="E166" s="406"/>
      <c r="F166" s="325"/>
      <c r="G166" s="324"/>
      <c r="H166" s="324">
        <v>475</v>
      </c>
      <c r="I166" s="325">
        <v>463</v>
      </c>
      <c r="J166" s="325"/>
      <c r="K166" s="325">
        <f t="shared" si="20"/>
        <v>0</v>
      </c>
      <c r="L166" s="325">
        <f t="shared" si="21"/>
        <v>0</v>
      </c>
      <c r="M166" s="407">
        <v>2.5</v>
      </c>
      <c r="N166" s="408" t="s">
        <v>17</v>
      </c>
      <c r="O166" s="325">
        <f t="shared" si="25"/>
        <v>0</v>
      </c>
      <c r="P166" s="325">
        <f t="shared" si="26"/>
        <v>0</v>
      </c>
      <c r="Q166" s="325">
        <f t="shared" si="27"/>
        <v>0</v>
      </c>
      <c r="R166" s="325">
        <f t="shared" si="22"/>
        <v>0</v>
      </c>
      <c r="S166" s="325">
        <f t="shared" si="23"/>
        <v>5</v>
      </c>
      <c r="T166" s="325">
        <f t="shared" si="30"/>
        <v>5</v>
      </c>
      <c r="U166" s="325">
        <f t="shared" si="24"/>
        <v>458</v>
      </c>
      <c r="V166" s="325">
        <f t="shared" si="29"/>
        <v>0</v>
      </c>
      <c r="W166" s="449" cm="1">
        <f t="array" ref="W166">+IF(U166&lt;0,error,0)</f>
        <v>0</v>
      </c>
    </row>
    <row r="167" spans="1:26" ht="18" customHeight="1" x14ac:dyDescent="0.2">
      <c r="A167" s="402">
        <v>740160</v>
      </c>
      <c r="B167" s="403"/>
      <c r="C167" s="404" t="s">
        <v>2351</v>
      </c>
      <c r="D167" s="405">
        <v>43867</v>
      </c>
      <c r="E167" s="406"/>
      <c r="F167" s="325"/>
      <c r="G167" s="324"/>
      <c r="H167" s="324">
        <v>14020.58</v>
      </c>
      <c r="I167" s="325">
        <v>13706.58</v>
      </c>
      <c r="J167" s="325"/>
      <c r="K167" s="325">
        <f t="shared" si="20"/>
        <v>0</v>
      </c>
      <c r="L167" s="325">
        <f t="shared" si="21"/>
        <v>0</v>
      </c>
      <c r="M167" s="407">
        <v>2.5</v>
      </c>
      <c r="N167" s="408" t="s">
        <v>17</v>
      </c>
      <c r="O167" s="325">
        <f t="shared" si="25"/>
        <v>0</v>
      </c>
      <c r="P167" s="325">
        <f t="shared" si="26"/>
        <v>0</v>
      </c>
      <c r="Q167" s="325">
        <f t="shared" si="27"/>
        <v>0</v>
      </c>
      <c r="R167" s="325">
        <f t="shared" si="22"/>
        <v>0</v>
      </c>
      <c r="S167" s="325">
        <f t="shared" si="23"/>
        <v>175</v>
      </c>
      <c r="T167" s="325">
        <f t="shared" si="30"/>
        <v>175</v>
      </c>
      <c r="U167" s="325">
        <f t="shared" si="24"/>
        <v>13531.58</v>
      </c>
      <c r="V167" s="325">
        <f t="shared" si="29"/>
        <v>0</v>
      </c>
      <c r="W167" s="449" cm="1">
        <f t="array" ref="W167">+IF(U167&lt;0,error,0)</f>
        <v>0</v>
      </c>
    </row>
    <row r="168" spans="1:26" ht="18" customHeight="1" x14ac:dyDescent="0.2">
      <c r="A168" s="402">
        <v>740161</v>
      </c>
      <c r="B168" s="403"/>
      <c r="C168" s="404" t="s">
        <v>1852</v>
      </c>
      <c r="D168" s="405">
        <v>43890</v>
      </c>
      <c r="E168" s="406"/>
      <c r="F168" s="325"/>
      <c r="G168" s="324"/>
      <c r="H168" s="324">
        <v>7095.7</v>
      </c>
      <c r="I168" s="325">
        <v>6948.7</v>
      </c>
      <c r="J168" s="325"/>
      <c r="K168" s="325">
        <f t="shared" si="20"/>
        <v>0</v>
      </c>
      <c r="L168" s="325">
        <f t="shared" si="21"/>
        <v>0</v>
      </c>
      <c r="M168" s="407">
        <v>2.5</v>
      </c>
      <c r="N168" s="408" t="s">
        <v>17</v>
      </c>
      <c r="O168" s="325">
        <f t="shared" si="25"/>
        <v>0</v>
      </c>
      <c r="P168" s="325">
        <f t="shared" si="26"/>
        <v>0</v>
      </c>
      <c r="Q168" s="325">
        <f t="shared" si="27"/>
        <v>0</v>
      </c>
      <c r="R168" s="325">
        <f t="shared" si="22"/>
        <v>0</v>
      </c>
      <c r="S168" s="325">
        <f t="shared" si="23"/>
        <v>88</v>
      </c>
      <c r="T168" s="325">
        <f t="shared" si="30"/>
        <v>88</v>
      </c>
      <c r="U168" s="325">
        <f t="shared" si="24"/>
        <v>6860.7</v>
      </c>
      <c r="V168" s="325">
        <f t="shared" si="29"/>
        <v>0</v>
      </c>
      <c r="W168" s="449" cm="1">
        <f t="array" ref="W168">+IF(U168&lt;0,error,0)</f>
        <v>0</v>
      </c>
    </row>
    <row r="169" spans="1:26" ht="18" customHeight="1" x14ac:dyDescent="0.2">
      <c r="A169" s="402">
        <v>740162</v>
      </c>
      <c r="B169" s="403"/>
      <c r="C169" s="404" t="s">
        <v>53</v>
      </c>
      <c r="D169" s="405">
        <v>43886</v>
      </c>
      <c r="E169" s="406"/>
      <c r="F169" s="325"/>
      <c r="G169" s="324"/>
      <c r="H169" s="324">
        <v>2155.75</v>
      </c>
      <c r="I169" s="325">
        <v>2111.75</v>
      </c>
      <c r="J169" s="325"/>
      <c r="K169" s="325">
        <f t="shared" si="20"/>
        <v>0</v>
      </c>
      <c r="L169" s="325">
        <f t="shared" si="21"/>
        <v>0</v>
      </c>
      <c r="M169" s="407">
        <v>2.5</v>
      </c>
      <c r="N169" s="408" t="s">
        <v>17</v>
      </c>
      <c r="O169" s="325">
        <f t="shared" si="25"/>
        <v>0</v>
      </c>
      <c r="P169" s="325">
        <f t="shared" si="26"/>
        <v>0</v>
      </c>
      <c r="Q169" s="325">
        <f t="shared" si="27"/>
        <v>0</v>
      </c>
      <c r="R169" s="325">
        <f t="shared" si="22"/>
        <v>0</v>
      </c>
      <c r="S169" s="325">
        <f t="shared" si="23"/>
        <v>26</v>
      </c>
      <c r="T169" s="325">
        <f t="shared" si="30"/>
        <v>26</v>
      </c>
      <c r="U169" s="325">
        <f t="shared" si="24"/>
        <v>2085.75</v>
      </c>
      <c r="V169" s="325">
        <f t="shared" si="29"/>
        <v>0</v>
      </c>
      <c r="W169" s="449" cm="1">
        <f t="array" ref="W169">+IF(U169&lt;0,error,0)</f>
        <v>0</v>
      </c>
    </row>
    <row r="170" spans="1:26" ht="18" customHeight="1" x14ac:dyDescent="0.2">
      <c r="A170" s="402"/>
      <c r="B170" s="403"/>
      <c r="C170" s="404"/>
      <c r="D170" s="405"/>
      <c r="E170" s="406"/>
      <c r="F170" s="325"/>
      <c r="G170" s="324"/>
      <c r="H170" s="324"/>
      <c r="I170" s="325"/>
      <c r="J170" s="325"/>
      <c r="K170" s="325"/>
      <c r="L170" s="325"/>
      <c r="M170" s="407"/>
      <c r="N170" s="408"/>
      <c r="O170" s="325"/>
      <c r="P170" s="325"/>
      <c r="Q170" s="325"/>
      <c r="R170" s="325"/>
      <c r="S170" s="325"/>
      <c r="T170" s="325"/>
      <c r="U170" s="325"/>
      <c r="V170" s="325"/>
      <c r="W170" s="449" cm="1">
        <f t="array" ref="W170">+IF(U170&lt;0,error,0)</f>
        <v>0</v>
      </c>
    </row>
    <row r="171" spans="1:26" ht="18" customHeight="1" x14ac:dyDescent="0.2">
      <c r="A171" s="413"/>
      <c r="B171" s="414"/>
      <c r="C171" s="415" t="s">
        <v>2043</v>
      </c>
      <c r="D171" s="416"/>
      <c r="E171" s="406"/>
      <c r="F171" s="325"/>
      <c r="G171" s="324"/>
      <c r="H171" s="417">
        <f>+J172</f>
        <v>0</v>
      </c>
      <c r="I171" s="333"/>
      <c r="J171" s="333"/>
      <c r="K171" s="333"/>
      <c r="L171" s="333"/>
      <c r="M171" s="418"/>
      <c r="N171" s="408"/>
      <c r="O171" s="408"/>
      <c r="P171" s="333"/>
      <c r="Q171" s="333"/>
      <c r="R171" s="408"/>
      <c r="S171" s="333"/>
      <c r="T171" s="333"/>
      <c r="U171" s="333"/>
      <c r="V171" s="333"/>
      <c r="W171" s="449" cm="1">
        <f t="array" ref="W171">+IF(U171&lt;0,error,0)</f>
        <v>0</v>
      </c>
    </row>
    <row r="172" spans="1:26" s="347" customFormat="1" ht="18" customHeight="1" x14ac:dyDescent="0.2">
      <c r="A172" s="420"/>
      <c r="B172" s="421"/>
      <c r="C172" s="422" t="s">
        <v>1638</v>
      </c>
      <c r="D172" s="423"/>
      <c r="E172" s="424"/>
      <c r="F172" s="334">
        <f t="shared" ref="F172:L172" si="31">SUM(F8:F171)</f>
        <v>0</v>
      </c>
      <c r="G172" s="417">
        <f t="shared" si="31"/>
        <v>0</v>
      </c>
      <c r="H172" s="417">
        <f t="shared" si="31"/>
        <v>2171708.0500000003</v>
      </c>
      <c r="I172" s="417">
        <f t="shared" si="31"/>
        <v>1977775.0499999998</v>
      </c>
      <c r="J172" s="334">
        <f t="shared" si="31"/>
        <v>0</v>
      </c>
      <c r="K172" s="334">
        <f t="shared" si="31"/>
        <v>0</v>
      </c>
      <c r="L172" s="334">
        <f t="shared" si="31"/>
        <v>0</v>
      </c>
      <c r="M172" s="425"/>
      <c r="N172" s="426"/>
      <c r="O172" s="334">
        <f>SUM(O8:O171)</f>
        <v>0</v>
      </c>
      <c r="P172" s="334">
        <f>SUM(P8:P171)</f>
        <v>0</v>
      </c>
      <c r="Q172" s="334"/>
      <c r="R172" s="334">
        <f>SUM(R8:R171)</f>
        <v>0</v>
      </c>
      <c r="S172" s="334">
        <f>SUM(S8:S171)</f>
        <v>27069</v>
      </c>
      <c r="T172" s="417">
        <f>SUM(T8:T171)</f>
        <v>27069</v>
      </c>
      <c r="U172" s="334">
        <f>SUM(U8:U171)</f>
        <v>1950706.05</v>
      </c>
      <c r="V172" s="334">
        <f>SUM(V8:V171)</f>
        <v>0</v>
      </c>
      <c r="W172" s="449" cm="1">
        <f t="array" ref="W172">+IF(U172&lt;0,error,0)</f>
        <v>0</v>
      </c>
      <c r="Y172" s="347">
        <f>2171708.05-221002</f>
        <v>1950706.0499999998</v>
      </c>
      <c r="Z172" s="505">
        <f>+U172-Y172</f>
        <v>0</v>
      </c>
    </row>
    <row r="173" spans="1:26" s="347" customFormat="1" ht="18" customHeight="1" x14ac:dyDescent="0.2">
      <c r="A173" s="420"/>
      <c r="B173" s="421"/>
      <c r="C173" s="428"/>
      <c r="D173" s="415"/>
      <c r="E173" s="429"/>
      <c r="F173" s="334"/>
      <c r="G173" s="417"/>
      <c r="H173" s="430"/>
      <c r="I173" s="335"/>
      <c r="J173" s="334"/>
      <c r="K173" s="334"/>
      <c r="L173" s="335"/>
      <c r="M173" s="425"/>
      <c r="N173" s="426"/>
      <c r="O173" s="426"/>
      <c r="P173" s="334"/>
      <c r="Q173" s="334"/>
      <c r="R173" s="426"/>
      <c r="S173" s="334">
        <v>18420</v>
      </c>
      <c r="T173" s="334"/>
      <c r="U173" s="334"/>
      <c r="V173" s="334"/>
      <c r="W173" s="449" cm="1">
        <f t="array" ref="W173">+IF(U173&lt;0,error,0)</f>
        <v>0</v>
      </c>
    </row>
    <row r="174" spans="1:26" ht="18" customHeight="1" x14ac:dyDescent="0.2">
      <c r="A174" s="432" t="s">
        <v>285</v>
      </c>
      <c r="B174" s="433"/>
      <c r="C174" s="418"/>
      <c r="D174" s="428"/>
      <c r="E174" s="434"/>
      <c r="F174" s="336"/>
      <c r="G174" s="435"/>
      <c r="H174" s="435"/>
      <c r="I174" s="336"/>
      <c r="J174" s="336"/>
      <c r="K174" s="336"/>
      <c r="L174" s="336"/>
      <c r="M174" s="428"/>
      <c r="N174" s="436"/>
      <c r="O174" s="436"/>
      <c r="P174" s="336"/>
      <c r="Q174" s="336"/>
      <c r="R174" s="436"/>
      <c r="S174" s="336"/>
      <c r="T174" s="336"/>
      <c r="U174" s="333"/>
      <c r="V174" s="333"/>
      <c r="W174" s="449" cm="1">
        <f t="array" ref="W174">+IF(U174&lt;0,error,0)</f>
        <v>0</v>
      </c>
    </row>
    <row r="175" spans="1:26" ht="18" customHeight="1" x14ac:dyDescent="0.2">
      <c r="A175" s="437" t="s">
        <v>286</v>
      </c>
      <c r="B175" s="414"/>
      <c r="C175" s="418"/>
      <c r="D175" s="418"/>
      <c r="E175" s="438"/>
      <c r="F175" s="333"/>
      <c r="G175" s="439"/>
      <c r="H175" s="439"/>
      <c r="I175" s="333"/>
      <c r="J175" s="333"/>
      <c r="K175" s="333"/>
      <c r="L175" s="333"/>
      <c r="M175" s="418"/>
      <c r="N175" s="408"/>
      <c r="O175" s="408"/>
      <c r="P175" s="333"/>
      <c r="Q175" s="333"/>
      <c r="R175" s="408"/>
      <c r="S175" s="333"/>
      <c r="T175" s="333"/>
      <c r="U175" s="333"/>
      <c r="V175" s="333"/>
      <c r="W175" s="449" cm="1">
        <f t="array" ref="W175">+IF(U175&lt;0,error,0)</f>
        <v>0</v>
      </c>
    </row>
    <row r="176" spans="1:26" ht="18" customHeight="1" x14ac:dyDescent="0.2">
      <c r="A176" s="402" t="s">
        <v>287</v>
      </c>
      <c r="B176" s="403"/>
      <c r="C176" s="411" t="s">
        <v>288</v>
      </c>
      <c r="D176" s="405">
        <v>37778</v>
      </c>
      <c r="E176" s="406"/>
      <c r="F176" s="325"/>
      <c r="G176" s="439"/>
      <c r="H176" s="324">
        <v>6000</v>
      </c>
      <c r="I176" s="325">
        <v>2440</v>
      </c>
      <c r="J176" s="325"/>
      <c r="K176" s="325">
        <f t="shared" ref="K176:K239" si="32">INT(IF($E176&gt;0,IF(+F176-I176+Q176&lt;0,0,+F176-I176+Q176),0))</f>
        <v>0</v>
      </c>
      <c r="L176" s="325">
        <f t="shared" ref="L176:L239" si="33">INT(IF($E176&gt;0,IF(K176=0,-F176+I176-Q176,0),0))</f>
        <v>0</v>
      </c>
      <c r="M176" s="407">
        <v>5</v>
      </c>
      <c r="N176" s="408" t="s">
        <v>289</v>
      </c>
      <c r="O176" s="325">
        <f>IF(E176&gt;0,INT(IF($N176="D",IF($D176&lt;$H$3,$I176*($M176/100)*((E176-$H$3)/365),$J176*($M176/100)*($J$3-$D176)/365),0)),0)</f>
        <v>0</v>
      </c>
      <c r="P176" s="325">
        <f>IF(E176&gt;0,INT(IF($N176="P",IF($D176&lt;$H$3,$H176*($M176/100)*(E176-$H$3)/365,$J176*($M176/100)*($J$3-$D176)/365),0)),0)</f>
        <v>0</v>
      </c>
      <c r="Q176" s="325">
        <f>+O176+P176</f>
        <v>0</v>
      </c>
      <c r="R176" s="325">
        <f>INT(IF($E176&gt;0,0,(IF($N176="D",IF($D176&lt;$H$3,$I176*($M176/100)*$U$3/12,$J176*($M176/100)*($J$3-$D176)/365),0))))</f>
        <v>61</v>
      </c>
      <c r="S176" s="325">
        <f>INT(IF($E176&gt;0,0,(IF($N176="P",IF($D176&lt;$H$3,$H176*($M176/100)*$U$3/12,$J176*($M176/100)*($J$3-$D176)/365),0))))</f>
        <v>0</v>
      </c>
      <c r="T176" s="325">
        <f t="shared" ref="T176:T177" si="34">+R176+S176+Q176</f>
        <v>61</v>
      </c>
      <c r="U176" s="325">
        <f t="shared" ref="U176:U177" si="35">+I176+J176-T176-F176+K176-L176</f>
        <v>2379</v>
      </c>
      <c r="V176" s="325">
        <f t="shared" ref="V176:V239" si="36">IF(E176&gt;0,+H176+J176,0)</f>
        <v>0</v>
      </c>
      <c r="W176" s="449" cm="1">
        <f t="array" ref="W176">+IF(U176&lt;0,error,0)</f>
        <v>0</v>
      </c>
    </row>
    <row r="177" spans="1:23" ht="18" customHeight="1" x14ac:dyDescent="0.2">
      <c r="A177" s="402" t="s">
        <v>290</v>
      </c>
      <c r="B177" s="403"/>
      <c r="C177" s="404" t="s">
        <v>291</v>
      </c>
      <c r="D177" s="405">
        <v>37778</v>
      </c>
      <c r="E177" s="406"/>
      <c r="F177" s="325"/>
      <c r="G177" s="324"/>
      <c r="H177" s="324">
        <v>3500</v>
      </c>
      <c r="I177" s="325">
        <v>1424</v>
      </c>
      <c r="J177" s="325"/>
      <c r="K177" s="325">
        <f t="shared" si="32"/>
        <v>0</v>
      </c>
      <c r="L177" s="325">
        <f t="shared" si="33"/>
        <v>0</v>
      </c>
      <c r="M177" s="407">
        <v>5</v>
      </c>
      <c r="N177" s="408" t="s">
        <v>289</v>
      </c>
      <c r="O177" s="325">
        <f t="shared" ref="O177:O240" si="37">IF(E177&gt;0,INT(IF($N177="D",IF($D177&lt;$H$3,$I177*($M177/100)*((E177-$H$3)/365),$J177*($M177/100)*($J$3-$D177)/365),0)),0)</f>
        <v>0</v>
      </c>
      <c r="P177" s="325">
        <f t="shared" ref="P177:P240" si="38">IF(E177&gt;0,INT(IF($N177="P",IF($D177&lt;$H$3,$H177*($M177/100)*(E177-$H$3)/365,$J177*($M177/100)*($J$3-$D177)/365),0)),0)</f>
        <v>0</v>
      </c>
      <c r="Q177" s="325">
        <f t="shared" ref="Q177:Q240" si="39">+O177+P177</f>
        <v>0</v>
      </c>
      <c r="R177" s="325">
        <f t="shared" ref="R177:R240" si="40">INT(IF($E177&gt;0,0,(IF($N177="D",IF($D177&lt;$H$3,$I177*($M177/100)*$U$3/12,$J177*($M177/100)*($J$3-$D177)/365),0))))</f>
        <v>35</v>
      </c>
      <c r="S177" s="325">
        <f t="shared" ref="S177:S240" si="41">INT(IF($E177&gt;0,0,(IF($N177="P",IF($D177&lt;$H$3,$H177*($M177/100)*$U$3/12,$J177*($M177/100)*($J$3-$D177)/365),0))))</f>
        <v>0</v>
      </c>
      <c r="T177" s="325">
        <f t="shared" si="34"/>
        <v>35</v>
      </c>
      <c r="U177" s="325">
        <f t="shared" si="35"/>
        <v>1389</v>
      </c>
      <c r="V177" s="325">
        <f t="shared" si="36"/>
        <v>0</v>
      </c>
      <c r="W177" s="449" cm="1">
        <f t="array" ref="W177">+IF(U177&lt;0,error,0)</f>
        <v>0</v>
      </c>
    </row>
    <row r="178" spans="1:23" ht="18" customHeight="1" x14ac:dyDescent="0.2">
      <c r="A178" s="402" t="s">
        <v>292</v>
      </c>
      <c r="B178" s="403"/>
      <c r="C178" s="404" t="s">
        <v>293</v>
      </c>
      <c r="D178" s="405">
        <v>37771</v>
      </c>
      <c r="E178" s="406">
        <v>44316</v>
      </c>
      <c r="F178" s="325">
        <v>500</v>
      </c>
      <c r="G178" s="324">
        <v>1000</v>
      </c>
      <c r="H178" s="324">
        <v>1000</v>
      </c>
      <c r="I178" s="325">
        <v>0</v>
      </c>
      <c r="J178" s="325"/>
      <c r="K178" s="325">
        <f t="shared" si="32"/>
        <v>500</v>
      </c>
      <c r="L178" s="325">
        <f t="shared" si="33"/>
        <v>0</v>
      </c>
      <c r="M178" s="407">
        <v>5</v>
      </c>
      <c r="N178" s="408" t="s">
        <v>289</v>
      </c>
      <c r="O178" s="325">
        <f t="shared" si="37"/>
        <v>0</v>
      </c>
      <c r="P178" s="325">
        <f t="shared" si="38"/>
        <v>0</v>
      </c>
      <c r="Q178" s="325">
        <f t="shared" si="39"/>
        <v>0</v>
      </c>
      <c r="R178" s="325">
        <f t="shared" si="40"/>
        <v>0</v>
      </c>
      <c r="S178" s="325">
        <f t="shared" si="41"/>
        <v>0</v>
      </c>
      <c r="T178" s="325">
        <v>0</v>
      </c>
      <c r="U178" s="325">
        <v>0</v>
      </c>
      <c r="V178" s="325">
        <f t="shared" si="36"/>
        <v>1000</v>
      </c>
      <c r="W178" s="449" cm="1">
        <f t="array" ref="W178">+IF(U178&lt;0,error,0)</f>
        <v>0</v>
      </c>
    </row>
    <row r="179" spans="1:23" ht="18" customHeight="1" x14ac:dyDescent="0.2">
      <c r="A179" s="402" t="s">
        <v>299</v>
      </c>
      <c r="B179" s="403"/>
      <c r="C179" s="404" t="s">
        <v>300</v>
      </c>
      <c r="D179" s="405">
        <v>40749</v>
      </c>
      <c r="E179" s="406"/>
      <c r="F179" s="325"/>
      <c r="G179" s="324"/>
      <c r="H179" s="324">
        <v>800</v>
      </c>
      <c r="I179" s="325">
        <v>0</v>
      </c>
      <c r="J179" s="325"/>
      <c r="K179" s="325">
        <f t="shared" si="32"/>
        <v>0</v>
      </c>
      <c r="L179" s="325">
        <f t="shared" si="33"/>
        <v>0</v>
      </c>
      <c r="M179" s="407">
        <v>20</v>
      </c>
      <c r="N179" s="408" t="s">
        <v>289</v>
      </c>
      <c r="O179" s="325">
        <f t="shared" si="37"/>
        <v>0</v>
      </c>
      <c r="P179" s="325">
        <f t="shared" si="38"/>
        <v>0</v>
      </c>
      <c r="Q179" s="325">
        <f t="shared" si="39"/>
        <v>0</v>
      </c>
      <c r="R179" s="325">
        <f t="shared" si="40"/>
        <v>0</v>
      </c>
      <c r="S179" s="325">
        <f t="shared" si="41"/>
        <v>0</v>
      </c>
      <c r="T179" s="325">
        <v>0</v>
      </c>
      <c r="U179" s="325">
        <f t="shared" ref="U179:U242" si="42">+I179+J179-T179-F179+K179-L179</f>
        <v>0</v>
      </c>
      <c r="V179" s="325">
        <f t="shared" si="36"/>
        <v>0</v>
      </c>
      <c r="W179" s="449" cm="1">
        <f t="array" ref="W179">+IF(U179&lt;0,error,0)</f>
        <v>0</v>
      </c>
    </row>
    <row r="180" spans="1:23" ht="18" customHeight="1" x14ac:dyDescent="0.2">
      <c r="A180" s="402" t="s">
        <v>301</v>
      </c>
      <c r="B180" s="403"/>
      <c r="C180" s="404" t="s">
        <v>302</v>
      </c>
      <c r="D180" s="405">
        <v>40757</v>
      </c>
      <c r="E180" s="406"/>
      <c r="F180" s="325"/>
      <c r="G180" s="324"/>
      <c r="H180" s="324">
        <v>499</v>
      </c>
      <c r="I180" s="325">
        <v>0</v>
      </c>
      <c r="J180" s="325"/>
      <c r="K180" s="325">
        <f t="shared" si="32"/>
        <v>0</v>
      </c>
      <c r="L180" s="325">
        <f t="shared" si="33"/>
        <v>0</v>
      </c>
      <c r="M180" s="407">
        <v>20</v>
      </c>
      <c r="N180" s="408" t="s">
        <v>289</v>
      </c>
      <c r="O180" s="325">
        <f t="shared" si="37"/>
        <v>0</v>
      </c>
      <c r="P180" s="325">
        <f t="shared" si="38"/>
        <v>0</v>
      </c>
      <c r="Q180" s="325">
        <f t="shared" si="39"/>
        <v>0</v>
      </c>
      <c r="R180" s="325">
        <f t="shared" si="40"/>
        <v>0</v>
      </c>
      <c r="S180" s="325">
        <f t="shared" si="41"/>
        <v>0</v>
      </c>
      <c r="T180" s="325">
        <v>0</v>
      </c>
      <c r="U180" s="325">
        <f t="shared" si="42"/>
        <v>0</v>
      </c>
      <c r="V180" s="325">
        <f t="shared" si="36"/>
        <v>0</v>
      </c>
      <c r="W180" s="449" cm="1">
        <f t="array" ref="W180">+IF(U180&lt;0,error,0)</f>
        <v>0</v>
      </c>
    </row>
    <row r="181" spans="1:23" ht="18" customHeight="1" x14ac:dyDescent="0.2">
      <c r="A181" s="402" t="s">
        <v>303</v>
      </c>
      <c r="B181" s="403"/>
      <c r="C181" s="412" t="s">
        <v>304</v>
      </c>
      <c r="D181" s="405">
        <v>40813</v>
      </c>
      <c r="E181" s="406"/>
      <c r="F181" s="325"/>
      <c r="G181" s="324"/>
      <c r="H181" s="324">
        <v>19595</v>
      </c>
      <c r="I181" s="325">
        <v>2568</v>
      </c>
      <c r="J181" s="325"/>
      <c r="K181" s="325">
        <f t="shared" si="32"/>
        <v>0</v>
      </c>
      <c r="L181" s="325">
        <f t="shared" si="33"/>
        <v>0</v>
      </c>
      <c r="M181" s="407">
        <v>20</v>
      </c>
      <c r="N181" s="408" t="s">
        <v>289</v>
      </c>
      <c r="O181" s="325">
        <f t="shared" si="37"/>
        <v>0</v>
      </c>
      <c r="P181" s="325">
        <f t="shared" si="38"/>
        <v>0</v>
      </c>
      <c r="Q181" s="325">
        <f t="shared" si="39"/>
        <v>0</v>
      </c>
      <c r="R181" s="325">
        <f t="shared" si="40"/>
        <v>256</v>
      </c>
      <c r="S181" s="325">
        <f t="shared" si="41"/>
        <v>0</v>
      </c>
      <c r="T181" s="325">
        <f t="shared" ref="T181" si="43">+R181+S181+Q181</f>
        <v>256</v>
      </c>
      <c r="U181" s="325">
        <f t="shared" si="42"/>
        <v>2312</v>
      </c>
      <c r="V181" s="325">
        <f t="shared" si="36"/>
        <v>0</v>
      </c>
      <c r="W181" s="449" cm="1">
        <f t="array" ref="W181">+IF(U181&lt;0,error,0)</f>
        <v>0</v>
      </c>
    </row>
    <row r="182" spans="1:23" ht="18" customHeight="1" x14ac:dyDescent="0.2">
      <c r="A182" s="402" t="s">
        <v>305</v>
      </c>
      <c r="B182" s="403"/>
      <c r="C182" s="412" t="s">
        <v>306</v>
      </c>
      <c r="D182" s="405">
        <v>40883</v>
      </c>
      <c r="E182" s="406"/>
      <c r="F182" s="325"/>
      <c r="G182" s="324"/>
      <c r="H182" s="324">
        <v>1058.97</v>
      </c>
      <c r="I182" s="325">
        <v>0</v>
      </c>
      <c r="J182" s="325"/>
      <c r="K182" s="325">
        <f t="shared" si="32"/>
        <v>0</v>
      </c>
      <c r="L182" s="325">
        <f t="shared" si="33"/>
        <v>0</v>
      </c>
      <c r="M182" s="407">
        <v>20</v>
      </c>
      <c r="N182" s="408" t="s">
        <v>289</v>
      </c>
      <c r="O182" s="325">
        <f t="shared" si="37"/>
        <v>0</v>
      </c>
      <c r="P182" s="325">
        <f t="shared" si="38"/>
        <v>0</v>
      </c>
      <c r="Q182" s="325">
        <f t="shared" si="39"/>
        <v>0</v>
      </c>
      <c r="R182" s="325">
        <f t="shared" si="40"/>
        <v>0</v>
      </c>
      <c r="S182" s="325">
        <f t="shared" si="41"/>
        <v>0</v>
      </c>
      <c r="T182" s="325">
        <v>0</v>
      </c>
      <c r="U182" s="325">
        <f t="shared" si="42"/>
        <v>0</v>
      </c>
      <c r="V182" s="325">
        <f t="shared" si="36"/>
        <v>0</v>
      </c>
      <c r="W182" s="449" cm="1">
        <f t="array" ref="W182">+IF(U182&lt;0,error,0)</f>
        <v>0</v>
      </c>
    </row>
    <row r="183" spans="1:23" ht="18" customHeight="1" x14ac:dyDescent="0.2">
      <c r="A183" s="402" t="s">
        <v>309</v>
      </c>
      <c r="B183" s="403"/>
      <c r="C183" s="404" t="s">
        <v>310</v>
      </c>
      <c r="D183" s="405">
        <v>40956</v>
      </c>
      <c r="E183" s="406"/>
      <c r="F183" s="325"/>
      <c r="G183" s="324"/>
      <c r="H183" s="324">
        <v>2050</v>
      </c>
      <c r="I183" s="325">
        <v>295</v>
      </c>
      <c r="J183" s="325"/>
      <c r="K183" s="325">
        <f t="shared" si="32"/>
        <v>0</v>
      </c>
      <c r="L183" s="325">
        <f t="shared" si="33"/>
        <v>0</v>
      </c>
      <c r="M183" s="407">
        <v>20</v>
      </c>
      <c r="N183" s="408" t="s">
        <v>289</v>
      </c>
      <c r="O183" s="325">
        <f t="shared" si="37"/>
        <v>0</v>
      </c>
      <c r="P183" s="325">
        <f t="shared" si="38"/>
        <v>0</v>
      </c>
      <c r="Q183" s="325">
        <f t="shared" si="39"/>
        <v>0</v>
      </c>
      <c r="R183" s="325">
        <f t="shared" si="40"/>
        <v>29</v>
      </c>
      <c r="S183" s="325">
        <f t="shared" si="41"/>
        <v>0</v>
      </c>
      <c r="T183" s="325">
        <f t="shared" ref="T183:T185" si="44">+R183+S183+Q183</f>
        <v>29</v>
      </c>
      <c r="U183" s="325">
        <f t="shared" si="42"/>
        <v>266</v>
      </c>
      <c r="V183" s="325">
        <f t="shared" si="36"/>
        <v>0</v>
      </c>
      <c r="W183" s="449" cm="1">
        <f t="array" ref="W183">+IF(U183&lt;0,error,0)</f>
        <v>0</v>
      </c>
    </row>
    <row r="184" spans="1:23" ht="18" customHeight="1" x14ac:dyDescent="0.2">
      <c r="A184" s="402" t="s">
        <v>311</v>
      </c>
      <c r="B184" s="403"/>
      <c r="C184" s="404" t="s">
        <v>312</v>
      </c>
      <c r="D184" s="405">
        <v>40966</v>
      </c>
      <c r="E184" s="406"/>
      <c r="F184" s="325"/>
      <c r="G184" s="324"/>
      <c r="H184" s="324">
        <v>5000</v>
      </c>
      <c r="I184" s="325">
        <v>722</v>
      </c>
      <c r="J184" s="325"/>
      <c r="K184" s="325">
        <f t="shared" si="32"/>
        <v>0</v>
      </c>
      <c r="L184" s="325">
        <f t="shared" si="33"/>
        <v>0</v>
      </c>
      <c r="M184" s="407">
        <v>20</v>
      </c>
      <c r="N184" s="408" t="s">
        <v>289</v>
      </c>
      <c r="O184" s="325">
        <f t="shared" si="37"/>
        <v>0</v>
      </c>
      <c r="P184" s="325">
        <f t="shared" si="38"/>
        <v>0</v>
      </c>
      <c r="Q184" s="325">
        <f t="shared" si="39"/>
        <v>0</v>
      </c>
      <c r="R184" s="325">
        <f t="shared" si="40"/>
        <v>72</v>
      </c>
      <c r="S184" s="325">
        <f t="shared" si="41"/>
        <v>0</v>
      </c>
      <c r="T184" s="325">
        <f t="shared" si="44"/>
        <v>72</v>
      </c>
      <c r="U184" s="325">
        <f t="shared" si="42"/>
        <v>650</v>
      </c>
      <c r="V184" s="325">
        <f t="shared" si="36"/>
        <v>0</v>
      </c>
      <c r="W184" s="449" cm="1">
        <f t="array" ref="W184">+IF(U184&lt;0,error,0)</f>
        <v>0</v>
      </c>
    </row>
    <row r="185" spans="1:23" ht="18" customHeight="1" x14ac:dyDescent="0.2">
      <c r="A185" s="402" t="s">
        <v>313</v>
      </c>
      <c r="B185" s="403"/>
      <c r="C185" s="404" t="s">
        <v>314</v>
      </c>
      <c r="D185" s="405">
        <v>40972</v>
      </c>
      <c r="E185" s="406"/>
      <c r="F185" s="325"/>
      <c r="G185" s="324"/>
      <c r="H185" s="324">
        <v>2045.25</v>
      </c>
      <c r="I185" s="325">
        <v>297.25</v>
      </c>
      <c r="J185" s="325"/>
      <c r="K185" s="325">
        <f t="shared" si="32"/>
        <v>0</v>
      </c>
      <c r="L185" s="325">
        <f t="shared" si="33"/>
        <v>0</v>
      </c>
      <c r="M185" s="407">
        <v>20</v>
      </c>
      <c r="N185" s="408" t="s">
        <v>289</v>
      </c>
      <c r="O185" s="325">
        <f t="shared" si="37"/>
        <v>0</v>
      </c>
      <c r="P185" s="325">
        <f t="shared" si="38"/>
        <v>0</v>
      </c>
      <c r="Q185" s="325">
        <f t="shared" si="39"/>
        <v>0</v>
      </c>
      <c r="R185" s="325">
        <f t="shared" si="40"/>
        <v>29</v>
      </c>
      <c r="S185" s="325">
        <f t="shared" si="41"/>
        <v>0</v>
      </c>
      <c r="T185" s="325">
        <f t="shared" si="44"/>
        <v>29</v>
      </c>
      <c r="U185" s="325">
        <f t="shared" si="42"/>
        <v>268.25</v>
      </c>
      <c r="V185" s="325">
        <f t="shared" si="36"/>
        <v>0</v>
      </c>
      <c r="W185" s="449" cm="1">
        <f t="array" ref="W185">+IF(U185&lt;0,error,0)</f>
        <v>0</v>
      </c>
    </row>
    <row r="186" spans="1:23" ht="18" customHeight="1" x14ac:dyDescent="0.2">
      <c r="A186" s="402" t="s">
        <v>315</v>
      </c>
      <c r="B186" s="403"/>
      <c r="C186" s="404" t="s">
        <v>316</v>
      </c>
      <c r="D186" s="405">
        <v>39185</v>
      </c>
      <c r="E186" s="406"/>
      <c r="F186" s="325"/>
      <c r="G186" s="324"/>
      <c r="H186" s="324">
        <v>122.16</v>
      </c>
      <c r="I186" s="325">
        <v>0</v>
      </c>
      <c r="J186" s="325"/>
      <c r="K186" s="325">
        <f t="shared" si="32"/>
        <v>0</v>
      </c>
      <c r="L186" s="325">
        <f t="shared" si="33"/>
        <v>0</v>
      </c>
      <c r="M186" s="407">
        <v>20</v>
      </c>
      <c r="N186" s="408" t="s">
        <v>289</v>
      </c>
      <c r="O186" s="325">
        <f t="shared" si="37"/>
        <v>0</v>
      </c>
      <c r="P186" s="325">
        <f t="shared" si="38"/>
        <v>0</v>
      </c>
      <c r="Q186" s="325">
        <f t="shared" si="39"/>
        <v>0</v>
      </c>
      <c r="R186" s="325">
        <f t="shared" si="40"/>
        <v>0</v>
      </c>
      <c r="S186" s="325">
        <f t="shared" si="41"/>
        <v>0</v>
      </c>
      <c r="T186" s="325">
        <v>0</v>
      </c>
      <c r="U186" s="325">
        <f t="shared" si="42"/>
        <v>0</v>
      </c>
      <c r="V186" s="325">
        <f t="shared" si="36"/>
        <v>0</v>
      </c>
      <c r="W186" s="449" cm="1">
        <f t="array" ref="W186">+IF(U186&lt;0,error,0)</f>
        <v>0</v>
      </c>
    </row>
    <row r="187" spans="1:23" ht="18" customHeight="1" x14ac:dyDescent="0.2">
      <c r="A187" s="402" t="s">
        <v>320</v>
      </c>
      <c r="B187" s="403"/>
      <c r="C187" s="404" t="s">
        <v>321</v>
      </c>
      <c r="D187" s="405">
        <v>41320</v>
      </c>
      <c r="E187" s="406"/>
      <c r="F187" s="325"/>
      <c r="G187" s="324"/>
      <c r="H187" s="324">
        <v>8200</v>
      </c>
      <c r="I187" s="325">
        <v>2706</v>
      </c>
      <c r="J187" s="325"/>
      <c r="K187" s="325">
        <f t="shared" si="32"/>
        <v>0</v>
      </c>
      <c r="L187" s="325">
        <f t="shared" si="33"/>
        <v>0</v>
      </c>
      <c r="M187" s="407">
        <v>13.3</v>
      </c>
      <c r="N187" s="408" t="s">
        <v>289</v>
      </c>
      <c r="O187" s="325">
        <f t="shared" si="37"/>
        <v>0</v>
      </c>
      <c r="P187" s="325">
        <f t="shared" si="38"/>
        <v>0</v>
      </c>
      <c r="Q187" s="325">
        <f t="shared" si="39"/>
        <v>0</v>
      </c>
      <c r="R187" s="325">
        <f t="shared" si="40"/>
        <v>179</v>
      </c>
      <c r="S187" s="325">
        <f t="shared" si="41"/>
        <v>0</v>
      </c>
      <c r="T187" s="325">
        <f t="shared" ref="T187:T188" si="45">+R187+S187+Q187</f>
        <v>179</v>
      </c>
      <c r="U187" s="325">
        <f t="shared" si="42"/>
        <v>2527</v>
      </c>
      <c r="V187" s="325">
        <f t="shared" si="36"/>
        <v>0</v>
      </c>
      <c r="W187" s="449" cm="1">
        <f t="array" ref="W187">+IF(U187&lt;0,error,0)</f>
        <v>0</v>
      </c>
    </row>
    <row r="188" spans="1:23" ht="18" customHeight="1" x14ac:dyDescent="0.2">
      <c r="A188" s="402" t="s">
        <v>324</v>
      </c>
      <c r="B188" s="403"/>
      <c r="C188" s="404" t="s">
        <v>325</v>
      </c>
      <c r="D188" s="405">
        <v>41052</v>
      </c>
      <c r="E188" s="406"/>
      <c r="F188" s="325"/>
      <c r="G188" s="324"/>
      <c r="H188" s="324">
        <v>142000</v>
      </c>
      <c r="I188" s="325">
        <v>21478</v>
      </c>
      <c r="J188" s="325"/>
      <c r="K188" s="325">
        <f t="shared" si="32"/>
        <v>0</v>
      </c>
      <c r="L188" s="325">
        <f t="shared" si="33"/>
        <v>0</v>
      </c>
      <c r="M188" s="407">
        <v>20</v>
      </c>
      <c r="N188" s="408" t="s">
        <v>289</v>
      </c>
      <c r="O188" s="325">
        <f t="shared" si="37"/>
        <v>0</v>
      </c>
      <c r="P188" s="325">
        <f t="shared" si="38"/>
        <v>0</v>
      </c>
      <c r="Q188" s="325">
        <f t="shared" si="39"/>
        <v>0</v>
      </c>
      <c r="R188" s="325">
        <f t="shared" si="40"/>
        <v>2147</v>
      </c>
      <c r="S188" s="325">
        <f t="shared" si="41"/>
        <v>0</v>
      </c>
      <c r="T188" s="325">
        <f t="shared" si="45"/>
        <v>2147</v>
      </c>
      <c r="U188" s="325">
        <f t="shared" si="42"/>
        <v>19331</v>
      </c>
      <c r="V188" s="325">
        <f t="shared" si="36"/>
        <v>0</v>
      </c>
      <c r="W188" s="449" cm="1">
        <f t="array" ref="W188">+IF(U188&lt;0,error,0)</f>
        <v>0</v>
      </c>
    </row>
    <row r="189" spans="1:23" ht="18" customHeight="1" x14ac:dyDescent="0.2">
      <c r="A189" s="402" t="s">
        <v>328</v>
      </c>
      <c r="B189" s="403"/>
      <c r="C189" s="404" t="s">
        <v>329</v>
      </c>
      <c r="D189" s="405">
        <v>41000</v>
      </c>
      <c r="E189" s="406"/>
      <c r="F189" s="325"/>
      <c r="G189" s="324"/>
      <c r="H189" s="324">
        <v>1386.3600000000001</v>
      </c>
      <c r="I189" s="325">
        <v>205.36</v>
      </c>
      <c r="J189" s="325"/>
      <c r="K189" s="325">
        <f t="shared" si="32"/>
        <v>0</v>
      </c>
      <c r="L189" s="325">
        <f t="shared" si="33"/>
        <v>0</v>
      </c>
      <c r="M189" s="407">
        <v>20</v>
      </c>
      <c r="N189" s="408" t="s">
        <v>289</v>
      </c>
      <c r="O189" s="325">
        <f t="shared" si="37"/>
        <v>0</v>
      </c>
      <c r="P189" s="325">
        <f t="shared" si="38"/>
        <v>0</v>
      </c>
      <c r="Q189" s="325">
        <f t="shared" si="39"/>
        <v>0</v>
      </c>
      <c r="R189" s="325">
        <f t="shared" si="40"/>
        <v>20</v>
      </c>
      <c r="S189" s="325">
        <f t="shared" si="41"/>
        <v>0</v>
      </c>
      <c r="T189" s="325">
        <f>+R189+S189+Q189</f>
        <v>20</v>
      </c>
      <c r="U189" s="325">
        <f t="shared" si="42"/>
        <v>185.36</v>
      </c>
      <c r="V189" s="325">
        <f t="shared" si="36"/>
        <v>0</v>
      </c>
      <c r="W189" s="449" cm="1">
        <f t="array" ref="W189">+IF(U189&lt;0,error,0)</f>
        <v>0</v>
      </c>
    </row>
    <row r="190" spans="1:23" ht="18" customHeight="1" x14ac:dyDescent="0.2">
      <c r="A190" s="402" t="s">
        <v>356</v>
      </c>
      <c r="B190" s="403"/>
      <c r="C190" s="404" t="s">
        <v>347</v>
      </c>
      <c r="D190" s="405">
        <v>39388</v>
      </c>
      <c r="E190" s="406"/>
      <c r="F190" s="325"/>
      <c r="G190" s="324"/>
      <c r="H190" s="324">
        <v>1690</v>
      </c>
      <c r="I190" s="325">
        <v>428</v>
      </c>
      <c r="J190" s="325"/>
      <c r="K190" s="325">
        <f t="shared" si="32"/>
        <v>0</v>
      </c>
      <c r="L190" s="325">
        <f t="shared" si="33"/>
        <v>0</v>
      </c>
      <c r="M190" s="407">
        <v>10</v>
      </c>
      <c r="N190" s="408" t="s">
        <v>289</v>
      </c>
      <c r="O190" s="325">
        <f t="shared" si="37"/>
        <v>0</v>
      </c>
      <c r="P190" s="325">
        <f t="shared" si="38"/>
        <v>0</v>
      </c>
      <c r="Q190" s="325">
        <f t="shared" si="39"/>
        <v>0</v>
      </c>
      <c r="R190" s="325">
        <f t="shared" si="40"/>
        <v>21</v>
      </c>
      <c r="S190" s="325">
        <f t="shared" si="41"/>
        <v>0</v>
      </c>
      <c r="T190" s="325">
        <f t="shared" ref="T190:T197" si="46">+R190+S190+Q190</f>
        <v>21</v>
      </c>
      <c r="U190" s="325">
        <f t="shared" si="42"/>
        <v>407</v>
      </c>
      <c r="V190" s="325">
        <f t="shared" si="36"/>
        <v>0</v>
      </c>
      <c r="W190" s="449" cm="1">
        <f t="array" ref="W190">+IF(U190&lt;0,error,0)</f>
        <v>0</v>
      </c>
    </row>
    <row r="191" spans="1:23" ht="18" customHeight="1" x14ac:dyDescent="0.2">
      <c r="A191" s="402" t="s">
        <v>359</v>
      </c>
      <c r="B191" s="403"/>
      <c r="C191" s="404" t="s">
        <v>360</v>
      </c>
      <c r="D191" s="405">
        <v>39379</v>
      </c>
      <c r="E191" s="406"/>
      <c r="F191" s="325"/>
      <c r="G191" s="324"/>
      <c r="H191" s="324">
        <v>2727.27</v>
      </c>
      <c r="I191" s="325">
        <v>686.27</v>
      </c>
      <c r="J191" s="325"/>
      <c r="K191" s="325">
        <f t="shared" si="32"/>
        <v>0</v>
      </c>
      <c r="L191" s="325">
        <f t="shared" si="33"/>
        <v>0</v>
      </c>
      <c r="M191" s="407">
        <v>10</v>
      </c>
      <c r="N191" s="408" t="s">
        <v>289</v>
      </c>
      <c r="O191" s="325">
        <f t="shared" si="37"/>
        <v>0</v>
      </c>
      <c r="P191" s="325">
        <f t="shared" si="38"/>
        <v>0</v>
      </c>
      <c r="Q191" s="325">
        <f t="shared" si="39"/>
        <v>0</v>
      </c>
      <c r="R191" s="325">
        <f t="shared" si="40"/>
        <v>34</v>
      </c>
      <c r="S191" s="325">
        <f t="shared" si="41"/>
        <v>0</v>
      </c>
      <c r="T191" s="325">
        <f t="shared" si="46"/>
        <v>34</v>
      </c>
      <c r="U191" s="325">
        <f t="shared" si="42"/>
        <v>652.27</v>
      </c>
      <c r="V191" s="325">
        <f t="shared" si="36"/>
        <v>0</v>
      </c>
      <c r="W191" s="449" cm="1">
        <f t="array" ref="W191">+IF(U191&lt;0,error,0)</f>
        <v>0</v>
      </c>
    </row>
    <row r="192" spans="1:23" ht="18" customHeight="1" x14ac:dyDescent="0.2">
      <c r="A192" s="402" t="s">
        <v>363</v>
      </c>
      <c r="B192" s="403"/>
      <c r="C192" s="404" t="s">
        <v>364</v>
      </c>
      <c r="D192" s="405">
        <v>39386</v>
      </c>
      <c r="E192" s="406"/>
      <c r="F192" s="325"/>
      <c r="G192" s="324"/>
      <c r="H192" s="324">
        <v>22704.55</v>
      </c>
      <c r="I192" s="325">
        <v>11577.550000000001</v>
      </c>
      <c r="J192" s="325"/>
      <c r="K192" s="325">
        <f t="shared" si="32"/>
        <v>0</v>
      </c>
      <c r="L192" s="325">
        <f t="shared" si="33"/>
        <v>0</v>
      </c>
      <c r="M192" s="407">
        <v>5</v>
      </c>
      <c r="N192" s="408" t="s">
        <v>289</v>
      </c>
      <c r="O192" s="325">
        <f t="shared" si="37"/>
        <v>0</v>
      </c>
      <c r="P192" s="325">
        <f t="shared" si="38"/>
        <v>0</v>
      </c>
      <c r="Q192" s="325">
        <f t="shared" si="39"/>
        <v>0</v>
      </c>
      <c r="R192" s="325">
        <f t="shared" si="40"/>
        <v>289</v>
      </c>
      <c r="S192" s="325">
        <f t="shared" si="41"/>
        <v>0</v>
      </c>
      <c r="T192" s="325">
        <f t="shared" si="46"/>
        <v>289</v>
      </c>
      <c r="U192" s="325">
        <f t="shared" si="42"/>
        <v>11288.550000000001</v>
      </c>
      <c r="V192" s="325">
        <f t="shared" si="36"/>
        <v>0</v>
      </c>
      <c r="W192" s="449" cm="1">
        <f t="array" ref="W192">+IF(U192&lt;0,error,0)</f>
        <v>0</v>
      </c>
    </row>
    <row r="193" spans="1:23" ht="18" customHeight="1" x14ac:dyDescent="0.2">
      <c r="A193" s="402" t="s">
        <v>365</v>
      </c>
      <c r="B193" s="403"/>
      <c r="C193" s="404" t="s">
        <v>366</v>
      </c>
      <c r="D193" s="405">
        <v>39465</v>
      </c>
      <c r="E193" s="406"/>
      <c r="F193" s="325"/>
      <c r="G193" s="324"/>
      <c r="H193" s="324">
        <v>3640</v>
      </c>
      <c r="I193" s="325">
        <v>211</v>
      </c>
      <c r="J193" s="325"/>
      <c r="K193" s="325">
        <f t="shared" si="32"/>
        <v>0</v>
      </c>
      <c r="L193" s="325">
        <f t="shared" si="33"/>
        <v>0</v>
      </c>
      <c r="M193" s="407">
        <v>20</v>
      </c>
      <c r="N193" s="408" t="s">
        <v>289</v>
      </c>
      <c r="O193" s="325">
        <f t="shared" si="37"/>
        <v>0</v>
      </c>
      <c r="P193" s="325">
        <f t="shared" si="38"/>
        <v>0</v>
      </c>
      <c r="Q193" s="325">
        <f t="shared" si="39"/>
        <v>0</v>
      </c>
      <c r="R193" s="325">
        <f t="shared" si="40"/>
        <v>21</v>
      </c>
      <c r="S193" s="325">
        <f t="shared" si="41"/>
        <v>0</v>
      </c>
      <c r="T193" s="325">
        <f t="shared" si="46"/>
        <v>21</v>
      </c>
      <c r="U193" s="325">
        <f t="shared" si="42"/>
        <v>190</v>
      </c>
      <c r="V193" s="325">
        <f t="shared" si="36"/>
        <v>0</v>
      </c>
      <c r="W193" s="449" cm="1">
        <f t="array" ref="W193">+IF(U193&lt;0,error,0)</f>
        <v>0</v>
      </c>
    </row>
    <row r="194" spans="1:23" ht="18" customHeight="1" x14ac:dyDescent="0.2">
      <c r="A194" s="402" t="s">
        <v>367</v>
      </c>
      <c r="B194" s="403"/>
      <c r="C194" s="404" t="s">
        <v>368</v>
      </c>
      <c r="D194" s="405">
        <v>39470</v>
      </c>
      <c r="E194" s="406"/>
      <c r="F194" s="325"/>
      <c r="G194" s="324"/>
      <c r="H194" s="324">
        <v>4495</v>
      </c>
      <c r="I194" s="325">
        <v>261</v>
      </c>
      <c r="J194" s="325"/>
      <c r="K194" s="325">
        <f t="shared" si="32"/>
        <v>0</v>
      </c>
      <c r="L194" s="325">
        <f t="shared" si="33"/>
        <v>0</v>
      </c>
      <c r="M194" s="407">
        <v>20</v>
      </c>
      <c r="N194" s="408" t="s">
        <v>289</v>
      </c>
      <c r="O194" s="325">
        <f t="shared" si="37"/>
        <v>0</v>
      </c>
      <c r="P194" s="325">
        <f t="shared" si="38"/>
        <v>0</v>
      </c>
      <c r="Q194" s="325">
        <f t="shared" si="39"/>
        <v>0</v>
      </c>
      <c r="R194" s="325">
        <f t="shared" si="40"/>
        <v>26</v>
      </c>
      <c r="S194" s="325">
        <f t="shared" si="41"/>
        <v>0</v>
      </c>
      <c r="T194" s="325">
        <f t="shared" si="46"/>
        <v>26</v>
      </c>
      <c r="U194" s="325">
        <f t="shared" si="42"/>
        <v>235</v>
      </c>
      <c r="V194" s="325">
        <f t="shared" si="36"/>
        <v>0</v>
      </c>
      <c r="W194" s="449" cm="1">
        <f t="array" ref="W194">+IF(U194&lt;0,error,0)</f>
        <v>0</v>
      </c>
    </row>
    <row r="195" spans="1:23" ht="18" customHeight="1" x14ac:dyDescent="0.2">
      <c r="A195" s="402" t="s">
        <v>369</v>
      </c>
      <c r="B195" s="403"/>
      <c r="C195" s="404" t="s">
        <v>370</v>
      </c>
      <c r="D195" s="405">
        <v>39498</v>
      </c>
      <c r="E195" s="406"/>
      <c r="F195" s="325"/>
      <c r="G195" s="324"/>
      <c r="H195" s="324">
        <v>10468.09</v>
      </c>
      <c r="I195" s="325">
        <v>2723.09</v>
      </c>
      <c r="J195" s="325"/>
      <c r="K195" s="325">
        <f t="shared" si="32"/>
        <v>0</v>
      </c>
      <c r="L195" s="325">
        <f t="shared" si="33"/>
        <v>0</v>
      </c>
      <c r="M195" s="407">
        <v>10</v>
      </c>
      <c r="N195" s="408" t="s">
        <v>289</v>
      </c>
      <c r="O195" s="325">
        <f t="shared" si="37"/>
        <v>0</v>
      </c>
      <c r="P195" s="325">
        <f t="shared" si="38"/>
        <v>0</v>
      </c>
      <c r="Q195" s="325">
        <f t="shared" si="39"/>
        <v>0</v>
      </c>
      <c r="R195" s="325">
        <f t="shared" si="40"/>
        <v>136</v>
      </c>
      <c r="S195" s="325">
        <f t="shared" si="41"/>
        <v>0</v>
      </c>
      <c r="T195" s="325">
        <f t="shared" si="46"/>
        <v>136</v>
      </c>
      <c r="U195" s="325">
        <f t="shared" si="42"/>
        <v>2587.09</v>
      </c>
      <c r="V195" s="325">
        <f t="shared" si="36"/>
        <v>0</v>
      </c>
      <c r="W195" s="449" cm="1">
        <f t="array" ref="W195">+IF(U195&lt;0,error,0)</f>
        <v>0</v>
      </c>
    </row>
    <row r="196" spans="1:23" ht="18" customHeight="1" x14ac:dyDescent="0.2">
      <c r="A196" s="402" t="s">
        <v>371</v>
      </c>
      <c r="B196" s="403"/>
      <c r="C196" s="412" t="s">
        <v>372</v>
      </c>
      <c r="D196" s="405">
        <v>39499</v>
      </c>
      <c r="E196" s="406"/>
      <c r="F196" s="325"/>
      <c r="G196" s="324"/>
      <c r="H196" s="324">
        <v>13392.5</v>
      </c>
      <c r="I196" s="325">
        <v>4937.5</v>
      </c>
      <c r="J196" s="325"/>
      <c r="K196" s="325">
        <f t="shared" si="32"/>
        <v>0</v>
      </c>
      <c r="L196" s="325">
        <f t="shared" si="33"/>
        <v>0</v>
      </c>
      <c r="M196" s="407">
        <v>7.5</v>
      </c>
      <c r="N196" s="408" t="s">
        <v>289</v>
      </c>
      <c r="O196" s="325">
        <f t="shared" si="37"/>
        <v>0</v>
      </c>
      <c r="P196" s="325">
        <f t="shared" si="38"/>
        <v>0</v>
      </c>
      <c r="Q196" s="325">
        <f t="shared" si="39"/>
        <v>0</v>
      </c>
      <c r="R196" s="325">
        <f t="shared" si="40"/>
        <v>185</v>
      </c>
      <c r="S196" s="325">
        <f t="shared" si="41"/>
        <v>0</v>
      </c>
      <c r="T196" s="325">
        <f t="shared" si="46"/>
        <v>185</v>
      </c>
      <c r="U196" s="325">
        <f t="shared" si="42"/>
        <v>4752.5</v>
      </c>
      <c r="V196" s="325">
        <f t="shared" si="36"/>
        <v>0</v>
      </c>
      <c r="W196" s="449" cm="1">
        <f t="array" ref="W196">+IF(U196&lt;0,error,0)</f>
        <v>0</v>
      </c>
    </row>
    <row r="197" spans="1:23" ht="18" customHeight="1" x14ac:dyDescent="0.2">
      <c r="A197" s="402" t="s">
        <v>373</v>
      </c>
      <c r="B197" s="403"/>
      <c r="C197" s="404" t="s">
        <v>374</v>
      </c>
      <c r="D197" s="405">
        <v>39540</v>
      </c>
      <c r="E197" s="406"/>
      <c r="F197" s="325"/>
      <c r="G197" s="324"/>
      <c r="H197" s="324">
        <v>2372</v>
      </c>
      <c r="I197" s="325">
        <v>625</v>
      </c>
      <c r="J197" s="325"/>
      <c r="K197" s="325">
        <f t="shared" si="32"/>
        <v>0</v>
      </c>
      <c r="L197" s="325">
        <f t="shared" si="33"/>
        <v>0</v>
      </c>
      <c r="M197" s="407">
        <v>10</v>
      </c>
      <c r="N197" s="408" t="s">
        <v>289</v>
      </c>
      <c r="O197" s="325">
        <f t="shared" si="37"/>
        <v>0</v>
      </c>
      <c r="P197" s="325">
        <f t="shared" si="38"/>
        <v>0</v>
      </c>
      <c r="Q197" s="325">
        <f t="shared" si="39"/>
        <v>0</v>
      </c>
      <c r="R197" s="325">
        <f t="shared" si="40"/>
        <v>31</v>
      </c>
      <c r="S197" s="325">
        <f t="shared" si="41"/>
        <v>0</v>
      </c>
      <c r="T197" s="325">
        <f t="shared" si="46"/>
        <v>31</v>
      </c>
      <c r="U197" s="325">
        <f t="shared" si="42"/>
        <v>594</v>
      </c>
      <c r="V197" s="325">
        <f t="shared" si="36"/>
        <v>0</v>
      </c>
      <c r="W197" s="449" cm="1">
        <f t="array" ref="W197">+IF(U197&lt;0,error,0)</f>
        <v>0</v>
      </c>
    </row>
    <row r="198" spans="1:23" ht="18" customHeight="1" x14ac:dyDescent="0.2">
      <c r="A198" s="402" t="s">
        <v>384</v>
      </c>
      <c r="B198" s="403"/>
      <c r="C198" s="404" t="s">
        <v>385</v>
      </c>
      <c r="D198" s="405">
        <v>39479</v>
      </c>
      <c r="E198" s="406"/>
      <c r="F198" s="325"/>
      <c r="G198" s="324"/>
      <c r="H198" s="324">
        <v>950</v>
      </c>
      <c r="I198" s="325">
        <v>0</v>
      </c>
      <c r="J198" s="325"/>
      <c r="K198" s="325">
        <f t="shared" si="32"/>
        <v>0</v>
      </c>
      <c r="L198" s="325">
        <f t="shared" si="33"/>
        <v>0</v>
      </c>
      <c r="M198" s="407">
        <v>37.5</v>
      </c>
      <c r="N198" s="408" t="s">
        <v>289</v>
      </c>
      <c r="O198" s="325">
        <f t="shared" si="37"/>
        <v>0</v>
      </c>
      <c r="P198" s="325">
        <f t="shared" si="38"/>
        <v>0</v>
      </c>
      <c r="Q198" s="325">
        <f t="shared" si="39"/>
        <v>0</v>
      </c>
      <c r="R198" s="325">
        <f t="shared" si="40"/>
        <v>0</v>
      </c>
      <c r="S198" s="325">
        <f t="shared" si="41"/>
        <v>0</v>
      </c>
      <c r="T198" s="325">
        <v>0</v>
      </c>
      <c r="U198" s="325">
        <f t="shared" si="42"/>
        <v>0</v>
      </c>
      <c r="V198" s="325">
        <f t="shared" si="36"/>
        <v>0</v>
      </c>
      <c r="W198" s="449" cm="1">
        <f t="array" ref="W198">+IF(U198&lt;0,error,0)</f>
        <v>0</v>
      </c>
    </row>
    <row r="199" spans="1:23" ht="18" customHeight="1" x14ac:dyDescent="0.2">
      <c r="A199" s="402" t="s">
        <v>387</v>
      </c>
      <c r="B199" s="403"/>
      <c r="C199" s="412" t="s">
        <v>388</v>
      </c>
      <c r="D199" s="405">
        <v>39679</v>
      </c>
      <c r="E199" s="406"/>
      <c r="F199" s="325"/>
      <c r="G199" s="324"/>
      <c r="H199" s="324">
        <v>59090.91</v>
      </c>
      <c r="I199" s="325">
        <v>16167.91</v>
      </c>
      <c r="J199" s="325"/>
      <c r="K199" s="325">
        <f t="shared" si="32"/>
        <v>0</v>
      </c>
      <c r="L199" s="325">
        <f t="shared" si="33"/>
        <v>0</v>
      </c>
      <c r="M199" s="407">
        <v>10</v>
      </c>
      <c r="N199" s="408" t="s">
        <v>289</v>
      </c>
      <c r="O199" s="325">
        <f t="shared" si="37"/>
        <v>0</v>
      </c>
      <c r="P199" s="325">
        <f t="shared" si="38"/>
        <v>0</v>
      </c>
      <c r="Q199" s="325">
        <f t="shared" si="39"/>
        <v>0</v>
      </c>
      <c r="R199" s="325">
        <f t="shared" si="40"/>
        <v>808</v>
      </c>
      <c r="S199" s="325">
        <f t="shared" si="41"/>
        <v>0</v>
      </c>
      <c r="T199" s="325">
        <f t="shared" ref="T199:T201" si="47">+R199+S199+Q199</f>
        <v>808</v>
      </c>
      <c r="U199" s="325">
        <f t="shared" si="42"/>
        <v>15359.91</v>
      </c>
      <c r="V199" s="325">
        <f t="shared" si="36"/>
        <v>0</v>
      </c>
      <c r="W199" s="449" cm="1">
        <f t="array" ref="W199">+IF(U199&lt;0,error,0)</f>
        <v>0</v>
      </c>
    </row>
    <row r="200" spans="1:23" ht="18" customHeight="1" x14ac:dyDescent="0.2">
      <c r="A200" s="402" t="s">
        <v>389</v>
      </c>
      <c r="B200" s="403"/>
      <c r="C200" s="404" t="s">
        <v>390</v>
      </c>
      <c r="D200" s="405">
        <v>39679</v>
      </c>
      <c r="E200" s="406"/>
      <c r="F200" s="325"/>
      <c r="G200" s="324"/>
      <c r="H200" s="324">
        <v>91279.2</v>
      </c>
      <c r="I200" s="325">
        <v>24971.200000000001</v>
      </c>
      <c r="J200" s="325"/>
      <c r="K200" s="325">
        <f t="shared" si="32"/>
        <v>0</v>
      </c>
      <c r="L200" s="325">
        <f t="shared" si="33"/>
        <v>0</v>
      </c>
      <c r="M200" s="407">
        <v>10</v>
      </c>
      <c r="N200" s="408" t="s">
        <v>289</v>
      </c>
      <c r="O200" s="325">
        <f t="shared" si="37"/>
        <v>0</v>
      </c>
      <c r="P200" s="325">
        <f t="shared" si="38"/>
        <v>0</v>
      </c>
      <c r="Q200" s="325">
        <f t="shared" si="39"/>
        <v>0</v>
      </c>
      <c r="R200" s="325">
        <f t="shared" si="40"/>
        <v>1248</v>
      </c>
      <c r="S200" s="325">
        <f t="shared" si="41"/>
        <v>0</v>
      </c>
      <c r="T200" s="325">
        <f t="shared" si="47"/>
        <v>1248</v>
      </c>
      <c r="U200" s="325">
        <f t="shared" si="42"/>
        <v>23723.200000000001</v>
      </c>
      <c r="V200" s="325">
        <f t="shared" si="36"/>
        <v>0</v>
      </c>
      <c r="W200" s="449" cm="1">
        <f t="array" ref="W200">+IF(U200&lt;0,error,0)</f>
        <v>0</v>
      </c>
    </row>
    <row r="201" spans="1:23" ht="18" customHeight="1" x14ac:dyDescent="0.2">
      <c r="A201" s="402" t="s">
        <v>391</v>
      </c>
      <c r="B201" s="403"/>
      <c r="C201" s="404" t="s">
        <v>392</v>
      </c>
      <c r="D201" s="405">
        <v>39707</v>
      </c>
      <c r="E201" s="406"/>
      <c r="F201" s="325"/>
      <c r="G201" s="324"/>
      <c r="H201" s="324">
        <v>19690</v>
      </c>
      <c r="I201" s="325">
        <v>5436</v>
      </c>
      <c r="J201" s="325"/>
      <c r="K201" s="325">
        <f t="shared" si="32"/>
        <v>0</v>
      </c>
      <c r="L201" s="325">
        <f t="shared" si="33"/>
        <v>0</v>
      </c>
      <c r="M201" s="407">
        <v>10</v>
      </c>
      <c r="N201" s="408" t="s">
        <v>289</v>
      </c>
      <c r="O201" s="325">
        <f t="shared" si="37"/>
        <v>0</v>
      </c>
      <c r="P201" s="325">
        <f t="shared" si="38"/>
        <v>0</v>
      </c>
      <c r="Q201" s="325">
        <f t="shared" si="39"/>
        <v>0</v>
      </c>
      <c r="R201" s="325">
        <f t="shared" si="40"/>
        <v>271</v>
      </c>
      <c r="S201" s="325">
        <f t="shared" si="41"/>
        <v>0</v>
      </c>
      <c r="T201" s="325">
        <f t="shared" si="47"/>
        <v>271</v>
      </c>
      <c r="U201" s="325">
        <f t="shared" si="42"/>
        <v>5165</v>
      </c>
      <c r="V201" s="325">
        <f t="shared" si="36"/>
        <v>0</v>
      </c>
      <c r="W201" s="449" cm="1">
        <f t="array" ref="W201">+IF(U201&lt;0,error,0)</f>
        <v>0</v>
      </c>
    </row>
    <row r="202" spans="1:23" ht="18" customHeight="1" x14ac:dyDescent="0.2">
      <c r="A202" s="402" t="s">
        <v>393</v>
      </c>
      <c r="B202" s="403"/>
      <c r="C202" s="404" t="s">
        <v>394</v>
      </c>
      <c r="D202" s="405">
        <v>39720</v>
      </c>
      <c r="E202" s="406"/>
      <c r="F202" s="325"/>
      <c r="G202" s="324"/>
      <c r="H202" s="324">
        <v>575.45000000000005</v>
      </c>
      <c r="I202" s="325">
        <v>0</v>
      </c>
      <c r="J202" s="325"/>
      <c r="K202" s="325">
        <f t="shared" si="32"/>
        <v>0</v>
      </c>
      <c r="L202" s="325">
        <f t="shared" si="33"/>
        <v>0</v>
      </c>
      <c r="M202" s="407">
        <v>18.75</v>
      </c>
      <c r="N202" s="408" t="s">
        <v>289</v>
      </c>
      <c r="O202" s="325">
        <f t="shared" si="37"/>
        <v>0</v>
      </c>
      <c r="P202" s="325">
        <f t="shared" si="38"/>
        <v>0</v>
      </c>
      <c r="Q202" s="325">
        <f t="shared" si="39"/>
        <v>0</v>
      </c>
      <c r="R202" s="325">
        <f t="shared" si="40"/>
        <v>0</v>
      </c>
      <c r="S202" s="325">
        <f t="shared" si="41"/>
        <v>0</v>
      </c>
      <c r="T202" s="325">
        <v>0</v>
      </c>
      <c r="U202" s="325">
        <f t="shared" si="42"/>
        <v>0</v>
      </c>
      <c r="V202" s="325">
        <f t="shared" si="36"/>
        <v>0</v>
      </c>
      <c r="W202" s="449" cm="1">
        <f t="array" ref="W202">+IF(U202&lt;0,error,0)</f>
        <v>0</v>
      </c>
    </row>
    <row r="203" spans="1:23" ht="18" customHeight="1" x14ac:dyDescent="0.2">
      <c r="A203" s="402" t="s">
        <v>395</v>
      </c>
      <c r="B203" s="403"/>
      <c r="C203" s="404" t="s">
        <v>396</v>
      </c>
      <c r="D203" s="405">
        <v>39720</v>
      </c>
      <c r="E203" s="406"/>
      <c r="F203" s="325"/>
      <c r="G203" s="324"/>
      <c r="H203" s="324">
        <v>1055</v>
      </c>
      <c r="I203" s="325">
        <v>0</v>
      </c>
      <c r="J203" s="325"/>
      <c r="K203" s="325">
        <f t="shared" si="32"/>
        <v>0</v>
      </c>
      <c r="L203" s="325">
        <f t="shared" si="33"/>
        <v>0</v>
      </c>
      <c r="M203" s="407">
        <v>10</v>
      </c>
      <c r="N203" s="408" t="s">
        <v>289</v>
      </c>
      <c r="O203" s="325">
        <f t="shared" si="37"/>
        <v>0</v>
      </c>
      <c r="P203" s="325">
        <f t="shared" si="38"/>
        <v>0</v>
      </c>
      <c r="Q203" s="325">
        <f t="shared" si="39"/>
        <v>0</v>
      </c>
      <c r="R203" s="325">
        <f t="shared" si="40"/>
        <v>0</v>
      </c>
      <c r="S203" s="325">
        <f t="shared" si="41"/>
        <v>0</v>
      </c>
      <c r="T203" s="325">
        <v>0</v>
      </c>
      <c r="U203" s="325">
        <f t="shared" si="42"/>
        <v>0</v>
      </c>
      <c r="V203" s="325">
        <f t="shared" si="36"/>
        <v>0</v>
      </c>
      <c r="W203" s="449" cm="1">
        <f t="array" ref="W203">+IF(U203&lt;0,error,0)</f>
        <v>0</v>
      </c>
    </row>
    <row r="204" spans="1:23" ht="18" customHeight="1" x14ac:dyDescent="0.2">
      <c r="A204" s="402" t="s">
        <v>399</v>
      </c>
      <c r="B204" s="403"/>
      <c r="C204" s="404" t="s">
        <v>400</v>
      </c>
      <c r="D204" s="405">
        <v>39720</v>
      </c>
      <c r="E204" s="406"/>
      <c r="F204" s="325"/>
      <c r="G204" s="324"/>
      <c r="H204" s="324">
        <v>3644.55</v>
      </c>
      <c r="I204" s="325">
        <v>1011.55</v>
      </c>
      <c r="J204" s="325"/>
      <c r="K204" s="325">
        <f t="shared" si="32"/>
        <v>0</v>
      </c>
      <c r="L204" s="325">
        <f t="shared" si="33"/>
        <v>0</v>
      </c>
      <c r="M204" s="407">
        <v>10</v>
      </c>
      <c r="N204" s="408" t="s">
        <v>289</v>
      </c>
      <c r="O204" s="325">
        <f t="shared" si="37"/>
        <v>0</v>
      </c>
      <c r="P204" s="325">
        <f t="shared" si="38"/>
        <v>0</v>
      </c>
      <c r="Q204" s="325">
        <f t="shared" si="39"/>
        <v>0</v>
      </c>
      <c r="R204" s="325">
        <f t="shared" si="40"/>
        <v>50</v>
      </c>
      <c r="S204" s="325">
        <f t="shared" si="41"/>
        <v>0</v>
      </c>
      <c r="T204" s="325">
        <f t="shared" ref="T204:T267" si="48">+R204+S204+Q204</f>
        <v>50</v>
      </c>
      <c r="U204" s="325">
        <f t="shared" si="42"/>
        <v>961.55</v>
      </c>
      <c r="V204" s="325">
        <f t="shared" si="36"/>
        <v>0</v>
      </c>
      <c r="W204" s="449" cm="1">
        <f t="array" ref="W204">+IF(U204&lt;0,error,0)</f>
        <v>0</v>
      </c>
    </row>
    <row r="205" spans="1:23" ht="18" customHeight="1" x14ac:dyDescent="0.2">
      <c r="A205" s="402" t="s">
        <v>402</v>
      </c>
      <c r="B205" s="403"/>
      <c r="C205" s="404" t="s">
        <v>403</v>
      </c>
      <c r="D205" s="405">
        <v>39720</v>
      </c>
      <c r="E205" s="406"/>
      <c r="F205" s="325"/>
      <c r="G205" s="324"/>
      <c r="H205" s="324">
        <v>13331.36</v>
      </c>
      <c r="I205" s="325">
        <v>3695.3599999999997</v>
      </c>
      <c r="J205" s="325"/>
      <c r="K205" s="325">
        <f t="shared" si="32"/>
        <v>0</v>
      </c>
      <c r="L205" s="325">
        <f t="shared" si="33"/>
        <v>0</v>
      </c>
      <c r="M205" s="407">
        <v>10</v>
      </c>
      <c r="N205" s="408" t="s">
        <v>289</v>
      </c>
      <c r="O205" s="325">
        <f t="shared" si="37"/>
        <v>0</v>
      </c>
      <c r="P205" s="325">
        <f t="shared" si="38"/>
        <v>0</v>
      </c>
      <c r="Q205" s="325">
        <f t="shared" si="39"/>
        <v>0</v>
      </c>
      <c r="R205" s="325">
        <f t="shared" si="40"/>
        <v>184</v>
      </c>
      <c r="S205" s="325">
        <f t="shared" si="41"/>
        <v>0</v>
      </c>
      <c r="T205" s="325">
        <f t="shared" si="48"/>
        <v>184</v>
      </c>
      <c r="U205" s="325">
        <f t="shared" si="42"/>
        <v>3511.3599999999997</v>
      </c>
      <c r="V205" s="325">
        <f t="shared" si="36"/>
        <v>0</v>
      </c>
      <c r="W205" s="449" cm="1">
        <f t="array" ref="W205">+IF(U205&lt;0,error,0)</f>
        <v>0</v>
      </c>
    </row>
    <row r="206" spans="1:23" ht="18" customHeight="1" x14ac:dyDescent="0.2">
      <c r="A206" s="402" t="s">
        <v>404</v>
      </c>
      <c r="B206" s="403"/>
      <c r="C206" s="404" t="s">
        <v>405</v>
      </c>
      <c r="D206" s="405">
        <v>39720</v>
      </c>
      <c r="E206" s="406"/>
      <c r="F206" s="325"/>
      <c r="G206" s="324"/>
      <c r="H206" s="324">
        <v>633</v>
      </c>
      <c r="I206" s="325">
        <v>0</v>
      </c>
      <c r="J206" s="325"/>
      <c r="K206" s="325">
        <f t="shared" si="32"/>
        <v>0</v>
      </c>
      <c r="L206" s="325">
        <f t="shared" si="33"/>
        <v>0</v>
      </c>
      <c r="M206" s="407">
        <v>18.75</v>
      </c>
      <c r="N206" s="408" t="s">
        <v>289</v>
      </c>
      <c r="O206" s="325">
        <f t="shared" si="37"/>
        <v>0</v>
      </c>
      <c r="P206" s="325">
        <f t="shared" si="38"/>
        <v>0</v>
      </c>
      <c r="Q206" s="325">
        <f t="shared" si="39"/>
        <v>0</v>
      </c>
      <c r="R206" s="325">
        <f t="shared" si="40"/>
        <v>0</v>
      </c>
      <c r="S206" s="325">
        <f t="shared" si="41"/>
        <v>0</v>
      </c>
      <c r="T206" s="325">
        <f t="shared" si="48"/>
        <v>0</v>
      </c>
      <c r="U206" s="325">
        <f t="shared" si="42"/>
        <v>0</v>
      </c>
      <c r="V206" s="325">
        <f t="shared" si="36"/>
        <v>0</v>
      </c>
      <c r="W206" s="449" cm="1">
        <f t="array" ref="W206">+IF(U206&lt;0,error,0)</f>
        <v>0</v>
      </c>
    </row>
    <row r="207" spans="1:23" ht="18" customHeight="1" x14ac:dyDescent="0.2">
      <c r="A207" s="402" t="s">
        <v>412</v>
      </c>
      <c r="B207" s="403"/>
      <c r="C207" s="404" t="s">
        <v>413</v>
      </c>
      <c r="D207" s="405">
        <v>39829</v>
      </c>
      <c r="E207" s="406"/>
      <c r="F207" s="325"/>
      <c r="G207" s="324"/>
      <c r="H207" s="324">
        <v>39099</v>
      </c>
      <c r="I207" s="325">
        <v>2816</v>
      </c>
      <c r="J207" s="325"/>
      <c r="K207" s="325">
        <f t="shared" si="32"/>
        <v>0</v>
      </c>
      <c r="L207" s="325">
        <f t="shared" si="33"/>
        <v>0</v>
      </c>
      <c r="M207" s="407">
        <v>20</v>
      </c>
      <c r="N207" s="408" t="s">
        <v>289</v>
      </c>
      <c r="O207" s="325">
        <f t="shared" si="37"/>
        <v>0</v>
      </c>
      <c r="P207" s="325">
        <f t="shared" si="38"/>
        <v>0</v>
      </c>
      <c r="Q207" s="325">
        <f t="shared" si="39"/>
        <v>0</v>
      </c>
      <c r="R207" s="325">
        <f t="shared" si="40"/>
        <v>281</v>
      </c>
      <c r="S207" s="325">
        <f t="shared" si="41"/>
        <v>0</v>
      </c>
      <c r="T207" s="325">
        <f t="shared" si="48"/>
        <v>281</v>
      </c>
      <c r="U207" s="325">
        <f t="shared" si="42"/>
        <v>2535</v>
      </c>
      <c r="V207" s="325">
        <f t="shared" si="36"/>
        <v>0</v>
      </c>
      <c r="W207" s="449" cm="1">
        <f t="array" ref="W207">+IF(U207&lt;0,error,0)</f>
        <v>0</v>
      </c>
    </row>
    <row r="208" spans="1:23" ht="18" customHeight="1" x14ac:dyDescent="0.2">
      <c r="A208" s="402" t="s">
        <v>417</v>
      </c>
      <c r="B208" s="403"/>
      <c r="C208" s="404" t="s">
        <v>418</v>
      </c>
      <c r="D208" s="405">
        <v>39833</v>
      </c>
      <c r="E208" s="406"/>
      <c r="F208" s="325"/>
      <c r="G208" s="324"/>
      <c r="H208" s="324">
        <v>7283.5</v>
      </c>
      <c r="I208" s="325">
        <v>2088.5</v>
      </c>
      <c r="J208" s="325"/>
      <c r="K208" s="325">
        <f t="shared" si="32"/>
        <v>0</v>
      </c>
      <c r="L208" s="325">
        <f t="shared" si="33"/>
        <v>0</v>
      </c>
      <c r="M208" s="407">
        <v>10</v>
      </c>
      <c r="N208" s="408" t="s">
        <v>289</v>
      </c>
      <c r="O208" s="325">
        <f t="shared" si="37"/>
        <v>0</v>
      </c>
      <c r="P208" s="325">
        <f t="shared" si="38"/>
        <v>0</v>
      </c>
      <c r="Q208" s="325">
        <f t="shared" si="39"/>
        <v>0</v>
      </c>
      <c r="R208" s="325">
        <f t="shared" si="40"/>
        <v>104</v>
      </c>
      <c r="S208" s="325">
        <f t="shared" si="41"/>
        <v>0</v>
      </c>
      <c r="T208" s="325">
        <f t="shared" si="48"/>
        <v>104</v>
      </c>
      <c r="U208" s="325">
        <f t="shared" si="42"/>
        <v>1984.5</v>
      </c>
      <c r="V208" s="325">
        <f t="shared" si="36"/>
        <v>0</v>
      </c>
      <c r="W208" s="449" cm="1">
        <f t="array" ref="W208">+IF(U208&lt;0,error,0)</f>
        <v>0</v>
      </c>
    </row>
    <row r="209" spans="1:23" ht="18" customHeight="1" x14ac:dyDescent="0.2">
      <c r="A209" s="402" t="s">
        <v>421</v>
      </c>
      <c r="B209" s="403"/>
      <c r="C209" s="404" t="s">
        <v>422</v>
      </c>
      <c r="D209" s="405">
        <v>39867</v>
      </c>
      <c r="E209" s="406"/>
      <c r="F209" s="325"/>
      <c r="G209" s="324"/>
      <c r="H209" s="324">
        <v>2965.46</v>
      </c>
      <c r="I209" s="325">
        <v>219.45999999999998</v>
      </c>
      <c r="J209" s="325"/>
      <c r="K209" s="325">
        <f t="shared" si="32"/>
        <v>0</v>
      </c>
      <c r="L209" s="325">
        <f t="shared" si="33"/>
        <v>0</v>
      </c>
      <c r="M209" s="407">
        <v>20</v>
      </c>
      <c r="N209" s="408" t="s">
        <v>289</v>
      </c>
      <c r="O209" s="325">
        <f t="shared" si="37"/>
        <v>0</v>
      </c>
      <c r="P209" s="325">
        <f t="shared" si="38"/>
        <v>0</v>
      </c>
      <c r="Q209" s="325">
        <f t="shared" si="39"/>
        <v>0</v>
      </c>
      <c r="R209" s="325">
        <f t="shared" si="40"/>
        <v>21</v>
      </c>
      <c r="S209" s="325">
        <f t="shared" si="41"/>
        <v>0</v>
      </c>
      <c r="T209" s="325">
        <f t="shared" si="48"/>
        <v>21</v>
      </c>
      <c r="U209" s="325">
        <f t="shared" si="42"/>
        <v>198.45999999999998</v>
      </c>
      <c r="V209" s="325">
        <f t="shared" si="36"/>
        <v>0</v>
      </c>
      <c r="W209" s="449" cm="1">
        <f t="array" ref="W209">+IF(U209&lt;0,error,0)</f>
        <v>0</v>
      </c>
    </row>
    <row r="210" spans="1:23" ht="18" customHeight="1" x14ac:dyDescent="0.2">
      <c r="A210" s="402" t="s">
        <v>426</v>
      </c>
      <c r="B210" s="403"/>
      <c r="C210" s="412" t="s">
        <v>427</v>
      </c>
      <c r="D210" s="405">
        <v>39955</v>
      </c>
      <c r="E210" s="406"/>
      <c r="F210" s="325"/>
      <c r="G210" s="324"/>
      <c r="H210" s="324">
        <v>2737.55</v>
      </c>
      <c r="I210" s="325">
        <v>213.55</v>
      </c>
      <c r="J210" s="325"/>
      <c r="K210" s="325">
        <f t="shared" si="32"/>
        <v>0</v>
      </c>
      <c r="L210" s="325">
        <f t="shared" si="33"/>
        <v>0</v>
      </c>
      <c r="M210" s="407">
        <v>20</v>
      </c>
      <c r="N210" s="408" t="s">
        <v>289</v>
      </c>
      <c r="O210" s="325">
        <f t="shared" si="37"/>
        <v>0</v>
      </c>
      <c r="P210" s="325">
        <f t="shared" si="38"/>
        <v>0</v>
      </c>
      <c r="Q210" s="325">
        <f t="shared" si="39"/>
        <v>0</v>
      </c>
      <c r="R210" s="325">
        <f t="shared" si="40"/>
        <v>21</v>
      </c>
      <c r="S210" s="325">
        <f t="shared" si="41"/>
        <v>0</v>
      </c>
      <c r="T210" s="325">
        <f t="shared" si="48"/>
        <v>21</v>
      </c>
      <c r="U210" s="325">
        <f t="shared" si="42"/>
        <v>192.55</v>
      </c>
      <c r="V210" s="325">
        <f t="shared" si="36"/>
        <v>0</v>
      </c>
      <c r="W210" s="449" cm="1">
        <f t="array" ref="W210">+IF(U210&lt;0,error,0)</f>
        <v>0</v>
      </c>
    </row>
    <row r="211" spans="1:23" ht="18" customHeight="1" x14ac:dyDescent="0.2">
      <c r="A211" s="402" t="s">
        <v>432</v>
      </c>
      <c r="B211" s="403"/>
      <c r="C211" s="404" t="s">
        <v>433</v>
      </c>
      <c r="D211" s="405">
        <v>39988</v>
      </c>
      <c r="E211" s="406"/>
      <c r="F211" s="325"/>
      <c r="G211" s="324"/>
      <c r="H211" s="324">
        <v>36880</v>
      </c>
      <c r="I211" s="325">
        <v>5761</v>
      </c>
      <c r="J211" s="325"/>
      <c r="K211" s="325">
        <f t="shared" si="32"/>
        <v>0</v>
      </c>
      <c r="L211" s="325">
        <f t="shared" si="33"/>
        <v>0</v>
      </c>
      <c r="M211" s="407">
        <v>15</v>
      </c>
      <c r="N211" s="408" t="s">
        <v>289</v>
      </c>
      <c r="O211" s="325">
        <f t="shared" si="37"/>
        <v>0</v>
      </c>
      <c r="P211" s="325">
        <f t="shared" si="38"/>
        <v>0</v>
      </c>
      <c r="Q211" s="325">
        <f t="shared" si="39"/>
        <v>0</v>
      </c>
      <c r="R211" s="325">
        <f t="shared" si="40"/>
        <v>432</v>
      </c>
      <c r="S211" s="325">
        <f t="shared" si="41"/>
        <v>0</v>
      </c>
      <c r="T211" s="325">
        <f t="shared" si="48"/>
        <v>432</v>
      </c>
      <c r="U211" s="325">
        <f t="shared" si="42"/>
        <v>5329</v>
      </c>
      <c r="V211" s="325">
        <f t="shared" si="36"/>
        <v>0</v>
      </c>
      <c r="W211" s="449" cm="1">
        <f t="array" ref="W211">+IF(U211&lt;0,error,0)</f>
        <v>0</v>
      </c>
    </row>
    <row r="212" spans="1:23" ht="18" customHeight="1" x14ac:dyDescent="0.2">
      <c r="A212" s="402" t="s">
        <v>441</v>
      </c>
      <c r="B212" s="403"/>
      <c r="C212" s="404" t="s">
        <v>442</v>
      </c>
      <c r="D212" s="405">
        <v>39787</v>
      </c>
      <c r="E212" s="406"/>
      <c r="F212" s="325"/>
      <c r="G212" s="324"/>
      <c r="H212" s="324">
        <v>233.96</v>
      </c>
      <c r="I212" s="325">
        <v>0</v>
      </c>
      <c r="J212" s="325"/>
      <c r="K212" s="325">
        <f t="shared" si="32"/>
        <v>0</v>
      </c>
      <c r="L212" s="325">
        <f t="shared" si="33"/>
        <v>0</v>
      </c>
      <c r="M212" s="407">
        <v>18.75</v>
      </c>
      <c r="N212" s="408" t="s">
        <v>289</v>
      </c>
      <c r="O212" s="325">
        <f t="shared" si="37"/>
        <v>0</v>
      </c>
      <c r="P212" s="325">
        <f t="shared" si="38"/>
        <v>0</v>
      </c>
      <c r="Q212" s="325">
        <f t="shared" si="39"/>
        <v>0</v>
      </c>
      <c r="R212" s="325">
        <f t="shared" si="40"/>
        <v>0</v>
      </c>
      <c r="S212" s="325">
        <f t="shared" si="41"/>
        <v>0</v>
      </c>
      <c r="T212" s="325">
        <f t="shared" si="48"/>
        <v>0</v>
      </c>
      <c r="U212" s="325">
        <f t="shared" si="42"/>
        <v>0</v>
      </c>
      <c r="V212" s="325">
        <f t="shared" si="36"/>
        <v>0</v>
      </c>
      <c r="W212" s="449" cm="1">
        <f t="array" ref="W212">+IF(U212&lt;0,error,0)</f>
        <v>0</v>
      </c>
    </row>
    <row r="213" spans="1:23" ht="18" customHeight="1" x14ac:dyDescent="0.2">
      <c r="A213" s="402" t="s">
        <v>444</v>
      </c>
      <c r="B213" s="403"/>
      <c r="C213" s="404" t="s">
        <v>445</v>
      </c>
      <c r="D213" s="405">
        <v>39790</v>
      </c>
      <c r="E213" s="406"/>
      <c r="F213" s="325"/>
      <c r="G213" s="324"/>
      <c r="H213" s="324">
        <v>1077.75</v>
      </c>
      <c r="I213" s="325">
        <v>0</v>
      </c>
      <c r="J213" s="325"/>
      <c r="K213" s="325">
        <f t="shared" si="32"/>
        <v>0</v>
      </c>
      <c r="L213" s="325">
        <f t="shared" si="33"/>
        <v>0</v>
      </c>
      <c r="M213" s="407">
        <v>18.75</v>
      </c>
      <c r="N213" s="408" t="s">
        <v>289</v>
      </c>
      <c r="O213" s="325">
        <f t="shared" si="37"/>
        <v>0</v>
      </c>
      <c r="P213" s="325">
        <f t="shared" si="38"/>
        <v>0</v>
      </c>
      <c r="Q213" s="325">
        <f t="shared" si="39"/>
        <v>0</v>
      </c>
      <c r="R213" s="325">
        <f t="shared" si="40"/>
        <v>0</v>
      </c>
      <c r="S213" s="325">
        <f t="shared" si="41"/>
        <v>0</v>
      </c>
      <c r="T213" s="325">
        <f t="shared" si="48"/>
        <v>0</v>
      </c>
      <c r="U213" s="325">
        <f t="shared" si="42"/>
        <v>0</v>
      </c>
      <c r="V213" s="325">
        <f t="shared" si="36"/>
        <v>0</v>
      </c>
      <c r="W213" s="449" cm="1">
        <f t="array" ref="W213">+IF(U213&lt;0,error,0)</f>
        <v>0</v>
      </c>
    </row>
    <row r="214" spans="1:23" ht="18" customHeight="1" x14ac:dyDescent="0.2">
      <c r="A214" s="402" t="s">
        <v>447</v>
      </c>
      <c r="B214" s="403"/>
      <c r="C214" s="404" t="s">
        <v>418</v>
      </c>
      <c r="D214" s="405">
        <v>39821</v>
      </c>
      <c r="E214" s="406"/>
      <c r="F214" s="325"/>
      <c r="G214" s="324"/>
      <c r="H214" s="324">
        <v>373.25</v>
      </c>
      <c r="I214" s="325">
        <v>0</v>
      </c>
      <c r="J214" s="325"/>
      <c r="K214" s="325">
        <f t="shared" si="32"/>
        <v>0</v>
      </c>
      <c r="L214" s="325">
        <f t="shared" si="33"/>
        <v>0</v>
      </c>
      <c r="M214" s="407">
        <v>18.75</v>
      </c>
      <c r="N214" s="408" t="s">
        <v>289</v>
      </c>
      <c r="O214" s="325">
        <f t="shared" si="37"/>
        <v>0</v>
      </c>
      <c r="P214" s="325">
        <f t="shared" si="38"/>
        <v>0</v>
      </c>
      <c r="Q214" s="325">
        <f t="shared" si="39"/>
        <v>0</v>
      </c>
      <c r="R214" s="325">
        <f t="shared" si="40"/>
        <v>0</v>
      </c>
      <c r="S214" s="325">
        <f t="shared" si="41"/>
        <v>0</v>
      </c>
      <c r="T214" s="325">
        <f t="shared" si="48"/>
        <v>0</v>
      </c>
      <c r="U214" s="325">
        <f t="shared" si="42"/>
        <v>0</v>
      </c>
      <c r="V214" s="325">
        <f t="shared" si="36"/>
        <v>0</v>
      </c>
      <c r="W214" s="449" cm="1">
        <f t="array" ref="W214">+IF(U214&lt;0,error,0)</f>
        <v>0</v>
      </c>
    </row>
    <row r="215" spans="1:23" ht="18" customHeight="1" x14ac:dyDescent="0.2">
      <c r="A215" s="402" t="s">
        <v>460</v>
      </c>
      <c r="B215" s="403"/>
      <c r="C215" s="404" t="s">
        <v>461</v>
      </c>
      <c r="D215" s="405">
        <v>40028</v>
      </c>
      <c r="E215" s="406"/>
      <c r="F215" s="325"/>
      <c r="G215" s="324"/>
      <c r="H215" s="324">
        <v>2060</v>
      </c>
      <c r="I215" s="325">
        <v>169</v>
      </c>
      <c r="J215" s="325"/>
      <c r="K215" s="325">
        <f t="shared" si="32"/>
        <v>0</v>
      </c>
      <c r="L215" s="325">
        <f t="shared" si="33"/>
        <v>0</v>
      </c>
      <c r="M215" s="407">
        <v>20</v>
      </c>
      <c r="N215" s="408" t="s">
        <v>289</v>
      </c>
      <c r="O215" s="325">
        <f t="shared" si="37"/>
        <v>0</v>
      </c>
      <c r="P215" s="325">
        <f t="shared" si="38"/>
        <v>0</v>
      </c>
      <c r="Q215" s="325">
        <f t="shared" si="39"/>
        <v>0</v>
      </c>
      <c r="R215" s="325">
        <f t="shared" si="40"/>
        <v>16</v>
      </c>
      <c r="S215" s="325">
        <f t="shared" si="41"/>
        <v>0</v>
      </c>
      <c r="T215" s="325">
        <f t="shared" si="48"/>
        <v>16</v>
      </c>
      <c r="U215" s="325">
        <f t="shared" si="42"/>
        <v>153</v>
      </c>
      <c r="V215" s="325">
        <f t="shared" si="36"/>
        <v>0</v>
      </c>
      <c r="W215" s="449" cm="1">
        <f t="array" ref="W215">+IF(U215&lt;0,error,0)</f>
        <v>0</v>
      </c>
    </row>
    <row r="216" spans="1:23" ht="18" customHeight="1" x14ac:dyDescent="0.2">
      <c r="A216" s="402" t="s">
        <v>477</v>
      </c>
      <c r="B216" s="403"/>
      <c r="C216" s="404" t="s">
        <v>478</v>
      </c>
      <c r="D216" s="405">
        <v>40095</v>
      </c>
      <c r="E216" s="406"/>
      <c r="F216" s="325"/>
      <c r="G216" s="324"/>
      <c r="H216" s="324">
        <v>2986.6</v>
      </c>
      <c r="I216" s="325">
        <v>254.60000000000002</v>
      </c>
      <c r="J216" s="325"/>
      <c r="K216" s="325">
        <f t="shared" si="32"/>
        <v>0</v>
      </c>
      <c r="L216" s="325">
        <f t="shared" si="33"/>
        <v>0</v>
      </c>
      <c r="M216" s="407">
        <v>20</v>
      </c>
      <c r="N216" s="408" t="s">
        <v>289</v>
      </c>
      <c r="O216" s="325">
        <f t="shared" si="37"/>
        <v>0</v>
      </c>
      <c r="P216" s="325">
        <f t="shared" si="38"/>
        <v>0</v>
      </c>
      <c r="Q216" s="325">
        <f t="shared" si="39"/>
        <v>0</v>
      </c>
      <c r="R216" s="325">
        <f t="shared" si="40"/>
        <v>25</v>
      </c>
      <c r="S216" s="325">
        <f t="shared" si="41"/>
        <v>0</v>
      </c>
      <c r="T216" s="325">
        <f t="shared" si="48"/>
        <v>25</v>
      </c>
      <c r="U216" s="325">
        <f t="shared" si="42"/>
        <v>229.60000000000002</v>
      </c>
      <c r="V216" s="325">
        <f t="shared" si="36"/>
        <v>0</v>
      </c>
      <c r="W216" s="449" cm="1">
        <f t="array" ref="W216">+IF(U216&lt;0,error,0)</f>
        <v>0</v>
      </c>
    </row>
    <row r="217" spans="1:23" ht="18" customHeight="1" x14ac:dyDescent="0.2">
      <c r="A217" s="402" t="s">
        <v>482</v>
      </c>
      <c r="B217" s="403"/>
      <c r="C217" s="404" t="s">
        <v>483</v>
      </c>
      <c r="D217" s="405">
        <v>40162</v>
      </c>
      <c r="E217" s="406"/>
      <c r="F217" s="325"/>
      <c r="G217" s="324"/>
      <c r="H217" s="324">
        <v>3500</v>
      </c>
      <c r="I217" s="325">
        <v>0</v>
      </c>
      <c r="J217" s="325"/>
      <c r="K217" s="325">
        <f t="shared" si="32"/>
        <v>0</v>
      </c>
      <c r="L217" s="325">
        <f t="shared" si="33"/>
        <v>0</v>
      </c>
      <c r="M217" s="407">
        <v>40</v>
      </c>
      <c r="N217" s="408" t="s">
        <v>289</v>
      </c>
      <c r="O217" s="325">
        <f t="shared" si="37"/>
        <v>0</v>
      </c>
      <c r="P217" s="325">
        <f t="shared" si="38"/>
        <v>0</v>
      </c>
      <c r="Q217" s="325">
        <f t="shared" si="39"/>
        <v>0</v>
      </c>
      <c r="R217" s="325">
        <f t="shared" si="40"/>
        <v>0</v>
      </c>
      <c r="S217" s="325">
        <f t="shared" si="41"/>
        <v>0</v>
      </c>
      <c r="T217" s="325">
        <f t="shared" si="48"/>
        <v>0</v>
      </c>
      <c r="U217" s="325">
        <f t="shared" si="42"/>
        <v>0</v>
      </c>
      <c r="V217" s="325">
        <f t="shared" si="36"/>
        <v>0</v>
      </c>
      <c r="W217" s="449" cm="1">
        <f t="array" ref="W217">+IF(U217&lt;0,error,0)</f>
        <v>0</v>
      </c>
    </row>
    <row r="218" spans="1:23" ht="18" customHeight="1" x14ac:dyDescent="0.2">
      <c r="A218" s="402" t="s">
        <v>486</v>
      </c>
      <c r="B218" s="403"/>
      <c r="C218" s="404" t="s">
        <v>487</v>
      </c>
      <c r="D218" s="405">
        <v>40210</v>
      </c>
      <c r="E218" s="406"/>
      <c r="F218" s="325"/>
      <c r="G218" s="324"/>
      <c r="H218" s="324">
        <v>1113</v>
      </c>
      <c r="I218" s="325">
        <v>0</v>
      </c>
      <c r="J218" s="325"/>
      <c r="K218" s="325">
        <f t="shared" si="32"/>
        <v>0</v>
      </c>
      <c r="L218" s="325">
        <f t="shared" si="33"/>
        <v>0</v>
      </c>
      <c r="M218" s="407">
        <v>10</v>
      </c>
      <c r="N218" s="408" t="s">
        <v>289</v>
      </c>
      <c r="O218" s="325">
        <f t="shared" si="37"/>
        <v>0</v>
      </c>
      <c r="P218" s="325">
        <f t="shared" si="38"/>
        <v>0</v>
      </c>
      <c r="Q218" s="325">
        <f t="shared" si="39"/>
        <v>0</v>
      </c>
      <c r="R218" s="325">
        <f t="shared" si="40"/>
        <v>0</v>
      </c>
      <c r="S218" s="325">
        <f t="shared" si="41"/>
        <v>0</v>
      </c>
      <c r="T218" s="325">
        <f t="shared" si="48"/>
        <v>0</v>
      </c>
      <c r="U218" s="325">
        <f t="shared" si="42"/>
        <v>0</v>
      </c>
      <c r="V218" s="325">
        <f t="shared" si="36"/>
        <v>0</v>
      </c>
      <c r="W218" s="449" cm="1">
        <f t="array" ref="W218">+IF(U218&lt;0,error,0)</f>
        <v>0</v>
      </c>
    </row>
    <row r="219" spans="1:23" ht="18" customHeight="1" x14ac:dyDescent="0.2">
      <c r="A219" s="402" t="s">
        <v>496</v>
      </c>
      <c r="B219" s="403"/>
      <c r="C219" s="404" t="s">
        <v>497</v>
      </c>
      <c r="D219" s="405">
        <v>40269</v>
      </c>
      <c r="E219" s="406"/>
      <c r="F219" s="325"/>
      <c r="G219" s="324"/>
      <c r="H219" s="324">
        <v>7900</v>
      </c>
      <c r="I219" s="325">
        <v>2566</v>
      </c>
      <c r="J219" s="325"/>
      <c r="K219" s="325">
        <f t="shared" si="32"/>
        <v>0</v>
      </c>
      <c r="L219" s="325">
        <f t="shared" si="33"/>
        <v>0</v>
      </c>
      <c r="M219" s="407">
        <v>10</v>
      </c>
      <c r="N219" s="408" t="s">
        <v>289</v>
      </c>
      <c r="O219" s="325">
        <f t="shared" si="37"/>
        <v>0</v>
      </c>
      <c r="P219" s="325">
        <f t="shared" si="38"/>
        <v>0</v>
      </c>
      <c r="Q219" s="325">
        <f t="shared" si="39"/>
        <v>0</v>
      </c>
      <c r="R219" s="325">
        <f t="shared" si="40"/>
        <v>128</v>
      </c>
      <c r="S219" s="325">
        <f t="shared" si="41"/>
        <v>0</v>
      </c>
      <c r="T219" s="325">
        <f t="shared" si="48"/>
        <v>128</v>
      </c>
      <c r="U219" s="325">
        <f t="shared" si="42"/>
        <v>2438</v>
      </c>
      <c r="V219" s="325">
        <f t="shared" si="36"/>
        <v>0</v>
      </c>
      <c r="W219" s="449" cm="1">
        <f t="array" ref="W219">+IF(U219&lt;0,error,0)</f>
        <v>0</v>
      </c>
    </row>
    <row r="220" spans="1:23" ht="18" customHeight="1" x14ac:dyDescent="0.2">
      <c r="A220" s="402" t="s">
        <v>502</v>
      </c>
      <c r="B220" s="403"/>
      <c r="C220" s="404" t="s">
        <v>360</v>
      </c>
      <c r="D220" s="405">
        <v>38056</v>
      </c>
      <c r="E220" s="406"/>
      <c r="F220" s="325"/>
      <c r="G220" s="324"/>
      <c r="H220" s="324">
        <v>600</v>
      </c>
      <c r="I220" s="325">
        <v>0</v>
      </c>
      <c r="J220" s="325"/>
      <c r="K220" s="325">
        <f t="shared" si="32"/>
        <v>0</v>
      </c>
      <c r="L220" s="325">
        <f t="shared" si="33"/>
        <v>0</v>
      </c>
      <c r="M220" s="407">
        <v>5</v>
      </c>
      <c r="N220" s="408" t="s">
        <v>289</v>
      </c>
      <c r="O220" s="325">
        <f t="shared" si="37"/>
        <v>0</v>
      </c>
      <c r="P220" s="325">
        <f t="shared" si="38"/>
        <v>0</v>
      </c>
      <c r="Q220" s="325">
        <f t="shared" si="39"/>
        <v>0</v>
      </c>
      <c r="R220" s="325">
        <f t="shared" si="40"/>
        <v>0</v>
      </c>
      <c r="S220" s="325">
        <f t="shared" si="41"/>
        <v>0</v>
      </c>
      <c r="T220" s="325">
        <f t="shared" si="48"/>
        <v>0</v>
      </c>
      <c r="U220" s="325">
        <f t="shared" si="42"/>
        <v>0</v>
      </c>
      <c r="V220" s="325">
        <f t="shared" si="36"/>
        <v>0</v>
      </c>
      <c r="W220" s="449" cm="1">
        <f t="array" ref="W220">+IF(U220&lt;0,error,0)</f>
        <v>0</v>
      </c>
    </row>
    <row r="221" spans="1:23" ht="18" customHeight="1" x14ac:dyDescent="0.2">
      <c r="A221" s="402" t="s">
        <v>503</v>
      </c>
      <c r="B221" s="403"/>
      <c r="C221" s="404" t="s">
        <v>504</v>
      </c>
      <c r="D221" s="405">
        <v>40359</v>
      </c>
      <c r="E221" s="406"/>
      <c r="F221" s="325"/>
      <c r="G221" s="324"/>
      <c r="H221" s="324">
        <v>669.4</v>
      </c>
      <c r="I221" s="325">
        <v>0</v>
      </c>
      <c r="J221" s="325"/>
      <c r="K221" s="325">
        <f t="shared" si="32"/>
        <v>0</v>
      </c>
      <c r="L221" s="325">
        <f t="shared" si="33"/>
        <v>0</v>
      </c>
      <c r="M221" s="407">
        <v>10</v>
      </c>
      <c r="N221" s="408" t="s">
        <v>289</v>
      </c>
      <c r="O221" s="325">
        <f t="shared" si="37"/>
        <v>0</v>
      </c>
      <c r="P221" s="325">
        <f t="shared" si="38"/>
        <v>0</v>
      </c>
      <c r="Q221" s="325">
        <f t="shared" si="39"/>
        <v>0</v>
      </c>
      <c r="R221" s="325">
        <f t="shared" si="40"/>
        <v>0</v>
      </c>
      <c r="S221" s="325">
        <f t="shared" si="41"/>
        <v>0</v>
      </c>
      <c r="T221" s="325">
        <f t="shared" si="48"/>
        <v>0</v>
      </c>
      <c r="U221" s="325">
        <f t="shared" si="42"/>
        <v>0</v>
      </c>
      <c r="V221" s="325">
        <f t="shared" si="36"/>
        <v>0</v>
      </c>
      <c r="W221" s="449" cm="1">
        <f t="array" ref="W221">+IF(U221&lt;0,error,0)</f>
        <v>0</v>
      </c>
    </row>
    <row r="222" spans="1:23" ht="18" customHeight="1" x14ac:dyDescent="0.2">
      <c r="A222" s="402" t="s">
        <v>521</v>
      </c>
      <c r="B222" s="403"/>
      <c r="C222" s="404" t="s">
        <v>522</v>
      </c>
      <c r="D222" s="405">
        <v>40179</v>
      </c>
      <c r="E222" s="406"/>
      <c r="F222" s="325"/>
      <c r="G222" s="324"/>
      <c r="H222" s="324">
        <v>485</v>
      </c>
      <c r="I222" s="325">
        <v>0</v>
      </c>
      <c r="J222" s="325"/>
      <c r="K222" s="325">
        <f t="shared" si="32"/>
        <v>0</v>
      </c>
      <c r="L222" s="325">
        <f t="shared" si="33"/>
        <v>0</v>
      </c>
      <c r="M222" s="407">
        <v>20</v>
      </c>
      <c r="N222" s="408" t="s">
        <v>289</v>
      </c>
      <c r="O222" s="325">
        <f t="shared" si="37"/>
        <v>0</v>
      </c>
      <c r="P222" s="325">
        <f t="shared" si="38"/>
        <v>0</v>
      </c>
      <c r="Q222" s="325">
        <f t="shared" si="39"/>
        <v>0</v>
      </c>
      <c r="R222" s="325">
        <f t="shared" si="40"/>
        <v>0</v>
      </c>
      <c r="S222" s="325">
        <f t="shared" si="41"/>
        <v>0</v>
      </c>
      <c r="T222" s="325">
        <f t="shared" si="48"/>
        <v>0</v>
      </c>
      <c r="U222" s="325">
        <f t="shared" si="42"/>
        <v>0</v>
      </c>
      <c r="V222" s="325">
        <f t="shared" si="36"/>
        <v>0</v>
      </c>
      <c r="W222" s="449" cm="1">
        <f t="array" ref="W222">+IF(U222&lt;0,error,0)</f>
        <v>0</v>
      </c>
    </row>
    <row r="223" spans="1:23" ht="18" customHeight="1" x14ac:dyDescent="0.2">
      <c r="A223" s="402" t="s">
        <v>538</v>
      </c>
      <c r="B223" s="403"/>
      <c r="C223" s="404" t="s">
        <v>2392</v>
      </c>
      <c r="D223" s="405">
        <v>40303</v>
      </c>
      <c r="E223" s="406"/>
      <c r="F223" s="325"/>
      <c r="G223" s="324"/>
      <c r="H223" s="324">
        <f>1590.91*0.76</f>
        <v>1209.0916</v>
      </c>
      <c r="I223" s="325">
        <v>0</v>
      </c>
      <c r="J223" s="325"/>
      <c r="K223" s="325">
        <f t="shared" si="32"/>
        <v>0</v>
      </c>
      <c r="L223" s="325">
        <f t="shared" si="33"/>
        <v>0</v>
      </c>
      <c r="M223" s="407">
        <v>10</v>
      </c>
      <c r="N223" s="408" t="s">
        <v>289</v>
      </c>
      <c r="O223" s="325">
        <f t="shared" si="37"/>
        <v>0</v>
      </c>
      <c r="P223" s="325">
        <f t="shared" si="38"/>
        <v>0</v>
      </c>
      <c r="Q223" s="325">
        <f t="shared" si="39"/>
        <v>0</v>
      </c>
      <c r="R223" s="325">
        <f t="shared" si="40"/>
        <v>0</v>
      </c>
      <c r="S223" s="325">
        <f t="shared" si="41"/>
        <v>0</v>
      </c>
      <c r="T223" s="325">
        <f t="shared" si="48"/>
        <v>0</v>
      </c>
      <c r="U223" s="325">
        <f t="shared" si="42"/>
        <v>0</v>
      </c>
      <c r="V223" s="325">
        <f t="shared" si="36"/>
        <v>0</v>
      </c>
      <c r="W223" s="449" cm="1">
        <f t="array" ref="W223">+IF(U223&lt;0,error,0)</f>
        <v>0</v>
      </c>
    </row>
    <row r="224" spans="1:23" ht="18" customHeight="1" x14ac:dyDescent="0.2">
      <c r="A224" s="402" t="s">
        <v>545</v>
      </c>
      <c r="B224" s="403"/>
      <c r="C224" s="412" t="s">
        <v>546</v>
      </c>
      <c r="D224" s="405">
        <v>40324</v>
      </c>
      <c r="E224" s="406"/>
      <c r="F224" s="325"/>
      <c r="G224" s="324"/>
      <c r="H224" s="324">
        <v>3500</v>
      </c>
      <c r="I224" s="325">
        <v>0</v>
      </c>
      <c r="J224" s="325"/>
      <c r="K224" s="325">
        <f t="shared" si="32"/>
        <v>0</v>
      </c>
      <c r="L224" s="325">
        <f t="shared" si="33"/>
        <v>0</v>
      </c>
      <c r="M224" s="407">
        <v>66.66</v>
      </c>
      <c r="N224" s="408" t="s">
        <v>289</v>
      </c>
      <c r="O224" s="325">
        <f t="shared" si="37"/>
        <v>0</v>
      </c>
      <c r="P224" s="325">
        <f t="shared" si="38"/>
        <v>0</v>
      </c>
      <c r="Q224" s="325">
        <f t="shared" si="39"/>
        <v>0</v>
      </c>
      <c r="R224" s="325">
        <f t="shared" si="40"/>
        <v>0</v>
      </c>
      <c r="S224" s="325">
        <f t="shared" si="41"/>
        <v>0</v>
      </c>
      <c r="T224" s="325">
        <f t="shared" si="48"/>
        <v>0</v>
      </c>
      <c r="U224" s="325">
        <f t="shared" si="42"/>
        <v>0</v>
      </c>
      <c r="V224" s="325">
        <f t="shared" si="36"/>
        <v>0</v>
      </c>
      <c r="W224" s="449" cm="1">
        <f t="array" ref="W224">+IF(U224&lt;0,error,0)</f>
        <v>0</v>
      </c>
    </row>
    <row r="225" spans="1:23" ht="18" customHeight="1" x14ac:dyDescent="0.2">
      <c r="A225" s="402" t="s">
        <v>550</v>
      </c>
      <c r="B225" s="403"/>
      <c r="C225" s="404" t="s">
        <v>551</v>
      </c>
      <c r="D225" s="405">
        <v>40385</v>
      </c>
      <c r="E225" s="406"/>
      <c r="F225" s="325"/>
      <c r="G225" s="324"/>
      <c r="H225" s="324">
        <v>1585</v>
      </c>
      <c r="I225" s="325">
        <v>0</v>
      </c>
      <c r="J225" s="325"/>
      <c r="K225" s="325">
        <f t="shared" si="32"/>
        <v>0</v>
      </c>
      <c r="L225" s="325">
        <f t="shared" si="33"/>
        <v>0</v>
      </c>
      <c r="M225" s="407">
        <v>28.57</v>
      </c>
      <c r="N225" s="408" t="s">
        <v>289</v>
      </c>
      <c r="O225" s="325">
        <f t="shared" si="37"/>
        <v>0</v>
      </c>
      <c r="P225" s="325">
        <f t="shared" si="38"/>
        <v>0</v>
      </c>
      <c r="Q225" s="325">
        <f t="shared" si="39"/>
        <v>0</v>
      </c>
      <c r="R225" s="325">
        <f t="shared" si="40"/>
        <v>0</v>
      </c>
      <c r="S225" s="325">
        <f t="shared" si="41"/>
        <v>0</v>
      </c>
      <c r="T225" s="325">
        <f t="shared" si="48"/>
        <v>0</v>
      </c>
      <c r="U225" s="325">
        <f t="shared" si="42"/>
        <v>0</v>
      </c>
      <c r="V225" s="325">
        <f t="shared" si="36"/>
        <v>0</v>
      </c>
      <c r="W225" s="449" cm="1">
        <f t="array" ref="W225">+IF(U225&lt;0,error,0)</f>
        <v>0</v>
      </c>
    </row>
    <row r="226" spans="1:23" ht="18" customHeight="1" x14ac:dyDescent="0.2">
      <c r="A226" s="402" t="s">
        <v>552</v>
      </c>
      <c r="B226" s="403"/>
      <c r="C226" s="412" t="s">
        <v>553</v>
      </c>
      <c r="D226" s="405">
        <v>40392</v>
      </c>
      <c r="E226" s="406"/>
      <c r="F226" s="325"/>
      <c r="G226" s="324"/>
      <c r="H226" s="324">
        <v>58788.82</v>
      </c>
      <c r="I226" s="325">
        <v>26008.82</v>
      </c>
      <c r="J226" s="325"/>
      <c r="K226" s="325">
        <f t="shared" si="32"/>
        <v>0</v>
      </c>
      <c r="L226" s="325">
        <f t="shared" si="33"/>
        <v>0</v>
      </c>
      <c r="M226" s="407">
        <v>7.5</v>
      </c>
      <c r="N226" s="408" t="s">
        <v>289</v>
      </c>
      <c r="O226" s="325">
        <f t="shared" si="37"/>
        <v>0</v>
      </c>
      <c r="P226" s="325">
        <f t="shared" si="38"/>
        <v>0</v>
      </c>
      <c r="Q226" s="325">
        <f t="shared" si="39"/>
        <v>0</v>
      </c>
      <c r="R226" s="325">
        <f t="shared" si="40"/>
        <v>975</v>
      </c>
      <c r="S226" s="325">
        <f t="shared" si="41"/>
        <v>0</v>
      </c>
      <c r="T226" s="325">
        <f t="shared" si="48"/>
        <v>975</v>
      </c>
      <c r="U226" s="325">
        <f t="shared" si="42"/>
        <v>25033.82</v>
      </c>
      <c r="V226" s="325">
        <f t="shared" si="36"/>
        <v>0</v>
      </c>
      <c r="W226" s="449" cm="1">
        <f t="array" ref="W226">+IF(U226&lt;0,error,0)</f>
        <v>0</v>
      </c>
    </row>
    <row r="227" spans="1:23" ht="18" customHeight="1" x14ac:dyDescent="0.2">
      <c r="A227" s="402" t="s">
        <v>559</v>
      </c>
      <c r="B227" s="403"/>
      <c r="C227" s="404" t="s">
        <v>560</v>
      </c>
      <c r="D227" s="405">
        <v>40528</v>
      </c>
      <c r="E227" s="406"/>
      <c r="F227" s="325"/>
      <c r="G227" s="324"/>
      <c r="H227" s="324">
        <v>1140</v>
      </c>
      <c r="I227" s="325">
        <v>0</v>
      </c>
      <c r="J227" s="325"/>
      <c r="K227" s="325">
        <f t="shared" si="32"/>
        <v>0</v>
      </c>
      <c r="L227" s="325">
        <f t="shared" si="33"/>
        <v>0</v>
      </c>
      <c r="M227" s="407">
        <v>20</v>
      </c>
      <c r="N227" s="408" t="s">
        <v>289</v>
      </c>
      <c r="O227" s="325">
        <f t="shared" si="37"/>
        <v>0</v>
      </c>
      <c r="P227" s="325">
        <f t="shared" si="38"/>
        <v>0</v>
      </c>
      <c r="Q227" s="325">
        <f t="shared" si="39"/>
        <v>0</v>
      </c>
      <c r="R227" s="325">
        <f t="shared" si="40"/>
        <v>0</v>
      </c>
      <c r="S227" s="325">
        <f t="shared" si="41"/>
        <v>0</v>
      </c>
      <c r="T227" s="325">
        <f t="shared" si="48"/>
        <v>0</v>
      </c>
      <c r="U227" s="325">
        <f t="shared" si="42"/>
        <v>0</v>
      </c>
      <c r="V227" s="325">
        <f t="shared" si="36"/>
        <v>0</v>
      </c>
      <c r="W227" s="449" cm="1">
        <f t="array" ref="W227">+IF(U227&lt;0,error,0)</f>
        <v>0</v>
      </c>
    </row>
    <row r="228" spans="1:23" ht="18" customHeight="1" x14ac:dyDescent="0.2">
      <c r="A228" s="402" t="s">
        <v>561</v>
      </c>
      <c r="B228" s="403"/>
      <c r="C228" s="404" t="s">
        <v>562</v>
      </c>
      <c r="D228" s="405">
        <v>40605</v>
      </c>
      <c r="E228" s="406"/>
      <c r="F228" s="325"/>
      <c r="G228" s="324"/>
      <c r="H228" s="324">
        <v>5818.18</v>
      </c>
      <c r="I228" s="325">
        <v>674.18000000000006</v>
      </c>
      <c r="J228" s="325"/>
      <c r="K228" s="325">
        <f t="shared" si="32"/>
        <v>0</v>
      </c>
      <c r="L228" s="325">
        <f t="shared" si="33"/>
        <v>0</v>
      </c>
      <c r="M228" s="407">
        <v>20</v>
      </c>
      <c r="N228" s="408" t="s">
        <v>289</v>
      </c>
      <c r="O228" s="325">
        <f t="shared" si="37"/>
        <v>0</v>
      </c>
      <c r="P228" s="325">
        <f t="shared" si="38"/>
        <v>0</v>
      </c>
      <c r="Q228" s="325">
        <f t="shared" si="39"/>
        <v>0</v>
      </c>
      <c r="R228" s="325">
        <f t="shared" si="40"/>
        <v>67</v>
      </c>
      <c r="S228" s="325">
        <f t="shared" si="41"/>
        <v>0</v>
      </c>
      <c r="T228" s="325">
        <f t="shared" si="48"/>
        <v>67</v>
      </c>
      <c r="U228" s="325">
        <f t="shared" si="42"/>
        <v>607.18000000000006</v>
      </c>
      <c r="V228" s="325">
        <f t="shared" si="36"/>
        <v>0</v>
      </c>
      <c r="W228" s="449" cm="1">
        <f t="array" ref="W228">+IF(U228&lt;0,error,0)</f>
        <v>0</v>
      </c>
    </row>
    <row r="229" spans="1:23" ht="18" customHeight="1" x14ac:dyDescent="0.2">
      <c r="A229" s="402" t="s">
        <v>565</v>
      </c>
      <c r="B229" s="403"/>
      <c r="C229" s="404" t="s">
        <v>566</v>
      </c>
      <c r="D229" s="405">
        <v>40627</v>
      </c>
      <c r="E229" s="406"/>
      <c r="F229" s="325"/>
      <c r="G229" s="324"/>
      <c r="H229" s="324">
        <v>727.27</v>
      </c>
      <c r="I229" s="325">
        <v>0</v>
      </c>
      <c r="J229" s="325"/>
      <c r="K229" s="325">
        <f t="shared" si="32"/>
        <v>0</v>
      </c>
      <c r="L229" s="325">
        <f t="shared" si="33"/>
        <v>0</v>
      </c>
      <c r="M229" s="407">
        <v>10</v>
      </c>
      <c r="N229" s="408" t="s">
        <v>289</v>
      </c>
      <c r="O229" s="325">
        <f t="shared" si="37"/>
        <v>0</v>
      </c>
      <c r="P229" s="325">
        <f t="shared" si="38"/>
        <v>0</v>
      </c>
      <c r="Q229" s="325">
        <f t="shared" si="39"/>
        <v>0</v>
      </c>
      <c r="R229" s="325">
        <f t="shared" si="40"/>
        <v>0</v>
      </c>
      <c r="S229" s="325">
        <f t="shared" si="41"/>
        <v>0</v>
      </c>
      <c r="T229" s="325">
        <f t="shared" si="48"/>
        <v>0</v>
      </c>
      <c r="U229" s="325">
        <f t="shared" si="42"/>
        <v>0</v>
      </c>
      <c r="V229" s="325">
        <f t="shared" si="36"/>
        <v>0</v>
      </c>
      <c r="W229" s="449" cm="1">
        <f t="array" ref="W229">+IF(U229&lt;0,error,0)</f>
        <v>0</v>
      </c>
    </row>
    <row r="230" spans="1:23" ht="18" customHeight="1" x14ac:dyDescent="0.2">
      <c r="A230" s="402" t="s">
        <v>567</v>
      </c>
      <c r="B230" s="403"/>
      <c r="C230" s="404" t="s">
        <v>568</v>
      </c>
      <c r="D230" s="405">
        <v>40629</v>
      </c>
      <c r="E230" s="406"/>
      <c r="F230" s="325"/>
      <c r="G230" s="324"/>
      <c r="H230" s="324">
        <v>7000</v>
      </c>
      <c r="I230" s="325">
        <v>3286</v>
      </c>
      <c r="J230" s="325"/>
      <c r="K230" s="325">
        <f t="shared" si="32"/>
        <v>0</v>
      </c>
      <c r="L230" s="325">
        <f t="shared" si="33"/>
        <v>0</v>
      </c>
      <c r="M230" s="407">
        <v>7.5</v>
      </c>
      <c r="N230" s="408" t="s">
        <v>289</v>
      </c>
      <c r="O230" s="325">
        <f t="shared" si="37"/>
        <v>0</v>
      </c>
      <c r="P230" s="325">
        <f t="shared" si="38"/>
        <v>0</v>
      </c>
      <c r="Q230" s="325">
        <f t="shared" si="39"/>
        <v>0</v>
      </c>
      <c r="R230" s="325">
        <f t="shared" si="40"/>
        <v>123</v>
      </c>
      <c r="S230" s="325">
        <f t="shared" si="41"/>
        <v>0</v>
      </c>
      <c r="T230" s="325">
        <f t="shared" si="48"/>
        <v>123</v>
      </c>
      <c r="U230" s="325">
        <f t="shared" si="42"/>
        <v>3163</v>
      </c>
      <c r="V230" s="325">
        <f t="shared" si="36"/>
        <v>0</v>
      </c>
      <c r="W230" s="449" cm="1">
        <f t="array" ref="W230">+IF(U230&lt;0,error,0)</f>
        <v>0</v>
      </c>
    </row>
    <row r="231" spans="1:23" ht="18" customHeight="1" x14ac:dyDescent="0.2">
      <c r="A231" s="402" t="s">
        <v>569</v>
      </c>
      <c r="B231" s="403"/>
      <c r="C231" s="412" t="s">
        <v>570</v>
      </c>
      <c r="D231" s="405">
        <v>40639</v>
      </c>
      <c r="E231" s="406"/>
      <c r="F231" s="325"/>
      <c r="G231" s="324"/>
      <c r="H231" s="324">
        <v>66600</v>
      </c>
      <c r="I231" s="325">
        <v>34107.79</v>
      </c>
      <c r="J231" s="325"/>
      <c r="K231" s="325">
        <f t="shared" si="32"/>
        <v>0</v>
      </c>
      <c r="L231" s="325">
        <f t="shared" si="33"/>
        <v>0</v>
      </c>
      <c r="M231" s="407">
        <v>6.67</v>
      </c>
      <c r="N231" s="408" t="s">
        <v>289</v>
      </c>
      <c r="O231" s="325">
        <f t="shared" si="37"/>
        <v>0</v>
      </c>
      <c r="P231" s="325">
        <f t="shared" si="38"/>
        <v>0</v>
      </c>
      <c r="Q231" s="325">
        <f t="shared" si="39"/>
        <v>0</v>
      </c>
      <c r="R231" s="325">
        <f t="shared" si="40"/>
        <v>1137</v>
      </c>
      <c r="S231" s="325">
        <f t="shared" si="41"/>
        <v>0</v>
      </c>
      <c r="T231" s="325">
        <f t="shared" si="48"/>
        <v>1137</v>
      </c>
      <c r="U231" s="325">
        <f t="shared" si="42"/>
        <v>32970.79</v>
      </c>
      <c r="V231" s="325">
        <f t="shared" si="36"/>
        <v>0</v>
      </c>
      <c r="W231" s="449" cm="1">
        <f t="array" ref="W231">+IF(U231&lt;0,error,0)</f>
        <v>0</v>
      </c>
    </row>
    <row r="232" spans="1:23" ht="18" customHeight="1" x14ac:dyDescent="0.2">
      <c r="A232" s="402" t="s">
        <v>573</v>
      </c>
      <c r="B232" s="403"/>
      <c r="C232" s="404" t="s">
        <v>574</v>
      </c>
      <c r="D232" s="405">
        <v>40714</v>
      </c>
      <c r="E232" s="406"/>
      <c r="F232" s="325"/>
      <c r="G232" s="324"/>
      <c r="H232" s="324">
        <v>5000</v>
      </c>
      <c r="I232" s="325">
        <v>1845</v>
      </c>
      <c r="J232" s="325"/>
      <c r="K232" s="325">
        <f t="shared" si="32"/>
        <v>0</v>
      </c>
      <c r="L232" s="325">
        <f t="shared" si="33"/>
        <v>0</v>
      </c>
      <c r="M232" s="407">
        <v>10</v>
      </c>
      <c r="N232" s="408" t="s">
        <v>289</v>
      </c>
      <c r="O232" s="325">
        <f t="shared" si="37"/>
        <v>0</v>
      </c>
      <c r="P232" s="325">
        <f t="shared" si="38"/>
        <v>0</v>
      </c>
      <c r="Q232" s="325">
        <f t="shared" si="39"/>
        <v>0</v>
      </c>
      <c r="R232" s="325">
        <f t="shared" si="40"/>
        <v>92</v>
      </c>
      <c r="S232" s="325">
        <f t="shared" si="41"/>
        <v>0</v>
      </c>
      <c r="T232" s="325">
        <f t="shared" si="48"/>
        <v>92</v>
      </c>
      <c r="U232" s="325">
        <f t="shared" si="42"/>
        <v>1753</v>
      </c>
      <c r="V232" s="325">
        <f t="shared" si="36"/>
        <v>0</v>
      </c>
      <c r="W232" s="449" cm="1">
        <f t="array" ref="W232">+IF(U232&lt;0,error,0)</f>
        <v>0</v>
      </c>
    </row>
    <row r="233" spans="1:23" ht="18" customHeight="1" x14ac:dyDescent="0.2">
      <c r="A233" s="402" t="s">
        <v>588</v>
      </c>
      <c r="B233" s="403"/>
      <c r="C233" s="412" t="s">
        <v>589</v>
      </c>
      <c r="D233" s="405">
        <v>40513</v>
      </c>
      <c r="E233" s="406"/>
      <c r="F233" s="325"/>
      <c r="G233" s="324"/>
      <c r="H233" s="324">
        <v>239.96</v>
      </c>
      <c r="I233" s="325">
        <v>0</v>
      </c>
      <c r="J233" s="325"/>
      <c r="K233" s="325">
        <f t="shared" si="32"/>
        <v>0</v>
      </c>
      <c r="L233" s="325">
        <f t="shared" si="33"/>
        <v>0</v>
      </c>
      <c r="M233" s="407">
        <v>20</v>
      </c>
      <c r="N233" s="408" t="s">
        <v>289</v>
      </c>
      <c r="O233" s="325">
        <f t="shared" si="37"/>
        <v>0</v>
      </c>
      <c r="P233" s="325">
        <f t="shared" si="38"/>
        <v>0</v>
      </c>
      <c r="Q233" s="325">
        <f t="shared" si="39"/>
        <v>0</v>
      </c>
      <c r="R233" s="325">
        <f t="shared" si="40"/>
        <v>0</v>
      </c>
      <c r="S233" s="325">
        <f t="shared" si="41"/>
        <v>0</v>
      </c>
      <c r="T233" s="325">
        <f t="shared" si="48"/>
        <v>0</v>
      </c>
      <c r="U233" s="325">
        <f t="shared" si="42"/>
        <v>0</v>
      </c>
      <c r="V233" s="325">
        <f t="shared" si="36"/>
        <v>0</v>
      </c>
      <c r="W233" s="449" cm="1">
        <f t="array" ref="W233">+IF(U233&lt;0,error,0)</f>
        <v>0</v>
      </c>
    </row>
    <row r="234" spans="1:23" ht="18" customHeight="1" x14ac:dyDescent="0.2">
      <c r="A234" s="402" t="s">
        <v>594</v>
      </c>
      <c r="B234" s="403"/>
      <c r="C234" s="404" t="s">
        <v>595</v>
      </c>
      <c r="D234" s="405">
        <v>40528</v>
      </c>
      <c r="E234" s="406"/>
      <c r="F234" s="325"/>
      <c r="G234" s="324"/>
      <c r="H234" s="324">
        <v>221.82</v>
      </c>
      <c r="I234" s="325">
        <v>0</v>
      </c>
      <c r="J234" s="325"/>
      <c r="K234" s="325">
        <f t="shared" si="32"/>
        <v>0</v>
      </c>
      <c r="L234" s="325">
        <f t="shared" si="33"/>
        <v>0</v>
      </c>
      <c r="M234" s="407">
        <v>20</v>
      </c>
      <c r="N234" s="408" t="s">
        <v>289</v>
      </c>
      <c r="O234" s="325">
        <f t="shared" si="37"/>
        <v>0</v>
      </c>
      <c r="P234" s="325">
        <f t="shared" si="38"/>
        <v>0</v>
      </c>
      <c r="Q234" s="325">
        <f t="shared" si="39"/>
        <v>0</v>
      </c>
      <c r="R234" s="325">
        <f t="shared" si="40"/>
        <v>0</v>
      </c>
      <c r="S234" s="325">
        <f t="shared" si="41"/>
        <v>0</v>
      </c>
      <c r="T234" s="325">
        <f t="shared" si="48"/>
        <v>0</v>
      </c>
      <c r="U234" s="325">
        <f t="shared" si="42"/>
        <v>0</v>
      </c>
      <c r="V234" s="325">
        <f t="shared" si="36"/>
        <v>0</v>
      </c>
      <c r="W234" s="449" cm="1">
        <f t="array" ref="W234">+IF(U234&lt;0,error,0)</f>
        <v>0</v>
      </c>
    </row>
    <row r="235" spans="1:23" ht="18" customHeight="1" x14ac:dyDescent="0.2">
      <c r="A235" s="402" t="s">
        <v>600</v>
      </c>
      <c r="B235" s="403"/>
      <c r="C235" s="404" t="s">
        <v>601</v>
      </c>
      <c r="D235" s="405">
        <v>40688</v>
      </c>
      <c r="E235" s="406"/>
      <c r="F235" s="325"/>
      <c r="G235" s="324"/>
      <c r="H235" s="324">
        <v>300</v>
      </c>
      <c r="I235" s="325">
        <v>0</v>
      </c>
      <c r="J235" s="325"/>
      <c r="K235" s="325">
        <f t="shared" si="32"/>
        <v>0</v>
      </c>
      <c r="L235" s="325">
        <f t="shared" si="33"/>
        <v>0</v>
      </c>
      <c r="M235" s="407">
        <v>20</v>
      </c>
      <c r="N235" s="408" t="s">
        <v>289</v>
      </c>
      <c r="O235" s="325">
        <f t="shared" si="37"/>
        <v>0</v>
      </c>
      <c r="P235" s="325">
        <f t="shared" si="38"/>
        <v>0</v>
      </c>
      <c r="Q235" s="325">
        <f t="shared" si="39"/>
        <v>0</v>
      </c>
      <c r="R235" s="325">
        <f t="shared" si="40"/>
        <v>0</v>
      </c>
      <c r="S235" s="325">
        <f t="shared" si="41"/>
        <v>0</v>
      </c>
      <c r="T235" s="325">
        <f t="shared" si="48"/>
        <v>0</v>
      </c>
      <c r="U235" s="325">
        <f t="shared" si="42"/>
        <v>0</v>
      </c>
      <c r="V235" s="325">
        <f t="shared" si="36"/>
        <v>0</v>
      </c>
      <c r="W235" s="449" cm="1">
        <f t="array" ref="W235">+IF(U235&lt;0,error,0)</f>
        <v>0</v>
      </c>
    </row>
    <row r="236" spans="1:23" ht="18" customHeight="1" x14ac:dyDescent="0.2">
      <c r="A236" s="402" t="s">
        <v>610</v>
      </c>
      <c r="B236" s="403"/>
      <c r="C236" s="404" t="s">
        <v>2416</v>
      </c>
      <c r="D236" s="405">
        <v>38328</v>
      </c>
      <c r="E236" s="406">
        <v>44326</v>
      </c>
      <c r="F236" s="325">
        <v>200</v>
      </c>
      <c r="G236" s="324">
        <v>100</v>
      </c>
      <c r="H236" s="324">
        <v>100</v>
      </c>
      <c r="I236" s="325">
        <v>0</v>
      </c>
      <c r="J236" s="325"/>
      <c r="K236" s="325">
        <f t="shared" si="32"/>
        <v>200</v>
      </c>
      <c r="L236" s="325">
        <f t="shared" si="33"/>
        <v>0</v>
      </c>
      <c r="M236" s="407">
        <v>5</v>
      </c>
      <c r="N236" s="408" t="s">
        <v>289</v>
      </c>
      <c r="O236" s="325">
        <f t="shared" si="37"/>
        <v>0</v>
      </c>
      <c r="P236" s="325">
        <f t="shared" si="38"/>
        <v>0</v>
      </c>
      <c r="Q236" s="325">
        <f t="shared" si="39"/>
        <v>0</v>
      </c>
      <c r="R236" s="325">
        <f t="shared" si="40"/>
        <v>0</v>
      </c>
      <c r="S236" s="325">
        <f t="shared" si="41"/>
        <v>0</v>
      </c>
      <c r="T236" s="325">
        <f t="shared" si="48"/>
        <v>0</v>
      </c>
      <c r="U236" s="325">
        <f t="shared" si="42"/>
        <v>0</v>
      </c>
      <c r="V236" s="325">
        <f t="shared" si="36"/>
        <v>100</v>
      </c>
      <c r="W236" s="449" cm="1">
        <f t="array" ref="W236">+IF(U236&lt;0,error,0)</f>
        <v>0</v>
      </c>
    </row>
    <row r="237" spans="1:23" ht="18" customHeight="1" x14ac:dyDescent="0.2">
      <c r="A237" s="402" t="s">
        <v>2415</v>
      </c>
      <c r="B237" s="403"/>
      <c r="C237" s="404" t="s">
        <v>2417</v>
      </c>
      <c r="D237" s="405">
        <v>38328</v>
      </c>
      <c r="E237" s="406"/>
      <c r="F237" s="325"/>
      <c r="G237" s="324"/>
      <c r="H237" s="324">
        <v>900</v>
      </c>
      <c r="I237" s="325">
        <v>0</v>
      </c>
      <c r="J237" s="325"/>
      <c r="K237" s="325">
        <f t="shared" ref="K237" si="49">INT(IF($E237&gt;0,IF(+F237-I237+Q237&lt;0,0,+F237-I237+Q237),0))</f>
        <v>0</v>
      </c>
      <c r="L237" s="325">
        <f t="shared" ref="L237" si="50">INT(IF($E237&gt;0,IF(K237=0,-F237+I237-Q237,0),0))</f>
        <v>0</v>
      </c>
      <c r="M237" s="407">
        <v>5</v>
      </c>
      <c r="N237" s="408" t="s">
        <v>289</v>
      </c>
      <c r="O237" s="325">
        <f t="shared" ref="O237" si="51">IF(E237&gt;0,INT(IF($N237="D",IF($D237&lt;$H$3,$I237*($M237/100)*((E237-$H$3)/365),$J237*($M237/100)*($J$3-$D237)/365),0)),0)</f>
        <v>0</v>
      </c>
      <c r="P237" s="325">
        <f t="shared" ref="P237" si="52">IF(E237&gt;0,INT(IF($N237="P",IF($D237&lt;$H$3,$H237*($M237/100)*(E237-$H$3)/365,$J237*($M237/100)*($J$3-$D237)/365),0)),0)</f>
        <v>0</v>
      </c>
      <c r="Q237" s="325">
        <f t="shared" ref="Q237" si="53">+O237+P237</f>
        <v>0</v>
      </c>
      <c r="R237" s="325">
        <f t="shared" si="40"/>
        <v>0</v>
      </c>
      <c r="S237" s="325">
        <f t="shared" si="41"/>
        <v>0</v>
      </c>
      <c r="T237" s="325">
        <f t="shared" ref="T237" si="54">+R237+S237+Q237</f>
        <v>0</v>
      </c>
      <c r="U237" s="325">
        <f t="shared" ref="U237" si="55">+I237+J237-T237-F237+K237-L237</f>
        <v>0</v>
      </c>
      <c r="V237" s="325">
        <f t="shared" ref="V237" si="56">IF(E237&gt;0,+H237+J237,0)</f>
        <v>0</v>
      </c>
      <c r="W237" s="449" cm="1">
        <f t="array" ref="W237">+IF(U237&lt;0,error,0)</f>
        <v>0</v>
      </c>
    </row>
    <row r="238" spans="1:23" ht="18" customHeight="1" x14ac:dyDescent="0.2">
      <c r="A238" s="402" t="s">
        <v>612</v>
      </c>
      <c r="B238" s="403"/>
      <c r="C238" s="404" t="s">
        <v>613</v>
      </c>
      <c r="D238" s="405">
        <v>38413</v>
      </c>
      <c r="E238" s="406"/>
      <c r="F238" s="325"/>
      <c r="G238" s="324"/>
      <c r="H238" s="324">
        <v>3750</v>
      </c>
      <c r="I238" s="325">
        <v>1670</v>
      </c>
      <c r="J238" s="325"/>
      <c r="K238" s="325">
        <f t="shared" si="32"/>
        <v>0</v>
      </c>
      <c r="L238" s="325">
        <f t="shared" si="33"/>
        <v>0</v>
      </c>
      <c r="M238" s="407">
        <v>5</v>
      </c>
      <c r="N238" s="408" t="s">
        <v>289</v>
      </c>
      <c r="O238" s="325">
        <f t="shared" si="37"/>
        <v>0</v>
      </c>
      <c r="P238" s="325">
        <f t="shared" si="38"/>
        <v>0</v>
      </c>
      <c r="Q238" s="325">
        <f t="shared" si="39"/>
        <v>0</v>
      </c>
      <c r="R238" s="325">
        <f t="shared" si="40"/>
        <v>41</v>
      </c>
      <c r="S238" s="325">
        <f t="shared" si="41"/>
        <v>0</v>
      </c>
      <c r="T238" s="325">
        <f t="shared" si="48"/>
        <v>41</v>
      </c>
      <c r="U238" s="325">
        <f t="shared" si="42"/>
        <v>1629</v>
      </c>
      <c r="V238" s="325">
        <f t="shared" si="36"/>
        <v>0</v>
      </c>
      <c r="W238" s="449" cm="1">
        <f t="array" ref="W238">+IF(U238&lt;0,error,0)</f>
        <v>0</v>
      </c>
    </row>
    <row r="239" spans="1:23" ht="18" customHeight="1" x14ac:dyDescent="0.2">
      <c r="A239" s="402" t="s">
        <v>616</v>
      </c>
      <c r="B239" s="403"/>
      <c r="C239" s="404" t="s">
        <v>617</v>
      </c>
      <c r="D239" s="405">
        <v>40653</v>
      </c>
      <c r="E239" s="406"/>
      <c r="F239" s="325"/>
      <c r="G239" s="324"/>
      <c r="H239" s="324">
        <v>955.55000000000007</v>
      </c>
      <c r="I239" s="325">
        <v>0</v>
      </c>
      <c r="J239" s="325"/>
      <c r="K239" s="325">
        <f t="shared" si="32"/>
        <v>0</v>
      </c>
      <c r="L239" s="325">
        <f t="shared" si="33"/>
        <v>0</v>
      </c>
      <c r="M239" s="407">
        <v>20</v>
      </c>
      <c r="N239" s="408" t="s">
        <v>289</v>
      </c>
      <c r="O239" s="325">
        <f t="shared" si="37"/>
        <v>0</v>
      </c>
      <c r="P239" s="325">
        <f t="shared" si="38"/>
        <v>0</v>
      </c>
      <c r="Q239" s="325">
        <f t="shared" si="39"/>
        <v>0</v>
      </c>
      <c r="R239" s="325">
        <f t="shared" si="40"/>
        <v>0</v>
      </c>
      <c r="S239" s="325">
        <f t="shared" si="41"/>
        <v>0</v>
      </c>
      <c r="T239" s="325">
        <f t="shared" si="48"/>
        <v>0</v>
      </c>
      <c r="U239" s="325">
        <f t="shared" si="42"/>
        <v>0</v>
      </c>
      <c r="V239" s="325">
        <f t="shared" si="36"/>
        <v>0</v>
      </c>
      <c r="W239" s="449" cm="1">
        <f t="array" ref="W239">+IF(U239&lt;0,error,0)</f>
        <v>0</v>
      </c>
    </row>
    <row r="240" spans="1:23" ht="18" customHeight="1" x14ac:dyDescent="0.2">
      <c r="A240" s="402" t="s">
        <v>618</v>
      </c>
      <c r="B240" s="403"/>
      <c r="C240" s="404" t="s">
        <v>619</v>
      </c>
      <c r="D240" s="405">
        <v>40653</v>
      </c>
      <c r="E240" s="406"/>
      <c r="F240" s="325"/>
      <c r="G240" s="324"/>
      <c r="H240" s="324">
        <v>914</v>
      </c>
      <c r="I240" s="325">
        <v>0</v>
      </c>
      <c r="J240" s="325"/>
      <c r="K240" s="325">
        <f t="shared" ref="K240:K303" si="57">INT(IF($E240&gt;0,IF(+F240-I240+Q240&lt;0,0,+F240-I240+Q240),0))</f>
        <v>0</v>
      </c>
      <c r="L240" s="325">
        <f t="shared" ref="L240:L303" si="58">INT(IF($E240&gt;0,IF(K240=0,-F240+I240-Q240,0),0))</f>
        <v>0</v>
      </c>
      <c r="M240" s="407">
        <v>20</v>
      </c>
      <c r="N240" s="408" t="s">
        <v>289</v>
      </c>
      <c r="O240" s="325">
        <f t="shared" si="37"/>
        <v>0</v>
      </c>
      <c r="P240" s="325">
        <f t="shared" si="38"/>
        <v>0</v>
      </c>
      <c r="Q240" s="325">
        <f t="shared" si="39"/>
        <v>0</v>
      </c>
      <c r="R240" s="325">
        <f t="shared" si="40"/>
        <v>0</v>
      </c>
      <c r="S240" s="325">
        <f t="shared" si="41"/>
        <v>0</v>
      </c>
      <c r="T240" s="325">
        <f t="shared" si="48"/>
        <v>0</v>
      </c>
      <c r="U240" s="325">
        <f t="shared" si="42"/>
        <v>0</v>
      </c>
      <c r="V240" s="325">
        <f t="shared" ref="V240:V303" si="59">IF(E240&gt;0,+H240+J240,0)</f>
        <v>0</v>
      </c>
      <c r="W240" s="449" cm="1">
        <f t="array" ref="W240">+IF(U240&lt;0,error,0)</f>
        <v>0</v>
      </c>
    </row>
    <row r="241" spans="1:23" ht="18" customHeight="1" x14ac:dyDescent="0.2">
      <c r="A241" s="402" t="s">
        <v>625</v>
      </c>
      <c r="B241" s="403"/>
      <c r="C241" s="404" t="s">
        <v>626</v>
      </c>
      <c r="D241" s="405">
        <v>38567</v>
      </c>
      <c r="E241" s="406"/>
      <c r="F241" s="325"/>
      <c r="G241" s="324"/>
      <c r="H241" s="324">
        <v>2100</v>
      </c>
      <c r="I241" s="325">
        <v>956</v>
      </c>
      <c r="J241" s="325"/>
      <c r="K241" s="325">
        <f t="shared" si="57"/>
        <v>0</v>
      </c>
      <c r="L241" s="325">
        <f t="shared" si="58"/>
        <v>0</v>
      </c>
      <c r="M241" s="407">
        <v>5</v>
      </c>
      <c r="N241" s="408" t="s">
        <v>289</v>
      </c>
      <c r="O241" s="325">
        <f t="shared" ref="O241:O304" si="60">IF(E241&gt;0,INT(IF($N241="D",IF($D241&lt;$H$3,$I241*($M241/100)*((E241-$H$3)/365),$J241*($M241/100)*($J$3-$D241)/365),0)),0)</f>
        <v>0</v>
      </c>
      <c r="P241" s="325">
        <f t="shared" ref="P241:P304" si="61">IF(E241&gt;0,INT(IF($N241="P",IF($D241&lt;$H$3,$H241*($M241/100)*(E241-$H$3)/365,$J241*($M241/100)*($J$3-$D241)/365),0)),0)</f>
        <v>0</v>
      </c>
      <c r="Q241" s="325">
        <f t="shared" ref="Q241:Q304" si="62">+O241+P241</f>
        <v>0</v>
      </c>
      <c r="R241" s="325">
        <f t="shared" ref="R241:R304" si="63">INT(IF($E241&gt;0,0,(IF($N241="D",IF($D241&lt;$H$3,$I241*($M241/100)*$U$3/12,$J241*($M241/100)*($J$3-$D241)/365),0))))</f>
        <v>23</v>
      </c>
      <c r="S241" s="325">
        <f t="shared" ref="S241:S304" si="64">INT(IF($E241&gt;0,0,(IF($N241="P",IF($D241&lt;$H$3,$H241*($M241/100)*$U$3/12,$J241*($M241/100)*($J$3-$D241)/365),0))))</f>
        <v>0</v>
      </c>
      <c r="T241" s="325">
        <f t="shared" si="48"/>
        <v>23</v>
      </c>
      <c r="U241" s="325">
        <f t="shared" si="42"/>
        <v>933</v>
      </c>
      <c r="V241" s="325">
        <f t="shared" si="59"/>
        <v>0</v>
      </c>
      <c r="W241" s="449" cm="1">
        <f t="array" ref="W241">+IF(U241&lt;0,error,0)</f>
        <v>0</v>
      </c>
    </row>
    <row r="242" spans="1:23" ht="18" customHeight="1" x14ac:dyDescent="0.2">
      <c r="A242" s="402" t="s">
        <v>627</v>
      </c>
      <c r="B242" s="403"/>
      <c r="C242" s="404" t="s">
        <v>628</v>
      </c>
      <c r="D242" s="405">
        <v>38726</v>
      </c>
      <c r="E242" s="406"/>
      <c r="F242" s="325"/>
      <c r="G242" s="324"/>
      <c r="H242" s="324">
        <v>23400</v>
      </c>
      <c r="I242" s="325">
        <v>10876</v>
      </c>
      <c r="J242" s="325"/>
      <c r="K242" s="325">
        <f t="shared" si="57"/>
        <v>0</v>
      </c>
      <c r="L242" s="325">
        <f t="shared" si="58"/>
        <v>0</v>
      </c>
      <c r="M242" s="407">
        <v>5</v>
      </c>
      <c r="N242" s="408" t="s">
        <v>289</v>
      </c>
      <c r="O242" s="325">
        <f t="shared" si="60"/>
        <v>0</v>
      </c>
      <c r="P242" s="325">
        <f t="shared" si="61"/>
        <v>0</v>
      </c>
      <c r="Q242" s="325">
        <f t="shared" si="62"/>
        <v>0</v>
      </c>
      <c r="R242" s="325">
        <f t="shared" si="63"/>
        <v>271</v>
      </c>
      <c r="S242" s="325">
        <f t="shared" si="64"/>
        <v>0</v>
      </c>
      <c r="T242" s="325">
        <f t="shared" si="48"/>
        <v>271</v>
      </c>
      <c r="U242" s="325">
        <f t="shared" si="42"/>
        <v>10605</v>
      </c>
      <c r="V242" s="325">
        <f t="shared" si="59"/>
        <v>0</v>
      </c>
      <c r="W242" s="449" cm="1">
        <f t="array" ref="W242">+IF(U242&lt;0,error,0)</f>
        <v>0</v>
      </c>
    </row>
    <row r="243" spans="1:23" ht="18" customHeight="1" x14ac:dyDescent="0.2">
      <c r="A243" s="402" t="s">
        <v>629</v>
      </c>
      <c r="B243" s="403"/>
      <c r="C243" s="404" t="s">
        <v>2271</v>
      </c>
      <c r="D243" s="405">
        <v>38730</v>
      </c>
      <c r="E243" s="406"/>
      <c r="F243" s="325"/>
      <c r="G243" s="324"/>
      <c r="H243" s="324">
        <v>19000</v>
      </c>
      <c r="I243" s="325">
        <v>3358</v>
      </c>
      <c r="J243" s="325"/>
      <c r="K243" s="325">
        <f t="shared" si="57"/>
        <v>0</v>
      </c>
      <c r="L243" s="325">
        <f t="shared" si="58"/>
        <v>0</v>
      </c>
      <c r="M243" s="407">
        <v>11</v>
      </c>
      <c r="N243" s="408" t="s">
        <v>289</v>
      </c>
      <c r="O243" s="325">
        <f t="shared" si="60"/>
        <v>0</v>
      </c>
      <c r="P243" s="325">
        <f t="shared" si="61"/>
        <v>0</v>
      </c>
      <c r="Q243" s="325">
        <f t="shared" si="62"/>
        <v>0</v>
      </c>
      <c r="R243" s="325">
        <f t="shared" si="63"/>
        <v>184</v>
      </c>
      <c r="S243" s="325">
        <f t="shared" si="64"/>
        <v>0</v>
      </c>
      <c r="T243" s="325">
        <f t="shared" si="48"/>
        <v>184</v>
      </c>
      <c r="U243" s="325">
        <f t="shared" ref="U243:U306" si="65">+I243+J243-T243-F243+K243-L243</f>
        <v>3174</v>
      </c>
      <c r="V243" s="325">
        <f t="shared" si="59"/>
        <v>0</v>
      </c>
      <c r="W243" s="449" cm="1">
        <f t="array" ref="W243">+IF(U243&lt;0,error,0)</f>
        <v>0</v>
      </c>
    </row>
    <row r="244" spans="1:23" ht="18" customHeight="1" x14ac:dyDescent="0.2">
      <c r="A244" s="402" t="s">
        <v>639</v>
      </c>
      <c r="B244" s="403"/>
      <c r="C244" s="404" t="s">
        <v>640</v>
      </c>
      <c r="D244" s="405">
        <v>38810</v>
      </c>
      <c r="E244" s="406"/>
      <c r="F244" s="325"/>
      <c r="G244" s="324"/>
      <c r="H244" s="324">
        <v>1250</v>
      </c>
      <c r="I244" s="325">
        <v>0</v>
      </c>
      <c r="J244" s="325"/>
      <c r="K244" s="325">
        <f t="shared" si="57"/>
        <v>0</v>
      </c>
      <c r="L244" s="325">
        <f t="shared" si="58"/>
        <v>0</v>
      </c>
      <c r="M244" s="407">
        <v>5</v>
      </c>
      <c r="N244" s="408" t="s">
        <v>289</v>
      </c>
      <c r="O244" s="325">
        <f t="shared" si="60"/>
        <v>0</v>
      </c>
      <c r="P244" s="325">
        <f t="shared" si="61"/>
        <v>0</v>
      </c>
      <c r="Q244" s="325">
        <f t="shared" si="62"/>
        <v>0</v>
      </c>
      <c r="R244" s="325">
        <f t="shared" si="63"/>
        <v>0</v>
      </c>
      <c r="S244" s="325">
        <f t="shared" si="64"/>
        <v>0</v>
      </c>
      <c r="T244" s="325">
        <f t="shared" si="48"/>
        <v>0</v>
      </c>
      <c r="U244" s="325">
        <f t="shared" si="65"/>
        <v>0</v>
      </c>
      <c r="V244" s="325">
        <f t="shared" si="59"/>
        <v>0</v>
      </c>
      <c r="W244" s="449" cm="1">
        <f t="array" ref="W244">+IF(U244&lt;0,error,0)</f>
        <v>0</v>
      </c>
    </row>
    <row r="245" spans="1:23" ht="18" customHeight="1" x14ac:dyDescent="0.2">
      <c r="A245" s="402" t="s">
        <v>641</v>
      </c>
      <c r="B245" s="403"/>
      <c r="C245" s="404" t="s">
        <v>640</v>
      </c>
      <c r="D245" s="405">
        <v>38813</v>
      </c>
      <c r="E245" s="406"/>
      <c r="F245" s="325"/>
      <c r="G245" s="324"/>
      <c r="H245" s="324">
        <v>1250</v>
      </c>
      <c r="I245" s="325">
        <v>0</v>
      </c>
      <c r="J245" s="325"/>
      <c r="K245" s="325">
        <f t="shared" si="57"/>
        <v>0</v>
      </c>
      <c r="L245" s="325">
        <f t="shared" si="58"/>
        <v>0</v>
      </c>
      <c r="M245" s="407">
        <v>5</v>
      </c>
      <c r="N245" s="408" t="s">
        <v>289</v>
      </c>
      <c r="O245" s="325">
        <f t="shared" si="60"/>
        <v>0</v>
      </c>
      <c r="P245" s="325">
        <f t="shared" si="61"/>
        <v>0</v>
      </c>
      <c r="Q245" s="325">
        <f t="shared" si="62"/>
        <v>0</v>
      </c>
      <c r="R245" s="325">
        <f t="shared" si="63"/>
        <v>0</v>
      </c>
      <c r="S245" s="325">
        <f t="shared" si="64"/>
        <v>0</v>
      </c>
      <c r="T245" s="325">
        <f t="shared" si="48"/>
        <v>0</v>
      </c>
      <c r="U245" s="325">
        <f t="shared" si="65"/>
        <v>0</v>
      </c>
      <c r="V245" s="325">
        <f t="shared" si="59"/>
        <v>0</v>
      </c>
      <c r="W245" s="449" cm="1">
        <f t="array" ref="W245">+IF(U245&lt;0,error,0)</f>
        <v>0</v>
      </c>
    </row>
    <row r="246" spans="1:23" ht="18" customHeight="1" x14ac:dyDescent="0.2">
      <c r="A246" s="402" t="s">
        <v>642</v>
      </c>
      <c r="B246" s="403"/>
      <c r="C246" s="404" t="s">
        <v>643</v>
      </c>
      <c r="D246" s="405">
        <v>38834</v>
      </c>
      <c r="E246" s="406"/>
      <c r="F246" s="325"/>
      <c r="G246" s="324"/>
      <c r="H246" s="324">
        <v>1000</v>
      </c>
      <c r="I246" s="325">
        <v>0</v>
      </c>
      <c r="J246" s="325"/>
      <c r="K246" s="325">
        <f t="shared" si="57"/>
        <v>0</v>
      </c>
      <c r="L246" s="325">
        <f t="shared" si="58"/>
        <v>0</v>
      </c>
      <c r="M246" s="407">
        <v>5</v>
      </c>
      <c r="N246" s="408" t="s">
        <v>289</v>
      </c>
      <c r="O246" s="325">
        <f t="shared" si="60"/>
        <v>0</v>
      </c>
      <c r="P246" s="325">
        <f t="shared" si="61"/>
        <v>0</v>
      </c>
      <c r="Q246" s="325">
        <f t="shared" si="62"/>
        <v>0</v>
      </c>
      <c r="R246" s="325">
        <f t="shared" si="63"/>
        <v>0</v>
      </c>
      <c r="S246" s="325">
        <f t="shared" si="64"/>
        <v>0</v>
      </c>
      <c r="T246" s="325">
        <f t="shared" si="48"/>
        <v>0</v>
      </c>
      <c r="U246" s="325">
        <f t="shared" si="65"/>
        <v>0</v>
      </c>
      <c r="V246" s="325">
        <f t="shared" si="59"/>
        <v>0</v>
      </c>
      <c r="W246" s="449" cm="1">
        <f t="array" ref="W246">+IF(U246&lt;0,error,0)</f>
        <v>0</v>
      </c>
    </row>
    <row r="247" spans="1:23" ht="18" customHeight="1" x14ac:dyDescent="0.2">
      <c r="A247" s="402" t="s">
        <v>644</v>
      </c>
      <c r="B247" s="403"/>
      <c r="C247" s="404" t="s">
        <v>645</v>
      </c>
      <c r="D247" s="405">
        <v>38825</v>
      </c>
      <c r="E247" s="406"/>
      <c r="F247" s="325"/>
      <c r="G247" s="324"/>
      <c r="H247" s="324">
        <v>4200</v>
      </c>
      <c r="I247" s="325">
        <v>1981</v>
      </c>
      <c r="J247" s="325"/>
      <c r="K247" s="325">
        <f t="shared" si="57"/>
        <v>0</v>
      </c>
      <c r="L247" s="325">
        <f t="shared" si="58"/>
        <v>0</v>
      </c>
      <c r="M247" s="407">
        <v>5</v>
      </c>
      <c r="N247" s="408" t="s">
        <v>289</v>
      </c>
      <c r="O247" s="325">
        <f t="shared" si="60"/>
        <v>0</v>
      </c>
      <c r="P247" s="325">
        <f t="shared" si="61"/>
        <v>0</v>
      </c>
      <c r="Q247" s="325">
        <f t="shared" si="62"/>
        <v>0</v>
      </c>
      <c r="R247" s="325">
        <f t="shared" si="63"/>
        <v>49</v>
      </c>
      <c r="S247" s="325">
        <f t="shared" si="64"/>
        <v>0</v>
      </c>
      <c r="T247" s="325">
        <f t="shared" si="48"/>
        <v>49</v>
      </c>
      <c r="U247" s="325">
        <f t="shared" si="65"/>
        <v>1932</v>
      </c>
      <c r="V247" s="325">
        <f t="shared" si="59"/>
        <v>0</v>
      </c>
      <c r="W247" s="449" cm="1">
        <f t="array" ref="W247">+IF(U247&lt;0,error,0)</f>
        <v>0</v>
      </c>
    </row>
    <row r="248" spans="1:23" ht="18" customHeight="1" x14ac:dyDescent="0.2">
      <c r="A248" s="402" t="s">
        <v>649</v>
      </c>
      <c r="B248" s="403"/>
      <c r="C248" s="404" t="s">
        <v>650</v>
      </c>
      <c r="D248" s="405">
        <v>38611</v>
      </c>
      <c r="E248" s="406"/>
      <c r="F248" s="325"/>
      <c r="G248" s="324"/>
      <c r="H248" s="324">
        <v>12000</v>
      </c>
      <c r="I248" s="325">
        <v>3661</v>
      </c>
      <c r="J248" s="325"/>
      <c r="K248" s="325">
        <f t="shared" si="57"/>
        <v>0</v>
      </c>
      <c r="L248" s="325">
        <f t="shared" si="58"/>
        <v>0</v>
      </c>
      <c r="M248" s="407">
        <v>7.5</v>
      </c>
      <c r="N248" s="408" t="s">
        <v>289</v>
      </c>
      <c r="O248" s="325">
        <f t="shared" si="60"/>
        <v>0</v>
      </c>
      <c r="P248" s="325">
        <f t="shared" si="61"/>
        <v>0</v>
      </c>
      <c r="Q248" s="325">
        <f t="shared" si="62"/>
        <v>0</v>
      </c>
      <c r="R248" s="325">
        <f t="shared" si="63"/>
        <v>137</v>
      </c>
      <c r="S248" s="325">
        <f t="shared" si="64"/>
        <v>0</v>
      </c>
      <c r="T248" s="325">
        <f t="shared" si="48"/>
        <v>137</v>
      </c>
      <c r="U248" s="325">
        <f t="shared" si="65"/>
        <v>3524</v>
      </c>
      <c r="V248" s="325">
        <f t="shared" si="59"/>
        <v>0</v>
      </c>
      <c r="W248" s="449" cm="1">
        <f t="array" ref="W248">+IF(U248&lt;0,error,0)</f>
        <v>0</v>
      </c>
    </row>
    <row r="249" spans="1:23" ht="18" customHeight="1" x14ac:dyDescent="0.2">
      <c r="A249" s="402" t="s">
        <v>651</v>
      </c>
      <c r="B249" s="403"/>
      <c r="C249" s="404" t="s">
        <v>652</v>
      </c>
      <c r="D249" s="405">
        <v>38687</v>
      </c>
      <c r="E249" s="406"/>
      <c r="F249" s="325"/>
      <c r="G249" s="324"/>
      <c r="H249" s="324">
        <v>4090.9100000000003</v>
      </c>
      <c r="I249" s="325">
        <v>1892.9099999999999</v>
      </c>
      <c r="J249" s="325"/>
      <c r="K249" s="325">
        <f t="shared" si="57"/>
        <v>0</v>
      </c>
      <c r="L249" s="325">
        <f t="shared" si="58"/>
        <v>0</v>
      </c>
      <c r="M249" s="407">
        <v>5</v>
      </c>
      <c r="N249" s="408" t="s">
        <v>289</v>
      </c>
      <c r="O249" s="325">
        <f t="shared" si="60"/>
        <v>0</v>
      </c>
      <c r="P249" s="325">
        <f t="shared" si="61"/>
        <v>0</v>
      </c>
      <c r="Q249" s="325">
        <f t="shared" si="62"/>
        <v>0</v>
      </c>
      <c r="R249" s="325">
        <f t="shared" si="63"/>
        <v>47</v>
      </c>
      <c r="S249" s="325">
        <f t="shared" si="64"/>
        <v>0</v>
      </c>
      <c r="T249" s="325">
        <f t="shared" si="48"/>
        <v>47</v>
      </c>
      <c r="U249" s="325">
        <f t="shared" si="65"/>
        <v>1845.9099999999999</v>
      </c>
      <c r="V249" s="325">
        <f t="shared" si="59"/>
        <v>0</v>
      </c>
      <c r="W249" s="449" cm="1">
        <f t="array" ref="W249">+IF(U249&lt;0,error,0)</f>
        <v>0</v>
      </c>
    </row>
    <row r="250" spans="1:23" ht="18" customHeight="1" x14ac:dyDescent="0.2">
      <c r="A250" s="402" t="s">
        <v>653</v>
      </c>
      <c r="B250" s="403"/>
      <c r="C250" s="404" t="s">
        <v>654</v>
      </c>
      <c r="D250" s="405">
        <v>38718</v>
      </c>
      <c r="E250" s="406"/>
      <c r="F250" s="325"/>
      <c r="G250" s="324"/>
      <c r="H250" s="324">
        <v>5740</v>
      </c>
      <c r="I250" s="325">
        <v>1793</v>
      </c>
      <c r="J250" s="325"/>
      <c r="K250" s="325">
        <f t="shared" si="57"/>
        <v>0</v>
      </c>
      <c r="L250" s="325">
        <f t="shared" si="58"/>
        <v>0</v>
      </c>
      <c r="M250" s="407">
        <v>7.5</v>
      </c>
      <c r="N250" s="408" t="s">
        <v>289</v>
      </c>
      <c r="O250" s="325">
        <f t="shared" si="60"/>
        <v>0</v>
      </c>
      <c r="P250" s="325">
        <f t="shared" si="61"/>
        <v>0</v>
      </c>
      <c r="Q250" s="325">
        <f t="shared" si="62"/>
        <v>0</v>
      </c>
      <c r="R250" s="325">
        <f t="shared" si="63"/>
        <v>67</v>
      </c>
      <c r="S250" s="325">
        <f t="shared" si="64"/>
        <v>0</v>
      </c>
      <c r="T250" s="325">
        <f t="shared" si="48"/>
        <v>67</v>
      </c>
      <c r="U250" s="325">
        <f t="shared" si="65"/>
        <v>1726</v>
      </c>
      <c r="V250" s="325">
        <f t="shared" si="59"/>
        <v>0</v>
      </c>
      <c r="W250" s="449" cm="1">
        <f t="array" ref="W250">+IF(U250&lt;0,error,0)</f>
        <v>0</v>
      </c>
    </row>
    <row r="251" spans="1:23" ht="18" customHeight="1" x14ac:dyDescent="0.2">
      <c r="A251" s="402" t="s">
        <v>657</v>
      </c>
      <c r="B251" s="403"/>
      <c r="C251" s="404" t="s">
        <v>658</v>
      </c>
      <c r="D251" s="405">
        <v>38966</v>
      </c>
      <c r="E251" s="406"/>
      <c r="F251" s="325"/>
      <c r="G251" s="324"/>
      <c r="H251" s="324">
        <v>1000</v>
      </c>
      <c r="I251" s="325">
        <v>0</v>
      </c>
      <c r="J251" s="325"/>
      <c r="K251" s="325">
        <f t="shared" si="57"/>
        <v>0</v>
      </c>
      <c r="L251" s="325">
        <f t="shared" si="58"/>
        <v>0</v>
      </c>
      <c r="M251" s="407">
        <v>10</v>
      </c>
      <c r="N251" s="408" t="s">
        <v>289</v>
      </c>
      <c r="O251" s="325">
        <f t="shared" si="60"/>
        <v>0</v>
      </c>
      <c r="P251" s="325">
        <f t="shared" si="61"/>
        <v>0</v>
      </c>
      <c r="Q251" s="325">
        <f t="shared" si="62"/>
        <v>0</v>
      </c>
      <c r="R251" s="325">
        <f t="shared" si="63"/>
        <v>0</v>
      </c>
      <c r="S251" s="325">
        <f t="shared" si="64"/>
        <v>0</v>
      </c>
      <c r="T251" s="325">
        <f t="shared" si="48"/>
        <v>0</v>
      </c>
      <c r="U251" s="325">
        <f t="shared" si="65"/>
        <v>0</v>
      </c>
      <c r="V251" s="325">
        <f t="shared" si="59"/>
        <v>0</v>
      </c>
      <c r="W251" s="449" cm="1">
        <f t="array" ref="W251">+IF(U251&lt;0,error,0)</f>
        <v>0</v>
      </c>
    </row>
    <row r="252" spans="1:23" ht="18" customHeight="1" x14ac:dyDescent="0.2">
      <c r="A252" s="402" t="s">
        <v>659</v>
      </c>
      <c r="B252" s="403"/>
      <c r="C252" s="404" t="s">
        <v>660</v>
      </c>
      <c r="D252" s="405">
        <v>39115</v>
      </c>
      <c r="E252" s="406"/>
      <c r="F252" s="325"/>
      <c r="G252" s="324"/>
      <c r="H252" s="324">
        <v>5000</v>
      </c>
      <c r="I252" s="325">
        <v>1166</v>
      </c>
      <c r="J252" s="325"/>
      <c r="K252" s="325">
        <f t="shared" si="57"/>
        <v>0</v>
      </c>
      <c r="L252" s="325">
        <f t="shared" si="58"/>
        <v>0</v>
      </c>
      <c r="M252" s="407">
        <v>10</v>
      </c>
      <c r="N252" s="408" t="s">
        <v>289</v>
      </c>
      <c r="O252" s="325">
        <f t="shared" si="60"/>
        <v>0</v>
      </c>
      <c r="P252" s="325">
        <f t="shared" si="61"/>
        <v>0</v>
      </c>
      <c r="Q252" s="325">
        <f t="shared" si="62"/>
        <v>0</v>
      </c>
      <c r="R252" s="325">
        <f t="shared" si="63"/>
        <v>58</v>
      </c>
      <c r="S252" s="325">
        <f t="shared" si="64"/>
        <v>0</v>
      </c>
      <c r="T252" s="325">
        <f t="shared" si="48"/>
        <v>58</v>
      </c>
      <c r="U252" s="325">
        <f t="shared" si="65"/>
        <v>1108</v>
      </c>
      <c r="V252" s="325">
        <f t="shared" si="59"/>
        <v>0</v>
      </c>
      <c r="W252" s="449" cm="1">
        <f t="array" ref="W252">+IF(U252&lt;0,error,0)</f>
        <v>0</v>
      </c>
    </row>
    <row r="253" spans="1:23" ht="18" customHeight="1" x14ac:dyDescent="0.2">
      <c r="A253" s="402" t="s">
        <v>661</v>
      </c>
      <c r="B253" s="403"/>
      <c r="C253" s="404" t="s">
        <v>662</v>
      </c>
      <c r="D253" s="405">
        <v>39138</v>
      </c>
      <c r="E253" s="406"/>
      <c r="F253" s="325"/>
      <c r="G253" s="324"/>
      <c r="H253" s="324">
        <v>2500</v>
      </c>
      <c r="I253" s="325">
        <v>0</v>
      </c>
      <c r="J253" s="325"/>
      <c r="K253" s="325">
        <f t="shared" si="57"/>
        <v>0</v>
      </c>
      <c r="L253" s="325">
        <f t="shared" si="58"/>
        <v>0</v>
      </c>
      <c r="M253" s="407">
        <v>10</v>
      </c>
      <c r="N253" s="408" t="s">
        <v>289</v>
      </c>
      <c r="O253" s="325">
        <f t="shared" si="60"/>
        <v>0</v>
      </c>
      <c r="P253" s="325">
        <f t="shared" si="61"/>
        <v>0</v>
      </c>
      <c r="Q253" s="325">
        <f t="shared" si="62"/>
        <v>0</v>
      </c>
      <c r="R253" s="325">
        <f t="shared" si="63"/>
        <v>0</v>
      </c>
      <c r="S253" s="325">
        <f t="shared" si="64"/>
        <v>0</v>
      </c>
      <c r="T253" s="325">
        <f t="shared" si="48"/>
        <v>0</v>
      </c>
      <c r="U253" s="325">
        <f t="shared" si="65"/>
        <v>0</v>
      </c>
      <c r="V253" s="325">
        <f t="shared" si="59"/>
        <v>0</v>
      </c>
      <c r="W253" s="449" cm="1">
        <f t="array" ref="W253">+IF(U253&lt;0,error,0)</f>
        <v>0</v>
      </c>
    </row>
    <row r="254" spans="1:23" ht="18" customHeight="1" x14ac:dyDescent="0.2">
      <c r="A254" s="402" t="s">
        <v>666</v>
      </c>
      <c r="B254" s="403"/>
      <c r="C254" s="412" t="s">
        <v>667</v>
      </c>
      <c r="D254" s="405">
        <v>39217</v>
      </c>
      <c r="E254" s="406"/>
      <c r="F254" s="325"/>
      <c r="G254" s="324"/>
      <c r="H254" s="324">
        <v>36666.620000000003</v>
      </c>
      <c r="I254" s="325">
        <v>5292</v>
      </c>
      <c r="J254" s="325"/>
      <c r="K254" s="325">
        <f t="shared" si="57"/>
        <v>0</v>
      </c>
      <c r="L254" s="325">
        <f t="shared" si="58"/>
        <v>0</v>
      </c>
      <c r="M254" s="407">
        <v>20</v>
      </c>
      <c r="N254" s="408" t="s">
        <v>289</v>
      </c>
      <c r="O254" s="325">
        <f t="shared" si="60"/>
        <v>0</v>
      </c>
      <c r="P254" s="325">
        <f t="shared" si="61"/>
        <v>0</v>
      </c>
      <c r="Q254" s="325">
        <f t="shared" si="62"/>
        <v>0</v>
      </c>
      <c r="R254" s="325">
        <f t="shared" si="63"/>
        <v>529</v>
      </c>
      <c r="S254" s="325">
        <f t="shared" si="64"/>
        <v>0</v>
      </c>
      <c r="T254" s="325">
        <f t="shared" si="48"/>
        <v>529</v>
      </c>
      <c r="U254" s="325">
        <f t="shared" si="65"/>
        <v>4763</v>
      </c>
      <c r="V254" s="325">
        <f t="shared" si="59"/>
        <v>0</v>
      </c>
      <c r="W254" s="449" cm="1">
        <f t="array" ref="W254">+IF(U254&lt;0,error,0)</f>
        <v>0</v>
      </c>
    </row>
    <row r="255" spans="1:23" ht="18" customHeight="1" x14ac:dyDescent="0.2">
      <c r="A255" s="402" t="s">
        <v>670</v>
      </c>
      <c r="B255" s="403"/>
      <c r="C255" s="404" t="s">
        <v>671</v>
      </c>
      <c r="D255" s="405">
        <v>41194</v>
      </c>
      <c r="E255" s="406"/>
      <c r="F255" s="325"/>
      <c r="G255" s="324"/>
      <c r="H255" s="324">
        <v>8127.89</v>
      </c>
      <c r="I255" s="325">
        <v>1347.8899999999999</v>
      </c>
      <c r="J255" s="325"/>
      <c r="K255" s="325">
        <f t="shared" si="57"/>
        <v>0</v>
      </c>
      <c r="L255" s="325">
        <f t="shared" si="58"/>
        <v>0</v>
      </c>
      <c r="M255" s="407">
        <v>20</v>
      </c>
      <c r="N255" s="408" t="s">
        <v>289</v>
      </c>
      <c r="O255" s="325">
        <f t="shared" si="60"/>
        <v>0</v>
      </c>
      <c r="P255" s="325">
        <f t="shared" si="61"/>
        <v>0</v>
      </c>
      <c r="Q255" s="325">
        <f t="shared" si="62"/>
        <v>0</v>
      </c>
      <c r="R255" s="325">
        <f t="shared" si="63"/>
        <v>134</v>
      </c>
      <c r="S255" s="325">
        <f t="shared" si="64"/>
        <v>0</v>
      </c>
      <c r="T255" s="325">
        <f t="shared" si="48"/>
        <v>134</v>
      </c>
      <c r="U255" s="325">
        <f t="shared" si="65"/>
        <v>1213.8899999999999</v>
      </c>
      <c r="V255" s="325">
        <f t="shared" si="59"/>
        <v>0</v>
      </c>
      <c r="W255" s="449" cm="1">
        <f t="array" ref="W255">+IF(U255&lt;0,error,0)</f>
        <v>0</v>
      </c>
    </row>
    <row r="256" spans="1:23" ht="18" customHeight="1" x14ac:dyDescent="0.2">
      <c r="A256" s="402" t="s">
        <v>674</v>
      </c>
      <c r="B256" s="403"/>
      <c r="C256" s="404" t="s">
        <v>675</v>
      </c>
      <c r="D256" s="405">
        <v>41235</v>
      </c>
      <c r="E256" s="406"/>
      <c r="F256" s="325"/>
      <c r="G256" s="324"/>
      <c r="H256" s="324">
        <v>2045.45</v>
      </c>
      <c r="I256" s="325">
        <v>654.45000000000005</v>
      </c>
      <c r="J256" s="325"/>
      <c r="K256" s="325">
        <f t="shared" si="57"/>
        <v>0</v>
      </c>
      <c r="L256" s="325">
        <f t="shared" si="58"/>
        <v>0</v>
      </c>
      <c r="M256" s="407">
        <v>13.33</v>
      </c>
      <c r="N256" s="408" t="s">
        <v>289</v>
      </c>
      <c r="O256" s="325">
        <f t="shared" si="60"/>
        <v>0</v>
      </c>
      <c r="P256" s="325">
        <f t="shared" si="61"/>
        <v>0</v>
      </c>
      <c r="Q256" s="325">
        <f t="shared" si="62"/>
        <v>0</v>
      </c>
      <c r="R256" s="325">
        <f t="shared" si="63"/>
        <v>43</v>
      </c>
      <c r="S256" s="325">
        <f t="shared" si="64"/>
        <v>0</v>
      </c>
      <c r="T256" s="325">
        <f t="shared" si="48"/>
        <v>43</v>
      </c>
      <c r="U256" s="325">
        <f t="shared" si="65"/>
        <v>611.45000000000005</v>
      </c>
      <c r="V256" s="325">
        <f t="shared" si="59"/>
        <v>0</v>
      </c>
      <c r="W256" s="449" cm="1">
        <f t="array" ref="W256">+IF(U256&lt;0,error,0)</f>
        <v>0</v>
      </c>
    </row>
    <row r="257" spans="1:23" ht="18" customHeight="1" x14ac:dyDescent="0.2">
      <c r="A257" s="402" t="s">
        <v>676</v>
      </c>
      <c r="B257" s="403"/>
      <c r="C257" s="404" t="s">
        <v>677</v>
      </c>
      <c r="D257" s="405">
        <v>41235</v>
      </c>
      <c r="E257" s="406"/>
      <c r="F257" s="325"/>
      <c r="G257" s="324"/>
      <c r="H257" s="324">
        <v>2045.46</v>
      </c>
      <c r="I257" s="325">
        <v>654.46</v>
      </c>
      <c r="J257" s="325"/>
      <c r="K257" s="325">
        <f t="shared" si="57"/>
        <v>0</v>
      </c>
      <c r="L257" s="325">
        <f t="shared" si="58"/>
        <v>0</v>
      </c>
      <c r="M257" s="407">
        <v>13.33</v>
      </c>
      <c r="N257" s="408" t="s">
        <v>289</v>
      </c>
      <c r="O257" s="325">
        <f t="shared" si="60"/>
        <v>0</v>
      </c>
      <c r="P257" s="325">
        <f t="shared" si="61"/>
        <v>0</v>
      </c>
      <c r="Q257" s="325">
        <f t="shared" si="62"/>
        <v>0</v>
      </c>
      <c r="R257" s="325">
        <f t="shared" si="63"/>
        <v>43</v>
      </c>
      <c r="S257" s="325">
        <f t="shared" si="64"/>
        <v>0</v>
      </c>
      <c r="T257" s="325">
        <f t="shared" si="48"/>
        <v>43</v>
      </c>
      <c r="U257" s="325">
        <f t="shared" si="65"/>
        <v>611.46</v>
      </c>
      <c r="V257" s="325">
        <f t="shared" si="59"/>
        <v>0</v>
      </c>
      <c r="W257" s="449" cm="1">
        <f t="array" ref="W257">+IF(U257&lt;0,error,0)</f>
        <v>0</v>
      </c>
    </row>
    <row r="258" spans="1:23" ht="18" customHeight="1" x14ac:dyDescent="0.2">
      <c r="A258" s="402" t="s">
        <v>678</v>
      </c>
      <c r="B258" s="403"/>
      <c r="C258" s="404" t="s">
        <v>679</v>
      </c>
      <c r="D258" s="405">
        <v>41235</v>
      </c>
      <c r="E258" s="406"/>
      <c r="F258" s="325"/>
      <c r="G258" s="324"/>
      <c r="H258" s="324">
        <v>613.64</v>
      </c>
      <c r="I258" s="325">
        <v>0</v>
      </c>
      <c r="J258" s="325"/>
      <c r="K258" s="325">
        <f t="shared" si="57"/>
        <v>0</v>
      </c>
      <c r="L258" s="325">
        <f t="shared" si="58"/>
        <v>0</v>
      </c>
      <c r="M258" s="407">
        <v>13.33</v>
      </c>
      <c r="N258" s="408" t="s">
        <v>289</v>
      </c>
      <c r="O258" s="325">
        <f t="shared" si="60"/>
        <v>0</v>
      </c>
      <c r="P258" s="325">
        <f t="shared" si="61"/>
        <v>0</v>
      </c>
      <c r="Q258" s="325">
        <f t="shared" si="62"/>
        <v>0</v>
      </c>
      <c r="R258" s="325">
        <f t="shared" si="63"/>
        <v>0</v>
      </c>
      <c r="S258" s="325">
        <f t="shared" si="64"/>
        <v>0</v>
      </c>
      <c r="T258" s="325">
        <f t="shared" si="48"/>
        <v>0</v>
      </c>
      <c r="U258" s="325">
        <f t="shared" si="65"/>
        <v>0</v>
      </c>
      <c r="V258" s="325">
        <f t="shared" si="59"/>
        <v>0</v>
      </c>
      <c r="W258" s="449" cm="1">
        <f t="array" ref="W258">+IF(U258&lt;0,error,0)</f>
        <v>0</v>
      </c>
    </row>
    <row r="259" spans="1:23" ht="18" customHeight="1" x14ac:dyDescent="0.2">
      <c r="A259" s="402" t="s">
        <v>680</v>
      </c>
      <c r="B259" s="403"/>
      <c r="C259" s="404" t="s">
        <v>679</v>
      </c>
      <c r="D259" s="405">
        <v>41235</v>
      </c>
      <c r="E259" s="406"/>
      <c r="F259" s="325"/>
      <c r="G259" s="324"/>
      <c r="H259" s="324">
        <v>613.63</v>
      </c>
      <c r="I259" s="325">
        <v>0</v>
      </c>
      <c r="J259" s="325"/>
      <c r="K259" s="325">
        <f t="shared" si="57"/>
        <v>0</v>
      </c>
      <c r="L259" s="325">
        <f t="shared" si="58"/>
        <v>0</v>
      </c>
      <c r="M259" s="407">
        <v>13.33</v>
      </c>
      <c r="N259" s="408" t="s">
        <v>289</v>
      </c>
      <c r="O259" s="325">
        <f t="shared" si="60"/>
        <v>0</v>
      </c>
      <c r="P259" s="325">
        <f t="shared" si="61"/>
        <v>0</v>
      </c>
      <c r="Q259" s="325">
        <f t="shared" si="62"/>
        <v>0</v>
      </c>
      <c r="R259" s="325">
        <f t="shared" si="63"/>
        <v>0</v>
      </c>
      <c r="S259" s="325">
        <f t="shared" si="64"/>
        <v>0</v>
      </c>
      <c r="T259" s="325">
        <f t="shared" si="48"/>
        <v>0</v>
      </c>
      <c r="U259" s="325">
        <f t="shared" si="65"/>
        <v>0</v>
      </c>
      <c r="V259" s="325">
        <f t="shared" si="59"/>
        <v>0</v>
      </c>
      <c r="W259" s="449" cm="1">
        <f t="array" ref="W259">+IF(U259&lt;0,error,0)</f>
        <v>0</v>
      </c>
    </row>
    <row r="260" spans="1:23" ht="18" customHeight="1" x14ac:dyDescent="0.2">
      <c r="A260" s="402" t="s">
        <v>681</v>
      </c>
      <c r="B260" s="403"/>
      <c r="C260" s="404" t="s">
        <v>682</v>
      </c>
      <c r="D260" s="405">
        <v>41243</v>
      </c>
      <c r="E260" s="406"/>
      <c r="F260" s="325"/>
      <c r="G260" s="324"/>
      <c r="H260" s="324">
        <v>900</v>
      </c>
      <c r="I260" s="325">
        <v>0</v>
      </c>
      <c r="J260" s="325"/>
      <c r="K260" s="325">
        <f t="shared" si="57"/>
        <v>0</v>
      </c>
      <c r="L260" s="325">
        <f t="shared" si="58"/>
        <v>0</v>
      </c>
      <c r="M260" s="407">
        <v>15</v>
      </c>
      <c r="N260" s="408" t="s">
        <v>289</v>
      </c>
      <c r="O260" s="325">
        <f t="shared" si="60"/>
        <v>0</v>
      </c>
      <c r="P260" s="325">
        <f t="shared" si="61"/>
        <v>0</v>
      </c>
      <c r="Q260" s="325">
        <f t="shared" si="62"/>
        <v>0</v>
      </c>
      <c r="R260" s="325">
        <f t="shared" si="63"/>
        <v>0</v>
      </c>
      <c r="S260" s="325">
        <f t="shared" si="64"/>
        <v>0</v>
      </c>
      <c r="T260" s="325">
        <f t="shared" si="48"/>
        <v>0</v>
      </c>
      <c r="U260" s="325">
        <f t="shared" si="65"/>
        <v>0</v>
      </c>
      <c r="V260" s="325">
        <f t="shared" si="59"/>
        <v>0</v>
      </c>
      <c r="W260" s="449" cm="1">
        <f t="array" ref="W260">+IF(U260&lt;0,error,0)</f>
        <v>0</v>
      </c>
    </row>
    <row r="261" spans="1:23" ht="18" customHeight="1" x14ac:dyDescent="0.2">
      <c r="A261" s="402" t="s">
        <v>683</v>
      </c>
      <c r="B261" s="403"/>
      <c r="C261" s="404" t="s">
        <v>684</v>
      </c>
      <c r="D261" s="405">
        <v>41288</v>
      </c>
      <c r="E261" s="406"/>
      <c r="F261" s="325"/>
      <c r="G261" s="324"/>
      <c r="H261" s="324">
        <v>4000</v>
      </c>
      <c r="I261" s="325">
        <v>703</v>
      </c>
      <c r="J261" s="325"/>
      <c r="K261" s="325">
        <f t="shared" si="57"/>
        <v>0</v>
      </c>
      <c r="L261" s="325">
        <f t="shared" si="58"/>
        <v>0</v>
      </c>
      <c r="M261" s="407">
        <v>20</v>
      </c>
      <c r="N261" s="408" t="s">
        <v>289</v>
      </c>
      <c r="O261" s="325">
        <f t="shared" si="60"/>
        <v>0</v>
      </c>
      <c r="P261" s="325">
        <f t="shared" si="61"/>
        <v>0</v>
      </c>
      <c r="Q261" s="325">
        <f t="shared" si="62"/>
        <v>0</v>
      </c>
      <c r="R261" s="325">
        <f t="shared" si="63"/>
        <v>70</v>
      </c>
      <c r="S261" s="325">
        <f t="shared" si="64"/>
        <v>0</v>
      </c>
      <c r="T261" s="325">
        <f t="shared" si="48"/>
        <v>70</v>
      </c>
      <c r="U261" s="325">
        <f t="shared" si="65"/>
        <v>633</v>
      </c>
      <c r="V261" s="325">
        <f t="shared" si="59"/>
        <v>0</v>
      </c>
      <c r="W261" s="449" cm="1">
        <f t="array" ref="W261">+IF(U261&lt;0,error,0)</f>
        <v>0</v>
      </c>
    </row>
    <row r="262" spans="1:23" ht="18" customHeight="1" x14ac:dyDescent="0.2">
      <c r="A262" s="402" t="s">
        <v>685</v>
      </c>
      <c r="B262" s="403"/>
      <c r="C262" s="404" t="s">
        <v>686</v>
      </c>
      <c r="D262" s="405">
        <v>41297</v>
      </c>
      <c r="E262" s="406"/>
      <c r="F262" s="325"/>
      <c r="G262" s="324"/>
      <c r="H262" s="324">
        <v>4342.7300000000005</v>
      </c>
      <c r="I262" s="325">
        <v>767.73</v>
      </c>
      <c r="J262" s="325"/>
      <c r="K262" s="325">
        <f t="shared" si="57"/>
        <v>0</v>
      </c>
      <c r="L262" s="325">
        <f t="shared" si="58"/>
        <v>0</v>
      </c>
      <c r="M262" s="407">
        <v>20</v>
      </c>
      <c r="N262" s="408" t="s">
        <v>289</v>
      </c>
      <c r="O262" s="325">
        <f t="shared" si="60"/>
        <v>0</v>
      </c>
      <c r="P262" s="325">
        <f t="shared" si="61"/>
        <v>0</v>
      </c>
      <c r="Q262" s="325">
        <f t="shared" si="62"/>
        <v>0</v>
      </c>
      <c r="R262" s="325">
        <f t="shared" si="63"/>
        <v>76</v>
      </c>
      <c r="S262" s="325">
        <f t="shared" si="64"/>
        <v>0</v>
      </c>
      <c r="T262" s="325">
        <f t="shared" si="48"/>
        <v>76</v>
      </c>
      <c r="U262" s="325">
        <f t="shared" si="65"/>
        <v>691.73</v>
      </c>
      <c r="V262" s="325">
        <f t="shared" si="59"/>
        <v>0</v>
      </c>
      <c r="W262" s="449" cm="1">
        <f t="array" ref="W262">+IF(U262&lt;0,error,0)</f>
        <v>0</v>
      </c>
    </row>
    <row r="263" spans="1:23" ht="18" customHeight="1" x14ac:dyDescent="0.2">
      <c r="A263" s="402" t="s">
        <v>687</v>
      </c>
      <c r="B263" s="403"/>
      <c r="C263" s="404" t="s">
        <v>688</v>
      </c>
      <c r="D263" s="405">
        <v>41360</v>
      </c>
      <c r="E263" s="406"/>
      <c r="F263" s="325"/>
      <c r="G263" s="324"/>
      <c r="H263" s="324">
        <v>22080</v>
      </c>
      <c r="I263" s="325">
        <v>0</v>
      </c>
      <c r="J263" s="325"/>
      <c r="K263" s="325">
        <f t="shared" si="57"/>
        <v>0</v>
      </c>
      <c r="L263" s="325">
        <f t="shared" si="58"/>
        <v>0</v>
      </c>
      <c r="M263" s="407">
        <v>40</v>
      </c>
      <c r="N263" s="408" t="s">
        <v>289</v>
      </c>
      <c r="O263" s="325">
        <f t="shared" si="60"/>
        <v>0</v>
      </c>
      <c r="P263" s="325">
        <f t="shared" si="61"/>
        <v>0</v>
      </c>
      <c r="Q263" s="325">
        <f t="shared" si="62"/>
        <v>0</v>
      </c>
      <c r="R263" s="325">
        <f t="shared" si="63"/>
        <v>0</v>
      </c>
      <c r="S263" s="325">
        <f t="shared" si="64"/>
        <v>0</v>
      </c>
      <c r="T263" s="325">
        <f t="shared" si="48"/>
        <v>0</v>
      </c>
      <c r="U263" s="325">
        <f t="shared" si="65"/>
        <v>0</v>
      </c>
      <c r="V263" s="325">
        <f t="shared" si="59"/>
        <v>0</v>
      </c>
      <c r="W263" s="449" cm="1">
        <f t="array" ref="W263">+IF(U263&lt;0,error,0)</f>
        <v>0</v>
      </c>
    </row>
    <row r="264" spans="1:23" ht="18" customHeight="1" x14ac:dyDescent="0.2">
      <c r="A264" s="402" t="s">
        <v>690</v>
      </c>
      <c r="B264" s="403"/>
      <c r="C264" s="404" t="s">
        <v>691</v>
      </c>
      <c r="D264" s="405">
        <v>41361</v>
      </c>
      <c r="E264" s="406"/>
      <c r="F264" s="325"/>
      <c r="G264" s="324"/>
      <c r="H264" s="324">
        <v>5315.12</v>
      </c>
      <c r="I264" s="325">
        <v>1779.12</v>
      </c>
      <c r="J264" s="325"/>
      <c r="K264" s="325">
        <f t="shared" si="57"/>
        <v>0</v>
      </c>
      <c r="L264" s="325">
        <f t="shared" si="58"/>
        <v>0</v>
      </c>
      <c r="M264" s="407">
        <v>13.33</v>
      </c>
      <c r="N264" s="408" t="s">
        <v>289</v>
      </c>
      <c r="O264" s="325">
        <f t="shared" si="60"/>
        <v>0</v>
      </c>
      <c r="P264" s="325">
        <f t="shared" si="61"/>
        <v>0</v>
      </c>
      <c r="Q264" s="325">
        <f t="shared" si="62"/>
        <v>0</v>
      </c>
      <c r="R264" s="325">
        <f t="shared" si="63"/>
        <v>118</v>
      </c>
      <c r="S264" s="325">
        <f t="shared" si="64"/>
        <v>0</v>
      </c>
      <c r="T264" s="325">
        <f t="shared" si="48"/>
        <v>118</v>
      </c>
      <c r="U264" s="325">
        <f t="shared" si="65"/>
        <v>1661.12</v>
      </c>
      <c r="V264" s="325">
        <f t="shared" si="59"/>
        <v>0</v>
      </c>
      <c r="W264" s="449" cm="1">
        <f t="array" ref="W264">+IF(U264&lt;0,error,0)</f>
        <v>0</v>
      </c>
    </row>
    <row r="265" spans="1:23" ht="18" customHeight="1" x14ac:dyDescent="0.2">
      <c r="A265" s="402" t="s">
        <v>692</v>
      </c>
      <c r="B265" s="403"/>
      <c r="C265" s="404" t="s">
        <v>693</v>
      </c>
      <c r="D265" s="405">
        <v>41393</v>
      </c>
      <c r="E265" s="406"/>
      <c r="F265" s="325"/>
      <c r="G265" s="324"/>
      <c r="H265" s="324">
        <v>2800.4500000000003</v>
      </c>
      <c r="I265" s="325">
        <v>1258.45</v>
      </c>
      <c r="J265" s="325"/>
      <c r="K265" s="325">
        <f t="shared" si="57"/>
        <v>0</v>
      </c>
      <c r="L265" s="325">
        <f t="shared" si="58"/>
        <v>0</v>
      </c>
      <c r="M265" s="407">
        <v>10</v>
      </c>
      <c r="N265" s="408" t="s">
        <v>289</v>
      </c>
      <c r="O265" s="325">
        <f t="shared" si="60"/>
        <v>0</v>
      </c>
      <c r="P265" s="325">
        <f t="shared" si="61"/>
        <v>0</v>
      </c>
      <c r="Q265" s="325">
        <f t="shared" si="62"/>
        <v>0</v>
      </c>
      <c r="R265" s="325">
        <f t="shared" si="63"/>
        <v>62</v>
      </c>
      <c r="S265" s="325">
        <f t="shared" si="64"/>
        <v>0</v>
      </c>
      <c r="T265" s="325">
        <f t="shared" si="48"/>
        <v>62</v>
      </c>
      <c r="U265" s="325">
        <f t="shared" si="65"/>
        <v>1196.45</v>
      </c>
      <c r="V265" s="325">
        <f t="shared" si="59"/>
        <v>0</v>
      </c>
      <c r="W265" s="449" cm="1">
        <f t="array" ref="W265">+IF(U265&lt;0,error,0)</f>
        <v>0</v>
      </c>
    </row>
    <row r="266" spans="1:23" ht="18" customHeight="1" x14ac:dyDescent="0.2">
      <c r="A266" s="402" t="s">
        <v>694</v>
      </c>
      <c r="B266" s="403"/>
      <c r="C266" s="404" t="s">
        <v>695</v>
      </c>
      <c r="D266" s="405">
        <v>41425</v>
      </c>
      <c r="E266" s="406"/>
      <c r="F266" s="325"/>
      <c r="G266" s="324"/>
      <c r="H266" s="324">
        <v>11368.57</v>
      </c>
      <c r="I266" s="325">
        <v>280.57000000000005</v>
      </c>
      <c r="J266" s="325"/>
      <c r="K266" s="325">
        <f t="shared" si="57"/>
        <v>0</v>
      </c>
      <c r="L266" s="325">
        <f t="shared" si="58"/>
        <v>0</v>
      </c>
      <c r="M266" s="407">
        <v>40</v>
      </c>
      <c r="N266" s="408" t="s">
        <v>289</v>
      </c>
      <c r="O266" s="325">
        <f t="shared" si="60"/>
        <v>0</v>
      </c>
      <c r="P266" s="325">
        <f t="shared" si="61"/>
        <v>0</v>
      </c>
      <c r="Q266" s="325">
        <f t="shared" si="62"/>
        <v>0</v>
      </c>
      <c r="R266" s="325">
        <f t="shared" si="63"/>
        <v>56</v>
      </c>
      <c r="S266" s="325">
        <f t="shared" si="64"/>
        <v>0</v>
      </c>
      <c r="T266" s="325">
        <f t="shared" si="48"/>
        <v>56</v>
      </c>
      <c r="U266" s="325">
        <f t="shared" si="65"/>
        <v>224.57000000000005</v>
      </c>
      <c r="V266" s="325">
        <f t="shared" si="59"/>
        <v>0</v>
      </c>
      <c r="W266" s="449" cm="1">
        <f t="array" ref="W266">+IF(U266&lt;0,error,0)</f>
        <v>0</v>
      </c>
    </row>
    <row r="267" spans="1:23" ht="18" customHeight="1" x14ac:dyDescent="0.2">
      <c r="A267" s="402" t="s">
        <v>696</v>
      </c>
      <c r="B267" s="403"/>
      <c r="C267" s="404" t="s">
        <v>697</v>
      </c>
      <c r="D267" s="405">
        <v>41319</v>
      </c>
      <c r="E267" s="406"/>
      <c r="F267" s="325"/>
      <c r="G267" s="324"/>
      <c r="H267" s="324">
        <v>2170</v>
      </c>
      <c r="I267" s="325">
        <v>957</v>
      </c>
      <c r="J267" s="325"/>
      <c r="K267" s="325">
        <f t="shared" si="57"/>
        <v>0</v>
      </c>
      <c r="L267" s="325">
        <f t="shared" si="58"/>
        <v>0</v>
      </c>
      <c r="M267" s="407">
        <v>10</v>
      </c>
      <c r="N267" s="408" t="s">
        <v>289</v>
      </c>
      <c r="O267" s="325">
        <f t="shared" si="60"/>
        <v>0</v>
      </c>
      <c r="P267" s="325">
        <f t="shared" si="61"/>
        <v>0</v>
      </c>
      <c r="Q267" s="325">
        <f t="shared" si="62"/>
        <v>0</v>
      </c>
      <c r="R267" s="325">
        <f t="shared" si="63"/>
        <v>47</v>
      </c>
      <c r="S267" s="325">
        <f t="shared" si="64"/>
        <v>0</v>
      </c>
      <c r="T267" s="325">
        <f t="shared" si="48"/>
        <v>47</v>
      </c>
      <c r="U267" s="325">
        <f t="shared" si="65"/>
        <v>910</v>
      </c>
      <c r="V267" s="325">
        <f t="shared" si="59"/>
        <v>0</v>
      </c>
      <c r="W267" s="449" cm="1">
        <f t="array" ref="W267">+IF(U267&lt;0,error,0)</f>
        <v>0</v>
      </c>
    </row>
    <row r="268" spans="1:23" ht="18" customHeight="1" x14ac:dyDescent="0.2">
      <c r="A268" s="402" t="s">
        <v>698</v>
      </c>
      <c r="B268" s="403"/>
      <c r="C268" s="412" t="s">
        <v>699</v>
      </c>
      <c r="D268" s="405">
        <v>41478</v>
      </c>
      <c r="E268" s="406"/>
      <c r="F268" s="325"/>
      <c r="G268" s="324"/>
      <c r="H268" s="324">
        <v>2050</v>
      </c>
      <c r="I268" s="325">
        <v>718</v>
      </c>
      <c r="J268" s="325"/>
      <c r="K268" s="325">
        <f t="shared" si="57"/>
        <v>0</v>
      </c>
      <c r="L268" s="325">
        <f t="shared" si="58"/>
        <v>0</v>
      </c>
      <c r="M268" s="407">
        <v>13.33</v>
      </c>
      <c r="N268" s="408" t="s">
        <v>289</v>
      </c>
      <c r="O268" s="325">
        <f t="shared" si="60"/>
        <v>0</v>
      </c>
      <c r="P268" s="325">
        <f t="shared" si="61"/>
        <v>0</v>
      </c>
      <c r="Q268" s="325">
        <f t="shared" si="62"/>
        <v>0</v>
      </c>
      <c r="R268" s="325">
        <f t="shared" si="63"/>
        <v>47</v>
      </c>
      <c r="S268" s="325">
        <f t="shared" si="64"/>
        <v>0</v>
      </c>
      <c r="T268" s="325">
        <f t="shared" ref="T268:T331" si="66">+R268+S268+Q268</f>
        <v>47</v>
      </c>
      <c r="U268" s="325">
        <f t="shared" si="65"/>
        <v>671</v>
      </c>
      <c r="V268" s="325">
        <f t="shared" si="59"/>
        <v>0</v>
      </c>
      <c r="W268" s="449" cm="1">
        <f t="array" ref="W268">+IF(U268&lt;0,error,0)</f>
        <v>0</v>
      </c>
    </row>
    <row r="269" spans="1:23" ht="18" customHeight="1" x14ac:dyDescent="0.2">
      <c r="A269" s="402" t="s">
        <v>700</v>
      </c>
      <c r="B269" s="403"/>
      <c r="C269" s="404" t="s">
        <v>701</v>
      </c>
      <c r="D269" s="405">
        <v>41528</v>
      </c>
      <c r="E269" s="406"/>
      <c r="F269" s="325"/>
      <c r="G269" s="324"/>
      <c r="H269" s="324">
        <v>15000</v>
      </c>
      <c r="I269" s="325">
        <v>5353</v>
      </c>
      <c r="J269" s="325"/>
      <c r="K269" s="325">
        <f t="shared" si="57"/>
        <v>0</v>
      </c>
      <c r="L269" s="325">
        <f t="shared" si="58"/>
        <v>0</v>
      </c>
      <c r="M269" s="407">
        <v>13.33</v>
      </c>
      <c r="N269" s="408" t="s">
        <v>289</v>
      </c>
      <c r="O269" s="325">
        <f t="shared" si="60"/>
        <v>0</v>
      </c>
      <c r="P269" s="325">
        <f t="shared" si="61"/>
        <v>0</v>
      </c>
      <c r="Q269" s="325">
        <f t="shared" si="62"/>
        <v>0</v>
      </c>
      <c r="R269" s="325">
        <f t="shared" si="63"/>
        <v>356</v>
      </c>
      <c r="S269" s="325">
        <f t="shared" si="64"/>
        <v>0</v>
      </c>
      <c r="T269" s="325">
        <f t="shared" si="66"/>
        <v>356</v>
      </c>
      <c r="U269" s="325">
        <f t="shared" si="65"/>
        <v>4997</v>
      </c>
      <c r="V269" s="325">
        <f t="shared" si="59"/>
        <v>0</v>
      </c>
      <c r="W269" s="449" cm="1">
        <f t="array" ref="W269">+IF(U269&lt;0,error,0)</f>
        <v>0</v>
      </c>
    </row>
    <row r="270" spans="1:23" ht="18" customHeight="1" x14ac:dyDescent="0.2">
      <c r="A270" s="402" t="s">
        <v>702</v>
      </c>
      <c r="B270" s="403"/>
      <c r="C270" s="404" t="s">
        <v>703</v>
      </c>
      <c r="D270" s="405">
        <v>41548</v>
      </c>
      <c r="E270" s="406"/>
      <c r="F270" s="325"/>
      <c r="G270" s="324"/>
      <c r="H270" s="324">
        <v>2610</v>
      </c>
      <c r="I270" s="325">
        <v>25</v>
      </c>
      <c r="J270" s="325"/>
      <c r="K270" s="325">
        <f t="shared" si="57"/>
        <v>0</v>
      </c>
      <c r="L270" s="325">
        <f t="shared" si="58"/>
        <v>0</v>
      </c>
      <c r="M270" s="407">
        <v>50</v>
      </c>
      <c r="N270" s="408" t="s">
        <v>289</v>
      </c>
      <c r="O270" s="325">
        <f t="shared" si="60"/>
        <v>0</v>
      </c>
      <c r="P270" s="325">
        <f t="shared" si="61"/>
        <v>0</v>
      </c>
      <c r="Q270" s="325">
        <f t="shared" si="62"/>
        <v>0</v>
      </c>
      <c r="R270" s="325">
        <f t="shared" si="63"/>
        <v>6</v>
      </c>
      <c r="S270" s="325">
        <f t="shared" si="64"/>
        <v>0</v>
      </c>
      <c r="T270" s="325">
        <f t="shared" si="66"/>
        <v>6</v>
      </c>
      <c r="U270" s="325">
        <f t="shared" si="65"/>
        <v>19</v>
      </c>
      <c r="V270" s="325">
        <f t="shared" si="59"/>
        <v>0</v>
      </c>
      <c r="W270" s="449" cm="1">
        <f t="array" ref="W270">+IF(U270&lt;0,error,0)</f>
        <v>0</v>
      </c>
    </row>
    <row r="271" spans="1:23" ht="18" customHeight="1" x14ac:dyDescent="0.2">
      <c r="A271" s="402" t="s">
        <v>704</v>
      </c>
      <c r="B271" s="403"/>
      <c r="C271" s="404" t="s">
        <v>705</v>
      </c>
      <c r="D271" s="405">
        <v>41584</v>
      </c>
      <c r="E271" s="406"/>
      <c r="F271" s="325"/>
      <c r="G271" s="324"/>
      <c r="H271" s="324">
        <v>30000</v>
      </c>
      <c r="I271" s="325">
        <v>10948</v>
      </c>
      <c r="J271" s="325"/>
      <c r="K271" s="325">
        <f t="shared" si="57"/>
        <v>0</v>
      </c>
      <c r="L271" s="325">
        <f t="shared" si="58"/>
        <v>0</v>
      </c>
      <c r="M271" s="407">
        <v>13.33</v>
      </c>
      <c r="N271" s="408" t="s">
        <v>289</v>
      </c>
      <c r="O271" s="325">
        <f t="shared" si="60"/>
        <v>0</v>
      </c>
      <c r="P271" s="325">
        <f t="shared" si="61"/>
        <v>0</v>
      </c>
      <c r="Q271" s="325">
        <f t="shared" si="62"/>
        <v>0</v>
      </c>
      <c r="R271" s="325">
        <f t="shared" si="63"/>
        <v>729</v>
      </c>
      <c r="S271" s="325">
        <f t="shared" si="64"/>
        <v>0</v>
      </c>
      <c r="T271" s="325">
        <f t="shared" si="66"/>
        <v>729</v>
      </c>
      <c r="U271" s="325">
        <f t="shared" si="65"/>
        <v>10219</v>
      </c>
      <c r="V271" s="325">
        <f t="shared" si="59"/>
        <v>0</v>
      </c>
      <c r="W271" s="449" cm="1">
        <f t="array" ref="W271">+IF(U271&lt;0,error,0)</f>
        <v>0</v>
      </c>
    </row>
    <row r="272" spans="1:23" ht="18" customHeight="1" x14ac:dyDescent="0.2">
      <c r="A272" s="402" t="s">
        <v>706</v>
      </c>
      <c r="B272" s="403"/>
      <c r="C272" s="404" t="s">
        <v>707</v>
      </c>
      <c r="D272" s="405">
        <v>41653</v>
      </c>
      <c r="E272" s="406"/>
      <c r="F272" s="325"/>
      <c r="G272" s="324"/>
      <c r="H272" s="324">
        <v>20000</v>
      </c>
      <c r="I272" s="325">
        <v>7502</v>
      </c>
      <c r="J272" s="325"/>
      <c r="K272" s="325">
        <f t="shared" si="57"/>
        <v>0</v>
      </c>
      <c r="L272" s="325">
        <f t="shared" si="58"/>
        <v>0</v>
      </c>
      <c r="M272" s="407">
        <v>13.33</v>
      </c>
      <c r="N272" s="408" t="s">
        <v>289</v>
      </c>
      <c r="O272" s="325">
        <f t="shared" si="60"/>
        <v>0</v>
      </c>
      <c r="P272" s="325">
        <f t="shared" si="61"/>
        <v>0</v>
      </c>
      <c r="Q272" s="325">
        <f t="shared" si="62"/>
        <v>0</v>
      </c>
      <c r="R272" s="325">
        <f t="shared" si="63"/>
        <v>500</v>
      </c>
      <c r="S272" s="325">
        <f t="shared" si="64"/>
        <v>0</v>
      </c>
      <c r="T272" s="325">
        <f t="shared" si="66"/>
        <v>500</v>
      </c>
      <c r="U272" s="325">
        <f t="shared" si="65"/>
        <v>7002</v>
      </c>
      <c r="V272" s="325">
        <f t="shared" si="59"/>
        <v>0</v>
      </c>
      <c r="W272" s="449" cm="1">
        <f t="array" ref="W272">+IF(U272&lt;0,error,0)</f>
        <v>0</v>
      </c>
    </row>
    <row r="273" spans="1:23" ht="18" customHeight="1" x14ac:dyDescent="0.2">
      <c r="A273" s="402" t="s">
        <v>708</v>
      </c>
      <c r="B273" s="403"/>
      <c r="C273" s="404" t="s">
        <v>709</v>
      </c>
      <c r="D273" s="405">
        <v>41753</v>
      </c>
      <c r="E273" s="406"/>
      <c r="F273" s="325"/>
      <c r="G273" s="324"/>
      <c r="H273" s="324">
        <v>24600</v>
      </c>
      <c r="I273" s="325">
        <v>9585</v>
      </c>
      <c r="J273" s="325"/>
      <c r="K273" s="325">
        <f t="shared" si="57"/>
        <v>0</v>
      </c>
      <c r="L273" s="325">
        <f t="shared" si="58"/>
        <v>0</v>
      </c>
      <c r="M273" s="407">
        <v>13.33</v>
      </c>
      <c r="N273" s="408" t="s">
        <v>289</v>
      </c>
      <c r="O273" s="325">
        <f t="shared" si="60"/>
        <v>0</v>
      </c>
      <c r="P273" s="325">
        <f t="shared" si="61"/>
        <v>0</v>
      </c>
      <c r="Q273" s="325">
        <f t="shared" si="62"/>
        <v>0</v>
      </c>
      <c r="R273" s="325">
        <f t="shared" si="63"/>
        <v>638</v>
      </c>
      <c r="S273" s="325">
        <f t="shared" si="64"/>
        <v>0</v>
      </c>
      <c r="T273" s="325">
        <f t="shared" si="66"/>
        <v>638</v>
      </c>
      <c r="U273" s="325">
        <f t="shared" si="65"/>
        <v>8947</v>
      </c>
      <c r="V273" s="325">
        <f t="shared" si="59"/>
        <v>0</v>
      </c>
      <c r="W273" s="449" cm="1">
        <f t="array" ref="W273">+IF(U273&lt;0,error,0)</f>
        <v>0</v>
      </c>
    </row>
    <row r="274" spans="1:23" ht="18" customHeight="1" x14ac:dyDescent="0.2">
      <c r="A274" s="402" t="s">
        <v>710</v>
      </c>
      <c r="B274" s="403"/>
      <c r="C274" s="404" t="s">
        <v>711</v>
      </c>
      <c r="D274" s="405">
        <v>41754</v>
      </c>
      <c r="E274" s="406"/>
      <c r="F274" s="325"/>
      <c r="G274" s="324"/>
      <c r="H274" s="324">
        <v>24600</v>
      </c>
      <c r="I274" s="325">
        <v>9588</v>
      </c>
      <c r="J274" s="325"/>
      <c r="K274" s="325">
        <f t="shared" si="57"/>
        <v>0</v>
      </c>
      <c r="L274" s="325">
        <f t="shared" si="58"/>
        <v>0</v>
      </c>
      <c r="M274" s="407">
        <v>13.33</v>
      </c>
      <c r="N274" s="408" t="s">
        <v>289</v>
      </c>
      <c r="O274" s="325">
        <f t="shared" si="60"/>
        <v>0</v>
      </c>
      <c r="P274" s="325">
        <f t="shared" si="61"/>
        <v>0</v>
      </c>
      <c r="Q274" s="325">
        <f t="shared" si="62"/>
        <v>0</v>
      </c>
      <c r="R274" s="325">
        <f t="shared" si="63"/>
        <v>639</v>
      </c>
      <c r="S274" s="325">
        <f t="shared" si="64"/>
        <v>0</v>
      </c>
      <c r="T274" s="325">
        <f t="shared" si="66"/>
        <v>639</v>
      </c>
      <c r="U274" s="325">
        <f t="shared" si="65"/>
        <v>8949</v>
      </c>
      <c r="V274" s="325">
        <f t="shared" si="59"/>
        <v>0</v>
      </c>
      <c r="W274" s="449" cm="1">
        <f t="array" ref="W274">+IF(U274&lt;0,error,0)</f>
        <v>0</v>
      </c>
    </row>
    <row r="275" spans="1:23" ht="18" customHeight="1" x14ac:dyDescent="0.2">
      <c r="A275" s="402" t="s">
        <v>712</v>
      </c>
      <c r="B275" s="403"/>
      <c r="C275" s="404" t="s">
        <v>713</v>
      </c>
      <c r="D275" s="405">
        <v>41691</v>
      </c>
      <c r="E275" s="406"/>
      <c r="F275" s="325"/>
      <c r="G275" s="324"/>
      <c r="H275" s="324">
        <v>2166.6999999999998</v>
      </c>
      <c r="I275" s="325">
        <v>486.70000000000005</v>
      </c>
      <c r="J275" s="325"/>
      <c r="K275" s="325">
        <f t="shared" si="57"/>
        <v>0</v>
      </c>
      <c r="L275" s="325">
        <f t="shared" si="58"/>
        <v>0</v>
      </c>
      <c r="M275" s="407">
        <v>20</v>
      </c>
      <c r="N275" s="408" t="s">
        <v>289</v>
      </c>
      <c r="O275" s="325">
        <f t="shared" si="60"/>
        <v>0</v>
      </c>
      <c r="P275" s="325">
        <f t="shared" si="61"/>
        <v>0</v>
      </c>
      <c r="Q275" s="325">
        <f t="shared" si="62"/>
        <v>0</v>
      </c>
      <c r="R275" s="325">
        <f t="shared" si="63"/>
        <v>48</v>
      </c>
      <c r="S275" s="325">
        <f t="shared" si="64"/>
        <v>0</v>
      </c>
      <c r="T275" s="325">
        <f t="shared" si="66"/>
        <v>48</v>
      </c>
      <c r="U275" s="325">
        <f t="shared" si="65"/>
        <v>438.70000000000005</v>
      </c>
      <c r="V275" s="325">
        <f t="shared" si="59"/>
        <v>0</v>
      </c>
      <c r="W275" s="449" cm="1">
        <f t="array" ref="W275">+IF(U275&lt;0,error,0)</f>
        <v>0</v>
      </c>
    </row>
    <row r="276" spans="1:23" ht="18" customHeight="1" x14ac:dyDescent="0.2">
      <c r="A276" s="402" t="s">
        <v>714</v>
      </c>
      <c r="B276" s="403"/>
      <c r="C276" s="404" t="s">
        <v>715</v>
      </c>
      <c r="D276" s="405">
        <v>41697</v>
      </c>
      <c r="E276" s="406"/>
      <c r="F276" s="325"/>
      <c r="G276" s="324"/>
      <c r="H276" s="324">
        <v>9476</v>
      </c>
      <c r="I276" s="325">
        <v>3616</v>
      </c>
      <c r="J276" s="325"/>
      <c r="K276" s="325">
        <f t="shared" si="57"/>
        <v>0</v>
      </c>
      <c r="L276" s="325">
        <f t="shared" si="58"/>
        <v>0</v>
      </c>
      <c r="M276" s="407">
        <v>13.33</v>
      </c>
      <c r="N276" s="408" t="s">
        <v>289</v>
      </c>
      <c r="O276" s="325">
        <f t="shared" si="60"/>
        <v>0</v>
      </c>
      <c r="P276" s="325">
        <f t="shared" si="61"/>
        <v>0</v>
      </c>
      <c r="Q276" s="325">
        <f t="shared" si="62"/>
        <v>0</v>
      </c>
      <c r="R276" s="325">
        <f t="shared" si="63"/>
        <v>241</v>
      </c>
      <c r="S276" s="325">
        <f t="shared" si="64"/>
        <v>0</v>
      </c>
      <c r="T276" s="325">
        <f t="shared" si="66"/>
        <v>241</v>
      </c>
      <c r="U276" s="325">
        <f t="shared" si="65"/>
        <v>3375</v>
      </c>
      <c r="V276" s="325">
        <f t="shared" si="59"/>
        <v>0</v>
      </c>
      <c r="W276" s="449" cm="1">
        <f t="array" ref="W276">+IF(U276&lt;0,error,0)</f>
        <v>0</v>
      </c>
    </row>
    <row r="277" spans="1:23" ht="18" customHeight="1" x14ac:dyDescent="0.2">
      <c r="A277" s="402" t="s">
        <v>716</v>
      </c>
      <c r="B277" s="403"/>
      <c r="C277" s="404" t="s">
        <v>717</v>
      </c>
      <c r="D277" s="405">
        <v>41786</v>
      </c>
      <c r="E277" s="406"/>
      <c r="F277" s="325"/>
      <c r="G277" s="324"/>
      <c r="H277" s="324">
        <v>32377.27</v>
      </c>
      <c r="I277" s="325">
        <v>27040.27</v>
      </c>
      <c r="J277" s="325"/>
      <c r="K277" s="325">
        <f t="shared" si="57"/>
        <v>0</v>
      </c>
      <c r="L277" s="325">
        <f t="shared" si="58"/>
        <v>0</v>
      </c>
      <c r="M277" s="407">
        <v>2.5</v>
      </c>
      <c r="N277" s="408" t="s">
        <v>17</v>
      </c>
      <c r="O277" s="325">
        <f t="shared" si="60"/>
        <v>0</v>
      </c>
      <c r="P277" s="325">
        <f t="shared" si="61"/>
        <v>0</v>
      </c>
      <c r="Q277" s="325">
        <f t="shared" si="62"/>
        <v>0</v>
      </c>
      <c r="R277" s="325">
        <f t="shared" si="63"/>
        <v>0</v>
      </c>
      <c r="S277" s="325">
        <f t="shared" si="64"/>
        <v>404</v>
      </c>
      <c r="T277" s="325">
        <f t="shared" si="66"/>
        <v>404</v>
      </c>
      <c r="U277" s="325">
        <f t="shared" si="65"/>
        <v>26636.27</v>
      </c>
      <c r="V277" s="325">
        <f t="shared" si="59"/>
        <v>0</v>
      </c>
      <c r="W277" s="449" cm="1">
        <f t="array" ref="W277">+IF(U277&lt;0,error,0)</f>
        <v>0</v>
      </c>
    </row>
    <row r="278" spans="1:23" ht="18" customHeight="1" x14ac:dyDescent="0.2">
      <c r="A278" s="402" t="s">
        <v>718</v>
      </c>
      <c r="B278" s="403"/>
      <c r="C278" s="404" t="s">
        <v>719</v>
      </c>
      <c r="D278" s="405">
        <v>41730</v>
      </c>
      <c r="E278" s="406"/>
      <c r="F278" s="325"/>
      <c r="G278" s="324"/>
      <c r="H278" s="324">
        <v>11325.460000000001</v>
      </c>
      <c r="I278" s="325">
        <v>2601.46</v>
      </c>
      <c r="J278" s="325"/>
      <c r="K278" s="325">
        <f t="shared" si="57"/>
        <v>0</v>
      </c>
      <c r="L278" s="325">
        <f t="shared" si="58"/>
        <v>0</v>
      </c>
      <c r="M278" s="407">
        <v>20</v>
      </c>
      <c r="N278" s="408" t="s">
        <v>289</v>
      </c>
      <c r="O278" s="325">
        <f t="shared" si="60"/>
        <v>0</v>
      </c>
      <c r="P278" s="325">
        <f t="shared" si="61"/>
        <v>0</v>
      </c>
      <c r="Q278" s="325">
        <f t="shared" si="62"/>
        <v>0</v>
      </c>
      <c r="R278" s="325">
        <f t="shared" si="63"/>
        <v>260</v>
      </c>
      <c r="S278" s="325">
        <f t="shared" si="64"/>
        <v>0</v>
      </c>
      <c r="T278" s="325">
        <f t="shared" si="66"/>
        <v>260</v>
      </c>
      <c r="U278" s="325">
        <f t="shared" si="65"/>
        <v>2341.46</v>
      </c>
      <c r="V278" s="325">
        <f t="shared" si="59"/>
        <v>0</v>
      </c>
      <c r="W278" s="449" cm="1">
        <f t="array" ref="W278">+IF(U278&lt;0,error,0)</f>
        <v>0</v>
      </c>
    </row>
    <row r="279" spans="1:23" ht="18" customHeight="1" x14ac:dyDescent="0.2">
      <c r="A279" s="402" t="s">
        <v>720</v>
      </c>
      <c r="B279" s="403"/>
      <c r="C279" s="404" t="s">
        <v>721</v>
      </c>
      <c r="D279" s="405">
        <v>41730</v>
      </c>
      <c r="E279" s="406"/>
      <c r="F279" s="325"/>
      <c r="G279" s="324"/>
      <c r="H279" s="324">
        <v>3535</v>
      </c>
      <c r="I279" s="325">
        <v>1751</v>
      </c>
      <c r="J279" s="325"/>
      <c r="K279" s="325">
        <f t="shared" si="57"/>
        <v>0</v>
      </c>
      <c r="L279" s="325">
        <f t="shared" si="58"/>
        <v>0</v>
      </c>
      <c r="M279" s="407">
        <v>10</v>
      </c>
      <c r="N279" s="408" t="s">
        <v>289</v>
      </c>
      <c r="O279" s="325">
        <f t="shared" si="60"/>
        <v>0</v>
      </c>
      <c r="P279" s="325">
        <f t="shared" si="61"/>
        <v>0</v>
      </c>
      <c r="Q279" s="325">
        <f t="shared" si="62"/>
        <v>0</v>
      </c>
      <c r="R279" s="325">
        <f t="shared" si="63"/>
        <v>87</v>
      </c>
      <c r="S279" s="325">
        <f t="shared" si="64"/>
        <v>0</v>
      </c>
      <c r="T279" s="325">
        <f t="shared" si="66"/>
        <v>87</v>
      </c>
      <c r="U279" s="325">
        <f t="shared" si="65"/>
        <v>1664</v>
      </c>
      <c r="V279" s="325">
        <f t="shared" si="59"/>
        <v>0</v>
      </c>
      <c r="W279" s="449" cm="1">
        <f t="array" ref="W279">+IF(U279&lt;0,error,0)</f>
        <v>0</v>
      </c>
    </row>
    <row r="280" spans="1:23" ht="18" customHeight="1" x14ac:dyDescent="0.2">
      <c r="A280" s="402" t="s">
        <v>722</v>
      </c>
      <c r="B280" s="403"/>
      <c r="C280" s="404" t="s">
        <v>723</v>
      </c>
      <c r="D280" s="405">
        <v>41730</v>
      </c>
      <c r="E280" s="406"/>
      <c r="F280" s="325"/>
      <c r="G280" s="324"/>
      <c r="H280" s="324">
        <v>1414.09</v>
      </c>
      <c r="I280" s="325">
        <v>702.09</v>
      </c>
      <c r="J280" s="325"/>
      <c r="K280" s="325">
        <f t="shared" si="57"/>
        <v>0</v>
      </c>
      <c r="L280" s="325">
        <f t="shared" si="58"/>
        <v>0</v>
      </c>
      <c r="M280" s="407">
        <v>10</v>
      </c>
      <c r="N280" s="408" t="s">
        <v>289</v>
      </c>
      <c r="O280" s="325">
        <f t="shared" si="60"/>
        <v>0</v>
      </c>
      <c r="P280" s="325">
        <f t="shared" si="61"/>
        <v>0</v>
      </c>
      <c r="Q280" s="325">
        <f t="shared" si="62"/>
        <v>0</v>
      </c>
      <c r="R280" s="325">
        <f t="shared" si="63"/>
        <v>35</v>
      </c>
      <c r="S280" s="325">
        <f t="shared" si="64"/>
        <v>0</v>
      </c>
      <c r="T280" s="325">
        <f t="shared" si="66"/>
        <v>35</v>
      </c>
      <c r="U280" s="325">
        <f t="shared" si="65"/>
        <v>667.09</v>
      </c>
      <c r="V280" s="325">
        <f t="shared" si="59"/>
        <v>0</v>
      </c>
      <c r="W280" s="449" cm="1">
        <f t="array" ref="W280">+IF(U280&lt;0,error,0)</f>
        <v>0</v>
      </c>
    </row>
    <row r="281" spans="1:23" ht="18" customHeight="1" x14ac:dyDescent="0.2">
      <c r="A281" s="402" t="s">
        <v>724</v>
      </c>
      <c r="B281" s="403"/>
      <c r="C281" s="404" t="s">
        <v>725</v>
      </c>
      <c r="D281" s="405">
        <v>41779</v>
      </c>
      <c r="E281" s="406"/>
      <c r="F281" s="325"/>
      <c r="G281" s="324"/>
      <c r="H281" s="324">
        <v>8000</v>
      </c>
      <c r="I281" s="325">
        <v>3149</v>
      </c>
      <c r="J281" s="325"/>
      <c r="K281" s="325">
        <f t="shared" si="57"/>
        <v>0</v>
      </c>
      <c r="L281" s="325">
        <f t="shared" si="58"/>
        <v>0</v>
      </c>
      <c r="M281" s="407">
        <v>13.33</v>
      </c>
      <c r="N281" s="408" t="s">
        <v>289</v>
      </c>
      <c r="O281" s="325">
        <f t="shared" si="60"/>
        <v>0</v>
      </c>
      <c r="P281" s="325">
        <f t="shared" si="61"/>
        <v>0</v>
      </c>
      <c r="Q281" s="325">
        <f t="shared" si="62"/>
        <v>0</v>
      </c>
      <c r="R281" s="325">
        <f t="shared" si="63"/>
        <v>209</v>
      </c>
      <c r="S281" s="325">
        <f t="shared" si="64"/>
        <v>0</v>
      </c>
      <c r="T281" s="325">
        <f t="shared" si="66"/>
        <v>209</v>
      </c>
      <c r="U281" s="325">
        <f t="shared" si="65"/>
        <v>2940</v>
      </c>
      <c r="V281" s="325">
        <f t="shared" si="59"/>
        <v>0</v>
      </c>
      <c r="W281" s="449" cm="1">
        <f t="array" ref="W281">+IF(U281&lt;0,error,0)</f>
        <v>0</v>
      </c>
    </row>
    <row r="282" spans="1:23" ht="18" customHeight="1" x14ac:dyDescent="0.2">
      <c r="A282" s="402" t="s">
        <v>726</v>
      </c>
      <c r="B282" s="403"/>
      <c r="C282" s="404" t="s">
        <v>727</v>
      </c>
      <c r="D282" s="405">
        <v>41795</v>
      </c>
      <c r="E282" s="406"/>
      <c r="F282" s="325"/>
      <c r="G282" s="324"/>
      <c r="H282" s="324">
        <v>1727</v>
      </c>
      <c r="I282" s="325">
        <v>686</v>
      </c>
      <c r="J282" s="325"/>
      <c r="K282" s="325">
        <f t="shared" si="57"/>
        <v>0</v>
      </c>
      <c r="L282" s="325">
        <f t="shared" si="58"/>
        <v>0</v>
      </c>
      <c r="M282" s="407">
        <v>13.33</v>
      </c>
      <c r="N282" s="408" t="s">
        <v>289</v>
      </c>
      <c r="O282" s="325">
        <f t="shared" si="60"/>
        <v>0</v>
      </c>
      <c r="P282" s="325">
        <f t="shared" si="61"/>
        <v>0</v>
      </c>
      <c r="Q282" s="325">
        <f t="shared" si="62"/>
        <v>0</v>
      </c>
      <c r="R282" s="325">
        <f t="shared" si="63"/>
        <v>45</v>
      </c>
      <c r="S282" s="325">
        <f t="shared" si="64"/>
        <v>0</v>
      </c>
      <c r="T282" s="325">
        <f t="shared" si="66"/>
        <v>45</v>
      </c>
      <c r="U282" s="325">
        <f t="shared" si="65"/>
        <v>641</v>
      </c>
      <c r="V282" s="325">
        <f t="shared" si="59"/>
        <v>0</v>
      </c>
      <c r="W282" s="449" cm="1">
        <f t="array" ref="W282">+IF(U282&lt;0,error,0)</f>
        <v>0</v>
      </c>
    </row>
    <row r="283" spans="1:23" ht="18" customHeight="1" x14ac:dyDescent="0.2">
      <c r="A283" s="402" t="s">
        <v>728</v>
      </c>
      <c r="B283" s="403"/>
      <c r="C283" s="412" t="s">
        <v>729</v>
      </c>
      <c r="D283" s="405">
        <v>41815</v>
      </c>
      <c r="E283" s="406"/>
      <c r="F283" s="325"/>
      <c r="G283" s="324"/>
      <c r="H283" s="324">
        <v>5571.72</v>
      </c>
      <c r="I283" s="325">
        <v>2222.7200000000003</v>
      </c>
      <c r="J283" s="325"/>
      <c r="K283" s="325">
        <f t="shared" si="57"/>
        <v>0</v>
      </c>
      <c r="L283" s="325">
        <f t="shared" si="58"/>
        <v>0</v>
      </c>
      <c r="M283" s="407">
        <v>13.33</v>
      </c>
      <c r="N283" s="408" t="s">
        <v>289</v>
      </c>
      <c r="O283" s="325">
        <f t="shared" si="60"/>
        <v>0</v>
      </c>
      <c r="P283" s="325">
        <f t="shared" si="61"/>
        <v>0</v>
      </c>
      <c r="Q283" s="325">
        <f t="shared" si="62"/>
        <v>0</v>
      </c>
      <c r="R283" s="325">
        <f t="shared" si="63"/>
        <v>148</v>
      </c>
      <c r="S283" s="325">
        <f t="shared" si="64"/>
        <v>0</v>
      </c>
      <c r="T283" s="325">
        <f t="shared" si="66"/>
        <v>148</v>
      </c>
      <c r="U283" s="325">
        <f t="shared" si="65"/>
        <v>2074.7200000000003</v>
      </c>
      <c r="V283" s="325">
        <f t="shared" si="59"/>
        <v>0</v>
      </c>
      <c r="W283" s="449" cm="1">
        <f t="array" ref="W283">+IF(U283&lt;0,error,0)</f>
        <v>0</v>
      </c>
    </row>
    <row r="284" spans="1:23" ht="18" customHeight="1" x14ac:dyDescent="0.2">
      <c r="A284" s="402" t="s">
        <v>730</v>
      </c>
      <c r="B284" s="403"/>
      <c r="C284" s="404" t="s">
        <v>731</v>
      </c>
      <c r="D284" s="405">
        <v>41815</v>
      </c>
      <c r="E284" s="406"/>
      <c r="F284" s="325"/>
      <c r="G284" s="324"/>
      <c r="H284" s="324">
        <v>1372.22</v>
      </c>
      <c r="I284" s="325">
        <v>549.22</v>
      </c>
      <c r="J284" s="325"/>
      <c r="K284" s="325">
        <f t="shared" si="57"/>
        <v>0</v>
      </c>
      <c r="L284" s="325">
        <f t="shared" si="58"/>
        <v>0</v>
      </c>
      <c r="M284" s="407">
        <v>13.33</v>
      </c>
      <c r="N284" s="408" t="s">
        <v>289</v>
      </c>
      <c r="O284" s="325">
        <f t="shared" si="60"/>
        <v>0</v>
      </c>
      <c r="P284" s="325">
        <f t="shared" si="61"/>
        <v>0</v>
      </c>
      <c r="Q284" s="325">
        <f t="shared" si="62"/>
        <v>0</v>
      </c>
      <c r="R284" s="325">
        <f t="shared" si="63"/>
        <v>36</v>
      </c>
      <c r="S284" s="325">
        <f t="shared" si="64"/>
        <v>0</v>
      </c>
      <c r="T284" s="325">
        <f t="shared" si="66"/>
        <v>36</v>
      </c>
      <c r="U284" s="325">
        <f t="shared" si="65"/>
        <v>513.22</v>
      </c>
      <c r="V284" s="325">
        <f t="shared" si="59"/>
        <v>0</v>
      </c>
      <c r="W284" s="449" cm="1">
        <f t="array" ref="W284">+IF(U284&lt;0,error,0)</f>
        <v>0</v>
      </c>
    </row>
    <row r="285" spans="1:23" ht="18" customHeight="1" x14ac:dyDescent="0.2">
      <c r="A285" s="402" t="s">
        <v>732</v>
      </c>
      <c r="B285" s="403"/>
      <c r="C285" s="412" t="s">
        <v>733</v>
      </c>
      <c r="D285" s="405">
        <v>41815</v>
      </c>
      <c r="E285" s="406"/>
      <c r="F285" s="325"/>
      <c r="G285" s="324"/>
      <c r="H285" s="324">
        <v>3188.21</v>
      </c>
      <c r="I285" s="325">
        <v>1273.21</v>
      </c>
      <c r="J285" s="325"/>
      <c r="K285" s="325">
        <f t="shared" si="57"/>
        <v>0</v>
      </c>
      <c r="L285" s="325">
        <f t="shared" si="58"/>
        <v>0</v>
      </c>
      <c r="M285" s="407">
        <v>13.33</v>
      </c>
      <c r="N285" s="408" t="s">
        <v>289</v>
      </c>
      <c r="O285" s="325">
        <f t="shared" si="60"/>
        <v>0</v>
      </c>
      <c r="P285" s="325">
        <f t="shared" si="61"/>
        <v>0</v>
      </c>
      <c r="Q285" s="325">
        <f t="shared" si="62"/>
        <v>0</v>
      </c>
      <c r="R285" s="325">
        <f t="shared" si="63"/>
        <v>84</v>
      </c>
      <c r="S285" s="325">
        <f t="shared" si="64"/>
        <v>0</v>
      </c>
      <c r="T285" s="325">
        <f t="shared" si="66"/>
        <v>84</v>
      </c>
      <c r="U285" s="325">
        <f t="shared" si="65"/>
        <v>1189.21</v>
      </c>
      <c r="V285" s="325">
        <f t="shared" si="59"/>
        <v>0</v>
      </c>
      <c r="W285" s="449" cm="1">
        <f t="array" ref="W285">+IF(U285&lt;0,error,0)</f>
        <v>0</v>
      </c>
    </row>
    <row r="286" spans="1:23" ht="18" customHeight="1" x14ac:dyDescent="0.2">
      <c r="A286" s="402" t="s">
        <v>734</v>
      </c>
      <c r="B286" s="403"/>
      <c r="C286" s="412" t="s">
        <v>735</v>
      </c>
      <c r="D286" s="405">
        <v>41815</v>
      </c>
      <c r="E286" s="406"/>
      <c r="F286" s="325"/>
      <c r="G286" s="324"/>
      <c r="H286" s="324">
        <v>550.80000000000007</v>
      </c>
      <c r="I286" s="325">
        <v>222.8</v>
      </c>
      <c r="J286" s="325"/>
      <c r="K286" s="325">
        <f t="shared" si="57"/>
        <v>0</v>
      </c>
      <c r="L286" s="325">
        <f t="shared" si="58"/>
        <v>0</v>
      </c>
      <c r="M286" s="407">
        <v>13.3</v>
      </c>
      <c r="N286" s="408" t="s">
        <v>289</v>
      </c>
      <c r="O286" s="325">
        <f t="shared" si="60"/>
        <v>0</v>
      </c>
      <c r="P286" s="325">
        <f t="shared" si="61"/>
        <v>0</v>
      </c>
      <c r="Q286" s="325">
        <f t="shared" si="62"/>
        <v>0</v>
      </c>
      <c r="R286" s="325">
        <f t="shared" si="63"/>
        <v>14</v>
      </c>
      <c r="S286" s="325">
        <f t="shared" si="64"/>
        <v>0</v>
      </c>
      <c r="T286" s="325">
        <f t="shared" si="66"/>
        <v>14</v>
      </c>
      <c r="U286" s="325">
        <f t="shared" si="65"/>
        <v>208.8</v>
      </c>
      <c r="V286" s="325">
        <f t="shared" si="59"/>
        <v>0</v>
      </c>
      <c r="W286" s="449" cm="1">
        <f t="array" ref="W286">+IF(U286&lt;0,error,0)</f>
        <v>0</v>
      </c>
    </row>
    <row r="287" spans="1:23" ht="18" customHeight="1" x14ac:dyDescent="0.2">
      <c r="A287" s="402" t="s">
        <v>736</v>
      </c>
      <c r="B287" s="403"/>
      <c r="C287" s="404" t="s">
        <v>737</v>
      </c>
      <c r="D287" s="405">
        <v>41815</v>
      </c>
      <c r="E287" s="406"/>
      <c r="F287" s="325"/>
      <c r="G287" s="324"/>
      <c r="H287" s="324">
        <v>1826.22</v>
      </c>
      <c r="I287" s="325">
        <v>730.22</v>
      </c>
      <c r="J287" s="325"/>
      <c r="K287" s="325">
        <f t="shared" si="57"/>
        <v>0</v>
      </c>
      <c r="L287" s="325">
        <f t="shared" si="58"/>
        <v>0</v>
      </c>
      <c r="M287" s="407">
        <v>13.33</v>
      </c>
      <c r="N287" s="408" t="s">
        <v>289</v>
      </c>
      <c r="O287" s="325">
        <f t="shared" si="60"/>
        <v>0</v>
      </c>
      <c r="P287" s="325">
        <f t="shared" si="61"/>
        <v>0</v>
      </c>
      <c r="Q287" s="325">
        <f t="shared" si="62"/>
        <v>0</v>
      </c>
      <c r="R287" s="325">
        <f t="shared" si="63"/>
        <v>48</v>
      </c>
      <c r="S287" s="325">
        <f t="shared" si="64"/>
        <v>0</v>
      </c>
      <c r="T287" s="325">
        <f t="shared" si="66"/>
        <v>48</v>
      </c>
      <c r="U287" s="325">
        <f t="shared" si="65"/>
        <v>682.22</v>
      </c>
      <c r="V287" s="325">
        <f t="shared" si="59"/>
        <v>0</v>
      </c>
      <c r="W287" s="449" cm="1">
        <f t="array" ref="W287">+IF(U287&lt;0,error,0)</f>
        <v>0</v>
      </c>
    </row>
    <row r="288" spans="1:23" ht="18" customHeight="1" x14ac:dyDescent="0.2">
      <c r="A288" s="402" t="s">
        <v>738</v>
      </c>
      <c r="B288" s="403"/>
      <c r="C288" s="412" t="s">
        <v>739</v>
      </c>
      <c r="D288" s="405">
        <v>41815</v>
      </c>
      <c r="E288" s="406"/>
      <c r="F288" s="325"/>
      <c r="G288" s="324"/>
      <c r="H288" s="324">
        <v>2677.48</v>
      </c>
      <c r="I288" s="325">
        <v>1069.48</v>
      </c>
      <c r="J288" s="325"/>
      <c r="K288" s="325">
        <f t="shared" si="57"/>
        <v>0</v>
      </c>
      <c r="L288" s="325">
        <f t="shared" si="58"/>
        <v>0</v>
      </c>
      <c r="M288" s="407">
        <v>13.33</v>
      </c>
      <c r="N288" s="408" t="s">
        <v>289</v>
      </c>
      <c r="O288" s="325">
        <f t="shared" si="60"/>
        <v>0</v>
      </c>
      <c r="P288" s="325">
        <f t="shared" si="61"/>
        <v>0</v>
      </c>
      <c r="Q288" s="325">
        <f t="shared" si="62"/>
        <v>0</v>
      </c>
      <c r="R288" s="325">
        <f t="shared" si="63"/>
        <v>71</v>
      </c>
      <c r="S288" s="325">
        <f t="shared" si="64"/>
        <v>0</v>
      </c>
      <c r="T288" s="325">
        <f t="shared" si="66"/>
        <v>71</v>
      </c>
      <c r="U288" s="325">
        <f t="shared" si="65"/>
        <v>998.48</v>
      </c>
      <c r="V288" s="325">
        <f t="shared" si="59"/>
        <v>0</v>
      </c>
      <c r="W288" s="449" cm="1">
        <f t="array" ref="W288">+IF(U288&lt;0,error,0)</f>
        <v>0</v>
      </c>
    </row>
    <row r="289" spans="1:23" ht="18" customHeight="1" x14ac:dyDescent="0.2">
      <c r="A289" s="402" t="s">
        <v>740</v>
      </c>
      <c r="B289" s="403"/>
      <c r="C289" s="404" t="s">
        <v>741</v>
      </c>
      <c r="D289" s="405">
        <v>41815</v>
      </c>
      <c r="E289" s="406"/>
      <c r="F289" s="325"/>
      <c r="G289" s="324"/>
      <c r="H289" s="324">
        <v>1712.71</v>
      </c>
      <c r="I289" s="325">
        <v>684.71</v>
      </c>
      <c r="J289" s="325"/>
      <c r="K289" s="325">
        <f t="shared" si="57"/>
        <v>0</v>
      </c>
      <c r="L289" s="325">
        <f t="shared" si="58"/>
        <v>0</v>
      </c>
      <c r="M289" s="407">
        <v>13.33</v>
      </c>
      <c r="N289" s="408" t="s">
        <v>289</v>
      </c>
      <c r="O289" s="325">
        <f t="shared" si="60"/>
        <v>0</v>
      </c>
      <c r="P289" s="325">
        <f t="shared" si="61"/>
        <v>0</v>
      </c>
      <c r="Q289" s="325">
        <f t="shared" si="62"/>
        <v>0</v>
      </c>
      <c r="R289" s="325">
        <f t="shared" si="63"/>
        <v>45</v>
      </c>
      <c r="S289" s="325">
        <f t="shared" si="64"/>
        <v>0</v>
      </c>
      <c r="T289" s="325">
        <f t="shared" si="66"/>
        <v>45</v>
      </c>
      <c r="U289" s="325">
        <f t="shared" si="65"/>
        <v>639.71</v>
      </c>
      <c r="V289" s="325">
        <f t="shared" si="59"/>
        <v>0</v>
      </c>
      <c r="W289" s="449" cm="1">
        <f t="array" ref="W289">+IF(U289&lt;0,error,0)</f>
        <v>0</v>
      </c>
    </row>
    <row r="290" spans="1:23" ht="18" customHeight="1" x14ac:dyDescent="0.2">
      <c r="A290" s="402" t="s">
        <v>742</v>
      </c>
      <c r="B290" s="403"/>
      <c r="C290" s="412" t="s">
        <v>743</v>
      </c>
      <c r="D290" s="405">
        <v>41815</v>
      </c>
      <c r="E290" s="406"/>
      <c r="F290" s="325"/>
      <c r="G290" s="324"/>
      <c r="H290" s="324">
        <v>2563.98</v>
      </c>
      <c r="I290" s="325">
        <v>1022.98</v>
      </c>
      <c r="J290" s="325"/>
      <c r="K290" s="325">
        <f t="shared" si="57"/>
        <v>0</v>
      </c>
      <c r="L290" s="325">
        <f t="shared" si="58"/>
        <v>0</v>
      </c>
      <c r="M290" s="407">
        <v>13.33</v>
      </c>
      <c r="N290" s="408" t="s">
        <v>289</v>
      </c>
      <c r="O290" s="325">
        <f t="shared" si="60"/>
        <v>0</v>
      </c>
      <c r="P290" s="325">
        <f t="shared" si="61"/>
        <v>0</v>
      </c>
      <c r="Q290" s="325">
        <f t="shared" si="62"/>
        <v>0</v>
      </c>
      <c r="R290" s="325">
        <f t="shared" si="63"/>
        <v>68</v>
      </c>
      <c r="S290" s="325">
        <f t="shared" si="64"/>
        <v>0</v>
      </c>
      <c r="T290" s="325">
        <f t="shared" si="66"/>
        <v>68</v>
      </c>
      <c r="U290" s="325">
        <f t="shared" si="65"/>
        <v>954.98</v>
      </c>
      <c r="V290" s="325">
        <f t="shared" si="59"/>
        <v>0</v>
      </c>
      <c r="W290" s="449" cm="1">
        <f t="array" ref="W290">+IF(U290&lt;0,error,0)</f>
        <v>0</v>
      </c>
    </row>
    <row r="291" spans="1:23" ht="18" customHeight="1" x14ac:dyDescent="0.2">
      <c r="A291" s="402" t="s">
        <v>744</v>
      </c>
      <c r="B291" s="403"/>
      <c r="C291" s="404" t="s">
        <v>745</v>
      </c>
      <c r="D291" s="405">
        <v>41815</v>
      </c>
      <c r="E291" s="406"/>
      <c r="F291" s="325"/>
      <c r="G291" s="324"/>
      <c r="H291" s="324">
        <v>1769.47</v>
      </c>
      <c r="I291" s="325">
        <v>706.47</v>
      </c>
      <c r="J291" s="325"/>
      <c r="K291" s="325">
        <f t="shared" si="57"/>
        <v>0</v>
      </c>
      <c r="L291" s="325">
        <f t="shared" si="58"/>
        <v>0</v>
      </c>
      <c r="M291" s="407">
        <v>13.33</v>
      </c>
      <c r="N291" s="408" t="s">
        <v>289</v>
      </c>
      <c r="O291" s="325">
        <f t="shared" si="60"/>
        <v>0</v>
      </c>
      <c r="P291" s="325">
        <f t="shared" si="61"/>
        <v>0</v>
      </c>
      <c r="Q291" s="325">
        <f t="shared" si="62"/>
        <v>0</v>
      </c>
      <c r="R291" s="325">
        <f t="shared" si="63"/>
        <v>47</v>
      </c>
      <c r="S291" s="325">
        <f t="shared" si="64"/>
        <v>0</v>
      </c>
      <c r="T291" s="325">
        <f t="shared" si="66"/>
        <v>47</v>
      </c>
      <c r="U291" s="325">
        <f t="shared" si="65"/>
        <v>659.47</v>
      </c>
      <c r="V291" s="325">
        <f t="shared" si="59"/>
        <v>0</v>
      </c>
      <c r="W291" s="449" cm="1">
        <f t="array" ref="W291">+IF(U291&lt;0,error,0)</f>
        <v>0</v>
      </c>
    </row>
    <row r="292" spans="1:23" ht="18" customHeight="1" x14ac:dyDescent="0.2">
      <c r="A292" s="402" t="s">
        <v>746</v>
      </c>
      <c r="B292" s="403"/>
      <c r="C292" s="404" t="s">
        <v>747</v>
      </c>
      <c r="D292" s="405">
        <v>41456</v>
      </c>
      <c r="E292" s="406"/>
      <c r="F292" s="325"/>
      <c r="G292" s="324"/>
      <c r="H292" s="324">
        <v>1063.6400000000001</v>
      </c>
      <c r="I292" s="325">
        <v>207.64</v>
      </c>
      <c r="J292" s="325"/>
      <c r="K292" s="325">
        <f t="shared" si="57"/>
        <v>0</v>
      </c>
      <c r="L292" s="325">
        <f t="shared" si="58"/>
        <v>0</v>
      </c>
      <c r="M292" s="407">
        <v>20</v>
      </c>
      <c r="N292" s="408" t="s">
        <v>289</v>
      </c>
      <c r="O292" s="325">
        <f t="shared" si="60"/>
        <v>0</v>
      </c>
      <c r="P292" s="325">
        <f t="shared" si="61"/>
        <v>0</v>
      </c>
      <c r="Q292" s="325">
        <f t="shared" si="62"/>
        <v>0</v>
      </c>
      <c r="R292" s="325">
        <f t="shared" si="63"/>
        <v>20</v>
      </c>
      <c r="S292" s="325">
        <f t="shared" si="64"/>
        <v>0</v>
      </c>
      <c r="T292" s="325">
        <f t="shared" si="66"/>
        <v>20</v>
      </c>
      <c r="U292" s="325">
        <f t="shared" si="65"/>
        <v>187.64</v>
      </c>
      <c r="V292" s="325">
        <f t="shared" si="59"/>
        <v>0</v>
      </c>
      <c r="W292" s="449" cm="1">
        <f t="array" ref="W292">+IF(U292&lt;0,error,0)</f>
        <v>0</v>
      </c>
    </row>
    <row r="293" spans="1:23" ht="18" customHeight="1" x14ac:dyDescent="0.2">
      <c r="A293" s="402" t="s">
        <v>748</v>
      </c>
      <c r="B293" s="403"/>
      <c r="C293" s="404" t="s">
        <v>749</v>
      </c>
      <c r="D293" s="405">
        <v>41690</v>
      </c>
      <c r="E293" s="406"/>
      <c r="F293" s="325"/>
      <c r="G293" s="324"/>
      <c r="H293" s="324">
        <v>1560</v>
      </c>
      <c r="I293" s="325">
        <v>58</v>
      </c>
      <c r="J293" s="325"/>
      <c r="K293" s="325">
        <f t="shared" si="57"/>
        <v>0</v>
      </c>
      <c r="L293" s="325">
        <f t="shared" si="58"/>
        <v>0</v>
      </c>
      <c r="M293" s="407">
        <v>40</v>
      </c>
      <c r="N293" s="408" t="s">
        <v>289</v>
      </c>
      <c r="O293" s="325">
        <f t="shared" si="60"/>
        <v>0</v>
      </c>
      <c r="P293" s="325">
        <f t="shared" si="61"/>
        <v>0</v>
      </c>
      <c r="Q293" s="325">
        <f t="shared" si="62"/>
        <v>0</v>
      </c>
      <c r="R293" s="325">
        <f t="shared" si="63"/>
        <v>11</v>
      </c>
      <c r="S293" s="325">
        <f t="shared" si="64"/>
        <v>0</v>
      </c>
      <c r="T293" s="325">
        <f t="shared" si="66"/>
        <v>11</v>
      </c>
      <c r="U293" s="325">
        <f t="shared" si="65"/>
        <v>47</v>
      </c>
      <c r="V293" s="325">
        <f t="shared" si="59"/>
        <v>0</v>
      </c>
      <c r="W293" s="449" cm="1">
        <f t="array" ref="W293">+IF(U293&lt;0,error,0)</f>
        <v>0</v>
      </c>
    </row>
    <row r="294" spans="1:23" ht="18" customHeight="1" x14ac:dyDescent="0.2">
      <c r="A294" s="402" t="s">
        <v>750</v>
      </c>
      <c r="B294" s="403"/>
      <c r="C294" s="404" t="s">
        <v>751</v>
      </c>
      <c r="D294" s="405">
        <v>41729</v>
      </c>
      <c r="E294" s="406"/>
      <c r="F294" s="325"/>
      <c r="G294" s="324"/>
      <c r="H294" s="324">
        <v>6872.7300000000005</v>
      </c>
      <c r="I294" s="325">
        <v>263.73</v>
      </c>
      <c r="J294" s="325"/>
      <c r="K294" s="325">
        <f t="shared" si="57"/>
        <v>0</v>
      </c>
      <c r="L294" s="325">
        <f t="shared" si="58"/>
        <v>0</v>
      </c>
      <c r="M294" s="407">
        <v>40</v>
      </c>
      <c r="N294" s="408" t="s">
        <v>289</v>
      </c>
      <c r="O294" s="325">
        <f t="shared" si="60"/>
        <v>0</v>
      </c>
      <c r="P294" s="325">
        <f t="shared" si="61"/>
        <v>0</v>
      </c>
      <c r="Q294" s="325">
        <f t="shared" si="62"/>
        <v>0</v>
      </c>
      <c r="R294" s="325">
        <f t="shared" si="63"/>
        <v>52</v>
      </c>
      <c r="S294" s="325">
        <f t="shared" si="64"/>
        <v>0</v>
      </c>
      <c r="T294" s="325">
        <f t="shared" si="66"/>
        <v>52</v>
      </c>
      <c r="U294" s="325">
        <f t="shared" si="65"/>
        <v>211.73000000000002</v>
      </c>
      <c r="V294" s="325">
        <f t="shared" si="59"/>
        <v>0</v>
      </c>
      <c r="W294" s="449" cm="1">
        <f t="array" ref="W294">+IF(U294&lt;0,error,0)</f>
        <v>0</v>
      </c>
    </row>
    <row r="295" spans="1:23" ht="18" customHeight="1" x14ac:dyDescent="0.2">
      <c r="A295" s="402" t="s">
        <v>752</v>
      </c>
      <c r="B295" s="403"/>
      <c r="C295" s="404" t="s">
        <v>751</v>
      </c>
      <c r="D295" s="405">
        <v>41816</v>
      </c>
      <c r="E295" s="406"/>
      <c r="F295" s="325"/>
      <c r="G295" s="324"/>
      <c r="H295" s="324">
        <v>1668</v>
      </c>
      <c r="I295" s="325">
        <v>72</v>
      </c>
      <c r="J295" s="325"/>
      <c r="K295" s="325">
        <f t="shared" si="57"/>
        <v>0</v>
      </c>
      <c r="L295" s="325">
        <f t="shared" si="58"/>
        <v>0</v>
      </c>
      <c r="M295" s="407">
        <v>40</v>
      </c>
      <c r="N295" s="408" t="s">
        <v>289</v>
      </c>
      <c r="O295" s="325">
        <f t="shared" si="60"/>
        <v>0</v>
      </c>
      <c r="P295" s="325">
        <f t="shared" si="61"/>
        <v>0</v>
      </c>
      <c r="Q295" s="325">
        <f t="shared" si="62"/>
        <v>0</v>
      </c>
      <c r="R295" s="325">
        <f t="shared" si="63"/>
        <v>14</v>
      </c>
      <c r="S295" s="325">
        <f t="shared" si="64"/>
        <v>0</v>
      </c>
      <c r="T295" s="325">
        <f t="shared" si="66"/>
        <v>14</v>
      </c>
      <c r="U295" s="325">
        <f t="shared" si="65"/>
        <v>58</v>
      </c>
      <c r="V295" s="325">
        <f t="shared" si="59"/>
        <v>0</v>
      </c>
      <c r="W295" s="449" cm="1">
        <f t="array" ref="W295">+IF(U295&lt;0,error,0)</f>
        <v>0</v>
      </c>
    </row>
    <row r="296" spans="1:23" ht="18" customHeight="1" x14ac:dyDescent="0.2">
      <c r="A296" s="402" t="s">
        <v>753</v>
      </c>
      <c r="B296" s="403"/>
      <c r="C296" s="404" t="s">
        <v>754</v>
      </c>
      <c r="D296" s="405">
        <v>41833</v>
      </c>
      <c r="E296" s="406"/>
      <c r="F296" s="325"/>
      <c r="G296" s="324"/>
      <c r="H296" s="324">
        <v>35072.43</v>
      </c>
      <c r="I296" s="325">
        <v>8546.43</v>
      </c>
      <c r="J296" s="325"/>
      <c r="K296" s="325">
        <f t="shared" si="57"/>
        <v>0</v>
      </c>
      <c r="L296" s="325">
        <f t="shared" si="58"/>
        <v>0</v>
      </c>
      <c r="M296" s="407">
        <v>20</v>
      </c>
      <c r="N296" s="408" t="s">
        <v>289</v>
      </c>
      <c r="O296" s="325">
        <f t="shared" si="60"/>
        <v>0</v>
      </c>
      <c r="P296" s="325">
        <f t="shared" si="61"/>
        <v>0</v>
      </c>
      <c r="Q296" s="325">
        <f t="shared" si="62"/>
        <v>0</v>
      </c>
      <c r="R296" s="325">
        <f t="shared" si="63"/>
        <v>854</v>
      </c>
      <c r="S296" s="325">
        <f t="shared" si="64"/>
        <v>0</v>
      </c>
      <c r="T296" s="325">
        <f t="shared" si="66"/>
        <v>854</v>
      </c>
      <c r="U296" s="325">
        <f t="shared" si="65"/>
        <v>7692.43</v>
      </c>
      <c r="V296" s="325">
        <f t="shared" si="59"/>
        <v>0</v>
      </c>
      <c r="W296" s="449" cm="1">
        <f t="array" ref="W296">+IF(U296&lt;0,error,0)</f>
        <v>0</v>
      </c>
    </row>
    <row r="297" spans="1:23" ht="18" customHeight="1" x14ac:dyDescent="0.2">
      <c r="A297" s="402" t="s">
        <v>755</v>
      </c>
      <c r="B297" s="403"/>
      <c r="C297" s="404" t="s">
        <v>756</v>
      </c>
      <c r="D297" s="405">
        <v>41934</v>
      </c>
      <c r="E297" s="406"/>
      <c r="F297" s="325"/>
      <c r="G297" s="324"/>
      <c r="H297" s="324">
        <v>1636.3700000000001</v>
      </c>
      <c r="I297" s="325">
        <v>686.37</v>
      </c>
      <c r="J297" s="325"/>
      <c r="K297" s="325">
        <f t="shared" si="57"/>
        <v>0</v>
      </c>
      <c r="L297" s="325">
        <f t="shared" si="58"/>
        <v>0</v>
      </c>
      <c r="M297" s="407">
        <v>13.33</v>
      </c>
      <c r="N297" s="408" t="s">
        <v>289</v>
      </c>
      <c r="O297" s="325">
        <f t="shared" si="60"/>
        <v>0</v>
      </c>
      <c r="P297" s="325">
        <f t="shared" si="61"/>
        <v>0</v>
      </c>
      <c r="Q297" s="325">
        <f t="shared" si="62"/>
        <v>0</v>
      </c>
      <c r="R297" s="325">
        <f t="shared" si="63"/>
        <v>45</v>
      </c>
      <c r="S297" s="325">
        <f t="shared" si="64"/>
        <v>0</v>
      </c>
      <c r="T297" s="325">
        <f t="shared" si="66"/>
        <v>45</v>
      </c>
      <c r="U297" s="325">
        <f t="shared" si="65"/>
        <v>641.37</v>
      </c>
      <c r="V297" s="325">
        <f t="shared" si="59"/>
        <v>0</v>
      </c>
      <c r="W297" s="449" cm="1">
        <f t="array" ref="W297">+IF(U297&lt;0,error,0)</f>
        <v>0</v>
      </c>
    </row>
    <row r="298" spans="1:23" ht="18" customHeight="1" x14ac:dyDescent="0.2">
      <c r="A298" s="402" t="s">
        <v>757</v>
      </c>
      <c r="B298" s="403"/>
      <c r="C298" s="404" t="s">
        <v>758</v>
      </c>
      <c r="D298" s="405">
        <v>41934</v>
      </c>
      <c r="E298" s="406"/>
      <c r="F298" s="325"/>
      <c r="G298" s="324"/>
      <c r="H298" s="324">
        <v>2045.45</v>
      </c>
      <c r="I298" s="325">
        <v>1228.45</v>
      </c>
      <c r="J298" s="325"/>
      <c r="K298" s="325">
        <f t="shared" si="57"/>
        <v>0</v>
      </c>
      <c r="L298" s="325">
        <f t="shared" si="58"/>
        <v>0</v>
      </c>
      <c r="M298" s="407">
        <v>8</v>
      </c>
      <c r="N298" s="408" t="s">
        <v>289</v>
      </c>
      <c r="O298" s="325">
        <f t="shared" si="60"/>
        <v>0</v>
      </c>
      <c r="P298" s="325">
        <f t="shared" si="61"/>
        <v>0</v>
      </c>
      <c r="Q298" s="325">
        <f t="shared" si="62"/>
        <v>0</v>
      </c>
      <c r="R298" s="325">
        <f t="shared" si="63"/>
        <v>49</v>
      </c>
      <c r="S298" s="325">
        <f t="shared" si="64"/>
        <v>0</v>
      </c>
      <c r="T298" s="325">
        <f t="shared" si="66"/>
        <v>49</v>
      </c>
      <c r="U298" s="325">
        <f t="shared" si="65"/>
        <v>1179.45</v>
      </c>
      <c r="V298" s="325">
        <f t="shared" si="59"/>
        <v>0</v>
      </c>
      <c r="W298" s="449" cm="1">
        <f t="array" ref="W298">+IF(U298&lt;0,error,0)</f>
        <v>0</v>
      </c>
    </row>
    <row r="299" spans="1:23" ht="18" customHeight="1" x14ac:dyDescent="0.2">
      <c r="A299" s="402" t="s">
        <v>759</v>
      </c>
      <c r="B299" s="403"/>
      <c r="C299" s="404" t="s">
        <v>760</v>
      </c>
      <c r="D299" s="405">
        <v>41934</v>
      </c>
      <c r="E299" s="406"/>
      <c r="F299" s="325"/>
      <c r="G299" s="324"/>
      <c r="H299" s="324">
        <v>19585.23</v>
      </c>
      <c r="I299" s="325">
        <v>5101.2300000000005</v>
      </c>
      <c r="J299" s="325"/>
      <c r="K299" s="325">
        <f t="shared" si="57"/>
        <v>0</v>
      </c>
      <c r="L299" s="325">
        <f t="shared" si="58"/>
        <v>0</v>
      </c>
      <c r="M299" s="407">
        <v>20</v>
      </c>
      <c r="N299" s="408" t="s">
        <v>289</v>
      </c>
      <c r="O299" s="325">
        <f t="shared" si="60"/>
        <v>0</v>
      </c>
      <c r="P299" s="325">
        <f t="shared" si="61"/>
        <v>0</v>
      </c>
      <c r="Q299" s="325">
        <f t="shared" si="62"/>
        <v>0</v>
      </c>
      <c r="R299" s="325">
        <f t="shared" si="63"/>
        <v>510</v>
      </c>
      <c r="S299" s="325">
        <f t="shared" si="64"/>
        <v>0</v>
      </c>
      <c r="T299" s="325">
        <f t="shared" si="66"/>
        <v>510</v>
      </c>
      <c r="U299" s="325">
        <f t="shared" si="65"/>
        <v>4591.2300000000005</v>
      </c>
      <c r="V299" s="325">
        <f t="shared" si="59"/>
        <v>0</v>
      </c>
      <c r="W299" s="449" cm="1">
        <f t="array" ref="W299">+IF(U299&lt;0,error,0)</f>
        <v>0</v>
      </c>
    </row>
    <row r="300" spans="1:23" ht="18" customHeight="1" x14ac:dyDescent="0.2">
      <c r="A300" s="402" t="s">
        <v>761</v>
      </c>
      <c r="B300" s="403"/>
      <c r="C300" s="404" t="s">
        <v>762</v>
      </c>
      <c r="D300" s="405">
        <v>42051</v>
      </c>
      <c r="E300" s="406"/>
      <c r="F300" s="325"/>
      <c r="G300" s="324"/>
      <c r="H300" s="324">
        <v>7375.91</v>
      </c>
      <c r="I300" s="325">
        <v>2064.91</v>
      </c>
      <c r="J300" s="325"/>
      <c r="K300" s="325">
        <f t="shared" si="57"/>
        <v>0</v>
      </c>
      <c r="L300" s="325">
        <f t="shared" si="58"/>
        <v>0</v>
      </c>
      <c r="M300" s="407">
        <v>20</v>
      </c>
      <c r="N300" s="408" t="s">
        <v>289</v>
      </c>
      <c r="O300" s="325">
        <f t="shared" si="60"/>
        <v>0</v>
      </c>
      <c r="P300" s="325">
        <f t="shared" si="61"/>
        <v>0</v>
      </c>
      <c r="Q300" s="325">
        <f t="shared" si="62"/>
        <v>0</v>
      </c>
      <c r="R300" s="325">
        <f t="shared" si="63"/>
        <v>206</v>
      </c>
      <c r="S300" s="325">
        <f t="shared" si="64"/>
        <v>0</v>
      </c>
      <c r="T300" s="325">
        <f t="shared" si="66"/>
        <v>206</v>
      </c>
      <c r="U300" s="325">
        <f t="shared" si="65"/>
        <v>1858.9099999999999</v>
      </c>
      <c r="V300" s="325">
        <f t="shared" si="59"/>
        <v>0</v>
      </c>
      <c r="W300" s="449" cm="1">
        <f t="array" ref="W300">+IF(U300&lt;0,error,0)</f>
        <v>0</v>
      </c>
    </row>
    <row r="301" spans="1:23" ht="18" customHeight="1" x14ac:dyDescent="0.2">
      <c r="A301" s="402" t="s">
        <v>763</v>
      </c>
      <c r="B301" s="403"/>
      <c r="C301" s="404" t="s">
        <v>764</v>
      </c>
      <c r="D301" s="405">
        <v>42094</v>
      </c>
      <c r="E301" s="406"/>
      <c r="F301" s="325"/>
      <c r="G301" s="324"/>
      <c r="H301" s="324">
        <v>42967.8</v>
      </c>
      <c r="I301" s="325">
        <v>19137.8</v>
      </c>
      <c r="J301" s="325"/>
      <c r="K301" s="325">
        <f t="shared" si="57"/>
        <v>0</v>
      </c>
      <c r="L301" s="325">
        <f t="shared" si="58"/>
        <v>0</v>
      </c>
      <c r="M301" s="407">
        <v>13.33</v>
      </c>
      <c r="N301" s="408" t="s">
        <v>289</v>
      </c>
      <c r="O301" s="325">
        <f t="shared" si="60"/>
        <v>0</v>
      </c>
      <c r="P301" s="325">
        <f t="shared" si="61"/>
        <v>0</v>
      </c>
      <c r="Q301" s="325">
        <f t="shared" si="62"/>
        <v>0</v>
      </c>
      <c r="R301" s="325">
        <f t="shared" si="63"/>
        <v>1275</v>
      </c>
      <c r="S301" s="325">
        <f t="shared" si="64"/>
        <v>0</v>
      </c>
      <c r="T301" s="325">
        <f t="shared" si="66"/>
        <v>1275</v>
      </c>
      <c r="U301" s="325">
        <f t="shared" si="65"/>
        <v>17862.8</v>
      </c>
      <c r="V301" s="325">
        <f t="shared" si="59"/>
        <v>0</v>
      </c>
      <c r="W301" s="449" cm="1">
        <f t="array" ref="W301">+IF(U301&lt;0,error,0)</f>
        <v>0</v>
      </c>
    </row>
    <row r="302" spans="1:23" ht="18" customHeight="1" x14ac:dyDescent="0.2">
      <c r="A302" s="402" t="s">
        <v>765</v>
      </c>
      <c r="B302" s="403"/>
      <c r="C302" s="404" t="s">
        <v>766</v>
      </c>
      <c r="D302" s="405">
        <v>42149</v>
      </c>
      <c r="E302" s="406"/>
      <c r="F302" s="325"/>
      <c r="G302" s="324"/>
      <c r="H302" s="324">
        <v>5984.55</v>
      </c>
      <c r="I302" s="325">
        <v>2721.55</v>
      </c>
      <c r="J302" s="325"/>
      <c r="K302" s="325">
        <f t="shared" si="57"/>
        <v>0</v>
      </c>
      <c r="L302" s="325">
        <f t="shared" si="58"/>
        <v>0</v>
      </c>
      <c r="M302" s="407">
        <v>13.33</v>
      </c>
      <c r="N302" s="408" t="s">
        <v>289</v>
      </c>
      <c r="O302" s="325">
        <f t="shared" si="60"/>
        <v>0</v>
      </c>
      <c r="P302" s="325">
        <f t="shared" si="61"/>
        <v>0</v>
      </c>
      <c r="Q302" s="325">
        <f t="shared" si="62"/>
        <v>0</v>
      </c>
      <c r="R302" s="325">
        <f t="shared" si="63"/>
        <v>181</v>
      </c>
      <c r="S302" s="325">
        <f t="shared" si="64"/>
        <v>0</v>
      </c>
      <c r="T302" s="325">
        <f t="shared" si="66"/>
        <v>181</v>
      </c>
      <c r="U302" s="325">
        <f t="shared" si="65"/>
        <v>2540.5500000000002</v>
      </c>
      <c r="V302" s="325">
        <f t="shared" si="59"/>
        <v>0</v>
      </c>
      <c r="W302" s="449" cm="1">
        <f t="array" ref="W302">+IF(U302&lt;0,error,0)</f>
        <v>0</v>
      </c>
    </row>
    <row r="303" spans="1:23" ht="18" customHeight="1" x14ac:dyDescent="0.2">
      <c r="A303" s="402" t="s">
        <v>767</v>
      </c>
      <c r="B303" s="403"/>
      <c r="C303" s="404" t="s">
        <v>768</v>
      </c>
      <c r="D303" s="405">
        <v>41842</v>
      </c>
      <c r="E303" s="406"/>
      <c r="F303" s="325"/>
      <c r="G303" s="324"/>
      <c r="H303" s="324">
        <v>2500</v>
      </c>
      <c r="I303" s="325">
        <v>0</v>
      </c>
      <c r="J303" s="325"/>
      <c r="K303" s="325">
        <f t="shared" si="57"/>
        <v>0</v>
      </c>
      <c r="L303" s="325">
        <f t="shared" si="58"/>
        <v>0</v>
      </c>
      <c r="M303" s="407">
        <v>20</v>
      </c>
      <c r="N303" s="408" t="s">
        <v>289</v>
      </c>
      <c r="O303" s="325">
        <f t="shared" si="60"/>
        <v>0</v>
      </c>
      <c r="P303" s="325">
        <f t="shared" si="61"/>
        <v>0</v>
      </c>
      <c r="Q303" s="325">
        <f t="shared" si="62"/>
        <v>0</v>
      </c>
      <c r="R303" s="325">
        <f t="shared" si="63"/>
        <v>0</v>
      </c>
      <c r="S303" s="325">
        <f t="shared" si="64"/>
        <v>0</v>
      </c>
      <c r="T303" s="325">
        <f t="shared" si="66"/>
        <v>0</v>
      </c>
      <c r="U303" s="325">
        <f t="shared" si="65"/>
        <v>0</v>
      </c>
      <c r="V303" s="325">
        <f t="shared" si="59"/>
        <v>0</v>
      </c>
      <c r="W303" s="449" cm="1">
        <f t="array" ref="W303">+IF(U303&lt;0,error,0)</f>
        <v>0</v>
      </c>
    </row>
    <row r="304" spans="1:23" ht="18" customHeight="1" x14ac:dyDescent="0.2">
      <c r="A304" s="402" t="s">
        <v>776</v>
      </c>
      <c r="B304" s="403"/>
      <c r="C304" s="404" t="s">
        <v>777</v>
      </c>
      <c r="D304" s="405">
        <v>41934</v>
      </c>
      <c r="E304" s="406"/>
      <c r="F304" s="325"/>
      <c r="G304" s="324"/>
      <c r="H304" s="324">
        <v>869.32</v>
      </c>
      <c r="I304" s="325">
        <v>0</v>
      </c>
      <c r="J304" s="325"/>
      <c r="K304" s="325">
        <f t="shared" ref="K304:K367" si="67">INT(IF($E304&gt;0,IF(+F304-I304+Q304&lt;0,0,+F304-I304+Q304),0))</f>
        <v>0</v>
      </c>
      <c r="L304" s="325">
        <f t="shared" ref="L304:L367" si="68">INT(IF($E304&gt;0,IF(K304=0,-F304+I304-Q304,0),0))</f>
        <v>0</v>
      </c>
      <c r="M304" s="407">
        <v>20</v>
      </c>
      <c r="N304" s="408" t="s">
        <v>289</v>
      </c>
      <c r="O304" s="325">
        <f t="shared" si="60"/>
        <v>0</v>
      </c>
      <c r="P304" s="325">
        <f t="shared" si="61"/>
        <v>0</v>
      </c>
      <c r="Q304" s="325">
        <f t="shared" si="62"/>
        <v>0</v>
      </c>
      <c r="R304" s="325">
        <f t="shared" si="63"/>
        <v>0</v>
      </c>
      <c r="S304" s="325">
        <f t="shared" si="64"/>
        <v>0</v>
      </c>
      <c r="T304" s="325">
        <f t="shared" si="66"/>
        <v>0</v>
      </c>
      <c r="U304" s="325">
        <f t="shared" si="65"/>
        <v>0</v>
      </c>
      <c r="V304" s="325">
        <f t="shared" ref="V304:V367" si="69">IF(E304&gt;0,+H304+J304,0)</f>
        <v>0</v>
      </c>
      <c r="W304" s="449" cm="1">
        <f t="array" ref="W304">+IF(U304&lt;0,error,0)</f>
        <v>0</v>
      </c>
    </row>
    <row r="305" spans="1:23" ht="18" customHeight="1" x14ac:dyDescent="0.2">
      <c r="A305" s="402" t="s">
        <v>780</v>
      </c>
      <c r="B305" s="403"/>
      <c r="C305" s="404" t="s">
        <v>781</v>
      </c>
      <c r="D305" s="405">
        <v>42217</v>
      </c>
      <c r="E305" s="406"/>
      <c r="F305" s="325"/>
      <c r="G305" s="324"/>
      <c r="H305" s="324">
        <v>6500</v>
      </c>
      <c r="I305" s="325">
        <v>2006</v>
      </c>
      <c r="J305" s="325"/>
      <c r="K305" s="325">
        <f t="shared" si="67"/>
        <v>0</v>
      </c>
      <c r="L305" s="325">
        <f t="shared" si="68"/>
        <v>0</v>
      </c>
      <c r="M305" s="407">
        <v>20</v>
      </c>
      <c r="N305" s="408" t="s">
        <v>289</v>
      </c>
      <c r="O305" s="325">
        <f t="shared" ref="O305:O368" si="70">IF(E305&gt;0,INT(IF($N305="D",IF($D305&lt;$H$3,$I305*($M305/100)*((E305-$H$3)/365),$J305*($M305/100)*($J$3-$D305)/365),0)),0)</f>
        <v>0</v>
      </c>
      <c r="P305" s="325">
        <f t="shared" ref="P305:P368" si="71">IF(E305&gt;0,INT(IF($N305="P",IF($D305&lt;$H$3,$H305*($M305/100)*(E305-$H$3)/365,$J305*($M305/100)*($J$3-$D305)/365),0)),0)</f>
        <v>0</v>
      </c>
      <c r="Q305" s="325">
        <f t="shared" ref="Q305:Q368" si="72">+O305+P305</f>
        <v>0</v>
      </c>
      <c r="R305" s="325">
        <f t="shared" ref="R305:R368" si="73">INT(IF($E305&gt;0,0,(IF($N305="D",IF($D305&lt;$H$3,$I305*($M305/100)*$U$3/12,$J305*($M305/100)*($J$3-$D305)/365),0))))</f>
        <v>200</v>
      </c>
      <c r="S305" s="325">
        <f t="shared" ref="S305:S368" si="74">INT(IF($E305&gt;0,0,(IF($N305="P",IF($D305&lt;$H$3,$H305*($M305/100)*$U$3/12,$J305*($M305/100)*($J$3-$D305)/365),0))))</f>
        <v>0</v>
      </c>
      <c r="T305" s="325">
        <f t="shared" si="66"/>
        <v>200</v>
      </c>
      <c r="U305" s="325">
        <f t="shared" si="65"/>
        <v>1806</v>
      </c>
      <c r="V305" s="325">
        <f t="shared" si="69"/>
        <v>0</v>
      </c>
      <c r="W305" s="449" cm="1">
        <f t="array" ref="W305">+IF(U305&lt;0,error,0)</f>
        <v>0</v>
      </c>
    </row>
    <row r="306" spans="1:23" ht="18" customHeight="1" x14ac:dyDescent="0.2">
      <c r="A306" s="402" t="s">
        <v>782</v>
      </c>
      <c r="B306" s="403"/>
      <c r="C306" s="404" t="s">
        <v>783</v>
      </c>
      <c r="D306" s="405">
        <v>42229</v>
      </c>
      <c r="E306" s="406"/>
      <c r="F306" s="325"/>
      <c r="G306" s="324"/>
      <c r="H306" s="324">
        <v>3477</v>
      </c>
      <c r="I306" s="325">
        <v>1987.5370000000003</v>
      </c>
      <c r="J306" s="325"/>
      <c r="K306" s="325">
        <f t="shared" si="67"/>
        <v>0</v>
      </c>
      <c r="L306" s="325">
        <f t="shared" si="68"/>
        <v>0</v>
      </c>
      <c r="M306" s="407">
        <v>10</v>
      </c>
      <c r="N306" s="408" t="s">
        <v>289</v>
      </c>
      <c r="O306" s="325">
        <f t="shared" si="70"/>
        <v>0</v>
      </c>
      <c r="P306" s="325">
        <f t="shared" si="71"/>
        <v>0</v>
      </c>
      <c r="Q306" s="325">
        <f t="shared" si="72"/>
        <v>0</v>
      </c>
      <c r="R306" s="325">
        <f t="shared" si="73"/>
        <v>99</v>
      </c>
      <c r="S306" s="325">
        <f t="shared" si="74"/>
        <v>0</v>
      </c>
      <c r="T306" s="325">
        <f t="shared" si="66"/>
        <v>99</v>
      </c>
      <c r="U306" s="325">
        <f t="shared" si="65"/>
        <v>1888.5370000000003</v>
      </c>
      <c r="V306" s="325">
        <f t="shared" si="69"/>
        <v>0</v>
      </c>
      <c r="W306" s="449" cm="1">
        <f t="array" ref="W306">+IF(U306&lt;0,error,0)</f>
        <v>0</v>
      </c>
    </row>
    <row r="307" spans="1:23" ht="18" customHeight="1" x14ac:dyDescent="0.2">
      <c r="A307" s="402" t="s">
        <v>784</v>
      </c>
      <c r="B307" s="403"/>
      <c r="C307" s="404" t="s">
        <v>785</v>
      </c>
      <c r="D307" s="405">
        <v>42233</v>
      </c>
      <c r="E307" s="406"/>
      <c r="F307" s="325"/>
      <c r="G307" s="324"/>
      <c r="H307" s="324">
        <v>3240</v>
      </c>
      <c r="I307" s="325">
        <v>1855</v>
      </c>
      <c r="J307" s="325"/>
      <c r="K307" s="325">
        <f t="shared" si="67"/>
        <v>0</v>
      </c>
      <c r="L307" s="325">
        <f t="shared" si="68"/>
        <v>0</v>
      </c>
      <c r="M307" s="407">
        <v>10</v>
      </c>
      <c r="N307" s="408" t="s">
        <v>289</v>
      </c>
      <c r="O307" s="325">
        <f t="shared" si="70"/>
        <v>0</v>
      </c>
      <c r="P307" s="325">
        <f t="shared" si="71"/>
        <v>0</v>
      </c>
      <c r="Q307" s="325">
        <f t="shared" si="72"/>
        <v>0</v>
      </c>
      <c r="R307" s="325">
        <f t="shared" si="73"/>
        <v>92</v>
      </c>
      <c r="S307" s="325">
        <f t="shared" si="74"/>
        <v>0</v>
      </c>
      <c r="T307" s="325">
        <f t="shared" si="66"/>
        <v>92</v>
      </c>
      <c r="U307" s="325">
        <f t="shared" ref="U307:U370" si="75">+I307+J307-T307-F307+K307-L307</f>
        <v>1763</v>
      </c>
      <c r="V307" s="325">
        <f t="shared" si="69"/>
        <v>0</v>
      </c>
      <c r="W307" s="449" cm="1">
        <f t="array" ref="W307">+IF(U307&lt;0,error,0)</f>
        <v>0</v>
      </c>
    </row>
    <row r="308" spans="1:23" ht="18" customHeight="1" x14ac:dyDescent="0.2">
      <c r="A308" s="402" t="s">
        <v>786</v>
      </c>
      <c r="B308" s="403"/>
      <c r="C308" s="404" t="s">
        <v>787</v>
      </c>
      <c r="D308" s="405">
        <v>42278</v>
      </c>
      <c r="E308" s="406"/>
      <c r="F308" s="325"/>
      <c r="G308" s="324"/>
      <c r="H308" s="324">
        <v>953.64</v>
      </c>
      <c r="I308" s="325">
        <v>178.64</v>
      </c>
      <c r="J308" s="325"/>
      <c r="K308" s="325">
        <f t="shared" si="67"/>
        <v>0</v>
      </c>
      <c r="L308" s="325">
        <f t="shared" si="68"/>
        <v>0</v>
      </c>
      <c r="M308" s="407">
        <v>28.5</v>
      </c>
      <c r="N308" s="408" t="s">
        <v>289</v>
      </c>
      <c r="O308" s="325">
        <f t="shared" si="70"/>
        <v>0</v>
      </c>
      <c r="P308" s="325">
        <f t="shared" si="71"/>
        <v>0</v>
      </c>
      <c r="Q308" s="325">
        <f t="shared" si="72"/>
        <v>0</v>
      </c>
      <c r="R308" s="325">
        <f t="shared" si="73"/>
        <v>25</v>
      </c>
      <c r="S308" s="325">
        <f t="shared" si="74"/>
        <v>0</v>
      </c>
      <c r="T308" s="325">
        <f t="shared" si="66"/>
        <v>25</v>
      </c>
      <c r="U308" s="325">
        <f t="shared" si="75"/>
        <v>153.63999999999999</v>
      </c>
      <c r="V308" s="325">
        <f t="shared" si="69"/>
        <v>0</v>
      </c>
      <c r="W308" s="449" cm="1">
        <f t="array" ref="W308">+IF(U308&lt;0,error,0)</f>
        <v>0</v>
      </c>
    </row>
    <row r="309" spans="1:23" ht="18" customHeight="1" x14ac:dyDescent="0.2">
      <c r="A309" s="402" t="s">
        <v>788</v>
      </c>
      <c r="B309" s="403"/>
      <c r="C309" s="404" t="s">
        <v>2149</v>
      </c>
      <c r="D309" s="405">
        <v>42353</v>
      </c>
      <c r="E309" s="406"/>
      <c r="F309" s="325"/>
      <c r="G309" s="324"/>
      <c r="H309" s="324">
        <f>2395*7</f>
        <v>16765</v>
      </c>
      <c r="I309" s="325">
        <v>8282.6666666666661</v>
      </c>
      <c r="J309" s="325"/>
      <c r="K309" s="325">
        <f t="shared" si="67"/>
        <v>0</v>
      </c>
      <c r="L309" s="325">
        <f t="shared" si="68"/>
        <v>0</v>
      </c>
      <c r="M309" s="407">
        <v>13.3</v>
      </c>
      <c r="N309" s="408" t="s">
        <v>289</v>
      </c>
      <c r="O309" s="325">
        <f t="shared" si="70"/>
        <v>0</v>
      </c>
      <c r="P309" s="325">
        <f t="shared" si="71"/>
        <v>0</v>
      </c>
      <c r="Q309" s="325">
        <f t="shared" si="72"/>
        <v>0</v>
      </c>
      <c r="R309" s="325">
        <f t="shared" si="73"/>
        <v>550</v>
      </c>
      <c r="S309" s="325">
        <f t="shared" si="74"/>
        <v>0</v>
      </c>
      <c r="T309" s="325">
        <f t="shared" si="66"/>
        <v>550</v>
      </c>
      <c r="U309" s="325">
        <f t="shared" si="75"/>
        <v>7732.6666666666661</v>
      </c>
      <c r="V309" s="325">
        <f t="shared" si="69"/>
        <v>0</v>
      </c>
      <c r="W309" s="449" cm="1">
        <f t="array" ref="W309">+IF(U309&lt;0,error,0)</f>
        <v>0</v>
      </c>
    </row>
    <row r="310" spans="1:23" ht="18" customHeight="1" x14ac:dyDescent="0.2">
      <c r="A310" s="402" t="s">
        <v>790</v>
      </c>
      <c r="B310" s="403"/>
      <c r="C310" s="404" t="s">
        <v>791</v>
      </c>
      <c r="D310" s="405">
        <v>42377</v>
      </c>
      <c r="E310" s="406"/>
      <c r="F310" s="325"/>
      <c r="G310" s="324"/>
      <c r="H310" s="324">
        <v>12760</v>
      </c>
      <c r="I310" s="325">
        <v>7615</v>
      </c>
      <c r="J310" s="325"/>
      <c r="K310" s="325">
        <f t="shared" si="67"/>
        <v>0</v>
      </c>
      <c r="L310" s="325">
        <f t="shared" si="68"/>
        <v>0</v>
      </c>
      <c r="M310" s="407">
        <v>10</v>
      </c>
      <c r="N310" s="408" t="s">
        <v>289</v>
      </c>
      <c r="O310" s="325">
        <f t="shared" si="70"/>
        <v>0</v>
      </c>
      <c r="P310" s="325">
        <f t="shared" si="71"/>
        <v>0</v>
      </c>
      <c r="Q310" s="325">
        <f t="shared" si="72"/>
        <v>0</v>
      </c>
      <c r="R310" s="325">
        <f t="shared" si="73"/>
        <v>380</v>
      </c>
      <c r="S310" s="325">
        <f t="shared" si="74"/>
        <v>0</v>
      </c>
      <c r="T310" s="325">
        <f t="shared" si="66"/>
        <v>380</v>
      </c>
      <c r="U310" s="325">
        <f t="shared" si="75"/>
        <v>7235</v>
      </c>
      <c r="V310" s="325">
        <f t="shared" si="69"/>
        <v>0</v>
      </c>
      <c r="W310" s="449" cm="1">
        <f t="array" ref="W310">+IF(U310&lt;0,error,0)</f>
        <v>0</v>
      </c>
    </row>
    <row r="311" spans="1:23" ht="18" customHeight="1" x14ac:dyDescent="0.2">
      <c r="A311" s="402" t="s">
        <v>792</v>
      </c>
      <c r="B311" s="403"/>
      <c r="C311" s="404" t="s">
        <v>793</v>
      </c>
      <c r="D311" s="405">
        <v>42388</v>
      </c>
      <c r="E311" s="406"/>
      <c r="F311" s="325"/>
      <c r="G311" s="324"/>
      <c r="H311" s="324">
        <v>6380</v>
      </c>
      <c r="I311" s="325">
        <v>3820</v>
      </c>
      <c r="J311" s="325"/>
      <c r="K311" s="325">
        <f t="shared" si="67"/>
        <v>0</v>
      </c>
      <c r="L311" s="325">
        <f t="shared" si="68"/>
        <v>0</v>
      </c>
      <c r="M311" s="407">
        <v>10</v>
      </c>
      <c r="N311" s="408" t="s">
        <v>289</v>
      </c>
      <c r="O311" s="325">
        <f t="shared" si="70"/>
        <v>0</v>
      </c>
      <c r="P311" s="325">
        <f t="shared" si="71"/>
        <v>0</v>
      </c>
      <c r="Q311" s="325">
        <f t="shared" si="72"/>
        <v>0</v>
      </c>
      <c r="R311" s="325">
        <f t="shared" si="73"/>
        <v>191</v>
      </c>
      <c r="S311" s="325">
        <f t="shared" si="74"/>
        <v>0</v>
      </c>
      <c r="T311" s="325">
        <f t="shared" si="66"/>
        <v>191</v>
      </c>
      <c r="U311" s="325">
        <f t="shared" si="75"/>
        <v>3629</v>
      </c>
      <c r="V311" s="325">
        <f t="shared" si="69"/>
        <v>0</v>
      </c>
      <c r="W311" s="449" cm="1">
        <f t="array" ref="W311">+IF(U311&lt;0,error,0)</f>
        <v>0</v>
      </c>
    </row>
    <row r="312" spans="1:23" ht="18" customHeight="1" x14ac:dyDescent="0.2">
      <c r="A312" s="402" t="s">
        <v>794</v>
      </c>
      <c r="B312" s="403"/>
      <c r="C312" s="404" t="s">
        <v>795</v>
      </c>
      <c r="D312" s="405">
        <v>42389</v>
      </c>
      <c r="E312" s="406"/>
      <c r="F312" s="325"/>
      <c r="G312" s="324"/>
      <c r="H312" s="324">
        <v>10394.790000000001</v>
      </c>
      <c r="I312" s="325">
        <v>3575.79</v>
      </c>
      <c r="J312" s="325"/>
      <c r="K312" s="325">
        <f t="shared" si="67"/>
        <v>0</v>
      </c>
      <c r="L312" s="325">
        <f t="shared" si="68"/>
        <v>0</v>
      </c>
      <c r="M312" s="407">
        <v>20</v>
      </c>
      <c r="N312" s="408" t="s">
        <v>289</v>
      </c>
      <c r="O312" s="325">
        <f t="shared" si="70"/>
        <v>0</v>
      </c>
      <c r="P312" s="325">
        <f t="shared" si="71"/>
        <v>0</v>
      </c>
      <c r="Q312" s="325">
        <f t="shared" si="72"/>
        <v>0</v>
      </c>
      <c r="R312" s="325">
        <f t="shared" si="73"/>
        <v>357</v>
      </c>
      <c r="S312" s="325">
        <f t="shared" si="74"/>
        <v>0</v>
      </c>
      <c r="T312" s="325">
        <f t="shared" si="66"/>
        <v>357</v>
      </c>
      <c r="U312" s="325">
        <f t="shared" si="75"/>
        <v>3218.79</v>
      </c>
      <c r="V312" s="325">
        <f t="shared" si="69"/>
        <v>0</v>
      </c>
      <c r="W312" s="449" cm="1">
        <f t="array" ref="W312">+IF(U312&lt;0,error,0)</f>
        <v>0</v>
      </c>
    </row>
    <row r="313" spans="1:23" ht="18" customHeight="1" x14ac:dyDescent="0.2">
      <c r="A313" s="402" t="s">
        <v>796</v>
      </c>
      <c r="B313" s="403"/>
      <c r="C313" s="412" t="s">
        <v>797</v>
      </c>
      <c r="D313" s="405">
        <v>42404</v>
      </c>
      <c r="E313" s="406"/>
      <c r="F313" s="325"/>
      <c r="G313" s="324"/>
      <c r="H313" s="324">
        <v>1645</v>
      </c>
      <c r="I313" s="325">
        <v>164</v>
      </c>
      <c r="J313" s="325"/>
      <c r="K313" s="325">
        <f t="shared" si="67"/>
        <v>0</v>
      </c>
      <c r="L313" s="325">
        <f t="shared" si="68"/>
        <v>0</v>
      </c>
      <c r="M313" s="407">
        <v>40</v>
      </c>
      <c r="N313" s="408" t="s">
        <v>289</v>
      </c>
      <c r="O313" s="325">
        <f t="shared" si="70"/>
        <v>0</v>
      </c>
      <c r="P313" s="325">
        <f t="shared" si="71"/>
        <v>0</v>
      </c>
      <c r="Q313" s="325">
        <f t="shared" si="72"/>
        <v>0</v>
      </c>
      <c r="R313" s="325">
        <f t="shared" si="73"/>
        <v>32</v>
      </c>
      <c r="S313" s="325">
        <f t="shared" si="74"/>
        <v>0</v>
      </c>
      <c r="T313" s="325">
        <f t="shared" si="66"/>
        <v>32</v>
      </c>
      <c r="U313" s="325">
        <f t="shared" si="75"/>
        <v>132</v>
      </c>
      <c r="V313" s="325">
        <f t="shared" si="69"/>
        <v>0</v>
      </c>
      <c r="W313" s="449" cm="1">
        <f t="array" ref="W313">+IF(U313&lt;0,error,0)</f>
        <v>0</v>
      </c>
    </row>
    <row r="314" spans="1:23" ht="18" customHeight="1" x14ac:dyDescent="0.2">
      <c r="A314" s="402" t="s">
        <v>798</v>
      </c>
      <c r="B314" s="403"/>
      <c r="C314" s="404" t="s">
        <v>799</v>
      </c>
      <c r="D314" s="405">
        <v>42422</v>
      </c>
      <c r="E314" s="406"/>
      <c r="F314" s="325"/>
      <c r="G314" s="324"/>
      <c r="H314" s="324">
        <v>8528</v>
      </c>
      <c r="I314" s="325">
        <v>4322</v>
      </c>
      <c r="J314" s="325"/>
      <c r="K314" s="325">
        <f t="shared" si="67"/>
        <v>0</v>
      </c>
      <c r="L314" s="325">
        <f t="shared" si="68"/>
        <v>0</v>
      </c>
      <c r="M314" s="407">
        <v>13.33</v>
      </c>
      <c r="N314" s="408" t="s">
        <v>289</v>
      </c>
      <c r="O314" s="325">
        <f t="shared" si="70"/>
        <v>0</v>
      </c>
      <c r="P314" s="325">
        <f t="shared" si="71"/>
        <v>0</v>
      </c>
      <c r="Q314" s="325">
        <f t="shared" si="72"/>
        <v>0</v>
      </c>
      <c r="R314" s="325">
        <f t="shared" si="73"/>
        <v>288</v>
      </c>
      <c r="S314" s="325">
        <f t="shared" si="74"/>
        <v>0</v>
      </c>
      <c r="T314" s="325">
        <f t="shared" si="66"/>
        <v>288</v>
      </c>
      <c r="U314" s="325">
        <f t="shared" si="75"/>
        <v>4034</v>
      </c>
      <c r="V314" s="325">
        <f t="shared" si="69"/>
        <v>0</v>
      </c>
      <c r="W314" s="449" cm="1">
        <f t="array" ref="W314">+IF(U314&lt;0,error,0)</f>
        <v>0</v>
      </c>
    </row>
    <row r="315" spans="1:23" ht="18" customHeight="1" x14ac:dyDescent="0.2">
      <c r="A315" s="402" t="s">
        <v>800</v>
      </c>
      <c r="B315" s="403"/>
      <c r="C315" s="404" t="s">
        <v>801</v>
      </c>
      <c r="D315" s="405">
        <v>42424</v>
      </c>
      <c r="E315" s="406"/>
      <c r="F315" s="325"/>
      <c r="G315" s="324"/>
      <c r="H315" s="324">
        <v>11000</v>
      </c>
      <c r="I315" s="325">
        <v>5578</v>
      </c>
      <c r="J315" s="325"/>
      <c r="K315" s="325">
        <f t="shared" si="67"/>
        <v>0</v>
      </c>
      <c r="L315" s="325">
        <f t="shared" si="68"/>
        <v>0</v>
      </c>
      <c r="M315" s="407">
        <v>13.33</v>
      </c>
      <c r="N315" s="408" t="s">
        <v>289</v>
      </c>
      <c r="O315" s="325">
        <f t="shared" si="70"/>
        <v>0</v>
      </c>
      <c r="P315" s="325">
        <f t="shared" si="71"/>
        <v>0</v>
      </c>
      <c r="Q315" s="325">
        <f t="shared" si="72"/>
        <v>0</v>
      </c>
      <c r="R315" s="325">
        <f t="shared" si="73"/>
        <v>371</v>
      </c>
      <c r="S315" s="325">
        <f t="shared" si="74"/>
        <v>0</v>
      </c>
      <c r="T315" s="325">
        <f t="shared" si="66"/>
        <v>371</v>
      </c>
      <c r="U315" s="325">
        <f t="shared" si="75"/>
        <v>5207</v>
      </c>
      <c r="V315" s="325">
        <f t="shared" si="69"/>
        <v>0</v>
      </c>
      <c r="W315" s="449" cm="1">
        <f t="array" ref="W315">+IF(U315&lt;0,error,0)</f>
        <v>0</v>
      </c>
    </row>
    <row r="316" spans="1:23" ht="18" customHeight="1" x14ac:dyDescent="0.2">
      <c r="A316" s="402" t="s">
        <v>802</v>
      </c>
      <c r="B316" s="403"/>
      <c r="C316" s="412" t="s">
        <v>803</v>
      </c>
      <c r="D316" s="405">
        <v>42461</v>
      </c>
      <c r="E316" s="406"/>
      <c r="F316" s="325"/>
      <c r="G316" s="324"/>
      <c r="H316" s="324">
        <v>4822.4000000000005</v>
      </c>
      <c r="I316" s="325">
        <v>2480.4</v>
      </c>
      <c r="J316" s="325"/>
      <c r="K316" s="325">
        <f t="shared" si="67"/>
        <v>0</v>
      </c>
      <c r="L316" s="325">
        <f t="shared" si="68"/>
        <v>0</v>
      </c>
      <c r="M316" s="407">
        <v>13.33</v>
      </c>
      <c r="N316" s="408" t="s">
        <v>289</v>
      </c>
      <c r="O316" s="325">
        <f t="shared" si="70"/>
        <v>0</v>
      </c>
      <c r="P316" s="325">
        <f t="shared" si="71"/>
        <v>0</v>
      </c>
      <c r="Q316" s="325">
        <f t="shared" si="72"/>
        <v>0</v>
      </c>
      <c r="R316" s="325">
        <f t="shared" si="73"/>
        <v>165</v>
      </c>
      <c r="S316" s="325">
        <f t="shared" si="74"/>
        <v>0</v>
      </c>
      <c r="T316" s="325">
        <f t="shared" si="66"/>
        <v>165</v>
      </c>
      <c r="U316" s="325">
        <f t="shared" si="75"/>
        <v>2315.4</v>
      </c>
      <c r="V316" s="325">
        <f t="shared" si="69"/>
        <v>0</v>
      </c>
      <c r="W316" s="449" cm="1">
        <f t="array" ref="W316">+IF(U316&lt;0,error,0)</f>
        <v>0</v>
      </c>
    </row>
    <row r="317" spans="1:23" ht="18" customHeight="1" x14ac:dyDescent="0.2">
      <c r="A317" s="402" t="s">
        <v>804</v>
      </c>
      <c r="B317" s="403"/>
      <c r="C317" s="404" t="s">
        <v>805</v>
      </c>
      <c r="D317" s="405">
        <v>42461</v>
      </c>
      <c r="E317" s="406"/>
      <c r="F317" s="325"/>
      <c r="G317" s="324"/>
      <c r="H317" s="324">
        <v>7445</v>
      </c>
      <c r="I317" s="325">
        <v>3831</v>
      </c>
      <c r="J317" s="325"/>
      <c r="K317" s="325">
        <f t="shared" si="67"/>
        <v>0</v>
      </c>
      <c r="L317" s="325">
        <f t="shared" si="68"/>
        <v>0</v>
      </c>
      <c r="M317" s="407">
        <v>13.33</v>
      </c>
      <c r="N317" s="408" t="s">
        <v>289</v>
      </c>
      <c r="O317" s="325">
        <f t="shared" si="70"/>
        <v>0</v>
      </c>
      <c r="P317" s="325">
        <f t="shared" si="71"/>
        <v>0</v>
      </c>
      <c r="Q317" s="325">
        <f t="shared" si="72"/>
        <v>0</v>
      </c>
      <c r="R317" s="325">
        <f t="shared" si="73"/>
        <v>255</v>
      </c>
      <c r="S317" s="325">
        <f t="shared" si="74"/>
        <v>0</v>
      </c>
      <c r="T317" s="325">
        <f t="shared" si="66"/>
        <v>255</v>
      </c>
      <c r="U317" s="325">
        <f t="shared" si="75"/>
        <v>3576</v>
      </c>
      <c r="V317" s="325">
        <f t="shared" si="69"/>
        <v>0</v>
      </c>
      <c r="W317" s="449" cm="1">
        <f t="array" ref="W317">+IF(U317&lt;0,error,0)</f>
        <v>0</v>
      </c>
    </row>
    <row r="318" spans="1:23" ht="18" customHeight="1" x14ac:dyDescent="0.2">
      <c r="A318" s="402" t="s">
        <v>806</v>
      </c>
      <c r="B318" s="403"/>
      <c r="C318" s="412" t="s">
        <v>807</v>
      </c>
      <c r="D318" s="405">
        <v>42492</v>
      </c>
      <c r="E318" s="406"/>
      <c r="F318" s="325"/>
      <c r="G318" s="324"/>
      <c r="H318" s="324">
        <v>57910</v>
      </c>
      <c r="I318" s="325">
        <v>30123</v>
      </c>
      <c r="J318" s="325"/>
      <c r="K318" s="325">
        <f t="shared" si="67"/>
        <v>0</v>
      </c>
      <c r="L318" s="325">
        <f t="shared" si="68"/>
        <v>0</v>
      </c>
      <c r="M318" s="407">
        <v>13.33</v>
      </c>
      <c r="N318" s="408" t="s">
        <v>289</v>
      </c>
      <c r="O318" s="325">
        <f t="shared" si="70"/>
        <v>0</v>
      </c>
      <c r="P318" s="325">
        <f t="shared" si="71"/>
        <v>0</v>
      </c>
      <c r="Q318" s="325">
        <f t="shared" si="72"/>
        <v>0</v>
      </c>
      <c r="R318" s="325">
        <f t="shared" si="73"/>
        <v>2007</v>
      </c>
      <c r="S318" s="325">
        <f t="shared" si="74"/>
        <v>0</v>
      </c>
      <c r="T318" s="325">
        <f t="shared" si="66"/>
        <v>2007</v>
      </c>
      <c r="U318" s="325">
        <f t="shared" si="75"/>
        <v>28116</v>
      </c>
      <c r="V318" s="325">
        <f t="shared" si="69"/>
        <v>0</v>
      </c>
      <c r="W318" s="449" cm="1">
        <f t="array" ref="W318">+IF(U318&lt;0,error,0)</f>
        <v>0</v>
      </c>
    </row>
    <row r="319" spans="1:23" ht="18" customHeight="1" x14ac:dyDescent="0.2">
      <c r="A319" s="402" t="s">
        <v>808</v>
      </c>
      <c r="B319" s="403"/>
      <c r="C319" s="404" t="s">
        <v>809</v>
      </c>
      <c r="D319" s="405">
        <v>42517</v>
      </c>
      <c r="E319" s="406"/>
      <c r="F319" s="325"/>
      <c r="G319" s="324"/>
      <c r="H319" s="324">
        <v>1500</v>
      </c>
      <c r="I319" s="325">
        <v>932</v>
      </c>
      <c r="J319" s="325"/>
      <c r="K319" s="325">
        <f t="shared" si="67"/>
        <v>0</v>
      </c>
      <c r="L319" s="325">
        <f t="shared" si="68"/>
        <v>0</v>
      </c>
      <c r="M319" s="407">
        <v>10</v>
      </c>
      <c r="N319" s="408" t="s">
        <v>289</v>
      </c>
      <c r="O319" s="325">
        <f t="shared" si="70"/>
        <v>0</v>
      </c>
      <c r="P319" s="325">
        <f t="shared" si="71"/>
        <v>0</v>
      </c>
      <c r="Q319" s="325">
        <f t="shared" si="72"/>
        <v>0</v>
      </c>
      <c r="R319" s="325">
        <f t="shared" si="73"/>
        <v>46</v>
      </c>
      <c r="S319" s="325">
        <f t="shared" si="74"/>
        <v>0</v>
      </c>
      <c r="T319" s="325">
        <f t="shared" si="66"/>
        <v>46</v>
      </c>
      <c r="U319" s="325">
        <f t="shared" si="75"/>
        <v>886</v>
      </c>
      <c r="V319" s="325">
        <f t="shared" si="69"/>
        <v>0</v>
      </c>
      <c r="W319" s="449" cm="1">
        <f t="array" ref="W319">+IF(U319&lt;0,error,0)</f>
        <v>0</v>
      </c>
    </row>
    <row r="320" spans="1:23" ht="18" customHeight="1" x14ac:dyDescent="0.2">
      <c r="A320" s="402" t="s">
        <v>810</v>
      </c>
      <c r="B320" s="403"/>
      <c r="C320" s="404" t="s">
        <v>811</v>
      </c>
      <c r="D320" s="405">
        <v>42520</v>
      </c>
      <c r="E320" s="406"/>
      <c r="F320" s="325"/>
      <c r="G320" s="324"/>
      <c r="H320" s="324">
        <v>3000</v>
      </c>
      <c r="I320" s="325">
        <v>1865</v>
      </c>
      <c r="J320" s="325"/>
      <c r="K320" s="325">
        <f t="shared" si="67"/>
        <v>0</v>
      </c>
      <c r="L320" s="325">
        <f t="shared" si="68"/>
        <v>0</v>
      </c>
      <c r="M320" s="407">
        <v>10</v>
      </c>
      <c r="N320" s="408" t="s">
        <v>289</v>
      </c>
      <c r="O320" s="325">
        <f t="shared" si="70"/>
        <v>0</v>
      </c>
      <c r="P320" s="325">
        <f t="shared" si="71"/>
        <v>0</v>
      </c>
      <c r="Q320" s="325">
        <f t="shared" si="72"/>
        <v>0</v>
      </c>
      <c r="R320" s="325">
        <f t="shared" si="73"/>
        <v>93</v>
      </c>
      <c r="S320" s="325">
        <f t="shared" si="74"/>
        <v>0</v>
      </c>
      <c r="T320" s="325">
        <f t="shared" si="66"/>
        <v>93</v>
      </c>
      <c r="U320" s="325">
        <f t="shared" si="75"/>
        <v>1772</v>
      </c>
      <c r="V320" s="325">
        <f t="shared" si="69"/>
        <v>0</v>
      </c>
      <c r="W320" s="449" cm="1">
        <f t="array" ref="W320">+IF(U320&lt;0,error,0)</f>
        <v>0</v>
      </c>
    </row>
    <row r="321" spans="1:23" ht="18" customHeight="1" x14ac:dyDescent="0.2">
      <c r="A321" s="402" t="s">
        <v>812</v>
      </c>
      <c r="B321" s="403"/>
      <c r="C321" s="404" t="s">
        <v>813</v>
      </c>
      <c r="D321" s="405">
        <v>42552</v>
      </c>
      <c r="E321" s="406"/>
      <c r="F321" s="325"/>
      <c r="G321" s="324"/>
      <c r="H321" s="324">
        <v>2289.5500000000002</v>
      </c>
      <c r="I321" s="325">
        <v>1436.55</v>
      </c>
      <c r="J321" s="325"/>
      <c r="K321" s="325">
        <f t="shared" si="67"/>
        <v>0</v>
      </c>
      <c r="L321" s="325">
        <f t="shared" si="68"/>
        <v>0</v>
      </c>
      <c r="M321" s="407">
        <v>10</v>
      </c>
      <c r="N321" s="408" t="s">
        <v>289</v>
      </c>
      <c r="O321" s="325">
        <f t="shared" si="70"/>
        <v>0</v>
      </c>
      <c r="P321" s="325">
        <f t="shared" si="71"/>
        <v>0</v>
      </c>
      <c r="Q321" s="325">
        <f t="shared" si="72"/>
        <v>0</v>
      </c>
      <c r="R321" s="325">
        <f t="shared" si="73"/>
        <v>71</v>
      </c>
      <c r="S321" s="325">
        <f t="shared" si="74"/>
        <v>0</v>
      </c>
      <c r="T321" s="325">
        <f t="shared" si="66"/>
        <v>71</v>
      </c>
      <c r="U321" s="325">
        <f t="shared" si="75"/>
        <v>1365.55</v>
      </c>
      <c r="V321" s="325">
        <f t="shared" si="69"/>
        <v>0</v>
      </c>
      <c r="W321" s="449" cm="1">
        <f t="array" ref="W321">+IF(U321&lt;0,error,0)</f>
        <v>0</v>
      </c>
    </row>
    <row r="322" spans="1:23" ht="18" customHeight="1" x14ac:dyDescent="0.2">
      <c r="A322" s="402" t="s">
        <v>814</v>
      </c>
      <c r="B322" s="403"/>
      <c r="C322" s="404" t="s">
        <v>815</v>
      </c>
      <c r="D322" s="405">
        <v>42716</v>
      </c>
      <c r="E322" s="406"/>
      <c r="F322" s="325"/>
      <c r="G322" s="324"/>
      <c r="H322" s="324">
        <v>14640</v>
      </c>
      <c r="I322" s="325">
        <v>9633</v>
      </c>
      <c r="J322" s="325"/>
      <c r="K322" s="325">
        <f t="shared" si="67"/>
        <v>0</v>
      </c>
      <c r="L322" s="325">
        <f t="shared" si="68"/>
        <v>0</v>
      </c>
      <c r="M322" s="407">
        <v>10</v>
      </c>
      <c r="N322" s="408" t="s">
        <v>289</v>
      </c>
      <c r="O322" s="325">
        <f t="shared" si="70"/>
        <v>0</v>
      </c>
      <c r="P322" s="325">
        <f t="shared" si="71"/>
        <v>0</v>
      </c>
      <c r="Q322" s="325">
        <f t="shared" si="72"/>
        <v>0</v>
      </c>
      <c r="R322" s="325">
        <f t="shared" si="73"/>
        <v>481</v>
      </c>
      <c r="S322" s="325">
        <f t="shared" si="74"/>
        <v>0</v>
      </c>
      <c r="T322" s="325">
        <f t="shared" si="66"/>
        <v>481</v>
      </c>
      <c r="U322" s="325">
        <f t="shared" si="75"/>
        <v>9152</v>
      </c>
      <c r="V322" s="325">
        <f t="shared" si="69"/>
        <v>0</v>
      </c>
      <c r="W322" s="449" cm="1">
        <f t="array" ref="W322">+IF(U322&lt;0,error,0)</f>
        <v>0</v>
      </c>
    </row>
    <row r="323" spans="1:23" ht="18" customHeight="1" x14ac:dyDescent="0.2">
      <c r="A323" s="402" t="s">
        <v>816</v>
      </c>
      <c r="B323" s="403"/>
      <c r="C323" s="404" t="s">
        <v>815</v>
      </c>
      <c r="D323" s="405">
        <v>42716</v>
      </c>
      <c r="E323" s="406"/>
      <c r="F323" s="325"/>
      <c r="G323" s="324"/>
      <c r="H323" s="324">
        <v>14640</v>
      </c>
      <c r="I323" s="325">
        <v>9633</v>
      </c>
      <c r="J323" s="325"/>
      <c r="K323" s="325">
        <f t="shared" si="67"/>
        <v>0</v>
      </c>
      <c r="L323" s="325">
        <f t="shared" si="68"/>
        <v>0</v>
      </c>
      <c r="M323" s="407">
        <v>10</v>
      </c>
      <c r="N323" s="408" t="s">
        <v>289</v>
      </c>
      <c r="O323" s="325">
        <f t="shared" si="70"/>
        <v>0</v>
      </c>
      <c r="P323" s="325">
        <f t="shared" si="71"/>
        <v>0</v>
      </c>
      <c r="Q323" s="325">
        <f t="shared" si="72"/>
        <v>0</v>
      </c>
      <c r="R323" s="325">
        <f t="shared" si="73"/>
        <v>481</v>
      </c>
      <c r="S323" s="325">
        <f t="shared" si="74"/>
        <v>0</v>
      </c>
      <c r="T323" s="325">
        <f t="shared" si="66"/>
        <v>481</v>
      </c>
      <c r="U323" s="325">
        <f t="shared" si="75"/>
        <v>9152</v>
      </c>
      <c r="V323" s="325">
        <f t="shared" si="69"/>
        <v>0</v>
      </c>
      <c r="W323" s="449" cm="1">
        <f t="array" ref="W323">+IF(U323&lt;0,error,0)</f>
        <v>0</v>
      </c>
    </row>
    <row r="324" spans="1:23" ht="18" customHeight="1" x14ac:dyDescent="0.2">
      <c r="A324" s="402" t="s">
        <v>817</v>
      </c>
      <c r="B324" s="403"/>
      <c r="C324" s="404" t="s">
        <v>818</v>
      </c>
      <c r="D324" s="405">
        <v>42775</v>
      </c>
      <c r="E324" s="406"/>
      <c r="F324" s="325"/>
      <c r="G324" s="324"/>
      <c r="H324" s="324">
        <v>23446.77</v>
      </c>
      <c r="I324" s="325">
        <v>10206.77</v>
      </c>
      <c r="J324" s="325"/>
      <c r="K324" s="325">
        <f t="shared" si="67"/>
        <v>0</v>
      </c>
      <c r="L324" s="325">
        <f t="shared" si="68"/>
        <v>0</v>
      </c>
      <c r="M324" s="407">
        <v>20</v>
      </c>
      <c r="N324" s="408" t="s">
        <v>289</v>
      </c>
      <c r="O324" s="325">
        <f t="shared" si="70"/>
        <v>0</v>
      </c>
      <c r="P324" s="325">
        <f t="shared" si="71"/>
        <v>0</v>
      </c>
      <c r="Q324" s="325">
        <f t="shared" si="72"/>
        <v>0</v>
      </c>
      <c r="R324" s="325">
        <f t="shared" si="73"/>
        <v>1020</v>
      </c>
      <c r="S324" s="325">
        <f t="shared" si="74"/>
        <v>0</v>
      </c>
      <c r="T324" s="325">
        <f t="shared" si="66"/>
        <v>1020</v>
      </c>
      <c r="U324" s="325">
        <f t="shared" si="75"/>
        <v>9186.77</v>
      </c>
      <c r="V324" s="325">
        <f t="shared" si="69"/>
        <v>0</v>
      </c>
      <c r="W324" s="449" cm="1">
        <f t="array" ref="W324">+IF(U324&lt;0,error,0)</f>
        <v>0</v>
      </c>
    </row>
    <row r="325" spans="1:23" ht="18" customHeight="1" x14ac:dyDescent="0.2">
      <c r="A325" s="402" t="s">
        <v>819</v>
      </c>
      <c r="B325" s="403"/>
      <c r="C325" s="404" t="s">
        <v>820</v>
      </c>
      <c r="D325" s="405">
        <v>42781</v>
      </c>
      <c r="E325" s="406"/>
      <c r="F325" s="325"/>
      <c r="G325" s="324"/>
      <c r="H325" s="324">
        <v>2440</v>
      </c>
      <c r="I325" s="325">
        <v>1636</v>
      </c>
      <c r="J325" s="325"/>
      <c r="K325" s="325">
        <f t="shared" si="67"/>
        <v>0</v>
      </c>
      <c r="L325" s="325">
        <f t="shared" si="68"/>
        <v>0</v>
      </c>
      <c r="M325" s="407">
        <v>10</v>
      </c>
      <c r="N325" s="408" t="s">
        <v>289</v>
      </c>
      <c r="O325" s="325">
        <f t="shared" si="70"/>
        <v>0</v>
      </c>
      <c r="P325" s="325">
        <f t="shared" si="71"/>
        <v>0</v>
      </c>
      <c r="Q325" s="325">
        <f t="shared" si="72"/>
        <v>0</v>
      </c>
      <c r="R325" s="325">
        <f t="shared" si="73"/>
        <v>81</v>
      </c>
      <c r="S325" s="325">
        <f t="shared" si="74"/>
        <v>0</v>
      </c>
      <c r="T325" s="325">
        <f t="shared" si="66"/>
        <v>81</v>
      </c>
      <c r="U325" s="325">
        <f t="shared" si="75"/>
        <v>1555</v>
      </c>
      <c r="V325" s="325">
        <f t="shared" si="69"/>
        <v>0</v>
      </c>
      <c r="W325" s="449" cm="1">
        <f t="array" ref="W325">+IF(U325&lt;0,error,0)</f>
        <v>0</v>
      </c>
    </row>
    <row r="326" spans="1:23" ht="18" customHeight="1" x14ac:dyDescent="0.2">
      <c r="A326" s="402" t="s">
        <v>821</v>
      </c>
      <c r="B326" s="403"/>
      <c r="C326" s="404" t="s">
        <v>822</v>
      </c>
      <c r="D326" s="405">
        <v>42796</v>
      </c>
      <c r="E326" s="406"/>
      <c r="F326" s="325"/>
      <c r="G326" s="324"/>
      <c r="H326" s="324">
        <v>8960</v>
      </c>
      <c r="I326" s="325">
        <v>6033</v>
      </c>
      <c r="J326" s="325"/>
      <c r="K326" s="325">
        <f t="shared" si="67"/>
        <v>0</v>
      </c>
      <c r="L326" s="325">
        <f t="shared" si="68"/>
        <v>0</v>
      </c>
      <c r="M326" s="407">
        <v>10</v>
      </c>
      <c r="N326" s="408" t="s">
        <v>289</v>
      </c>
      <c r="O326" s="325">
        <f t="shared" si="70"/>
        <v>0</v>
      </c>
      <c r="P326" s="325">
        <f t="shared" si="71"/>
        <v>0</v>
      </c>
      <c r="Q326" s="325">
        <f t="shared" si="72"/>
        <v>0</v>
      </c>
      <c r="R326" s="325">
        <f t="shared" si="73"/>
        <v>301</v>
      </c>
      <c r="S326" s="325">
        <f t="shared" si="74"/>
        <v>0</v>
      </c>
      <c r="T326" s="325">
        <f t="shared" si="66"/>
        <v>301</v>
      </c>
      <c r="U326" s="325">
        <f t="shared" si="75"/>
        <v>5732</v>
      </c>
      <c r="V326" s="325">
        <f t="shared" si="69"/>
        <v>0</v>
      </c>
      <c r="W326" s="449" cm="1">
        <f t="array" ref="W326">+IF(U326&lt;0,error,0)</f>
        <v>0</v>
      </c>
    </row>
    <row r="327" spans="1:23" ht="18" customHeight="1" x14ac:dyDescent="0.2">
      <c r="A327" s="402" t="s">
        <v>823</v>
      </c>
      <c r="B327" s="403"/>
      <c r="C327" s="404" t="s">
        <v>824</v>
      </c>
      <c r="D327" s="405">
        <v>42866</v>
      </c>
      <c r="E327" s="406"/>
      <c r="F327" s="325"/>
      <c r="G327" s="324"/>
      <c r="H327" s="324">
        <v>4585.37</v>
      </c>
      <c r="I327" s="325">
        <v>2106.37</v>
      </c>
      <c r="J327" s="325"/>
      <c r="K327" s="325">
        <f t="shared" si="67"/>
        <v>0</v>
      </c>
      <c r="L327" s="325">
        <f t="shared" si="68"/>
        <v>0</v>
      </c>
      <c r="M327" s="407">
        <v>20</v>
      </c>
      <c r="N327" s="408" t="s">
        <v>289</v>
      </c>
      <c r="O327" s="325">
        <f t="shared" si="70"/>
        <v>0</v>
      </c>
      <c r="P327" s="325">
        <f t="shared" si="71"/>
        <v>0</v>
      </c>
      <c r="Q327" s="325">
        <f t="shared" si="72"/>
        <v>0</v>
      </c>
      <c r="R327" s="325">
        <f t="shared" si="73"/>
        <v>210</v>
      </c>
      <c r="S327" s="325">
        <f t="shared" si="74"/>
        <v>0</v>
      </c>
      <c r="T327" s="325">
        <f t="shared" si="66"/>
        <v>210</v>
      </c>
      <c r="U327" s="325">
        <f t="shared" si="75"/>
        <v>1896.37</v>
      </c>
      <c r="V327" s="325">
        <f t="shared" si="69"/>
        <v>0</v>
      </c>
      <c r="W327" s="449" cm="1">
        <f t="array" ref="W327">+IF(U327&lt;0,error,0)</f>
        <v>0</v>
      </c>
    </row>
    <row r="328" spans="1:23" ht="18" customHeight="1" x14ac:dyDescent="0.2">
      <c r="A328" s="402" t="s">
        <v>825</v>
      </c>
      <c r="B328" s="403"/>
      <c r="C328" s="412" t="s">
        <v>826</v>
      </c>
      <c r="D328" s="405">
        <v>42553</v>
      </c>
      <c r="E328" s="406"/>
      <c r="F328" s="325"/>
      <c r="G328" s="324"/>
      <c r="H328" s="324">
        <v>3135</v>
      </c>
      <c r="I328" s="325">
        <v>1187</v>
      </c>
      <c r="J328" s="325"/>
      <c r="K328" s="325">
        <f t="shared" si="67"/>
        <v>0</v>
      </c>
      <c r="L328" s="325">
        <f t="shared" si="68"/>
        <v>0</v>
      </c>
      <c r="M328" s="407">
        <v>20</v>
      </c>
      <c r="N328" s="408" t="s">
        <v>289</v>
      </c>
      <c r="O328" s="325">
        <f t="shared" si="70"/>
        <v>0</v>
      </c>
      <c r="P328" s="325">
        <f t="shared" si="71"/>
        <v>0</v>
      </c>
      <c r="Q328" s="325">
        <f t="shared" si="72"/>
        <v>0</v>
      </c>
      <c r="R328" s="325">
        <f t="shared" si="73"/>
        <v>118</v>
      </c>
      <c r="S328" s="325">
        <f t="shared" si="74"/>
        <v>0</v>
      </c>
      <c r="T328" s="325">
        <f t="shared" si="66"/>
        <v>118</v>
      </c>
      <c r="U328" s="325">
        <f t="shared" si="75"/>
        <v>1069</v>
      </c>
      <c r="V328" s="325">
        <f t="shared" si="69"/>
        <v>0</v>
      </c>
      <c r="W328" s="449" cm="1">
        <f t="array" ref="W328">+IF(U328&lt;0,error,0)</f>
        <v>0</v>
      </c>
    </row>
    <row r="329" spans="1:23" ht="18" customHeight="1" x14ac:dyDescent="0.2">
      <c r="A329" s="402" t="s">
        <v>827</v>
      </c>
      <c r="B329" s="403"/>
      <c r="C329" s="404" t="s">
        <v>828</v>
      </c>
      <c r="D329" s="405">
        <v>42773</v>
      </c>
      <c r="E329" s="406"/>
      <c r="F329" s="325"/>
      <c r="G329" s="324"/>
      <c r="H329" s="324">
        <v>1365</v>
      </c>
      <c r="I329" s="325">
        <v>795</v>
      </c>
      <c r="J329" s="325"/>
      <c r="K329" s="325">
        <f t="shared" si="67"/>
        <v>0</v>
      </c>
      <c r="L329" s="325">
        <f t="shared" si="68"/>
        <v>0</v>
      </c>
      <c r="M329" s="407">
        <v>13.33</v>
      </c>
      <c r="N329" s="408" t="s">
        <v>289</v>
      </c>
      <c r="O329" s="325">
        <f t="shared" si="70"/>
        <v>0</v>
      </c>
      <c r="P329" s="325">
        <f t="shared" si="71"/>
        <v>0</v>
      </c>
      <c r="Q329" s="325">
        <f t="shared" si="72"/>
        <v>0</v>
      </c>
      <c r="R329" s="325">
        <f t="shared" si="73"/>
        <v>52</v>
      </c>
      <c r="S329" s="325">
        <f t="shared" si="74"/>
        <v>0</v>
      </c>
      <c r="T329" s="325">
        <f t="shared" si="66"/>
        <v>52</v>
      </c>
      <c r="U329" s="325">
        <f t="shared" si="75"/>
        <v>743</v>
      </c>
      <c r="V329" s="325">
        <f t="shared" si="69"/>
        <v>0</v>
      </c>
      <c r="W329" s="449" cm="1">
        <f t="array" ref="W329">+IF(U329&lt;0,error,0)</f>
        <v>0</v>
      </c>
    </row>
    <row r="330" spans="1:23" ht="18" customHeight="1" x14ac:dyDescent="0.2">
      <c r="A330" s="402" t="s">
        <v>829</v>
      </c>
      <c r="B330" s="403"/>
      <c r="C330" s="404" t="s">
        <v>830</v>
      </c>
      <c r="D330" s="405">
        <v>42826</v>
      </c>
      <c r="E330" s="406"/>
      <c r="F330" s="325"/>
      <c r="G330" s="324"/>
      <c r="H330" s="324">
        <v>20425.25</v>
      </c>
      <c r="I330" s="325">
        <v>12117.25</v>
      </c>
      <c r="J330" s="325"/>
      <c r="K330" s="325">
        <f t="shared" si="67"/>
        <v>0</v>
      </c>
      <c r="L330" s="325">
        <f t="shared" si="68"/>
        <v>0</v>
      </c>
      <c r="M330" s="407">
        <v>13.33</v>
      </c>
      <c r="N330" s="408" t="s">
        <v>289</v>
      </c>
      <c r="O330" s="325">
        <f t="shared" si="70"/>
        <v>0</v>
      </c>
      <c r="P330" s="325">
        <f t="shared" si="71"/>
        <v>0</v>
      </c>
      <c r="Q330" s="325">
        <f t="shared" si="72"/>
        <v>0</v>
      </c>
      <c r="R330" s="325">
        <f t="shared" si="73"/>
        <v>807</v>
      </c>
      <c r="S330" s="325">
        <f t="shared" si="74"/>
        <v>0</v>
      </c>
      <c r="T330" s="325">
        <f t="shared" si="66"/>
        <v>807</v>
      </c>
      <c r="U330" s="325">
        <f t="shared" si="75"/>
        <v>11310.25</v>
      </c>
      <c r="V330" s="325">
        <f t="shared" si="69"/>
        <v>0</v>
      </c>
      <c r="W330" s="449" cm="1">
        <f t="array" ref="W330">+IF(U330&lt;0,error,0)</f>
        <v>0</v>
      </c>
    </row>
    <row r="331" spans="1:23" ht="18" customHeight="1" x14ac:dyDescent="0.2">
      <c r="A331" s="402" t="s">
        <v>831</v>
      </c>
      <c r="B331" s="403"/>
      <c r="C331" s="404" t="s">
        <v>830</v>
      </c>
      <c r="D331" s="405">
        <v>42826</v>
      </c>
      <c r="E331" s="406"/>
      <c r="F331" s="325"/>
      <c r="G331" s="324"/>
      <c r="H331" s="324">
        <v>20425.25</v>
      </c>
      <c r="I331" s="325">
        <v>12117.25</v>
      </c>
      <c r="J331" s="325"/>
      <c r="K331" s="325">
        <f t="shared" si="67"/>
        <v>0</v>
      </c>
      <c r="L331" s="325">
        <f t="shared" si="68"/>
        <v>0</v>
      </c>
      <c r="M331" s="407">
        <v>13.33</v>
      </c>
      <c r="N331" s="408" t="s">
        <v>289</v>
      </c>
      <c r="O331" s="325">
        <f t="shared" si="70"/>
        <v>0</v>
      </c>
      <c r="P331" s="325">
        <f t="shared" si="71"/>
        <v>0</v>
      </c>
      <c r="Q331" s="325">
        <f t="shared" si="72"/>
        <v>0</v>
      </c>
      <c r="R331" s="325">
        <f t="shared" si="73"/>
        <v>807</v>
      </c>
      <c r="S331" s="325">
        <f t="shared" si="74"/>
        <v>0</v>
      </c>
      <c r="T331" s="325">
        <f t="shared" si="66"/>
        <v>807</v>
      </c>
      <c r="U331" s="325">
        <f t="shared" si="75"/>
        <v>11310.25</v>
      </c>
      <c r="V331" s="325">
        <f t="shared" si="69"/>
        <v>0</v>
      </c>
      <c r="W331" s="449" cm="1">
        <f t="array" ref="W331">+IF(U331&lt;0,error,0)</f>
        <v>0</v>
      </c>
    </row>
    <row r="332" spans="1:23" ht="18" customHeight="1" x14ac:dyDescent="0.2">
      <c r="A332" s="402" t="s">
        <v>832</v>
      </c>
      <c r="B332" s="403"/>
      <c r="C332" s="404" t="s">
        <v>833</v>
      </c>
      <c r="D332" s="405">
        <v>42826</v>
      </c>
      <c r="E332" s="406"/>
      <c r="F332" s="325"/>
      <c r="G332" s="324"/>
      <c r="H332" s="324">
        <v>20425.25</v>
      </c>
      <c r="I332" s="325">
        <v>12117.25</v>
      </c>
      <c r="J332" s="325"/>
      <c r="K332" s="325">
        <f t="shared" si="67"/>
        <v>0</v>
      </c>
      <c r="L332" s="325">
        <f t="shared" si="68"/>
        <v>0</v>
      </c>
      <c r="M332" s="407">
        <v>13.33</v>
      </c>
      <c r="N332" s="408" t="s">
        <v>289</v>
      </c>
      <c r="O332" s="325">
        <f t="shared" si="70"/>
        <v>0</v>
      </c>
      <c r="P332" s="325">
        <f t="shared" si="71"/>
        <v>0</v>
      </c>
      <c r="Q332" s="325">
        <f t="shared" si="72"/>
        <v>0</v>
      </c>
      <c r="R332" s="325">
        <f t="shared" si="73"/>
        <v>807</v>
      </c>
      <c r="S332" s="325">
        <f t="shared" si="74"/>
        <v>0</v>
      </c>
      <c r="T332" s="325">
        <f t="shared" ref="T332:T395" si="76">+R332+S332+Q332</f>
        <v>807</v>
      </c>
      <c r="U332" s="325">
        <f t="shared" si="75"/>
        <v>11310.25</v>
      </c>
      <c r="V332" s="325">
        <f t="shared" si="69"/>
        <v>0</v>
      </c>
      <c r="W332" s="449" cm="1">
        <f t="array" ref="W332">+IF(U332&lt;0,error,0)</f>
        <v>0</v>
      </c>
    </row>
    <row r="333" spans="1:23" ht="18" customHeight="1" x14ac:dyDescent="0.2">
      <c r="A333" s="402" t="s">
        <v>834</v>
      </c>
      <c r="B333" s="403"/>
      <c r="C333" s="404" t="s">
        <v>833</v>
      </c>
      <c r="D333" s="405">
        <v>42826</v>
      </c>
      <c r="E333" s="406"/>
      <c r="F333" s="325"/>
      <c r="G333" s="324"/>
      <c r="H333" s="324">
        <v>20425.25</v>
      </c>
      <c r="I333" s="325">
        <v>12117.25</v>
      </c>
      <c r="J333" s="325"/>
      <c r="K333" s="325">
        <f t="shared" si="67"/>
        <v>0</v>
      </c>
      <c r="L333" s="325">
        <f t="shared" si="68"/>
        <v>0</v>
      </c>
      <c r="M333" s="407">
        <v>13.33</v>
      </c>
      <c r="N333" s="408" t="s">
        <v>289</v>
      </c>
      <c r="O333" s="325">
        <f t="shared" si="70"/>
        <v>0</v>
      </c>
      <c r="P333" s="325">
        <f t="shared" si="71"/>
        <v>0</v>
      </c>
      <c r="Q333" s="325">
        <f t="shared" si="72"/>
        <v>0</v>
      </c>
      <c r="R333" s="325">
        <f t="shared" si="73"/>
        <v>807</v>
      </c>
      <c r="S333" s="325">
        <f t="shared" si="74"/>
        <v>0</v>
      </c>
      <c r="T333" s="325">
        <f t="shared" si="76"/>
        <v>807</v>
      </c>
      <c r="U333" s="325">
        <f t="shared" si="75"/>
        <v>11310.25</v>
      </c>
      <c r="V333" s="325">
        <f t="shared" si="69"/>
        <v>0</v>
      </c>
      <c r="W333" s="449" cm="1">
        <f t="array" ref="W333">+IF(U333&lt;0,error,0)</f>
        <v>0</v>
      </c>
    </row>
    <row r="334" spans="1:23" ht="18" customHeight="1" x14ac:dyDescent="0.2">
      <c r="A334" s="402" t="s">
        <v>835</v>
      </c>
      <c r="B334" s="403"/>
      <c r="C334" s="404" t="s">
        <v>836</v>
      </c>
      <c r="D334" s="405">
        <v>42837</v>
      </c>
      <c r="E334" s="406"/>
      <c r="F334" s="325"/>
      <c r="G334" s="324"/>
      <c r="H334" s="324">
        <v>6600</v>
      </c>
      <c r="I334" s="325">
        <v>3934</v>
      </c>
      <c r="J334" s="325"/>
      <c r="K334" s="325">
        <f t="shared" si="67"/>
        <v>0</v>
      </c>
      <c r="L334" s="325">
        <f t="shared" si="68"/>
        <v>0</v>
      </c>
      <c r="M334" s="407">
        <v>13.33</v>
      </c>
      <c r="N334" s="408" t="s">
        <v>289</v>
      </c>
      <c r="O334" s="325">
        <f t="shared" si="70"/>
        <v>0</v>
      </c>
      <c r="P334" s="325">
        <f t="shared" si="71"/>
        <v>0</v>
      </c>
      <c r="Q334" s="325">
        <f t="shared" si="72"/>
        <v>0</v>
      </c>
      <c r="R334" s="325">
        <f t="shared" si="73"/>
        <v>262</v>
      </c>
      <c r="S334" s="325">
        <f t="shared" si="74"/>
        <v>0</v>
      </c>
      <c r="T334" s="325">
        <f t="shared" si="76"/>
        <v>262</v>
      </c>
      <c r="U334" s="325">
        <f t="shared" si="75"/>
        <v>3672</v>
      </c>
      <c r="V334" s="325">
        <f t="shared" si="69"/>
        <v>0</v>
      </c>
      <c r="W334" s="449" cm="1">
        <f t="array" ref="W334">+IF(U334&lt;0,error,0)</f>
        <v>0</v>
      </c>
    </row>
    <row r="335" spans="1:23" ht="18" customHeight="1" x14ac:dyDescent="0.2">
      <c r="A335" s="402" t="s">
        <v>837</v>
      </c>
      <c r="B335" s="403"/>
      <c r="C335" s="404" t="s">
        <v>838</v>
      </c>
      <c r="D335" s="405">
        <v>42846</v>
      </c>
      <c r="E335" s="406"/>
      <c r="F335" s="325"/>
      <c r="G335" s="324"/>
      <c r="H335" s="324">
        <v>14900</v>
      </c>
      <c r="I335" s="325">
        <v>8907</v>
      </c>
      <c r="J335" s="325"/>
      <c r="K335" s="325">
        <f t="shared" si="67"/>
        <v>0</v>
      </c>
      <c r="L335" s="325">
        <f t="shared" si="68"/>
        <v>0</v>
      </c>
      <c r="M335" s="407">
        <v>13.33</v>
      </c>
      <c r="N335" s="408" t="s">
        <v>289</v>
      </c>
      <c r="O335" s="325">
        <f t="shared" si="70"/>
        <v>0</v>
      </c>
      <c r="P335" s="325">
        <f t="shared" si="71"/>
        <v>0</v>
      </c>
      <c r="Q335" s="325">
        <f t="shared" si="72"/>
        <v>0</v>
      </c>
      <c r="R335" s="325">
        <f t="shared" si="73"/>
        <v>593</v>
      </c>
      <c r="S335" s="325">
        <f t="shared" si="74"/>
        <v>0</v>
      </c>
      <c r="T335" s="325">
        <f t="shared" si="76"/>
        <v>593</v>
      </c>
      <c r="U335" s="325">
        <f t="shared" si="75"/>
        <v>8314</v>
      </c>
      <c r="V335" s="325">
        <f t="shared" si="69"/>
        <v>0</v>
      </c>
      <c r="W335" s="449" cm="1">
        <f t="array" ref="W335">+IF(U335&lt;0,error,0)</f>
        <v>0</v>
      </c>
    </row>
    <row r="336" spans="1:23" ht="18" customHeight="1" x14ac:dyDescent="0.2">
      <c r="A336" s="402" t="s">
        <v>839</v>
      </c>
      <c r="B336" s="403"/>
      <c r="C336" s="404" t="s">
        <v>840</v>
      </c>
      <c r="D336" s="405">
        <v>42559</v>
      </c>
      <c r="E336" s="406"/>
      <c r="F336" s="325"/>
      <c r="G336" s="324"/>
      <c r="H336" s="324">
        <v>14332.02</v>
      </c>
      <c r="I336" s="325">
        <v>7647.02</v>
      </c>
      <c r="J336" s="325"/>
      <c r="K336" s="325">
        <f t="shared" si="67"/>
        <v>0</v>
      </c>
      <c r="L336" s="325">
        <f t="shared" si="68"/>
        <v>0</v>
      </c>
      <c r="M336" s="407">
        <v>13.33</v>
      </c>
      <c r="N336" s="408" t="s">
        <v>289</v>
      </c>
      <c r="O336" s="325">
        <f t="shared" si="70"/>
        <v>0</v>
      </c>
      <c r="P336" s="325">
        <f t="shared" si="71"/>
        <v>0</v>
      </c>
      <c r="Q336" s="325">
        <f t="shared" si="72"/>
        <v>0</v>
      </c>
      <c r="R336" s="325">
        <f t="shared" si="73"/>
        <v>509</v>
      </c>
      <c r="S336" s="325">
        <f t="shared" si="74"/>
        <v>0</v>
      </c>
      <c r="T336" s="325">
        <f t="shared" si="76"/>
        <v>509</v>
      </c>
      <c r="U336" s="325">
        <f t="shared" si="75"/>
        <v>7138.02</v>
      </c>
      <c r="V336" s="325">
        <f t="shared" si="69"/>
        <v>0</v>
      </c>
      <c r="W336" s="449" cm="1">
        <f t="array" ref="W336">+IF(U336&lt;0,error,0)</f>
        <v>0</v>
      </c>
    </row>
    <row r="337" spans="1:23" ht="18" customHeight="1" x14ac:dyDescent="0.2">
      <c r="A337" s="402" t="s">
        <v>841</v>
      </c>
      <c r="B337" s="403"/>
      <c r="C337" s="404" t="s">
        <v>842</v>
      </c>
      <c r="D337" s="405">
        <v>42559</v>
      </c>
      <c r="E337" s="406"/>
      <c r="F337" s="325"/>
      <c r="G337" s="324"/>
      <c r="H337" s="324">
        <v>14332.02</v>
      </c>
      <c r="I337" s="325">
        <v>7647.02</v>
      </c>
      <c r="J337" s="325"/>
      <c r="K337" s="325">
        <f t="shared" si="67"/>
        <v>0</v>
      </c>
      <c r="L337" s="325">
        <f t="shared" si="68"/>
        <v>0</v>
      </c>
      <c r="M337" s="407">
        <v>13.33</v>
      </c>
      <c r="N337" s="408" t="s">
        <v>289</v>
      </c>
      <c r="O337" s="325">
        <f t="shared" si="70"/>
        <v>0</v>
      </c>
      <c r="P337" s="325">
        <f t="shared" si="71"/>
        <v>0</v>
      </c>
      <c r="Q337" s="325">
        <f t="shared" si="72"/>
        <v>0</v>
      </c>
      <c r="R337" s="325">
        <f t="shared" si="73"/>
        <v>509</v>
      </c>
      <c r="S337" s="325">
        <f t="shared" si="74"/>
        <v>0</v>
      </c>
      <c r="T337" s="325">
        <f t="shared" si="76"/>
        <v>509</v>
      </c>
      <c r="U337" s="325">
        <f t="shared" si="75"/>
        <v>7138.02</v>
      </c>
      <c r="V337" s="325">
        <f t="shared" si="69"/>
        <v>0</v>
      </c>
      <c r="W337" s="449" cm="1">
        <f t="array" ref="W337">+IF(U337&lt;0,error,0)</f>
        <v>0</v>
      </c>
    </row>
    <row r="338" spans="1:23" ht="18" customHeight="1" x14ac:dyDescent="0.2">
      <c r="A338" s="402" t="s">
        <v>843</v>
      </c>
      <c r="B338" s="403"/>
      <c r="C338" s="404" t="s">
        <v>842</v>
      </c>
      <c r="D338" s="405">
        <v>42559</v>
      </c>
      <c r="E338" s="406"/>
      <c r="F338" s="325"/>
      <c r="G338" s="324"/>
      <c r="H338" s="324">
        <v>14332.03</v>
      </c>
      <c r="I338" s="325">
        <v>7647.0300000000007</v>
      </c>
      <c r="J338" s="325"/>
      <c r="K338" s="325">
        <f t="shared" si="67"/>
        <v>0</v>
      </c>
      <c r="L338" s="325">
        <f t="shared" si="68"/>
        <v>0</v>
      </c>
      <c r="M338" s="407">
        <v>13.33</v>
      </c>
      <c r="N338" s="408" t="s">
        <v>289</v>
      </c>
      <c r="O338" s="325">
        <f t="shared" si="70"/>
        <v>0</v>
      </c>
      <c r="P338" s="325">
        <f t="shared" si="71"/>
        <v>0</v>
      </c>
      <c r="Q338" s="325">
        <f t="shared" si="72"/>
        <v>0</v>
      </c>
      <c r="R338" s="325">
        <f t="shared" si="73"/>
        <v>509</v>
      </c>
      <c r="S338" s="325">
        <f t="shared" si="74"/>
        <v>0</v>
      </c>
      <c r="T338" s="325">
        <f t="shared" si="76"/>
        <v>509</v>
      </c>
      <c r="U338" s="325">
        <f t="shared" si="75"/>
        <v>7138.0300000000007</v>
      </c>
      <c r="V338" s="325">
        <f t="shared" si="69"/>
        <v>0</v>
      </c>
      <c r="W338" s="449" cm="1">
        <f t="array" ref="W338">+IF(U338&lt;0,error,0)</f>
        <v>0</v>
      </c>
    </row>
    <row r="339" spans="1:23" ht="18" customHeight="1" x14ac:dyDescent="0.2">
      <c r="A339" s="402" t="s">
        <v>844</v>
      </c>
      <c r="B339" s="403"/>
      <c r="C339" s="404" t="s">
        <v>845</v>
      </c>
      <c r="D339" s="405">
        <v>42559</v>
      </c>
      <c r="E339" s="406"/>
      <c r="F339" s="325"/>
      <c r="G339" s="324"/>
      <c r="H339" s="324">
        <v>10781.01</v>
      </c>
      <c r="I339" s="325">
        <v>5752.01</v>
      </c>
      <c r="J339" s="325"/>
      <c r="K339" s="325">
        <f t="shared" si="67"/>
        <v>0</v>
      </c>
      <c r="L339" s="325">
        <f t="shared" si="68"/>
        <v>0</v>
      </c>
      <c r="M339" s="407">
        <v>13.33</v>
      </c>
      <c r="N339" s="408" t="s">
        <v>289</v>
      </c>
      <c r="O339" s="325">
        <f t="shared" si="70"/>
        <v>0</v>
      </c>
      <c r="P339" s="325">
        <f t="shared" si="71"/>
        <v>0</v>
      </c>
      <c r="Q339" s="325">
        <f t="shared" si="72"/>
        <v>0</v>
      </c>
      <c r="R339" s="325">
        <f t="shared" si="73"/>
        <v>383</v>
      </c>
      <c r="S339" s="325">
        <f t="shared" si="74"/>
        <v>0</v>
      </c>
      <c r="T339" s="325">
        <f t="shared" si="76"/>
        <v>383</v>
      </c>
      <c r="U339" s="325">
        <f t="shared" si="75"/>
        <v>5369.01</v>
      </c>
      <c r="V339" s="325">
        <f t="shared" si="69"/>
        <v>0</v>
      </c>
      <c r="W339" s="449" cm="1">
        <f t="array" ref="W339">+IF(U339&lt;0,error,0)</f>
        <v>0</v>
      </c>
    </row>
    <row r="340" spans="1:23" ht="18" customHeight="1" x14ac:dyDescent="0.2">
      <c r="A340" s="402" t="s">
        <v>846</v>
      </c>
      <c r="B340" s="403"/>
      <c r="C340" s="404" t="s">
        <v>845</v>
      </c>
      <c r="D340" s="405">
        <v>42559</v>
      </c>
      <c r="E340" s="406"/>
      <c r="F340" s="325"/>
      <c r="G340" s="324"/>
      <c r="H340" s="324">
        <v>10781.01</v>
      </c>
      <c r="I340" s="325">
        <v>5752.01</v>
      </c>
      <c r="J340" s="325"/>
      <c r="K340" s="325">
        <f t="shared" si="67"/>
        <v>0</v>
      </c>
      <c r="L340" s="325">
        <f t="shared" si="68"/>
        <v>0</v>
      </c>
      <c r="M340" s="407">
        <v>13.33</v>
      </c>
      <c r="N340" s="408" t="s">
        <v>289</v>
      </c>
      <c r="O340" s="325">
        <f t="shared" si="70"/>
        <v>0</v>
      </c>
      <c r="P340" s="325">
        <f t="shared" si="71"/>
        <v>0</v>
      </c>
      <c r="Q340" s="325">
        <f t="shared" si="72"/>
        <v>0</v>
      </c>
      <c r="R340" s="325">
        <f t="shared" si="73"/>
        <v>383</v>
      </c>
      <c r="S340" s="325">
        <f t="shared" si="74"/>
        <v>0</v>
      </c>
      <c r="T340" s="325">
        <f t="shared" si="76"/>
        <v>383</v>
      </c>
      <c r="U340" s="325">
        <f t="shared" si="75"/>
        <v>5369.01</v>
      </c>
      <c r="V340" s="325">
        <f t="shared" si="69"/>
        <v>0</v>
      </c>
      <c r="W340" s="449" cm="1">
        <f t="array" ref="W340">+IF(U340&lt;0,error,0)</f>
        <v>0</v>
      </c>
    </row>
    <row r="341" spans="1:23" ht="18" customHeight="1" x14ac:dyDescent="0.2">
      <c r="A341" s="402" t="s">
        <v>847</v>
      </c>
      <c r="B341" s="403"/>
      <c r="C341" s="404" t="s">
        <v>845</v>
      </c>
      <c r="D341" s="405">
        <v>42559</v>
      </c>
      <c r="E341" s="406"/>
      <c r="F341" s="325"/>
      <c r="G341" s="324"/>
      <c r="H341" s="324">
        <v>10781.01</v>
      </c>
      <c r="I341" s="325">
        <v>5752.01</v>
      </c>
      <c r="J341" s="325"/>
      <c r="K341" s="325">
        <f t="shared" si="67"/>
        <v>0</v>
      </c>
      <c r="L341" s="325">
        <f t="shared" si="68"/>
        <v>0</v>
      </c>
      <c r="M341" s="407">
        <v>13.33</v>
      </c>
      <c r="N341" s="408" t="s">
        <v>289</v>
      </c>
      <c r="O341" s="325">
        <f t="shared" si="70"/>
        <v>0</v>
      </c>
      <c r="P341" s="325">
        <f t="shared" si="71"/>
        <v>0</v>
      </c>
      <c r="Q341" s="325">
        <f t="shared" si="72"/>
        <v>0</v>
      </c>
      <c r="R341" s="325">
        <f t="shared" si="73"/>
        <v>383</v>
      </c>
      <c r="S341" s="325">
        <f t="shared" si="74"/>
        <v>0</v>
      </c>
      <c r="T341" s="325">
        <f t="shared" si="76"/>
        <v>383</v>
      </c>
      <c r="U341" s="325">
        <f t="shared" si="75"/>
        <v>5369.01</v>
      </c>
      <c r="V341" s="325">
        <f t="shared" si="69"/>
        <v>0</v>
      </c>
      <c r="W341" s="449" cm="1">
        <f t="array" ref="W341">+IF(U341&lt;0,error,0)</f>
        <v>0</v>
      </c>
    </row>
    <row r="342" spans="1:23" ht="18" customHeight="1" x14ac:dyDescent="0.2">
      <c r="A342" s="402" t="s">
        <v>848</v>
      </c>
      <c r="B342" s="403"/>
      <c r="C342" s="404" t="s">
        <v>845</v>
      </c>
      <c r="D342" s="405">
        <v>42559</v>
      </c>
      <c r="E342" s="406"/>
      <c r="F342" s="325"/>
      <c r="G342" s="324"/>
      <c r="H342" s="324">
        <v>10781.01</v>
      </c>
      <c r="I342" s="325">
        <v>5752.01</v>
      </c>
      <c r="J342" s="325"/>
      <c r="K342" s="325">
        <f t="shared" si="67"/>
        <v>0</v>
      </c>
      <c r="L342" s="325">
        <f t="shared" si="68"/>
        <v>0</v>
      </c>
      <c r="M342" s="407">
        <v>13.33</v>
      </c>
      <c r="N342" s="408" t="s">
        <v>289</v>
      </c>
      <c r="O342" s="325">
        <f t="shared" si="70"/>
        <v>0</v>
      </c>
      <c r="P342" s="325">
        <f t="shared" si="71"/>
        <v>0</v>
      </c>
      <c r="Q342" s="325">
        <f t="shared" si="72"/>
        <v>0</v>
      </c>
      <c r="R342" s="325">
        <f t="shared" si="73"/>
        <v>383</v>
      </c>
      <c r="S342" s="325">
        <f t="shared" si="74"/>
        <v>0</v>
      </c>
      <c r="T342" s="325">
        <f t="shared" si="76"/>
        <v>383</v>
      </c>
      <c r="U342" s="325">
        <f t="shared" si="75"/>
        <v>5369.01</v>
      </c>
      <c r="V342" s="325">
        <f t="shared" si="69"/>
        <v>0</v>
      </c>
      <c r="W342" s="449" cm="1">
        <f t="array" ref="W342">+IF(U342&lt;0,error,0)</f>
        <v>0</v>
      </c>
    </row>
    <row r="343" spans="1:23" ht="18" customHeight="1" x14ac:dyDescent="0.2">
      <c r="A343" s="402" t="s">
        <v>849</v>
      </c>
      <c r="B343" s="403"/>
      <c r="C343" s="404" t="s">
        <v>845</v>
      </c>
      <c r="D343" s="405">
        <v>42559</v>
      </c>
      <c r="E343" s="406"/>
      <c r="F343" s="325"/>
      <c r="G343" s="324"/>
      <c r="H343" s="324">
        <v>10781.01</v>
      </c>
      <c r="I343" s="325">
        <v>5752.01</v>
      </c>
      <c r="J343" s="325"/>
      <c r="K343" s="325">
        <f t="shared" si="67"/>
        <v>0</v>
      </c>
      <c r="L343" s="325">
        <f t="shared" si="68"/>
        <v>0</v>
      </c>
      <c r="M343" s="407">
        <v>13.33</v>
      </c>
      <c r="N343" s="408" t="s">
        <v>289</v>
      </c>
      <c r="O343" s="325">
        <f t="shared" si="70"/>
        <v>0</v>
      </c>
      <c r="P343" s="325">
        <f t="shared" si="71"/>
        <v>0</v>
      </c>
      <c r="Q343" s="325">
        <f t="shared" si="72"/>
        <v>0</v>
      </c>
      <c r="R343" s="325">
        <f t="shared" si="73"/>
        <v>383</v>
      </c>
      <c r="S343" s="325">
        <f t="shared" si="74"/>
        <v>0</v>
      </c>
      <c r="T343" s="325">
        <f t="shared" si="76"/>
        <v>383</v>
      </c>
      <c r="U343" s="325">
        <f t="shared" si="75"/>
        <v>5369.01</v>
      </c>
      <c r="V343" s="325">
        <f t="shared" si="69"/>
        <v>0</v>
      </c>
      <c r="W343" s="449" cm="1">
        <f t="array" ref="W343">+IF(U343&lt;0,error,0)</f>
        <v>0</v>
      </c>
    </row>
    <row r="344" spans="1:23" ht="18" customHeight="1" x14ac:dyDescent="0.2">
      <c r="A344" s="402" t="s">
        <v>850</v>
      </c>
      <c r="B344" s="403"/>
      <c r="C344" s="404" t="s">
        <v>845</v>
      </c>
      <c r="D344" s="405">
        <v>42559</v>
      </c>
      <c r="E344" s="406"/>
      <c r="F344" s="325"/>
      <c r="G344" s="324"/>
      <c r="H344" s="324">
        <v>10781.01</v>
      </c>
      <c r="I344" s="325">
        <v>5752.01</v>
      </c>
      <c r="J344" s="325"/>
      <c r="K344" s="325">
        <f t="shared" si="67"/>
        <v>0</v>
      </c>
      <c r="L344" s="325">
        <f t="shared" si="68"/>
        <v>0</v>
      </c>
      <c r="M344" s="407">
        <v>13.33</v>
      </c>
      <c r="N344" s="408" t="s">
        <v>289</v>
      </c>
      <c r="O344" s="325">
        <f t="shared" si="70"/>
        <v>0</v>
      </c>
      <c r="P344" s="325">
        <f t="shared" si="71"/>
        <v>0</v>
      </c>
      <c r="Q344" s="325">
        <f t="shared" si="72"/>
        <v>0</v>
      </c>
      <c r="R344" s="325">
        <f t="shared" si="73"/>
        <v>383</v>
      </c>
      <c r="S344" s="325">
        <f t="shared" si="74"/>
        <v>0</v>
      </c>
      <c r="T344" s="325">
        <f t="shared" si="76"/>
        <v>383</v>
      </c>
      <c r="U344" s="325">
        <f t="shared" si="75"/>
        <v>5369.01</v>
      </c>
      <c r="V344" s="325">
        <f t="shared" si="69"/>
        <v>0</v>
      </c>
      <c r="W344" s="449" cm="1">
        <f t="array" ref="W344">+IF(U344&lt;0,error,0)</f>
        <v>0</v>
      </c>
    </row>
    <row r="345" spans="1:23" ht="18" customHeight="1" x14ac:dyDescent="0.2">
      <c r="A345" s="402" t="s">
        <v>851</v>
      </c>
      <c r="B345" s="403"/>
      <c r="C345" s="404" t="s">
        <v>845</v>
      </c>
      <c r="D345" s="405">
        <v>42559</v>
      </c>
      <c r="E345" s="406"/>
      <c r="F345" s="325"/>
      <c r="G345" s="324"/>
      <c r="H345" s="324">
        <v>10781.01</v>
      </c>
      <c r="I345" s="325">
        <v>5752.01</v>
      </c>
      <c r="J345" s="325"/>
      <c r="K345" s="325">
        <f t="shared" si="67"/>
        <v>0</v>
      </c>
      <c r="L345" s="325">
        <f t="shared" si="68"/>
        <v>0</v>
      </c>
      <c r="M345" s="407">
        <v>13.33</v>
      </c>
      <c r="N345" s="408" t="s">
        <v>289</v>
      </c>
      <c r="O345" s="325">
        <f t="shared" si="70"/>
        <v>0</v>
      </c>
      <c r="P345" s="325">
        <f t="shared" si="71"/>
        <v>0</v>
      </c>
      <c r="Q345" s="325">
        <f t="shared" si="72"/>
        <v>0</v>
      </c>
      <c r="R345" s="325">
        <f t="shared" si="73"/>
        <v>383</v>
      </c>
      <c r="S345" s="325">
        <f t="shared" si="74"/>
        <v>0</v>
      </c>
      <c r="T345" s="325">
        <f t="shared" si="76"/>
        <v>383</v>
      </c>
      <c r="U345" s="325">
        <f t="shared" si="75"/>
        <v>5369.01</v>
      </c>
      <c r="V345" s="325">
        <f t="shared" si="69"/>
        <v>0</v>
      </c>
      <c r="W345" s="449" cm="1">
        <f t="array" ref="W345">+IF(U345&lt;0,error,0)</f>
        <v>0</v>
      </c>
    </row>
    <row r="346" spans="1:23" ht="18" customHeight="1" x14ac:dyDescent="0.2">
      <c r="A346" s="402" t="s">
        <v>852</v>
      </c>
      <c r="B346" s="403"/>
      <c r="C346" s="404" t="s">
        <v>845</v>
      </c>
      <c r="D346" s="405">
        <v>42559</v>
      </c>
      <c r="E346" s="406"/>
      <c r="F346" s="325"/>
      <c r="G346" s="324"/>
      <c r="H346" s="324">
        <v>10781.01</v>
      </c>
      <c r="I346" s="325">
        <v>5752.01</v>
      </c>
      <c r="J346" s="325"/>
      <c r="K346" s="325">
        <f t="shared" si="67"/>
        <v>0</v>
      </c>
      <c r="L346" s="325">
        <f t="shared" si="68"/>
        <v>0</v>
      </c>
      <c r="M346" s="407">
        <v>13.33</v>
      </c>
      <c r="N346" s="408" t="s">
        <v>289</v>
      </c>
      <c r="O346" s="325">
        <f t="shared" si="70"/>
        <v>0</v>
      </c>
      <c r="P346" s="325">
        <f t="shared" si="71"/>
        <v>0</v>
      </c>
      <c r="Q346" s="325">
        <f t="shared" si="72"/>
        <v>0</v>
      </c>
      <c r="R346" s="325">
        <f t="shared" si="73"/>
        <v>383</v>
      </c>
      <c r="S346" s="325">
        <f t="shared" si="74"/>
        <v>0</v>
      </c>
      <c r="T346" s="325">
        <f t="shared" si="76"/>
        <v>383</v>
      </c>
      <c r="U346" s="325">
        <f t="shared" si="75"/>
        <v>5369.01</v>
      </c>
      <c r="V346" s="325">
        <f t="shared" si="69"/>
        <v>0</v>
      </c>
      <c r="W346" s="449" cm="1">
        <f t="array" ref="W346">+IF(U346&lt;0,error,0)</f>
        <v>0</v>
      </c>
    </row>
    <row r="347" spans="1:23" ht="18" customHeight="1" x14ac:dyDescent="0.2">
      <c r="A347" s="402" t="s">
        <v>853</v>
      </c>
      <c r="B347" s="403"/>
      <c r="C347" s="404" t="s">
        <v>845</v>
      </c>
      <c r="D347" s="405">
        <v>42559</v>
      </c>
      <c r="E347" s="406"/>
      <c r="F347" s="325"/>
      <c r="G347" s="324"/>
      <c r="H347" s="324">
        <v>10781.01</v>
      </c>
      <c r="I347" s="325">
        <v>5752.01</v>
      </c>
      <c r="J347" s="325"/>
      <c r="K347" s="325">
        <f t="shared" si="67"/>
        <v>0</v>
      </c>
      <c r="L347" s="325">
        <f t="shared" si="68"/>
        <v>0</v>
      </c>
      <c r="M347" s="407">
        <v>13.33</v>
      </c>
      <c r="N347" s="408" t="s">
        <v>289</v>
      </c>
      <c r="O347" s="325">
        <f t="shared" si="70"/>
        <v>0</v>
      </c>
      <c r="P347" s="325">
        <f t="shared" si="71"/>
        <v>0</v>
      </c>
      <c r="Q347" s="325">
        <f t="shared" si="72"/>
        <v>0</v>
      </c>
      <c r="R347" s="325">
        <f t="shared" si="73"/>
        <v>383</v>
      </c>
      <c r="S347" s="325">
        <f t="shared" si="74"/>
        <v>0</v>
      </c>
      <c r="T347" s="325">
        <f t="shared" si="76"/>
        <v>383</v>
      </c>
      <c r="U347" s="325">
        <f t="shared" si="75"/>
        <v>5369.01</v>
      </c>
      <c r="V347" s="325">
        <f t="shared" si="69"/>
        <v>0</v>
      </c>
      <c r="W347" s="449" cm="1">
        <f t="array" ref="W347">+IF(U347&lt;0,error,0)</f>
        <v>0</v>
      </c>
    </row>
    <row r="348" spans="1:23" ht="18" customHeight="1" x14ac:dyDescent="0.2">
      <c r="A348" s="402" t="s">
        <v>854</v>
      </c>
      <c r="B348" s="403"/>
      <c r="C348" s="404" t="s">
        <v>845</v>
      </c>
      <c r="D348" s="405">
        <v>42559</v>
      </c>
      <c r="E348" s="406"/>
      <c r="F348" s="325"/>
      <c r="G348" s="324"/>
      <c r="H348" s="324">
        <v>10781.01</v>
      </c>
      <c r="I348" s="325">
        <v>5752.01</v>
      </c>
      <c r="J348" s="325"/>
      <c r="K348" s="325">
        <f t="shared" si="67"/>
        <v>0</v>
      </c>
      <c r="L348" s="325">
        <f t="shared" si="68"/>
        <v>0</v>
      </c>
      <c r="M348" s="407">
        <v>13.33</v>
      </c>
      <c r="N348" s="408" t="s">
        <v>289</v>
      </c>
      <c r="O348" s="325">
        <f t="shared" si="70"/>
        <v>0</v>
      </c>
      <c r="P348" s="325">
        <f t="shared" si="71"/>
        <v>0</v>
      </c>
      <c r="Q348" s="325">
        <f t="shared" si="72"/>
        <v>0</v>
      </c>
      <c r="R348" s="325">
        <f t="shared" si="73"/>
        <v>383</v>
      </c>
      <c r="S348" s="325">
        <f t="shared" si="74"/>
        <v>0</v>
      </c>
      <c r="T348" s="325">
        <f t="shared" si="76"/>
        <v>383</v>
      </c>
      <c r="U348" s="325">
        <f t="shared" si="75"/>
        <v>5369.01</v>
      </c>
      <c r="V348" s="325">
        <f t="shared" si="69"/>
        <v>0</v>
      </c>
      <c r="W348" s="449" cm="1">
        <f t="array" ref="W348">+IF(U348&lt;0,error,0)</f>
        <v>0</v>
      </c>
    </row>
    <row r="349" spans="1:23" ht="18" customHeight="1" x14ac:dyDescent="0.2">
      <c r="A349" s="402" t="s">
        <v>855</v>
      </c>
      <c r="B349" s="403"/>
      <c r="C349" s="404" t="s">
        <v>845</v>
      </c>
      <c r="D349" s="405">
        <v>42559</v>
      </c>
      <c r="E349" s="406"/>
      <c r="F349" s="325"/>
      <c r="G349" s="324"/>
      <c r="H349" s="324">
        <v>10781.01</v>
      </c>
      <c r="I349" s="325">
        <v>5752.01</v>
      </c>
      <c r="J349" s="325"/>
      <c r="K349" s="325">
        <f t="shared" si="67"/>
        <v>0</v>
      </c>
      <c r="L349" s="325">
        <f t="shared" si="68"/>
        <v>0</v>
      </c>
      <c r="M349" s="407">
        <v>13.33</v>
      </c>
      <c r="N349" s="408" t="s">
        <v>289</v>
      </c>
      <c r="O349" s="325">
        <f t="shared" si="70"/>
        <v>0</v>
      </c>
      <c r="P349" s="325">
        <f t="shared" si="71"/>
        <v>0</v>
      </c>
      <c r="Q349" s="325">
        <f t="shared" si="72"/>
        <v>0</v>
      </c>
      <c r="R349" s="325">
        <f t="shared" si="73"/>
        <v>383</v>
      </c>
      <c r="S349" s="325">
        <f t="shared" si="74"/>
        <v>0</v>
      </c>
      <c r="T349" s="325">
        <f t="shared" si="76"/>
        <v>383</v>
      </c>
      <c r="U349" s="325">
        <f t="shared" si="75"/>
        <v>5369.01</v>
      </c>
      <c r="V349" s="325">
        <f t="shared" si="69"/>
        <v>0</v>
      </c>
      <c r="W349" s="449" cm="1">
        <f t="array" ref="W349">+IF(U349&lt;0,error,0)</f>
        <v>0</v>
      </c>
    </row>
    <row r="350" spans="1:23" ht="18" customHeight="1" x14ac:dyDescent="0.2">
      <c r="A350" s="402" t="s">
        <v>856</v>
      </c>
      <c r="B350" s="403"/>
      <c r="C350" s="404" t="s">
        <v>845</v>
      </c>
      <c r="D350" s="405">
        <v>42559</v>
      </c>
      <c r="E350" s="406"/>
      <c r="F350" s="325"/>
      <c r="G350" s="324"/>
      <c r="H350" s="324">
        <v>10781.04</v>
      </c>
      <c r="I350" s="325">
        <v>5752.04</v>
      </c>
      <c r="J350" s="325"/>
      <c r="K350" s="325">
        <f t="shared" si="67"/>
        <v>0</v>
      </c>
      <c r="L350" s="325">
        <f t="shared" si="68"/>
        <v>0</v>
      </c>
      <c r="M350" s="407">
        <v>13.33</v>
      </c>
      <c r="N350" s="408" t="s">
        <v>289</v>
      </c>
      <c r="O350" s="325">
        <f t="shared" si="70"/>
        <v>0</v>
      </c>
      <c r="P350" s="325">
        <f t="shared" si="71"/>
        <v>0</v>
      </c>
      <c r="Q350" s="325">
        <f t="shared" si="72"/>
        <v>0</v>
      </c>
      <c r="R350" s="325">
        <f t="shared" si="73"/>
        <v>383</v>
      </c>
      <c r="S350" s="325">
        <f t="shared" si="74"/>
        <v>0</v>
      </c>
      <c r="T350" s="325">
        <f t="shared" si="76"/>
        <v>383</v>
      </c>
      <c r="U350" s="325">
        <f t="shared" si="75"/>
        <v>5369.04</v>
      </c>
      <c r="V350" s="325">
        <f t="shared" si="69"/>
        <v>0</v>
      </c>
      <c r="W350" s="449" cm="1">
        <f t="array" ref="W350">+IF(U350&lt;0,error,0)</f>
        <v>0</v>
      </c>
    </row>
    <row r="351" spans="1:23" ht="18" customHeight="1" x14ac:dyDescent="0.2">
      <c r="A351" s="402" t="s">
        <v>857</v>
      </c>
      <c r="B351" s="403"/>
      <c r="C351" s="404" t="s">
        <v>858</v>
      </c>
      <c r="D351" s="405">
        <v>42559</v>
      </c>
      <c r="E351" s="406"/>
      <c r="F351" s="325"/>
      <c r="G351" s="324"/>
      <c r="H351" s="324">
        <v>12100.24</v>
      </c>
      <c r="I351" s="325">
        <v>6455.24</v>
      </c>
      <c r="J351" s="325"/>
      <c r="K351" s="325">
        <f t="shared" si="67"/>
        <v>0</v>
      </c>
      <c r="L351" s="325">
        <f t="shared" si="68"/>
        <v>0</v>
      </c>
      <c r="M351" s="407">
        <v>13.33</v>
      </c>
      <c r="N351" s="408" t="s">
        <v>289</v>
      </c>
      <c r="O351" s="325">
        <f t="shared" si="70"/>
        <v>0</v>
      </c>
      <c r="P351" s="325">
        <f t="shared" si="71"/>
        <v>0</v>
      </c>
      <c r="Q351" s="325">
        <f t="shared" si="72"/>
        <v>0</v>
      </c>
      <c r="R351" s="325">
        <f t="shared" si="73"/>
        <v>430</v>
      </c>
      <c r="S351" s="325">
        <f t="shared" si="74"/>
        <v>0</v>
      </c>
      <c r="T351" s="325">
        <f t="shared" si="76"/>
        <v>430</v>
      </c>
      <c r="U351" s="325">
        <f t="shared" si="75"/>
        <v>6025.24</v>
      </c>
      <c r="V351" s="325">
        <f t="shared" si="69"/>
        <v>0</v>
      </c>
      <c r="W351" s="449" cm="1">
        <f t="array" ref="W351">+IF(U351&lt;0,error,0)</f>
        <v>0</v>
      </c>
    </row>
    <row r="352" spans="1:23" ht="18" customHeight="1" x14ac:dyDescent="0.2">
      <c r="A352" s="402" t="s">
        <v>859</v>
      </c>
      <c r="B352" s="403"/>
      <c r="C352" s="404" t="s">
        <v>860</v>
      </c>
      <c r="D352" s="405">
        <v>42559</v>
      </c>
      <c r="E352" s="406"/>
      <c r="F352" s="325"/>
      <c r="G352" s="324"/>
      <c r="H352" s="324">
        <v>12063.04</v>
      </c>
      <c r="I352" s="325">
        <v>6434.0400000000009</v>
      </c>
      <c r="J352" s="325"/>
      <c r="K352" s="325">
        <f t="shared" si="67"/>
        <v>0</v>
      </c>
      <c r="L352" s="325">
        <f t="shared" si="68"/>
        <v>0</v>
      </c>
      <c r="M352" s="407">
        <v>13.33</v>
      </c>
      <c r="N352" s="408" t="s">
        <v>289</v>
      </c>
      <c r="O352" s="325">
        <f t="shared" si="70"/>
        <v>0</v>
      </c>
      <c r="P352" s="325">
        <f t="shared" si="71"/>
        <v>0</v>
      </c>
      <c r="Q352" s="325">
        <f t="shared" si="72"/>
        <v>0</v>
      </c>
      <c r="R352" s="325">
        <f t="shared" si="73"/>
        <v>428</v>
      </c>
      <c r="S352" s="325">
        <f t="shared" si="74"/>
        <v>0</v>
      </c>
      <c r="T352" s="325">
        <f t="shared" si="76"/>
        <v>428</v>
      </c>
      <c r="U352" s="325">
        <f t="shared" si="75"/>
        <v>6006.0400000000009</v>
      </c>
      <c r="V352" s="325">
        <f t="shared" si="69"/>
        <v>0</v>
      </c>
      <c r="W352" s="449" cm="1">
        <f t="array" ref="W352">+IF(U352&lt;0,error,0)</f>
        <v>0</v>
      </c>
    </row>
    <row r="353" spans="1:23" ht="18" customHeight="1" x14ac:dyDescent="0.2">
      <c r="A353" s="402" t="s">
        <v>861</v>
      </c>
      <c r="B353" s="403"/>
      <c r="C353" s="404" t="s">
        <v>862</v>
      </c>
      <c r="D353" s="405">
        <v>42559</v>
      </c>
      <c r="E353" s="406"/>
      <c r="F353" s="325"/>
      <c r="G353" s="324"/>
      <c r="H353" s="324">
        <v>9762.02</v>
      </c>
      <c r="I353" s="325">
        <v>5209.0200000000004</v>
      </c>
      <c r="J353" s="325"/>
      <c r="K353" s="325">
        <f t="shared" si="67"/>
        <v>0</v>
      </c>
      <c r="L353" s="325">
        <f t="shared" si="68"/>
        <v>0</v>
      </c>
      <c r="M353" s="407">
        <v>13.33</v>
      </c>
      <c r="N353" s="408" t="s">
        <v>289</v>
      </c>
      <c r="O353" s="325">
        <f t="shared" si="70"/>
        <v>0</v>
      </c>
      <c r="P353" s="325">
        <f t="shared" si="71"/>
        <v>0</v>
      </c>
      <c r="Q353" s="325">
        <f t="shared" si="72"/>
        <v>0</v>
      </c>
      <c r="R353" s="325">
        <f t="shared" si="73"/>
        <v>347</v>
      </c>
      <c r="S353" s="325">
        <f t="shared" si="74"/>
        <v>0</v>
      </c>
      <c r="T353" s="325">
        <f t="shared" si="76"/>
        <v>347</v>
      </c>
      <c r="U353" s="325">
        <f t="shared" si="75"/>
        <v>4862.0200000000004</v>
      </c>
      <c r="V353" s="325">
        <f t="shared" si="69"/>
        <v>0</v>
      </c>
      <c r="W353" s="449" cm="1">
        <f t="array" ref="W353">+IF(U353&lt;0,error,0)</f>
        <v>0</v>
      </c>
    </row>
    <row r="354" spans="1:23" ht="18" customHeight="1" x14ac:dyDescent="0.2">
      <c r="A354" s="402" t="s">
        <v>863</v>
      </c>
      <c r="B354" s="403"/>
      <c r="C354" s="404" t="s">
        <v>864</v>
      </c>
      <c r="D354" s="405">
        <v>42559</v>
      </c>
      <c r="E354" s="406"/>
      <c r="F354" s="325"/>
      <c r="G354" s="324"/>
      <c r="H354" s="324">
        <v>14643.04</v>
      </c>
      <c r="I354" s="325">
        <v>7811.0400000000009</v>
      </c>
      <c r="J354" s="325"/>
      <c r="K354" s="325">
        <f t="shared" si="67"/>
        <v>0</v>
      </c>
      <c r="L354" s="325">
        <f t="shared" si="68"/>
        <v>0</v>
      </c>
      <c r="M354" s="407">
        <v>13.33</v>
      </c>
      <c r="N354" s="408" t="s">
        <v>289</v>
      </c>
      <c r="O354" s="325">
        <f t="shared" si="70"/>
        <v>0</v>
      </c>
      <c r="P354" s="325">
        <f t="shared" si="71"/>
        <v>0</v>
      </c>
      <c r="Q354" s="325">
        <f t="shared" si="72"/>
        <v>0</v>
      </c>
      <c r="R354" s="325">
        <f t="shared" si="73"/>
        <v>520</v>
      </c>
      <c r="S354" s="325">
        <f t="shared" si="74"/>
        <v>0</v>
      </c>
      <c r="T354" s="325">
        <f t="shared" si="76"/>
        <v>520</v>
      </c>
      <c r="U354" s="325">
        <f t="shared" si="75"/>
        <v>7291.0400000000009</v>
      </c>
      <c r="V354" s="325">
        <f t="shared" si="69"/>
        <v>0</v>
      </c>
      <c r="W354" s="449" cm="1">
        <f t="array" ref="W354">+IF(U354&lt;0,error,0)</f>
        <v>0</v>
      </c>
    </row>
    <row r="355" spans="1:23" ht="18" customHeight="1" x14ac:dyDescent="0.2">
      <c r="A355" s="402" t="s">
        <v>865</v>
      </c>
      <c r="B355" s="403"/>
      <c r="C355" s="404" t="s">
        <v>866</v>
      </c>
      <c r="D355" s="405">
        <v>42559</v>
      </c>
      <c r="E355" s="406"/>
      <c r="F355" s="325"/>
      <c r="G355" s="324"/>
      <c r="H355" s="324">
        <v>15141.01</v>
      </c>
      <c r="I355" s="325">
        <v>11148.01</v>
      </c>
      <c r="J355" s="325"/>
      <c r="K355" s="325">
        <f t="shared" si="67"/>
        <v>0</v>
      </c>
      <c r="L355" s="325">
        <f t="shared" si="68"/>
        <v>0</v>
      </c>
      <c r="M355" s="407">
        <v>6.67</v>
      </c>
      <c r="N355" s="408" t="s">
        <v>289</v>
      </c>
      <c r="O355" s="325">
        <f t="shared" si="70"/>
        <v>0</v>
      </c>
      <c r="P355" s="325">
        <f t="shared" si="71"/>
        <v>0</v>
      </c>
      <c r="Q355" s="325">
        <f t="shared" si="72"/>
        <v>0</v>
      </c>
      <c r="R355" s="325">
        <f t="shared" si="73"/>
        <v>371</v>
      </c>
      <c r="S355" s="325">
        <f t="shared" si="74"/>
        <v>0</v>
      </c>
      <c r="T355" s="325">
        <f t="shared" si="76"/>
        <v>371</v>
      </c>
      <c r="U355" s="325">
        <f t="shared" si="75"/>
        <v>10777.01</v>
      </c>
      <c r="V355" s="325">
        <f t="shared" si="69"/>
        <v>0</v>
      </c>
      <c r="W355" s="449" cm="1">
        <f t="array" ref="W355">+IF(U355&lt;0,error,0)</f>
        <v>0</v>
      </c>
    </row>
    <row r="356" spans="1:23" ht="18" customHeight="1" x14ac:dyDescent="0.2">
      <c r="A356" s="402" t="s">
        <v>867</v>
      </c>
      <c r="B356" s="403"/>
      <c r="C356" s="404" t="s">
        <v>866</v>
      </c>
      <c r="D356" s="405">
        <v>42559</v>
      </c>
      <c r="E356" s="406"/>
      <c r="F356" s="325"/>
      <c r="G356" s="324"/>
      <c r="H356" s="324">
        <v>15141.01</v>
      </c>
      <c r="I356" s="325">
        <v>5746.01</v>
      </c>
      <c r="J356" s="325"/>
      <c r="K356" s="325">
        <f t="shared" si="67"/>
        <v>0</v>
      </c>
      <c r="L356" s="325">
        <f t="shared" si="68"/>
        <v>0</v>
      </c>
      <c r="M356" s="407">
        <v>20</v>
      </c>
      <c r="N356" s="408" t="s">
        <v>289</v>
      </c>
      <c r="O356" s="325">
        <f t="shared" si="70"/>
        <v>0</v>
      </c>
      <c r="P356" s="325">
        <f t="shared" si="71"/>
        <v>0</v>
      </c>
      <c r="Q356" s="325">
        <f t="shared" si="72"/>
        <v>0</v>
      </c>
      <c r="R356" s="325">
        <f t="shared" si="73"/>
        <v>574</v>
      </c>
      <c r="S356" s="325">
        <f t="shared" si="74"/>
        <v>0</v>
      </c>
      <c r="T356" s="325">
        <f t="shared" si="76"/>
        <v>574</v>
      </c>
      <c r="U356" s="325">
        <f t="shared" si="75"/>
        <v>5172.01</v>
      </c>
      <c r="V356" s="325">
        <f t="shared" si="69"/>
        <v>0</v>
      </c>
      <c r="W356" s="449" cm="1">
        <f t="array" ref="W356">+IF(U356&lt;0,error,0)</f>
        <v>0</v>
      </c>
    </row>
    <row r="357" spans="1:23" ht="18" customHeight="1" x14ac:dyDescent="0.2">
      <c r="A357" s="402" t="s">
        <v>868</v>
      </c>
      <c r="B357" s="403"/>
      <c r="C357" s="404" t="s">
        <v>866</v>
      </c>
      <c r="D357" s="405">
        <v>42559</v>
      </c>
      <c r="E357" s="406"/>
      <c r="F357" s="325"/>
      <c r="G357" s="324"/>
      <c r="H357" s="324">
        <v>15141.01</v>
      </c>
      <c r="I357" s="325">
        <v>11148.01</v>
      </c>
      <c r="J357" s="325"/>
      <c r="K357" s="325">
        <f t="shared" si="67"/>
        <v>0</v>
      </c>
      <c r="L357" s="325">
        <f t="shared" si="68"/>
        <v>0</v>
      </c>
      <c r="M357" s="407">
        <v>6.67</v>
      </c>
      <c r="N357" s="408" t="s">
        <v>289</v>
      </c>
      <c r="O357" s="325">
        <f t="shared" si="70"/>
        <v>0</v>
      </c>
      <c r="P357" s="325">
        <f t="shared" si="71"/>
        <v>0</v>
      </c>
      <c r="Q357" s="325">
        <f t="shared" si="72"/>
        <v>0</v>
      </c>
      <c r="R357" s="325">
        <f t="shared" si="73"/>
        <v>371</v>
      </c>
      <c r="S357" s="325">
        <f t="shared" si="74"/>
        <v>0</v>
      </c>
      <c r="T357" s="325">
        <f t="shared" si="76"/>
        <v>371</v>
      </c>
      <c r="U357" s="325">
        <f t="shared" si="75"/>
        <v>10777.01</v>
      </c>
      <c r="V357" s="325">
        <f t="shared" si="69"/>
        <v>0</v>
      </c>
      <c r="W357" s="449" cm="1">
        <f t="array" ref="W357">+IF(U357&lt;0,error,0)</f>
        <v>0</v>
      </c>
    </row>
    <row r="358" spans="1:23" ht="18" customHeight="1" x14ac:dyDescent="0.2">
      <c r="A358" s="402" t="s">
        <v>869</v>
      </c>
      <c r="B358" s="403"/>
      <c r="C358" s="404" t="s">
        <v>866</v>
      </c>
      <c r="D358" s="405">
        <v>42559</v>
      </c>
      <c r="E358" s="406"/>
      <c r="F358" s="325"/>
      <c r="G358" s="324"/>
      <c r="H358" s="324">
        <v>15141.01</v>
      </c>
      <c r="I358" s="325">
        <v>11148.01</v>
      </c>
      <c r="J358" s="325"/>
      <c r="K358" s="325">
        <f t="shared" si="67"/>
        <v>0</v>
      </c>
      <c r="L358" s="325">
        <f t="shared" si="68"/>
        <v>0</v>
      </c>
      <c r="M358" s="407">
        <v>6.67</v>
      </c>
      <c r="N358" s="408" t="s">
        <v>289</v>
      </c>
      <c r="O358" s="325">
        <f t="shared" si="70"/>
        <v>0</v>
      </c>
      <c r="P358" s="325">
        <f t="shared" si="71"/>
        <v>0</v>
      </c>
      <c r="Q358" s="325">
        <f t="shared" si="72"/>
        <v>0</v>
      </c>
      <c r="R358" s="325">
        <f t="shared" si="73"/>
        <v>371</v>
      </c>
      <c r="S358" s="325">
        <f t="shared" si="74"/>
        <v>0</v>
      </c>
      <c r="T358" s="325">
        <f t="shared" si="76"/>
        <v>371</v>
      </c>
      <c r="U358" s="325">
        <f t="shared" si="75"/>
        <v>10777.01</v>
      </c>
      <c r="V358" s="325">
        <f t="shared" si="69"/>
        <v>0</v>
      </c>
      <c r="W358" s="449" cm="1">
        <f t="array" ref="W358">+IF(U358&lt;0,error,0)</f>
        <v>0</v>
      </c>
    </row>
    <row r="359" spans="1:23" ht="18" customHeight="1" x14ac:dyDescent="0.2">
      <c r="A359" s="402" t="s">
        <v>870</v>
      </c>
      <c r="B359" s="403"/>
      <c r="C359" s="404" t="s">
        <v>866</v>
      </c>
      <c r="D359" s="405">
        <v>42559</v>
      </c>
      <c r="E359" s="406"/>
      <c r="F359" s="325"/>
      <c r="G359" s="324"/>
      <c r="H359" s="324">
        <v>15141.02</v>
      </c>
      <c r="I359" s="325">
        <v>11148.02</v>
      </c>
      <c r="J359" s="325"/>
      <c r="K359" s="325">
        <f t="shared" si="67"/>
        <v>0</v>
      </c>
      <c r="L359" s="325">
        <f t="shared" si="68"/>
        <v>0</v>
      </c>
      <c r="M359" s="407">
        <v>6.67</v>
      </c>
      <c r="N359" s="408" t="s">
        <v>289</v>
      </c>
      <c r="O359" s="325">
        <f t="shared" si="70"/>
        <v>0</v>
      </c>
      <c r="P359" s="325">
        <f t="shared" si="71"/>
        <v>0</v>
      </c>
      <c r="Q359" s="325">
        <f t="shared" si="72"/>
        <v>0</v>
      </c>
      <c r="R359" s="325">
        <f t="shared" si="73"/>
        <v>371</v>
      </c>
      <c r="S359" s="325">
        <f t="shared" si="74"/>
        <v>0</v>
      </c>
      <c r="T359" s="325">
        <f t="shared" si="76"/>
        <v>371</v>
      </c>
      <c r="U359" s="325">
        <f t="shared" si="75"/>
        <v>10777.02</v>
      </c>
      <c r="V359" s="325">
        <f t="shared" si="69"/>
        <v>0</v>
      </c>
      <c r="W359" s="449" cm="1">
        <f t="array" ref="W359">+IF(U359&lt;0,error,0)</f>
        <v>0</v>
      </c>
    </row>
    <row r="360" spans="1:23" ht="18" customHeight="1" x14ac:dyDescent="0.2">
      <c r="A360" s="402" t="s">
        <v>871</v>
      </c>
      <c r="B360" s="403"/>
      <c r="C360" s="404" t="s">
        <v>872</v>
      </c>
      <c r="D360" s="405">
        <v>42559</v>
      </c>
      <c r="E360" s="406"/>
      <c r="F360" s="325"/>
      <c r="G360" s="324"/>
      <c r="H360" s="324">
        <v>20581.010000000002</v>
      </c>
      <c r="I360" s="325">
        <v>15152.010000000002</v>
      </c>
      <c r="J360" s="325"/>
      <c r="K360" s="325">
        <f t="shared" si="67"/>
        <v>0</v>
      </c>
      <c r="L360" s="325">
        <f t="shared" si="68"/>
        <v>0</v>
      </c>
      <c r="M360" s="407">
        <v>6.67</v>
      </c>
      <c r="N360" s="408" t="s">
        <v>289</v>
      </c>
      <c r="O360" s="325">
        <f t="shared" si="70"/>
        <v>0</v>
      </c>
      <c r="P360" s="325">
        <f t="shared" si="71"/>
        <v>0</v>
      </c>
      <c r="Q360" s="325">
        <f t="shared" si="72"/>
        <v>0</v>
      </c>
      <c r="R360" s="325">
        <f t="shared" si="73"/>
        <v>505</v>
      </c>
      <c r="S360" s="325">
        <f t="shared" si="74"/>
        <v>0</v>
      </c>
      <c r="T360" s="325">
        <f t="shared" si="76"/>
        <v>505</v>
      </c>
      <c r="U360" s="325">
        <f t="shared" si="75"/>
        <v>14647.010000000002</v>
      </c>
      <c r="V360" s="325">
        <f t="shared" si="69"/>
        <v>0</v>
      </c>
      <c r="W360" s="449" cm="1">
        <f t="array" ref="W360">+IF(U360&lt;0,error,0)</f>
        <v>0</v>
      </c>
    </row>
    <row r="361" spans="1:23" ht="18" customHeight="1" x14ac:dyDescent="0.2">
      <c r="A361" s="402" t="s">
        <v>873</v>
      </c>
      <c r="B361" s="403"/>
      <c r="C361" s="404" t="s">
        <v>872</v>
      </c>
      <c r="D361" s="405">
        <v>42559</v>
      </c>
      <c r="E361" s="406"/>
      <c r="F361" s="325"/>
      <c r="G361" s="324"/>
      <c r="H361" s="324">
        <v>20581.010000000002</v>
      </c>
      <c r="I361" s="325">
        <v>15152.010000000002</v>
      </c>
      <c r="J361" s="325"/>
      <c r="K361" s="325">
        <f t="shared" si="67"/>
        <v>0</v>
      </c>
      <c r="L361" s="325">
        <f t="shared" si="68"/>
        <v>0</v>
      </c>
      <c r="M361" s="407">
        <v>6.67</v>
      </c>
      <c r="N361" s="408" t="s">
        <v>289</v>
      </c>
      <c r="O361" s="325">
        <f t="shared" si="70"/>
        <v>0</v>
      </c>
      <c r="P361" s="325">
        <f t="shared" si="71"/>
        <v>0</v>
      </c>
      <c r="Q361" s="325">
        <f t="shared" si="72"/>
        <v>0</v>
      </c>
      <c r="R361" s="325">
        <f t="shared" si="73"/>
        <v>505</v>
      </c>
      <c r="S361" s="325">
        <f t="shared" si="74"/>
        <v>0</v>
      </c>
      <c r="T361" s="325">
        <f t="shared" si="76"/>
        <v>505</v>
      </c>
      <c r="U361" s="325">
        <f t="shared" si="75"/>
        <v>14647.010000000002</v>
      </c>
      <c r="V361" s="325">
        <f t="shared" si="69"/>
        <v>0</v>
      </c>
      <c r="W361" s="449" cm="1">
        <f t="array" ref="W361">+IF(U361&lt;0,error,0)</f>
        <v>0</v>
      </c>
    </row>
    <row r="362" spans="1:23" ht="18" customHeight="1" x14ac:dyDescent="0.2">
      <c r="A362" s="402" t="s">
        <v>874</v>
      </c>
      <c r="B362" s="403"/>
      <c r="C362" s="404" t="s">
        <v>872</v>
      </c>
      <c r="D362" s="405">
        <v>42559</v>
      </c>
      <c r="E362" s="406"/>
      <c r="F362" s="325"/>
      <c r="G362" s="324"/>
      <c r="H362" s="324">
        <v>20581.010000000002</v>
      </c>
      <c r="I362" s="325">
        <v>15152.010000000002</v>
      </c>
      <c r="J362" s="325"/>
      <c r="K362" s="325">
        <f t="shared" si="67"/>
        <v>0</v>
      </c>
      <c r="L362" s="325">
        <f t="shared" si="68"/>
        <v>0</v>
      </c>
      <c r="M362" s="407">
        <v>6.67</v>
      </c>
      <c r="N362" s="408" t="s">
        <v>289</v>
      </c>
      <c r="O362" s="325">
        <f t="shared" si="70"/>
        <v>0</v>
      </c>
      <c r="P362" s="325">
        <f t="shared" si="71"/>
        <v>0</v>
      </c>
      <c r="Q362" s="325">
        <f t="shared" si="72"/>
        <v>0</v>
      </c>
      <c r="R362" s="325">
        <f t="shared" si="73"/>
        <v>505</v>
      </c>
      <c r="S362" s="325">
        <f t="shared" si="74"/>
        <v>0</v>
      </c>
      <c r="T362" s="325">
        <f t="shared" si="76"/>
        <v>505</v>
      </c>
      <c r="U362" s="325">
        <f t="shared" si="75"/>
        <v>14647.010000000002</v>
      </c>
      <c r="V362" s="325">
        <f t="shared" si="69"/>
        <v>0</v>
      </c>
      <c r="W362" s="449" cm="1">
        <f t="array" ref="W362">+IF(U362&lt;0,error,0)</f>
        <v>0</v>
      </c>
    </row>
    <row r="363" spans="1:23" ht="18" customHeight="1" x14ac:dyDescent="0.2">
      <c r="A363" s="402" t="s">
        <v>875</v>
      </c>
      <c r="B363" s="403"/>
      <c r="C363" s="404" t="s">
        <v>872</v>
      </c>
      <c r="D363" s="405">
        <v>42559</v>
      </c>
      <c r="E363" s="406"/>
      <c r="F363" s="325"/>
      <c r="G363" s="324"/>
      <c r="H363" s="324">
        <v>20581.010000000002</v>
      </c>
      <c r="I363" s="325">
        <v>15152.010000000002</v>
      </c>
      <c r="J363" s="325"/>
      <c r="K363" s="325">
        <f t="shared" si="67"/>
        <v>0</v>
      </c>
      <c r="L363" s="325">
        <f t="shared" si="68"/>
        <v>0</v>
      </c>
      <c r="M363" s="407">
        <v>6.67</v>
      </c>
      <c r="N363" s="408" t="s">
        <v>289</v>
      </c>
      <c r="O363" s="325">
        <f t="shared" si="70"/>
        <v>0</v>
      </c>
      <c r="P363" s="325">
        <f t="shared" si="71"/>
        <v>0</v>
      </c>
      <c r="Q363" s="325">
        <f t="shared" si="72"/>
        <v>0</v>
      </c>
      <c r="R363" s="325">
        <f t="shared" si="73"/>
        <v>505</v>
      </c>
      <c r="S363" s="325">
        <f t="shared" si="74"/>
        <v>0</v>
      </c>
      <c r="T363" s="325">
        <f t="shared" si="76"/>
        <v>505</v>
      </c>
      <c r="U363" s="325">
        <f t="shared" si="75"/>
        <v>14647.010000000002</v>
      </c>
      <c r="V363" s="325">
        <f t="shared" si="69"/>
        <v>0</v>
      </c>
      <c r="W363" s="449" cm="1">
        <f t="array" ref="W363">+IF(U363&lt;0,error,0)</f>
        <v>0</v>
      </c>
    </row>
    <row r="364" spans="1:23" ht="18" customHeight="1" x14ac:dyDescent="0.2">
      <c r="A364" s="402" t="s">
        <v>876</v>
      </c>
      <c r="B364" s="403"/>
      <c r="C364" s="404" t="s">
        <v>872</v>
      </c>
      <c r="D364" s="405">
        <v>42559</v>
      </c>
      <c r="E364" s="406"/>
      <c r="F364" s="325"/>
      <c r="G364" s="324"/>
      <c r="H364" s="324">
        <v>20581.010000000002</v>
      </c>
      <c r="I364" s="325">
        <v>15152.010000000002</v>
      </c>
      <c r="J364" s="325"/>
      <c r="K364" s="325">
        <f t="shared" si="67"/>
        <v>0</v>
      </c>
      <c r="L364" s="325">
        <f t="shared" si="68"/>
        <v>0</v>
      </c>
      <c r="M364" s="407">
        <v>6.67</v>
      </c>
      <c r="N364" s="408" t="s">
        <v>289</v>
      </c>
      <c r="O364" s="325">
        <f t="shared" si="70"/>
        <v>0</v>
      </c>
      <c r="P364" s="325">
        <f t="shared" si="71"/>
        <v>0</v>
      </c>
      <c r="Q364" s="325">
        <f t="shared" si="72"/>
        <v>0</v>
      </c>
      <c r="R364" s="325">
        <f t="shared" si="73"/>
        <v>505</v>
      </c>
      <c r="S364" s="325">
        <f t="shared" si="74"/>
        <v>0</v>
      </c>
      <c r="T364" s="325">
        <f t="shared" si="76"/>
        <v>505</v>
      </c>
      <c r="U364" s="325">
        <f t="shared" si="75"/>
        <v>14647.010000000002</v>
      </c>
      <c r="V364" s="325">
        <f t="shared" si="69"/>
        <v>0</v>
      </c>
      <c r="W364" s="449" cm="1">
        <f t="array" ref="W364">+IF(U364&lt;0,error,0)</f>
        <v>0</v>
      </c>
    </row>
    <row r="365" spans="1:23" ht="18" customHeight="1" x14ac:dyDescent="0.2">
      <c r="A365" s="402" t="s">
        <v>877</v>
      </c>
      <c r="B365" s="403"/>
      <c r="C365" s="404" t="s">
        <v>872</v>
      </c>
      <c r="D365" s="405">
        <v>42559</v>
      </c>
      <c r="E365" s="406"/>
      <c r="F365" s="325"/>
      <c r="G365" s="324"/>
      <c r="H365" s="324">
        <v>20581.010000000002</v>
      </c>
      <c r="I365" s="325">
        <v>15152.010000000002</v>
      </c>
      <c r="J365" s="325"/>
      <c r="K365" s="325">
        <f t="shared" si="67"/>
        <v>0</v>
      </c>
      <c r="L365" s="325">
        <f t="shared" si="68"/>
        <v>0</v>
      </c>
      <c r="M365" s="407">
        <v>6.67</v>
      </c>
      <c r="N365" s="408" t="s">
        <v>289</v>
      </c>
      <c r="O365" s="325">
        <f t="shared" si="70"/>
        <v>0</v>
      </c>
      <c r="P365" s="325">
        <f t="shared" si="71"/>
        <v>0</v>
      </c>
      <c r="Q365" s="325">
        <f t="shared" si="72"/>
        <v>0</v>
      </c>
      <c r="R365" s="325">
        <f t="shared" si="73"/>
        <v>505</v>
      </c>
      <c r="S365" s="325">
        <f t="shared" si="74"/>
        <v>0</v>
      </c>
      <c r="T365" s="325">
        <f t="shared" si="76"/>
        <v>505</v>
      </c>
      <c r="U365" s="325">
        <f t="shared" si="75"/>
        <v>14647.010000000002</v>
      </c>
      <c r="V365" s="325">
        <f t="shared" si="69"/>
        <v>0</v>
      </c>
      <c r="W365" s="449" cm="1">
        <f t="array" ref="W365">+IF(U365&lt;0,error,0)</f>
        <v>0</v>
      </c>
    </row>
    <row r="366" spans="1:23" ht="18" customHeight="1" x14ac:dyDescent="0.2">
      <c r="A366" s="402" t="s">
        <v>878</v>
      </c>
      <c r="B366" s="403"/>
      <c r="C366" s="404" t="s">
        <v>872</v>
      </c>
      <c r="D366" s="405">
        <v>42559</v>
      </c>
      <c r="E366" s="406"/>
      <c r="F366" s="325"/>
      <c r="G366" s="324"/>
      <c r="H366" s="324">
        <v>20581.010000000002</v>
      </c>
      <c r="I366" s="325">
        <v>15152.010000000002</v>
      </c>
      <c r="J366" s="325"/>
      <c r="K366" s="325">
        <f t="shared" si="67"/>
        <v>0</v>
      </c>
      <c r="L366" s="325">
        <f t="shared" si="68"/>
        <v>0</v>
      </c>
      <c r="M366" s="407">
        <v>6.67</v>
      </c>
      <c r="N366" s="408" t="s">
        <v>289</v>
      </c>
      <c r="O366" s="325">
        <f t="shared" si="70"/>
        <v>0</v>
      </c>
      <c r="P366" s="325">
        <f t="shared" si="71"/>
        <v>0</v>
      </c>
      <c r="Q366" s="325">
        <f t="shared" si="72"/>
        <v>0</v>
      </c>
      <c r="R366" s="325">
        <f t="shared" si="73"/>
        <v>505</v>
      </c>
      <c r="S366" s="325">
        <f t="shared" si="74"/>
        <v>0</v>
      </c>
      <c r="T366" s="325">
        <f t="shared" si="76"/>
        <v>505</v>
      </c>
      <c r="U366" s="325">
        <f t="shared" si="75"/>
        <v>14647.010000000002</v>
      </c>
      <c r="V366" s="325">
        <f t="shared" si="69"/>
        <v>0</v>
      </c>
      <c r="W366" s="449" cm="1">
        <f t="array" ref="W366">+IF(U366&lt;0,error,0)</f>
        <v>0</v>
      </c>
    </row>
    <row r="367" spans="1:23" ht="18" customHeight="1" x14ac:dyDescent="0.2">
      <c r="A367" s="402" t="s">
        <v>879</v>
      </c>
      <c r="B367" s="403"/>
      <c r="C367" s="404" t="s">
        <v>872</v>
      </c>
      <c r="D367" s="405">
        <v>42559</v>
      </c>
      <c r="E367" s="406"/>
      <c r="F367" s="325"/>
      <c r="G367" s="324"/>
      <c r="H367" s="324">
        <v>20581.010000000002</v>
      </c>
      <c r="I367" s="325">
        <v>15152.010000000002</v>
      </c>
      <c r="J367" s="325"/>
      <c r="K367" s="325">
        <f t="shared" si="67"/>
        <v>0</v>
      </c>
      <c r="L367" s="325">
        <f t="shared" si="68"/>
        <v>0</v>
      </c>
      <c r="M367" s="407">
        <v>6.67</v>
      </c>
      <c r="N367" s="408" t="s">
        <v>289</v>
      </c>
      <c r="O367" s="325">
        <f t="shared" si="70"/>
        <v>0</v>
      </c>
      <c r="P367" s="325">
        <f t="shared" si="71"/>
        <v>0</v>
      </c>
      <c r="Q367" s="325">
        <f t="shared" si="72"/>
        <v>0</v>
      </c>
      <c r="R367" s="325">
        <f t="shared" si="73"/>
        <v>505</v>
      </c>
      <c r="S367" s="325">
        <f t="shared" si="74"/>
        <v>0</v>
      </c>
      <c r="T367" s="325">
        <f t="shared" si="76"/>
        <v>505</v>
      </c>
      <c r="U367" s="325">
        <f t="shared" si="75"/>
        <v>14647.010000000002</v>
      </c>
      <c r="V367" s="325">
        <f t="shared" si="69"/>
        <v>0</v>
      </c>
      <c r="W367" s="449" cm="1">
        <f t="array" ref="W367">+IF(U367&lt;0,error,0)</f>
        <v>0</v>
      </c>
    </row>
    <row r="368" spans="1:23" ht="18" customHeight="1" x14ac:dyDescent="0.2">
      <c r="A368" s="402" t="s">
        <v>880</v>
      </c>
      <c r="B368" s="403"/>
      <c r="C368" s="404" t="s">
        <v>872</v>
      </c>
      <c r="D368" s="405">
        <v>42559</v>
      </c>
      <c r="E368" s="406"/>
      <c r="F368" s="325"/>
      <c r="G368" s="324"/>
      <c r="H368" s="324">
        <v>20581.010000000002</v>
      </c>
      <c r="I368" s="325">
        <v>15152.010000000002</v>
      </c>
      <c r="J368" s="325"/>
      <c r="K368" s="325">
        <f t="shared" ref="K368:K432" si="77">INT(IF($E368&gt;0,IF(+F368-I368+Q368&lt;0,0,+F368-I368+Q368),0))</f>
        <v>0</v>
      </c>
      <c r="L368" s="325">
        <f t="shared" ref="L368:L432" si="78">INT(IF($E368&gt;0,IF(K368=0,-F368+I368-Q368,0),0))</f>
        <v>0</v>
      </c>
      <c r="M368" s="407">
        <v>6.67</v>
      </c>
      <c r="N368" s="408" t="s">
        <v>289</v>
      </c>
      <c r="O368" s="325">
        <f t="shared" si="70"/>
        <v>0</v>
      </c>
      <c r="P368" s="325">
        <f t="shared" si="71"/>
        <v>0</v>
      </c>
      <c r="Q368" s="325">
        <f t="shared" si="72"/>
        <v>0</v>
      </c>
      <c r="R368" s="325">
        <f t="shared" si="73"/>
        <v>505</v>
      </c>
      <c r="S368" s="325">
        <f t="shared" si="74"/>
        <v>0</v>
      </c>
      <c r="T368" s="325">
        <f t="shared" si="76"/>
        <v>505</v>
      </c>
      <c r="U368" s="325">
        <f t="shared" si="75"/>
        <v>14647.010000000002</v>
      </c>
      <c r="V368" s="325">
        <f t="shared" ref="V368:V432" si="79">IF(E368&gt;0,+H368+J368,0)</f>
        <v>0</v>
      </c>
      <c r="W368" s="449" cm="1">
        <f t="array" ref="W368">+IF(U368&lt;0,error,0)</f>
        <v>0</v>
      </c>
    </row>
    <row r="369" spans="1:23" ht="18" customHeight="1" x14ac:dyDescent="0.2">
      <c r="A369" s="402" t="s">
        <v>881</v>
      </c>
      <c r="B369" s="403"/>
      <c r="C369" s="404" t="s">
        <v>872</v>
      </c>
      <c r="D369" s="405">
        <v>42559</v>
      </c>
      <c r="E369" s="406"/>
      <c r="F369" s="325"/>
      <c r="G369" s="324"/>
      <c r="H369" s="324">
        <v>20581.03</v>
      </c>
      <c r="I369" s="325">
        <v>15152.029999999999</v>
      </c>
      <c r="J369" s="325"/>
      <c r="K369" s="325">
        <f t="shared" si="77"/>
        <v>0</v>
      </c>
      <c r="L369" s="325">
        <f t="shared" si="78"/>
        <v>0</v>
      </c>
      <c r="M369" s="407">
        <v>6.67</v>
      </c>
      <c r="N369" s="408" t="s">
        <v>289</v>
      </c>
      <c r="O369" s="325">
        <f t="shared" ref="O369:O433" si="80">IF(E369&gt;0,INT(IF($N369="D",IF($D369&lt;$H$3,$I369*($M369/100)*((E369-$H$3)/365),$J369*($M369/100)*($J$3-$D369)/365),0)),0)</f>
        <v>0</v>
      </c>
      <c r="P369" s="325">
        <f t="shared" ref="P369:P433" si="81">IF(E369&gt;0,INT(IF($N369="P",IF($D369&lt;$H$3,$H369*($M369/100)*(E369-$H$3)/365,$J369*($M369/100)*($J$3-$D369)/365),0)),0)</f>
        <v>0</v>
      </c>
      <c r="Q369" s="325">
        <f t="shared" ref="Q369:Q433" si="82">+O369+P369</f>
        <v>0</v>
      </c>
      <c r="R369" s="325">
        <f t="shared" ref="R369:R433" si="83">INT(IF($E369&gt;0,0,(IF($N369="D",IF($D369&lt;$H$3,$I369*($M369/100)*$U$3/12,$J369*($M369/100)*($J$3-$D369)/365),0))))</f>
        <v>505</v>
      </c>
      <c r="S369" s="325">
        <f t="shared" ref="S369:S433" si="84">INT(IF($E369&gt;0,0,(IF($N369="P",IF($D369&lt;$H$3,$H369*($M369/100)*$U$3/12,$J369*($M369/100)*($J$3-$D369)/365),0))))</f>
        <v>0</v>
      </c>
      <c r="T369" s="325">
        <f t="shared" si="76"/>
        <v>505</v>
      </c>
      <c r="U369" s="325">
        <f t="shared" si="75"/>
        <v>14647.029999999999</v>
      </c>
      <c r="V369" s="325">
        <f t="shared" si="79"/>
        <v>0</v>
      </c>
      <c r="W369" s="449" cm="1">
        <f t="array" ref="W369">+IF(U369&lt;0,error,0)</f>
        <v>0</v>
      </c>
    </row>
    <row r="370" spans="1:23" ht="18" customHeight="1" x14ac:dyDescent="0.2">
      <c r="A370" s="402" t="s">
        <v>882</v>
      </c>
      <c r="B370" s="403"/>
      <c r="C370" s="404" t="s">
        <v>872</v>
      </c>
      <c r="D370" s="405">
        <v>42559</v>
      </c>
      <c r="E370" s="406"/>
      <c r="F370" s="325"/>
      <c r="G370" s="324"/>
      <c r="H370" s="324">
        <v>16011.01</v>
      </c>
      <c r="I370" s="325">
        <v>11787.01</v>
      </c>
      <c r="J370" s="325"/>
      <c r="K370" s="325">
        <f t="shared" si="77"/>
        <v>0</v>
      </c>
      <c r="L370" s="325">
        <f t="shared" si="78"/>
        <v>0</v>
      </c>
      <c r="M370" s="407">
        <v>6.67</v>
      </c>
      <c r="N370" s="408" t="s">
        <v>289</v>
      </c>
      <c r="O370" s="325">
        <f t="shared" si="80"/>
        <v>0</v>
      </c>
      <c r="P370" s="325">
        <f t="shared" si="81"/>
        <v>0</v>
      </c>
      <c r="Q370" s="325">
        <f t="shared" si="82"/>
        <v>0</v>
      </c>
      <c r="R370" s="325">
        <f t="shared" si="83"/>
        <v>393</v>
      </c>
      <c r="S370" s="325">
        <f t="shared" si="84"/>
        <v>0</v>
      </c>
      <c r="T370" s="325">
        <f t="shared" si="76"/>
        <v>393</v>
      </c>
      <c r="U370" s="325">
        <f t="shared" si="75"/>
        <v>11394.01</v>
      </c>
      <c r="V370" s="325">
        <f t="shared" si="79"/>
        <v>0</v>
      </c>
      <c r="W370" s="449" cm="1">
        <f t="array" ref="W370">+IF(U370&lt;0,error,0)</f>
        <v>0</v>
      </c>
    </row>
    <row r="371" spans="1:23" ht="18" customHeight="1" x14ac:dyDescent="0.2">
      <c r="A371" s="402" t="s">
        <v>883</v>
      </c>
      <c r="B371" s="403"/>
      <c r="C371" s="404" t="s">
        <v>872</v>
      </c>
      <c r="D371" s="405">
        <v>42559</v>
      </c>
      <c r="E371" s="406"/>
      <c r="F371" s="325"/>
      <c r="G371" s="324"/>
      <c r="H371" s="324">
        <v>16011.01</v>
      </c>
      <c r="I371" s="325">
        <v>11787.01</v>
      </c>
      <c r="J371" s="325"/>
      <c r="K371" s="325">
        <f t="shared" si="77"/>
        <v>0</v>
      </c>
      <c r="L371" s="325">
        <f t="shared" si="78"/>
        <v>0</v>
      </c>
      <c r="M371" s="407">
        <v>6.67</v>
      </c>
      <c r="N371" s="408" t="s">
        <v>289</v>
      </c>
      <c r="O371" s="325">
        <f t="shared" si="80"/>
        <v>0</v>
      </c>
      <c r="P371" s="325">
        <f t="shared" si="81"/>
        <v>0</v>
      </c>
      <c r="Q371" s="325">
        <f t="shared" si="82"/>
        <v>0</v>
      </c>
      <c r="R371" s="325">
        <f t="shared" si="83"/>
        <v>393</v>
      </c>
      <c r="S371" s="325">
        <f t="shared" si="84"/>
        <v>0</v>
      </c>
      <c r="T371" s="325">
        <f t="shared" si="76"/>
        <v>393</v>
      </c>
      <c r="U371" s="325">
        <f t="shared" ref="U371:U435" si="85">+I371+J371-T371-F371+K371-L371</f>
        <v>11394.01</v>
      </c>
      <c r="V371" s="325">
        <f t="shared" si="79"/>
        <v>0</v>
      </c>
      <c r="W371" s="449" cm="1">
        <f t="array" ref="W371">+IF(U371&lt;0,error,0)</f>
        <v>0</v>
      </c>
    </row>
    <row r="372" spans="1:23" ht="18" customHeight="1" x14ac:dyDescent="0.2">
      <c r="A372" s="402" t="s">
        <v>884</v>
      </c>
      <c r="B372" s="403"/>
      <c r="C372" s="404" t="s">
        <v>872</v>
      </c>
      <c r="D372" s="405">
        <v>42559</v>
      </c>
      <c r="E372" s="406"/>
      <c r="F372" s="325"/>
      <c r="G372" s="324"/>
      <c r="H372" s="324">
        <v>16011.01</v>
      </c>
      <c r="I372" s="325">
        <v>11787.01</v>
      </c>
      <c r="J372" s="325"/>
      <c r="K372" s="325">
        <f t="shared" si="77"/>
        <v>0</v>
      </c>
      <c r="L372" s="325">
        <f t="shared" si="78"/>
        <v>0</v>
      </c>
      <c r="M372" s="407">
        <v>6.67</v>
      </c>
      <c r="N372" s="408" t="s">
        <v>289</v>
      </c>
      <c r="O372" s="325">
        <f t="shared" si="80"/>
        <v>0</v>
      </c>
      <c r="P372" s="325">
        <f t="shared" si="81"/>
        <v>0</v>
      </c>
      <c r="Q372" s="325">
        <f t="shared" si="82"/>
        <v>0</v>
      </c>
      <c r="R372" s="325">
        <f t="shared" si="83"/>
        <v>393</v>
      </c>
      <c r="S372" s="325">
        <f t="shared" si="84"/>
        <v>0</v>
      </c>
      <c r="T372" s="325">
        <f t="shared" si="76"/>
        <v>393</v>
      </c>
      <c r="U372" s="325">
        <f t="shared" si="85"/>
        <v>11394.01</v>
      </c>
      <c r="V372" s="325">
        <f t="shared" si="79"/>
        <v>0</v>
      </c>
      <c r="W372" s="449" cm="1">
        <f t="array" ref="W372">+IF(U372&lt;0,error,0)</f>
        <v>0</v>
      </c>
    </row>
    <row r="373" spans="1:23" ht="18" customHeight="1" x14ac:dyDescent="0.2">
      <c r="A373" s="402" t="s">
        <v>885</v>
      </c>
      <c r="B373" s="403"/>
      <c r="C373" s="404" t="s">
        <v>872</v>
      </c>
      <c r="D373" s="405">
        <v>42559</v>
      </c>
      <c r="E373" s="406"/>
      <c r="F373" s="325"/>
      <c r="G373" s="324"/>
      <c r="H373" s="324">
        <v>16011.01</v>
      </c>
      <c r="I373" s="325">
        <v>11787.01</v>
      </c>
      <c r="J373" s="325"/>
      <c r="K373" s="325">
        <f t="shared" si="77"/>
        <v>0</v>
      </c>
      <c r="L373" s="325">
        <f t="shared" si="78"/>
        <v>0</v>
      </c>
      <c r="M373" s="407">
        <v>6.67</v>
      </c>
      <c r="N373" s="408" t="s">
        <v>289</v>
      </c>
      <c r="O373" s="325">
        <f t="shared" si="80"/>
        <v>0</v>
      </c>
      <c r="P373" s="325">
        <f t="shared" si="81"/>
        <v>0</v>
      </c>
      <c r="Q373" s="325">
        <f t="shared" si="82"/>
        <v>0</v>
      </c>
      <c r="R373" s="325">
        <f t="shared" si="83"/>
        <v>393</v>
      </c>
      <c r="S373" s="325">
        <f t="shared" si="84"/>
        <v>0</v>
      </c>
      <c r="T373" s="325">
        <f t="shared" si="76"/>
        <v>393</v>
      </c>
      <c r="U373" s="325">
        <f t="shared" si="85"/>
        <v>11394.01</v>
      </c>
      <c r="V373" s="325">
        <f t="shared" si="79"/>
        <v>0</v>
      </c>
      <c r="W373" s="449" cm="1">
        <f t="array" ref="W373">+IF(U373&lt;0,error,0)</f>
        <v>0</v>
      </c>
    </row>
    <row r="374" spans="1:23" ht="18" customHeight="1" x14ac:dyDescent="0.2">
      <c r="A374" s="402" t="s">
        <v>886</v>
      </c>
      <c r="B374" s="403"/>
      <c r="C374" s="404" t="s">
        <v>872</v>
      </c>
      <c r="D374" s="405">
        <v>42559</v>
      </c>
      <c r="E374" s="406"/>
      <c r="F374" s="325"/>
      <c r="G374" s="324"/>
      <c r="H374" s="324">
        <v>16011.01</v>
      </c>
      <c r="I374" s="325">
        <v>11787.01</v>
      </c>
      <c r="J374" s="325"/>
      <c r="K374" s="325">
        <f t="shared" si="77"/>
        <v>0</v>
      </c>
      <c r="L374" s="325">
        <f t="shared" si="78"/>
        <v>0</v>
      </c>
      <c r="M374" s="407">
        <v>6.67</v>
      </c>
      <c r="N374" s="408" t="s">
        <v>289</v>
      </c>
      <c r="O374" s="325">
        <f t="shared" si="80"/>
        <v>0</v>
      </c>
      <c r="P374" s="325">
        <f t="shared" si="81"/>
        <v>0</v>
      </c>
      <c r="Q374" s="325">
        <f t="shared" si="82"/>
        <v>0</v>
      </c>
      <c r="R374" s="325">
        <f t="shared" si="83"/>
        <v>393</v>
      </c>
      <c r="S374" s="325">
        <f t="shared" si="84"/>
        <v>0</v>
      </c>
      <c r="T374" s="325">
        <f t="shared" si="76"/>
        <v>393</v>
      </c>
      <c r="U374" s="325">
        <f t="shared" si="85"/>
        <v>11394.01</v>
      </c>
      <c r="V374" s="325">
        <f t="shared" si="79"/>
        <v>0</v>
      </c>
      <c r="W374" s="449" cm="1">
        <f t="array" ref="W374">+IF(U374&lt;0,error,0)</f>
        <v>0</v>
      </c>
    </row>
    <row r="375" spans="1:23" ht="18" customHeight="1" x14ac:dyDescent="0.2">
      <c r="A375" s="402" t="s">
        <v>887</v>
      </c>
      <c r="B375" s="403"/>
      <c r="C375" s="404" t="s">
        <v>872</v>
      </c>
      <c r="D375" s="405">
        <v>42559</v>
      </c>
      <c r="E375" s="406"/>
      <c r="F375" s="325"/>
      <c r="G375" s="324"/>
      <c r="H375" s="324">
        <v>16011.01</v>
      </c>
      <c r="I375" s="325">
        <v>11787.01</v>
      </c>
      <c r="J375" s="325"/>
      <c r="K375" s="325">
        <f t="shared" si="77"/>
        <v>0</v>
      </c>
      <c r="L375" s="325">
        <f t="shared" si="78"/>
        <v>0</v>
      </c>
      <c r="M375" s="407">
        <v>6.67</v>
      </c>
      <c r="N375" s="408" t="s">
        <v>289</v>
      </c>
      <c r="O375" s="325">
        <f t="shared" si="80"/>
        <v>0</v>
      </c>
      <c r="P375" s="325">
        <f t="shared" si="81"/>
        <v>0</v>
      </c>
      <c r="Q375" s="325">
        <f t="shared" si="82"/>
        <v>0</v>
      </c>
      <c r="R375" s="325">
        <f t="shared" si="83"/>
        <v>393</v>
      </c>
      <c r="S375" s="325">
        <f t="shared" si="84"/>
        <v>0</v>
      </c>
      <c r="T375" s="325">
        <f t="shared" si="76"/>
        <v>393</v>
      </c>
      <c r="U375" s="325">
        <f t="shared" si="85"/>
        <v>11394.01</v>
      </c>
      <c r="V375" s="325">
        <f t="shared" si="79"/>
        <v>0</v>
      </c>
      <c r="W375" s="449" cm="1">
        <f t="array" ref="W375">+IF(U375&lt;0,error,0)</f>
        <v>0</v>
      </c>
    </row>
    <row r="376" spans="1:23" ht="18" customHeight="1" x14ac:dyDescent="0.2">
      <c r="A376" s="402" t="s">
        <v>888</v>
      </c>
      <c r="B376" s="403"/>
      <c r="C376" s="404" t="s">
        <v>872</v>
      </c>
      <c r="D376" s="405">
        <v>42559</v>
      </c>
      <c r="E376" s="406"/>
      <c r="F376" s="325"/>
      <c r="G376" s="324"/>
      <c r="H376" s="324">
        <v>16011.01</v>
      </c>
      <c r="I376" s="325">
        <v>11787.01</v>
      </c>
      <c r="J376" s="325"/>
      <c r="K376" s="325">
        <f t="shared" si="77"/>
        <v>0</v>
      </c>
      <c r="L376" s="325">
        <f t="shared" si="78"/>
        <v>0</v>
      </c>
      <c r="M376" s="407">
        <v>6.67</v>
      </c>
      <c r="N376" s="408" t="s">
        <v>289</v>
      </c>
      <c r="O376" s="325">
        <f t="shared" si="80"/>
        <v>0</v>
      </c>
      <c r="P376" s="325">
        <f t="shared" si="81"/>
        <v>0</v>
      </c>
      <c r="Q376" s="325">
        <f t="shared" si="82"/>
        <v>0</v>
      </c>
      <c r="R376" s="325">
        <f t="shared" si="83"/>
        <v>393</v>
      </c>
      <c r="S376" s="325">
        <f t="shared" si="84"/>
        <v>0</v>
      </c>
      <c r="T376" s="325">
        <f t="shared" si="76"/>
        <v>393</v>
      </c>
      <c r="U376" s="325">
        <f t="shared" si="85"/>
        <v>11394.01</v>
      </c>
      <c r="V376" s="325">
        <f t="shared" si="79"/>
        <v>0</v>
      </c>
      <c r="W376" s="449" cm="1">
        <f t="array" ref="W376">+IF(U376&lt;0,error,0)</f>
        <v>0</v>
      </c>
    </row>
    <row r="377" spans="1:23" ht="18" customHeight="1" x14ac:dyDescent="0.2">
      <c r="A377" s="402" t="s">
        <v>889</v>
      </c>
      <c r="B377" s="403"/>
      <c r="C377" s="404" t="s">
        <v>872</v>
      </c>
      <c r="D377" s="405">
        <v>42559</v>
      </c>
      <c r="E377" s="406"/>
      <c r="F377" s="325"/>
      <c r="G377" s="324"/>
      <c r="H377" s="324">
        <v>16011.01</v>
      </c>
      <c r="I377" s="325">
        <v>11787.01</v>
      </c>
      <c r="J377" s="325"/>
      <c r="K377" s="325">
        <f t="shared" si="77"/>
        <v>0</v>
      </c>
      <c r="L377" s="325">
        <f t="shared" si="78"/>
        <v>0</v>
      </c>
      <c r="M377" s="407">
        <v>6.67</v>
      </c>
      <c r="N377" s="408" t="s">
        <v>289</v>
      </c>
      <c r="O377" s="325">
        <f t="shared" si="80"/>
        <v>0</v>
      </c>
      <c r="P377" s="325">
        <f t="shared" si="81"/>
        <v>0</v>
      </c>
      <c r="Q377" s="325">
        <f t="shared" si="82"/>
        <v>0</v>
      </c>
      <c r="R377" s="325">
        <f t="shared" si="83"/>
        <v>393</v>
      </c>
      <c r="S377" s="325">
        <f t="shared" si="84"/>
        <v>0</v>
      </c>
      <c r="T377" s="325">
        <f t="shared" si="76"/>
        <v>393</v>
      </c>
      <c r="U377" s="325">
        <f t="shared" si="85"/>
        <v>11394.01</v>
      </c>
      <c r="V377" s="325">
        <f t="shared" si="79"/>
        <v>0</v>
      </c>
      <c r="W377" s="449" cm="1">
        <f t="array" ref="W377">+IF(U377&lt;0,error,0)</f>
        <v>0</v>
      </c>
    </row>
    <row r="378" spans="1:23" ht="18" customHeight="1" x14ac:dyDescent="0.2">
      <c r="A378" s="402" t="s">
        <v>890</v>
      </c>
      <c r="B378" s="403"/>
      <c r="C378" s="404" t="s">
        <v>872</v>
      </c>
      <c r="D378" s="405">
        <v>42559</v>
      </c>
      <c r="E378" s="406"/>
      <c r="F378" s="325"/>
      <c r="G378" s="324"/>
      <c r="H378" s="324">
        <v>16011.01</v>
      </c>
      <c r="I378" s="325">
        <v>11787.01</v>
      </c>
      <c r="J378" s="325"/>
      <c r="K378" s="325">
        <f t="shared" si="77"/>
        <v>0</v>
      </c>
      <c r="L378" s="325">
        <f t="shared" si="78"/>
        <v>0</v>
      </c>
      <c r="M378" s="407">
        <v>6.67</v>
      </c>
      <c r="N378" s="408" t="s">
        <v>289</v>
      </c>
      <c r="O378" s="325">
        <f t="shared" si="80"/>
        <v>0</v>
      </c>
      <c r="P378" s="325">
        <f t="shared" si="81"/>
        <v>0</v>
      </c>
      <c r="Q378" s="325">
        <f t="shared" si="82"/>
        <v>0</v>
      </c>
      <c r="R378" s="325">
        <f t="shared" si="83"/>
        <v>393</v>
      </c>
      <c r="S378" s="325">
        <f t="shared" si="84"/>
        <v>0</v>
      </c>
      <c r="T378" s="325">
        <f t="shared" si="76"/>
        <v>393</v>
      </c>
      <c r="U378" s="325">
        <f t="shared" si="85"/>
        <v>11394.01</v>
      </c>
      <c r="V378" s="325">
        <f t="shared" si="79"/>
        <v>0</v>
      </c>
      <c r="W378" s="449" cm="1">
        <f t="array" ref="W378">+IF(U378&lt;0,error,0)</f>
        <v>0</v>
      </c>
    </row>
    <row r="379" spans="1:23" ht="18" customHeight="1" x14ac:dyDescent="0.2">
      <c r="A379" s="402" t="s">
        <v>891</v>
      </c>
      <c r="B379" s="403"/>
      <c r="C379" s="404" t="s">
        <v>872</v>
      </c>
      <c r="D379" s="405">
        <v>42559</v>
      </c>
      <c r="E379" s="406"/>
      <c r="F379" s="325"/>
      <c r="G379" s="324"/>
      <c r="H379" s="324">
        <v>16011.03</v>
      </c>
      <c r="I379" s="325">
        <v>11787.03</v>
      </c>
      <c r="J379" s="325"/>
      <c r="K379" s="325">
        <f t="shared" si="77"/>
        <v>0</v>
      </c>
      <c r="L379" s="325">
        <f t="shared" si="78"/>
        <v>0</v>
      </c>
      <c r="M379" s="407">
        <v>6.67</v>
      </c>
      <c r="N379" s="408" t="s">
        <v>289</v>
      </c>
      <c r="O379" s="325">
        <f t="shared" si="80"/>
        <v>0</v>
      </c>
      <c r="P379" s="325">
        <f t="shared" si="81"/>
        <v>0</v>
      </c>
      <c r="Q379" s="325">
        <f t="shared" si="82"/>
        <v>0</v>
      </c>
      <c r="R379" s="325">
        <f t="shared" si="83"/>
        <v>393</v>
      </c>
      <c r="S379" s="325">
        <f t="shared" si="84"/>
        <v>0</v>
      </c>
      <c r="T379" s="325">
        <f t="shared" si="76"/>
        <v>393</v>
      </c>
      <c r="U379" s="325">
        <f t="shared" si="85"/>
        <v>11394.03</v>
      </c>
      <c r="V379" s="325">
        <f t="shared" si="79"/>
        <v>0</v>
      </c>
      <c r="W379" s="449" cm="1">
        <f t="array" ref="W379">+IF(U379&lt;0,error,0)</f>
        <v>0</v>
      </c>
    </row>
    <row r="380" spans="1:23" ht="18" customHeight="1" x14ac:dyDescent="0.2">
      <c r="A380" s="402" t="s">
        <v>892</v>
      </c>
      <c r="B380" s="403"/>
      <c r="C380" s="404" t="s">
        <v>893</v>
      </c>
      <c r="D380" s="405">
        <v>42559</v>
      </c>
      <c r="E380" s="406"/>
      <c r="F380" s="325"/>
      <c r="G380" s="324"/>
      <c r="H380" s="324">
        <v>14261.01</v>
      </c>
      <c r="I380" s="325">
        <v>10498.01</v>
      </c>
      <c r="J380" s="325"/>
      <c r="K380" s="325">
        <f t="shared" si="77"/>
        <v>0</v>
      </c>
      <c r="L380" s="325">
        <f t="shared" si="78"/>
        <v>0</v>
      </c>
      <c r="M380" s="407">
        <v>6.67</v>
      </c>
      <c r="N380" s="408" t="s">
        <v>289</v>
      </c>
      <c r="O380" s="325">
        <f t="shared" si="80"/>
        <v>0</v>
      </c>
      <c r="P380" s="325">
        <f t="shared" si="81"/>
        <v>0</v>
      </c>
      <c r="Q380" s="325">
        <f t="shared" si="82"/>
        <v>0</v>
      </c>
      <c r="R380" s="325">
        <f t="shared" si="83"/>
        <v>350</v>
      </c>
      <c r="S380" s="325">
        <f t="shared" si="84"/>
        <v>0</v>
      </c>
      <c r="T380" s="325">
        <f t="shared" si="76"/>
        <v>350</v>
      </c>
      <c r="U380" s="325">
        <f t="shared" si="85"/>
        <v>10148.01</v>
      </c>
      <c r="V380" s="325">
        <f t="shared" si="79"/>
        <v>0</v>
      </c>
      <c r="W380" s="449" cm="1">
        <f t="array" ref="W380">+IF(U380&lt;0,error,0)</f>
        <v>0</v>
      </c>
    </row>
    <row r="381" spans="1:23" ht="18" customHeight="1" x14ac:dyDescent="0.2">
      <c r="A381" s="402" t="s">
        <v>894</v>
      </c>
      <c r="B381" s="403"/>
      <c r="C381" s="404" t="s">
        <v>895</v>
      </c>
      <c r="D381" s="405">
        <v>42634</v>
      </c>
      <c r="E381" s="406"/>
      <c r="F381" s="325"/>
      <c r="G381" s="324"/>
      <c r="H381" s="324">
        <v>7161.01</v>
      </c>
      <c r="I381" s="325">
        <v>3942.01</v>
      </c>
      <c r="J381" s="325"/>
      <c r="K381" s="325">
        <f t="shared" si="77"/>
        <v>0</v>
      </c>
      <c r="L381" s="325">
        <f t="shared" si="78"/>
        <v>0</v>
      </c>
      <c r="M381" s="407">
        <v>13.33</v>
      </c>
      <c r="N381" s="408" t="s">
        <v>289</v>
      </c>
      <c r="O381" s="325">
        <f t="shared" si="80"/>
        <v>0</v>
      </c>
      <c r="P381" s="325">
        <f t="shared" si="81"/>
        <v>0</v>
      </c>
      <c r="Q381" s="325">
        <f t="shared" si="82"/>
        <v>0</v>
      </c>
      <c r="R381" s="325">
        <f t="shared" si="83"/>
        <v>262</v>
      </c>
      <c r="S381" s="325">
        <f t="shared" si="84"/>
        <v>0</v>
      </c>
      <c r="T381" s="325">
        <f t="shared" si="76"/>
        <v>262</v>
      </c>
      <c r="U381" s="325">
        <f t="shared" si="85"/>
        <v>3680.01</v>
      </c>
      <c r="V381" s="325">
        <f t="shared" si="79"/>
        <v>0</v>
      </c>
      <c r="W381" s="449" cm="1">
        <f t="array" ref="W381">+IF(U381&lt;0,error,0)</f>
        <v>0</v>
      </c>
    </row>
    <row r="382" spans="1:23" ht="18" customHeight="1" x14ac:dyDescent="0.2">
      <c r="A382" s="402" t="s">
        <v>896</v>
      </c>
      <c r="B382" s="403"/>
      <c r="C382" s="404" t="s">
        <v>897</v>
      </c>
      <c r="D382" s="405">
        <v>42782</v>
      </c>
      <c r="E382" s="406"/>
      <c r="F382" s="325"/>
      <c r="G382" s="324"/>
      <c r="H382" s="324">
        <v>4493.01</v>
      </c>
      <c r="I382" s="325">
        <v>3453.01</v>
      </c>
      <c r="J382" s="325"/>
      <c r="K382" s="325">
        <f t="shared" si="77"/>
        <v>0</v>
      </c>
      <c r="L382" s="325">
        <f t="shared" si="78"/>
        <v>0</v>
      </c>
      <c r="M382" s="407">
        <v>6.67</v>
      </c>
      <c r="N382" s="408" t="s">
        <v>289</v>
      </c>
      <c r="O382" s="325">
        <f t="shared" si="80"/>
        <v>0</v>
      </c>
      <c r="P382" s="325">
        <f t="shared" si="81"/>
        <v>0</v>
      </c>
      <c r="Q382" s="325">
        <f t="shared" si="82"/>
        <v>0</v>
      </c>
      <c r="R382" s="325">
        <f t="shared" si="83"/>
        <v>115</v>
      </c>
      <c r="S382" s="325">
        <f t="shared" si="84"/>
        <v>0</v>
      </c>
      <c r="T382" s="325">
        <f t="shared" si="76"/>
        <v>115</v>
      </c>
      <c r="U382" s="325">
        <f t="shared" si="85"/>
        <v>3338.01</v>
      </c>
      <c r="V382" s="325">
        <f t="shared" si="79"/>
        <v>0</v>
      </c>
      <c r="W382" s="449" cm="1">
        <f t="array" ref="W382">+IF(U382&lt;0,error,0)</f>
        <v>0</v>
      </c>
    </row>
    <row r="383" spans="1:23" ht="18" customHeight="1" x14ac:dyDescent="0.2">
      <c r="A383" s="402" t="s">
        <v>898</v>
      </c>
      <c r="B383" s="403"/>
      <c r="C383" s="404" t="s">
        <v>899</v>
      </c>
      <c r="D383" s="405">
        <v>42782</v>
      </c>
      <c r="E383" s="406"/>
      <c r="F383" s="325"/>
      <c r="G383" s="324"/>
      <c r="H383" s="324">
        <v>10161.01</v>
      </c>
      <c r="I383" s="325">
        <v>5929.01</v>
      </c>
      <c r="J383" s="325"/>
      <c r="K383" s="325">
        <f t="shared" si="77"/>
        <v>0</v>
      </c>
      <c r="L383" s="325">
        <f t="shared" si="78"/>
        <v>0</v>
      </c>
      <c r="M383" s="407">
        <v>13.33</v>
      </c>
      <c r="N383" s="408" t="s">
        <v>289</v>
      </c>
      <c r="O383" s="325">
        <f t="shared" si="80"/>
        <v>0</v>
      </c>
      <c r="P383" s="325">
        <f t="shared" si="81"/>
        <v>0</v>
      </c>
      <c r="Q383" s="325">
        <f t="shared" si="82"/>
        <v>0</v>
      </c>
      <c r="R383" s="325">
        <f t="shared" si="83"/>
        <v>395</v>
      </c>
      <c r="S383" s="325">
        <f t="shared" si="84"/>
        <v>0</v>
      </c>
      <c r="T383" s="325">
        <f t="shared" si="76"/>
        <v>395</v>
      </c>
      <c r="U383" s="325">
        <f t="shared" si="85"/>
        <v>5534.01</v>
      </c>
      <c r="V383" s="325">
        <f t="shared" si="79"/>
        <v>0</v>
      </c>
      <c r="W383" s="449" cm="1">
        <f t="array" ref="W383">+IF(U383&lt;0,error,0)</f>
        <v>0</v>
      </c>
    </row>
    <row r="384" spans="1:23" ht="18" customHeight="1" x14ac:dyDescent="0.2">
      <c r="A384" s="402" t="s">
        <v>900</v>
      </c>
      <c r="B384" s="403"/>
      <c r="C384" s="404" t="s">
        <v>899</v>
      </c>
      <c r="D384" s="405">
        <v>42782</v>
      </c>
      <c r="E384" s="406"/>
      <c r="F384" s="325"/>
      <c r="G384" s="324"/>
      <c r="H384" s="324">
        <v>10161.01</v>
      </c>
      <c r="I384" s="325">
        <v>5929.01</v>
      </c>
      <c r="J384" s="325"/>
      <c r="K384" s="325">
        <f t="shared" si="77"/>
        <v>0</v>
      </c>
      <c r="L384" s="325">
        <f t="shared" si="78"/>
        <v>0</v>
      </c>
      <c r="M384" s="407">
        <v>13.33</v>
      </c>
      <c r="N384" s="408" t="s">
        <v>289</v>
      </c>
      <c r="O384" s="325">
        <f t="shared" si="80"/>
        <v>0</v>
      </c>
      <c r="P384" s="325">
        <f t="shared" si="81"/>
        <v>0</v>
      </c>
      <c r="Q384" s="325">
        <f t="shared" si="82"/>
        <v>0</v>
      </c>
      <c r="R384" s="325">
        <f t="shared" si="83"/>
        <v>395</v>
      </c>
      <c r="S384" s="325">
        <f t="shared" si="84"/>
        <v>0</v>
      </c>
      <c r="T384" s="325">
        <f t="shared" si="76"/>
        <v>395</v>
      </c>
      <c r="U384" s="325">
        <f t="shared" si="85"/>
        <v>5534.01</v>
      </c>
      <c r="V384" s="325">
        <f t="shared" si="79"/>
        <v>0</v>
      </c>
      <c r="W384" s="449" cm="1">
        <f t="array" ref="W384">+IF(U384&lt;0,error,0)</f>
        <v>0</v>
      </c>
    </row>
    <row r="385" spans="1:23" ht="18" customHeight="1" x14ac:dyDescent="0.2">
      <c r="A385" s="402" t="s">
        <v>901</v>
      </c>
      <c r="B385" s="403"/>
      <c r="C385" s="404" t="s">
        <v>899</v>
      </c>
      <c r="D385" s="405">
        <v>42782</v>
      </c>
      <c r="E385" s="406"/>
      <c r="F385" s="325"/>
      <c r="G385" s="324"/>
      <c r="H385" s="324">
        <v>10161.02</v>
      </c>
      <c r="I385" s="325">
        <v>5929.02</v>
      </c>
      <c r="J385" s="325"/>
      <c r="K385" s="325">
        <f t="shared" si="77"/>
        <v>0</v>
      </c>
      <c r="L385" s="325">
        <f t="shared" si="78"/>
        <v>0</v>
      </c>
      <c r="M385" s="407">
        <v>13.33</v>
      </c>
      <c r="N385" s="408" t="s">
        <v>289</v>
      </c>
      <c r="O385" s="325">
        <f t="shared" si="80"/>
        <v>0</v>
      </c>
      <c r="P385" s="325">
        <f t="shared" si="81"/>
        <v>0</v>
      </c>
      <c r="Q385" s="325">
        <f t="shared" si="82"/>
        <v>0</v>
      </c>
      <c r="R385" s="325">
        <f t="shared" si="83"/>
        <v>395</v>
      </c>
      <c r="S385" s="325">
        <f t="shared" si="84"/>
        <v>0</v>
      </c>
      <c r="T385" s="325">
        <f t="shared" si="76"/>
        <v>395</v>
      </c>
      <c r="U385" s="325">
        <f t="shared" si="85"/>
        <v>5534.02</v>
      </c>
      <c r="V385" s="325">
        <f t="shared" si="79"/>
        <v>0</v>
      </c>
      <c r="W385" s="449" cm="1">
        <f t="array" ref="W385">+IF(U385&lt;0,error,0)</f>
        <v>0</v>
      </c>
    </row>
    <row r="386" spans="1:23" ht="18" customHeight="1" x14ac:dyDescent="0.2">
      <c r="A386" s="402" t="s">
        <v>902</v>
      </c>
      <c r="B386" s="403"/>
      <c r="C386" s="404" t="s">
        <v>903</v>
      </c>
      <c r="D386" s="405">
        <v>42879</v>
      </c>
      <c r="E386" s="406"/>
      <c r="F386" s="325"/>
      <c r="G386" s="324"/>
      <c r="H386" s="324">
        <v>103895.25</v>
      </c>
      <c r="I386" s="325">
        <v>71576.25</v>
      </c>
      <c r="J386" s="325"/>
      <c r="K386" s="325">
        <f t="shared" si="77"/>
        <v>0</v>
      </c>
      <c r="L386" s="325">
        <f t="shared" si="78"/>
        <v>0</v>
      </c>
      <c r="M386" s="407">
        <v>10</v>
      </c>
      <c r="N386" s="408" t="s">
        <v>289</v>
      </c>
      <c r="O386" s="325">
        <f t="shared" si="80"/>
        <v>0</v>
      </c>
      <c r="P386" s="325">
        <f t="shared" si="81"/>
        <v>0</v>
      </c>
      <c r="Q386" s="325">
        <f t="shared" si="82"/>
        <v>0</v>
      </c>
      <c r="R386" s="325">
        <f t="shared" si="83"/>
        <v>3578</v>
      </c>
      <c r="S386" s="325">
        <f t="shared" si="84"/>
        <v>0</v>
      </c>
      <c r="T386" s="325">
        <f t="shared" si="76"/>
        <v>3578</v>
      </c>
      <c r="U386" s="325">
        <f t="shared" si="85"/>
        <v>67998.25</v>
      </c>
      <c r="V386" s="325">
        <f t="shared" si="79"/>
        <v>0</v>
      </c>
      <c r="W386" s="449" cm="1">
        <f t="array" ref="W386">+IF(U386&lt;0,error,0)</f>
        <v>0</v>
      </c>
    </row>
    <row r="387" spans="1:23" ht="18" customHeight="1" x14ac:dyDescent="0.2">
      <c r="A387" s="402" t="s">
        <v>904</v>
      </c>
      <c r="B387" s="403"/>
      <c r="C387" s="404" t="s">
        <v>905</v>
      </c>
      <c r="D387" s="405">
        <v>42698</v>
      </c>
      <c r="E387" s="406"/>
      <c r="F387" s="325"/>
      <c r="G387" s="324"/>
      <c r="H387" s="324">
        <v>190864.32</v>
      </c>
      <c r="I387" s="325">
        <v>107738.32</v>
      </c>
      <c r="J387" s="325"/>
      <c r="K387" s="325">
        <f t="shared" si="77"/>
        <v>0</v>
      </c>
      <c r="L387" s="325">
        <f t="shared" si="78"/>
        <v>0</v>
      </c>
      <c r="M387" s="407">
        <v>13.33</v>
      </c>
      <c r="N387" s="408" t="s">
        <v>289</v>
      </c>
      <c r="O387" s="325">
        <f t="shared" si="80"/>
        <v>0</v>
      </c>
      <c r="P387" s="325">
        <f t="shared" si="81"/>
        <v>0</v>
      </c>
      <c r="Q387" s="325">
        <f t="shared" si="82"/>
        <v>0</v>
      </c>
      <c r="R387" s="325">
        <f t="shared" si="83"/>
        <v>7180</v>
      </c>
      <c r="S387" s="325">
        <f t="shared" si="84"/>
        <v>0</v>
      </c>
      <c r="T387" s="325">
        <f t="shared" si="76"/>
        <v>7180</v>
      </c>
      <c r="U387" s="325">
        <f t="shared" si="85"/>
        <v>100558.32</v>
      </c>
      <c r="V387" s="325">
        <f t="shared" si="79"/>
        <v>0</v>
      </c>
      <c r="W387" s="449" cm="1">
        <f t="array" ref="W387">+IF(U387&lt;0,error,0)</f>
        <v>0</v>
      </c>
    </row>
    <row r="388" spans="1:23" ht="18" customHeight="1" x14ac:dyDescent="0.2">
      <c r="A388" s="402" t="s">
        <v>906</v>
      </c>
      <c r="B388" s="403"/>
      <c r="C388" s="404" t="s">
        <v>907</v>
      </c>
      <c r="D388" s="405">
        <v>42611</v>
      </c>
      <c r="E388" s="406"/>
      <c r="F388" s="325"/>
      <c r="G388" s="324"/>
      <c r="H388" s="324">
        <v>24295.25</v>
      </c>
      <c r="I388" s="325">
        <v>13242.25</v>
      </c>
      <c r="J388" s="325"/>
      <c r="K388" s="325">
        <f t="shared" si="77"/>
        <v>0</v>
      </c>
      <c r="L388" s="325">
        <f t="shared" si="78"/>
        <v>0</v>
      </c>
      <c r="M388" s="407">
        <v>13.33</v>
      </c>
      <c r="N388" s="408" t="s">
        <v>289</v>
      </c>
      <c r="O388" s="325">
        <f t="shared" si="80"/>
        <v>0</v>
      </c>
      <c r="P388" s="325">
        <f t="shared" si="81"/>
        <v>0</v>
      </c>
      <c r="Q388" s="325">
        <f t="shared" si="82"/>
        <v>0</v>
      </c>
      <c r="R388" s="325">
        <f t="shared" si="83"/>
        <v>882</v>
      </c>
      <c r="S388" s="325">
        <f t="shared" si="84"/>
        <v>0</v>
      </c>
      <c r="T388" s="325">
        <f t="shared" si="76"/>
        <v>882</v>
      </c>
      <c r="U388" s="325">
        <f t="shared" si="85"/>
        <v>12360.25</v>
      </c>
      <c r="V388" s="325">
        <f t="shared" si="79"/>
        <v>0</v>
      </c>
      <c r="W388" s="449" cm="1">
        <f t="array" ref="W388">+IF(U388&lt;0,error,0)</f>
        <v>0</v>
      </c>
    </row>
    <row r="389" spans="1:23" ht="18" customHeight="1" x14ac:dyDescent="0.2">
      <c r="A389" s="402" t="s">
        <v>908</v>
      </c>
      <c r="B389" s="403"/>
      <c r="C389" s="404" t="s">
        <v>909</v>
      </c>
      <c r="D389" s="405">
        <v>42829</v>
      </c>
      <c r="E389" s="406"/>
      <c r="F389" s="325"/>
      <c r="G389" s="324"/>
      <c r="H389" s="324">
        <v>27978.93</v>
      </c>
      <c r="I389" s="325">
        <v>16616.93</v>
      </c>
      <c r="J389" s="325"/>
      <c r="K389" s="325">
        <f t="shared" si="77"/>
        <v>0</v>
      </c>
      <c r="L389" s="325">
        <f t="shared" si="78"/>
        <v>0</v>
      </c>
      <c r="M389" s="407">
        <v>13.33</v>
      </c>
      <c r="N389" s="408" t="s">
        <v>289</v>
      </c>
      <c r="O389" s="325">
        <f t="shared" si="80"/>
        <v>0</v>
      </c>
      <c r="P389" s="325">
        <f t="shared" si="81"/>
        <v>0</v>
      </c>
      <c r="Q389" s="325">
        <f t="shared" si="82"/>
        <v>0</v>
      </c>
      <c r="R389" s="325">
        <f t="shared" si="83"/>
        <v>1107</v>
      </c>
      <c r="S389" s="325">
        <f t="shared" si="84"/>
        <v>0</v>
      </c>
      <c r="T389" s="325">
        <f t="shared" si="76"/>
        <v>1107</v>
      </c>
      <c r="U389" s="325">
        <f t="shared" si="85"/>
        <v>15509.93</v>
      </c>
      <c r="V389" s="325">
        <f t="shared" si="79"/>
        <v>0</v>
      </c>
      <c r="W389" s="449" cm="1">
        <f t="array" ref="W389">+IF(U389&lt;0,error,0)</f>
        <v>0</v>
      </c>
    </row>
    <row r="390" spans="1:23" ht="18" customHeight="1" x14ac:dyDescent="0.2">
      <c r="A390" s="402" t="s">
        <v>910</v>
      </c>
      <c r="B390" s="403"/>
      <c r="C390" s="412" t="s">
        <v>911</v>
      </c>
      <c r="D390" s="405">
        <v>42735</v>
      </c>
      <c r="E390" s="406"/>
      <c r="F390" s="325"/>
      <c r="G390" s="324"/>
      <c r="H390" s="324">
        <v>26028</v>
      </c>
      <c r="I390" s="325">
        <v>11061</v>
      </c>
      <c r="J390" s="325"/>
      <c r="K390" s="325">
        <f t="shared" si="77"/>
        <v>0</v>
      </c>
      <c r="L390" s="325">
        <f t="shared" si="78"/>
        <v>0</v>
      </c>
      <c r="M390" s="407">
        <v>20</v>
      </c>
      <c r="N390" s="408" t="s">
        <v>289</v>
      </c>
      <c r="O390" s="325">
        <f t="shared" si="80"/>
        <v>0</v>
      </c>
      <c r="P390" s="325">
        <f t="shared" si="81"/>
        <v>0</v>
      </c>
      <c r="Q390" s="325">
        <f t="shared" si="82"/>
        <v>0</v>
      </c>
      <c r="R390" s="325">
        <f t="shared" si="83"/>
        <v>1106</v>
      </c>
      <c r="S390" s="325">
        <f t="shared" si="84"/>
        <v>0</v>
      </c>
      <c r="T390" s="325">
        <f t="shared" si="76"/>
        <v>1106</v>
      </c>
      <c r="U390" s="325">
        <f t="shared" si="85"/>
        <v>9955</v>
      </c>
      <c r="V390" s="325">
        <f t="shared" si="79"/>
        <v>0</v>
      </c>
      <c r="W390" s="449" cm="1">
        <f t="array" ref="W390">+IF(U390&lt;0,error,0)</f>
        <v>0</v>
      </c>
    </row>
    <row r="391" spans="1:23" ht="18" customHeight="1" x14ac:dyDescent="0.2">
      <c r="A391" s="402" t="s">
        <v>912</v>
      </c>
      <c r="B391" s="403"/>
      <c r="C391" s="404" t="s">
        <v>913</v>
      </c>
      <c r="D391" s="405">
        <v>42792</v>
      </c>
      <c r="E391" s="406"/>
      <c r="F391" s="325"/>
      <c r="G391" s="324"/>
      <c r="H391" s="324">
        <v>2180</v>
      </c>
      <c r="I391" s="325">
        <v>961</v>
      </c>
      <c r="J391" s="325"/>
      <c r="K391" s="325">
        <f t="shared" si="77"/>
        <v>0</v>
      </c>
      <c r="L391" s="325">
        <f t="shared" si="78"/>
        <v>0</v>
      </c>
      <c r="M391" s="407">
        <v>20</v>
      </c>
      <c r="N391" s="408" t="s">
        <v>289</v>
      </c>
      <c r="O391" s="325">
        <f t="shared" si="80"/>
        <v>0</v>
      </c>
      <c r="P391" s="325">
        <f t="shared" si="81"/>
        <v>0</v>
      </c>
      <c r="Q391" s="325">
        <f t="shared" si="82"/>
        <v>0</v>
      </c>
      <c r="R391" s="325">
        <f t="shared" si="83"/>
        <v>96</v>
      </c>
      <c r="S391" s="325">
        <f t="shared" si="84"/>
        <v>0</v>
      </c>
      <c r="T391" s="325">
        <f t="shared" si="76"/>
        <v>96</v>
      </c>
      <c r="U391" s="325">
        <f t="shared" si="85"/>
        <v>865</v>
      </c>
      <c r="V391" s="325">
        <f t="shared" si="79"/>
        <v>0</v>
      </c>
      <c r="W391" s="449" cm="1">
        <f t="array" ref="W391">+IF(U391&lt;0,error,0)</f>
        <v>0</v>
      </c>
    </row>
    <row r="392" spans="1:23" ht="18" customHeight="1" x14ac:dyDescent="0.2">
      <c r="A392" s="402" t="s">
        <v>914</v>
      </c>
      <c r="B392" s="403"/>
      <c r="C392" s="404" t="s">
        <v>915</v>
      </c>
      <c r="D392" s="405">
        <v>42792</v>
      </c>
      <c r="E392" s="406"/>
      <c r="F392" s="325"/>
      <c r="G392" s="324"/>
      <c r="H392" s="324">
        <v>2740</v>
      </c>
      <c r="I392" s="325">
        <v>1206</v>
      </c>
      <c r="J392" s="325"/>
      <c r="K392" s="325">
        <f t="shared" si="77"/>
        <v>0</v>
      </c>
      <c r="L392" s="325">
        <f t="shared" si="78"/>
        <v>0</v>
      </c>
      <c r="M392" s="407">
        <v>20</v>
      </c>
      <c r="N392" s="408" t="s">
        <v>289</v>
      </c>
      <c r="O392" s="325">
        <f t="shared" si="80"/>
        <v>0</v>
      </c>
      <c r="P392" s="325">
        <f t="shared" si="81"/>
        <v>0</v>
      </c>
      <c r="Q392" s="325">
        <f t="shared" si="82"/>
        <v>0</v>
      </c>
      <c r="R392" s="325">
        <f t="shared" si="83"/>
        <v>120</v>
      </c>
      <c r="S392" s="325">
        <f t="shared" si="84"/>
        <v>0</v>
      </c>
      <c r="T392" s="325">
        <f t="shared" si="76"/>
        <v>120</v>
      </c>
      <c r="U392" s="325">
        <f t="shared" si="85"/>
        <v>1086</v>
      </c>
      <c r="V392" s="325">
        <f t="shared" si="79"/>
        <v>0</v>
      </c>
      <c r="W392" s="449" cm="1">
        <f t="array" ref="W392">+IF(U392&lt;0,error,0)</f>
        <v>0</v>
      </c>
    </row>
    <row r="393" spans="1:23" ht="18" customHeight="1" x14ac:dyDescent="0.2">
      <c r="A393" s="402" t="s">
        <v>916</v>
      </c>
      <c r="B393" s="403"/>
      <c r="C393" s="412" t="s">
        <v>917</v>
      </c>
      <c r="D393" s="405">
        <v>42792</v>
      </c>
      <c r="E393" s="406"/>
      <c r="F393" s="325"/>
      <c r="G393" s="324"/>
      <c r="H393" s="324">
        <v>2000</v>
      </c>
      <c r="I393" s="325">
        <v>881</v>
      </c>
      <c r="J393" s="325"/>
      <c r="K393" s="325">
        <f t="shared" si="77"/>
        <v>0</v>
      </c>
      <c r="L393" s="325">
        <f t="shared" si="78"/>
        <v>0</v>
      </c>
      <c r="M393" s="407">
        <v>20</v>
      </c>
      <c r="N393" s="408" t="s">
        <v>289</v>
      </c>
      <c r="O393" s="325">
        <f t="shared" si="80"/>
        <v>0</v>
      </c>
      <c r="P393" s="325">
        <f t="shared" si="81"/>
        <v>0</v>
      </c>
      <c r="Q393" s="325">
        <f t="shared" si="82"/>
        <v>0</v>
      </c>
      <c r="R393" s="325">
        <f t="shared" si="83"/>
        <v>88</v>
      </c>
      <c r="S393" s="325">
        <f t="shared" si="84"/>
        <v>0</v>
      </c>
      <c r="T393" s="325">
        <f t="shared" si="76"/>
        <v>88</v>
      </c>
      <c r="U393" s="325">
        <f t="shared" si="85"/>
        <v>793</v>
      </c>
      <c r="V393" s="325">
        <f t="shared" si="79"/>
        <v>0</v>
      </c>
      <c r="W393" s="449" cm="1">
        <f t="array" ref="W393">+IF(U393&lt;0,error,0)</f>
        <v>0</v>
      </c>
    </row>
    <row r="394" spans="1:23" ht="18" customHeight="1" x14ac:dyDescent="0.2">
      <c r="A394" s="402" t="s">
        <v>918</v>
      </c>
      <c r="B394" s="403"/>
      <c r="C394" s="404" t="s">
        <v>919</v>
      </c>
      <c r="D394" s="405">
        <v>42818</v>
      </c>
      <c r="E394" s="406"/>
      <c r="F394" s="325"/>
      <c r="G394" s="324"/>
      <c r="H394" s="324">
        <v>5512</v>
      </c>
      <c r="I394" s="325">
        <v>2462</v>
      </c>
      <c r="J394" s="325"/>
      <c r="K394" s="325">
        <f t="shared" si="77"/>
        <v>0</v>
      </c>
      <c r="L394" s="325">
        <f t="shared" si="78"/>
        <v>0</v>
      </c>
      <c r="M394" s="407">
        <v>20</v>
      </c>
      <c r="N394" s="408" t="s">
        <v>289</v>
      </c>
      <c r="O394" s="325">
        <f t="shared" si="80"/>
        <v>0</v>
      </c>
      <c r="P394" s="325">
        <f t="shared" si="81"/>
        <v>0</v>
      </c>
      <c r="Q394" s="325">
        <f t="shared" si="82"/>
        <v>0</v>
      </c>
      <c r="R394" s="325">
        <f t="shared" si="83"/>
        <v>246</v>
      </c>
      <c r="S394" s="325">
        <f t="shared" si="84"/>
        <v>0</v>
      </c>
      <c r="T394" s="325">
        <f t="shared" si="76"/>
        <v>246</v>
      </c>
      <c r="U394" s="325">
        <f t="shared" si="85"/>
        <v>2216</v>
      </c>
      <c r="V394" s="325">
        <f t="shared" si="79"/>
        <v>0</v>
      </c>
      <c r="W394" s="449" cm="1">
        <f t="array" ref="W394">+IF(U394&lt;0,error,0)</f>
        <v>0</v>
      </c>
    </row>
    <row r="395" spans="1:23" ht="18" customHeight="1" x14ac:dyDescent="0.2">
      <c r="A395" s="402" t="s">
        <v>920</v>
      </c>
      <c r="B395" s="403"/>
      <c r="C395" s="404" t="s">
        <v>921</v>
      </c>
      <c r="D395" s="405">
        <v>42816</v>
      </c>
      <c r="E395" s="406"/>
      <c r="F395" s="325"/>
      <c r="G395" s="324"/>
      <c r="H395" s="324">
        <v>4772</v>
      </c>
      <c r="I395" s="325">
        <v>832</v>
      </c>
      <c r="J395" s="325"/>
      <c r="K395" s="325">
        <f t="shared" si="77"/>
        <v>0</v>
      </c>
      <c r="L395" s="325">
        <f t="shared" si="78"/>
        <v>0</v>
      </c>
      <c r="M395" s="407">
        <v>40</v>
      </c>
      <c r="N395" s="408" t="s">
        <v>289</v>
      </c>
      <c r="O395" s="325">
        <f t="shared" si="80"/>
        <v>0</v>
      </c>
      <c r="P395" s="325">
        <f t="shared" si="81"/>
        <v>0</v>
      </c>
      <c r="Q395" s="325">
        <f t="shared" si="82"/>
        <v>0</v>
      </c>
      <c r="R395" s="325">
        <f t="shared" si="83"/>
        <v>166</v>
      </c>
      <c r="S395" s="325">
        <f t="shared" si="84"/>
        <v>0</v>
      </c>
      <c r="T395" s="325">
        <f t="shared" si="76"/>
        <v>166</v>
      </c>
      <c r="U395" s="325">
        <f t="shared" si="85"/>
        <v>666</v>
      </c>
      <c r="V395" s="325">
        <f t="shared" si="79"/>
        <v>0</v>
      </c>
      <c r="W395" s="449" cm="1">
        <f t="array" ref="W395">+IF(U395&lt;0,error,0)</f>
        <v>0</v>
      </c>
    </row>
    <row r="396" spans="1:23" ht="18" customHeight="1" x14ac:dyDescent="0.2">
      <c r="A396" s="402" t="s">
        <v>922</v>
      </c>
      <c r="B396" s="403"/>
      <c r="C396" s="404" t="s">
        <v>923</v>
      </c>
      <c r="D396" s="405">
        <v>42822</v>
      </c>
      <c r="E396" s="406"/>
      <c r="F396" s="325"/>
      <c r="G396" s="324"/>
      <c r="H396" s="324">
        <v>19447.55</v>
      </c>
      <c r="I396" s="325">
        <v>11519.550000000001</v>
      </c>
      <c r="J396" s="325"/>
      <c r="K396" s="325">
        <f t="shared" si="77"/>
        <v>0</v>
      </c>
      <c r="L396" s="325">
        <f t="shared" si="78"/>
        <v>0</v>
      </c>
      <c r="M396" s="407">
        <v>13.33</v>
      </c>
      <c r="N396" s="408" t="s">
        <v>289</v>
      </c>
      <c r="O396" s="325">
        <f t="shared" si="80"/>
        <v>0</v>
      </c>
      <c r="P396" s="325">
        <f t="shared" si="81"/>
        <v>0</v>
      </c>
      <c r="Q396" s="325">
        <f t="shared" si="82"/>
        <v>0</v>
      </c>
      <c r="R396" s="325">
        <f t="shared" si="83"/>
        <v>767</v>
      </c>
      <c r="S396" s="325">
        <f t="shared" si="84"/>
        <v>0</v>
      </c>
      <c r="T396" s="325">
        <f t="shared" ref="T396:T398" si="86">+R396+S396+Q396</f>
        <v>767</v>
      </c>
      <c r="U396" s="325">
        <f t="shared" si="85"/>
        <v>10752.550000000001</v>
      </c>
      <c r="V396" s="325">
        <f t="shared" si="79"/>
        <v>0</v>
      </c>
      <c r="W396" s="449" cm="1">
        <f t="array" ref="W396">+IF(U396&lt;0,error,0)</f>
        <v>0</v>
      </c>
    </row>
    <row r="397" spans="1:23" ht="18" customHeight="1" x14ac:dyDescent="0.2">
      <c r="A397" s="402" t="s">
        <v>924</v>
      </c>
      <c r="B397" s="403"/>
      <c r="C397" s="404" t="s">
        <v>923</v>
      </c>
      <c r="D397" s="405">
        <v>42822</v>
      </c>
      <c r="E397" s="406"/>
      <c r="F397" s="325"/>
      <c r="G397" s="324"/>
      <c r="H397" s="324">
        <v>19447.560000000001</v>
      </c>
      <c r="I397" s="325">
        <v>11519.56</v>
      </c>
      <c r="J397" s="325"/>
      <c r="K397" s="325">
        <f t="shared" si="77"/>
        <v>0</v>
      </c>
      <c r="L397" s="325">
        <f t="shared" si="78"/>
        <v>0</v>
      </c>
      <c r="M397" s="407">
        <v>13.33</v>
      </c>
      <c r="N397" s="408" t="s">
        <v>289</v>
      </c>
      <c r="O397" s="325">
        <f t="shared" si="80"/>
        <v>0</v>
      </c>
      <c r="P397" s="325">
        <f t="shared" si="81"/>
        <v>0</v>
      </c>
      <c r="Q397" s="325">
        <f t="shared" si="82"/>
        <v>0</v>
      </c>
      <c r="R397" s="325">
        <f t="shared" si="83"/>
        <v>767</v>
      </c>
      <c r="S397" s="325">
        <f t="shared" si="84"/>
        <v>0</v>
      </c>
      <c r="T397" s="325">
        <f t="shared" si="86"/>
        <v>767</v>
      </c>
      <c r="U397" s="325">
        <f t="shared" si="85"/>
        <v>10752.56</v>
      </c>
      <c r="V397" s="325">
        <f t="shared" si="79"/>
        <v>0</v>
      </c>
      <c r="W397" s="449" cm="1">
        <f t="array" ref="W397">+IF(U397&lt;0,error,0)</f>
        <v>0</v>
      </c>
    </row>
    <row r="398" spans="1:23" ht="18" customHeight="1" x14ac:dyDescent="0.2">
      <c r="A398" s="402" t="s">
        <v>925</v>
      </c>
      <c r="B398" s="403"/>
      <c r="C398" s="404" t="s">
        <v>926</v>
      </c>
      <c r="D398" s="405">
        <v>42873</v>
      </c>
      <c r="E398" s="406"/>
      <c r="F398" s="325"/>
      <c r="G398" s="324"/>
      <c r="H398" s="324">
        <v>5826.29</v>
      </c>
      <c r="I398" s="325">
        <v>1088.29</v>
      </c>
      <c r="J398" s="325"/>
      <c r="K398" s="325">
        <f t="shared" si="77"/>
        <v>0</v>
      </c>
      <c r="L398" s="325">
        <f t="shared" si="78"/>
        <v>0</v>
      </c>
      <c r="M398" s="407">
        <v>40</v>
      </c>
      <c r="N398" s="408" t="s">
        <v>289</v>
      </c>
      <c r="O398" s="325">
        <f t="shared" si="80"/>
        <v>0</v>
      </c>
      <c r="P398" s="325">
        <f t="shared" si="81"/>
        <v>0</v>
      </c>
      <c r="Q398" s="325">
        <f t="shared" si="82"/>
        <v>0</v>
      </c>
      <c r="R398" s="325">
        <f t="shared" si="83"/>
        <v>217</v>
      </c>
      <c r="S398" s="325">
        <f t="shared" si="84"/>
        <v>0</v>
      </c>
      <c r="T398" s="325">
        <f t="shared" si="86"/>
        <v>217</v>
      </c>
      <c r="U398" s="325">
        <f t="shared" si="85"/>
        <v>871.29</v>
      </c>
      <c r="V398" s="325">
        <f t="shared" si="79"/>
        <v>0</v>
      </c>
      <c r="W398" s="449" cm="1">
        <f t="array" ref="W398">+IF(U398&lt;0,error,0)</f>
        <v>0</v>
      </c>
    </row>
    <row r="399" spans="1:23" ht="18" customHeight="1" x14ac:dyDescent="0.2">
      <c r="A399" s="402" t="s">
        <v>927</v>
      </c>
      <c r="B399" s="403"/>
      <c r="C399" s="404" t="s">
        <v>928</v>
      </c>
      <c r="D399" s="405">
        <v>42552</v>
      </c>
      <c r="E399" s="406"/>
      <c r="F399" s="325"/>
      <c r="G399" s="324"/>
      <c r="H399" s="324">
        <v>893.86</v>
      </c>
      <c r="I399" s="325">
        <v>0</v>
      </c>
      <c r="J399" s="325"/>
      <c r="K399" s="325">
        <f t="shared" si="77"/>
        <v>0</v>
      </c>
      <c r="L399" s="325">
        <f t="shared" si="78"/>
        <v>0</v>
      </c>
      <c r="M399" s="407">
        <v>66.67</v>
      </c>
      <c r="N399" s="408" t="s">
        <v>289</v>
      </c>
      <c r="O399" s="325">
        <f t="shared" si="80"/>
        <v>0</v>
      </c>
      <c r="P399" s="325">
        <f t="shared" si="81"/>
        <v>0</v>
      </c>
      <c r="Q399" s="325">
        <f t="shared" si="82"/>
        <v>0</v>
      </c>
      <c r="R399" s="325">
        <f t="shared" si="83"/>
        <v>0</v>
      </c>
      <c r="S399" s="325">
        <f t="shared" si="84"/>
        <v>0</v>
      </c>
      <c r="T399" s="325">
        <v>0</v>
      </c>
      <c r="U399" s="325">
        <f t="shared" si="85"/>
        <v>0</v>
      </c>
      <c r="V399" s="325">
        <f t="shared" si="79"/>
        <v>0</v>
      </c>
      <c r="W399" s="449" cm="1">
        <f t="array" ref="W399">+IF(U399&lt;0,error,0)</f>
        <v>0</v>
      </c>
    </row>
    <row r="400" spans="1:23" ht="18" customHeight="1" x14ac:dyDescent="0.2">
      <c r="A400" s="402" t="s">
        <v>929</v>
      </c>
      <c r="B400" s="403"/>
      <c r="C400" s="404" t="s">
        <v>2270</v>
      </c>
      <c r="D400" s="405">
        <v>42590</v>
      </c>
      <c r="E400" s="406"/>
      <c r="F400" s="325"/>
      <c r="G400" s="324"/>
      <c r="H400" s="324">
        <v>30000</v>
      </c>
      <c r="I400" s="325">
        <v>12751</v>
      </c>
      <c r="J400" s="325"/>
      <c r="K400" s="325">
        <f t="shared" si="77"/>
        <v>0</v>
      </c>
      <c r="L400" s="325">
        <f t="shared" si="78"/>
        <v>0</v>
      </c>
      <c r="M400" s="407">
        <v>18.18</v>
      </c>
      <c r="N400" s="408" t="s">
        <v>289</v>
      </c>
      <c r="O400" s="325">
        <f t="shared" si="80"/>
        <v>0</v>
      </c>
      <c r="P400" s="325">
        <f t="shared" si="81"/>
        <v>0</v>
      </c>
      <c r="Q400" s="325">
        <f t="shared" si="82"/>
        <v>0</v>
      </c>
      <c r="R400" s="325">
        <f t="shared" si="83"/>
        <v>1159</v>
      </c>
      <c r="S400" s="325">
        <f t="shared" si="84"/>
        <v>0</v>
      </c>
      <c r="T400" s="325">
        <f t="shared" ref="T400:T463" si="87">+R400+S400+Q400</f>
        <v>1159</v>
      </c>
      <c r="U400" s="325">
        <f t="shared" si="85"/>
        <v>11592</v>
      </c>
      <c r="V400" s="325">
        <f t="shared" si="79"/>
        <v>0</v>
      </c>
      <c r="W400" s="449" cm="1">
        <f t="array" ref="W400">+IF(U400&lt;0,error,0)</f>
        <v>0</v>
      </c>
    </row>
    <row r="401" spans="1:23" ht="18" customHeight="1" x14ac:dyDescent="0.2">
      <c r="A401" s="402" t="s">
        <v>931</v>
      </c>
      <c r="B401" s="403"/>
      <c r="C401" s="412" t="s">
        <v>932</v>
      </c>
      <c r="D401" s="405">
        <v>42641</v>
      </c>
      <c r="E401" s="406"/>
      <c r="F401" s="325"/>
      <c r="G401" s="324"/>
      <c r="H401" s="324">
        <v>6750</v>
      </c>
      <c r="I401" s="325">
        <v>2706</v>
      </c>
      <c r="J401" s="325"/>
      <c r="K401" s="325">
        <f t="shared" si="77"/>
        <v>0</v>
      </c>
      <c r="L401" s="325">
        <f t="shared" si="78"/>
        <v>0</v>
      </c>
      <c r="M401" s="407">
        <v>20</v>
      </c>
      <c r="N401" s="408" t="s">
        <v>289</v>
      </c>
      <c r="O401" s="325">
        <f t="shared" si="80"/>
        <v>0</v>
      </c>
      <c r="P401" s="325">
        <f t="shared" si="81"/>
        <v>0</v>
      </c>
      <c r="Q401" s="325">
        <f t="shared" si="82"/>
        <v>0</v>
      </c>
      <c r="R401" s="325">
        <f t="shared" si="83"/>
        <v>270</v>
      </c>
      <c r="S401" s="325">
        <f t="shared" si="84"/>
        <v>0</v>
      </c>
      <c r="T401" s="325">
        <f t="shared" si="87"/>
        <v>270</v>
      </c>
      <c r="U401" s="325">
        <f t="shared" si="85"/>
        <v>2436</v>
      </c>
      <c r="V401" s="325">
        <f t="shared" si="79"/>
        <v>0</v>
      </c>
      <c r="W401" s="449" cm="1">
        <f t="array" ref="W401">+IF(U401&lt;0,error,0)</f>
        <v>0</v>
      </c>
    </row>
    <row r="402" spans="1:23" ht="18" customHeight="1" x14ac:dyDescent="0.2">
      <c r="A402" s="402" t="s">
        <v>933</v>
      </c>
      <c r="B402" s="403"/>
      <c r="C402" s="404" t="s">
        <v>934</v>
      </c>
      <c r="D402" s="405">
        <v>42648</v>
      </c>
      <c r="E402" s="406"/>
      <c r="F402" s="325"/>
      <c r="G402" s="324"/>
      <c r="H402" s="324">
        <v>4500</v>
      </c>
      <c r="I402" s="325">
        <v>2904</v>
      </c>
      <c r="J402" s="325"/>
      <c r="K402" s="325">
        <f t="shared" si="77"/>
        <v>0</v>
      </c>
      <c r="L402" s="325">
        <f t="shared" si="78"/>
        <v>0</v>
      </c>
      <c r="M402" s="407">
        <v>10</v>
      </c>
      <c r="N402" s="408" t="s">
        <v>289</v>
      </c>
      <c r="O402" s="325">
        <f t="shared" si="80"/>
        <v>0</v>
      </c>
      <c r="P402" s="325">
        <f t="shared" si="81"/>
        <v>0</v>
      </c>
      <c r="Q402" s="325">
        <f t="shared" si="82"/>
        <v>0</v>
      </c>
      <c r="R402" s="325">
        <f t="shared" si="83"/>
        <v>145</v>
      </c>
      <c r="S402" s="325">
        <f t="shared" si="84"/>
        <v>0</v>
      </c>
      <c r="T402" s="325">
        <f t="shared" si="87"/>
        <v>145</v>
      </c>
      <c r="U402" s="325">
        <f t="shared" si="85"/>
        <v>2759</v>
      </c>
      <c r="V402" s="325">
        <f t="shared" si="79"/>
        <v>0</v>
      </c>
      <c r="W402" s="449" cm="1">
        <f t="array" ref="W402">+IF(U402&lt;0,error,0)</f>
        <v>0</v>
      </c>
    </row>
    <row r="403" spans="1:23" ht="18" customHeight="1" x14ac:dyDescent="0.2">
      <c r="A403" s="402" t="s">
        <v>935</v>
      </c>
      <c r="B403" s="403"/>
      <c r="C403" s="404" t="s">
        <v>936</v>
      </c>
      <c r="D403" s="405">
        <v>42664</v>
      </c>
      <c r="E403" s="406"/>
      <c r="F403" s="325"/>
      <c r="G403" s="324"/>
      <c r="H403" s="324">
        <v>817.27</v>
      </c>
      <c r="I403" s="325">
        <v>333.27</v>
      </c>
      <c r="J403" s="325"/>
      <c r="K403" s="325">
        <f t="shared" si="77"/>
        <v>0</v>
      </c>
      <c r="L403" s="325">
        <f t="shared" si="78"/>
        <v>0</v>
      </c>
      <c r="M403" s="407">
        <v>20</v>
      </c>
      <c r="N403" s="408" t="s">
        <v>289</v>
      </c>
      <c r="O403" s="325">
        <f t="shared" si="80"/>
        <v>0</v>
      </c>
      <c r="P403" s="325">
        <f t="shared" si="81"/>
        <v>0</v>
      </c>
      <c r="Q403" s="325">
        <f t="shared" si="82"/>
        <v>0</v>
      </c>
      <c r="R403" s="325">
        <f t="shared" si="83"/>
        <v>33</v>
      </c>
      <c r="S403" s="325">
        <f t="shared" si="84"/>
        <v>0</v>
      </c>
      <c r="T403" s="325">
        <f t="shared" si="87"/>
        <v>33</v>
      </c>
      <c r="U403" s="325">
        <f t="shared" si="85"/>
        <v>300.27</v>
      </c>
      <c r="V403" s="325">
        <f t="shared" si="79"/>
        <v>0</v>
      </c>
      <c r="W403" s="449" cm="1">
        <f t="array" ref="W403">+IF(U403&lt;0,error,0)</f>
        <v>0</v>
      </c>
    </row>
    <row r="404" spans="1:23" ht="18" customHeight="1" x14ac:dyDescent="0.2">
      <c r="A404" s="402" t="s">
        <v>937</v>
      </c>
      <c r="B404" s="403"/>
      <c r="C404" s="404" t="s">
        <v>938</v>
      </c>
      <c r="D404" s="405">
        <v>42677</v>
      </c>
      <c r="E404" s="406"/>
      <c r="F404" s="325"/>
      <c r="G404" s="324"/>
      <c r="H404" s="324">
        <v>754.38</v>
      </c>
      <c r="I404" s="325">
        <v>310.38</v>
      </c>
      <c r="J404" s="325"/>
      <c r="K404" s="325">
        <f t="shared" si="77"/>
        <v>0</v>
      </c>
      <c r="L404" s="325">
        <f t="shared" si="78"/>
        <v>0</v>
      </c>
      <c r="M404" s="407">
        <v>20</v>
      </c>
      <c r="N404" s="408" t="s">
        <v>289</v>
      </c>
      <c r="O404" s="325">
        <f t="shared" si="80"/>
        <v>0</v>
      </c>
      <c r="P404" s="325">
        <f t="shared" si="81"/>
        <v>0</v>
      </c>
      <c r="Q404" s="325">
        <f t="shared" si="82"/>
        <v>0</v>
      </c>
      <c r="R404" s="325">
        <f t="shared" si="83"/>
        <v>31</v>
      </c>
      <c r="S404" s="325">
        <f t="shared" si="84"/>
        <v>0</v>
      </c>
      <c r="T404" s="325">
        <f t="shared" si="87"/>
        <v>31</v>
      </c>
      <c r="U404" s="325">
        <f t="shared" si="85"/>
        <v>279.38</v>
      </c>
      <c r="V404" s="325">
        <f t="shared" si="79"/>
        <v>0</v>
      </c>
      <c r="W404" s="449" cm="1">
        <f t="array" ref="W404">+IF(U404&lt;0,error,0)</f>
        <v>0</v>
      </c>
    </row>
    <row r="405" spans="1:23" ht="18" customHeight="1" x14ac:dyDescent="0.2">
      <c r="A405" s="402" t="s">
        <v>939</v>
      </c>
      <c r="B405" s="403"/>
      <c r="C405" s="404" t="s">
        <v>940</v>
      </c>
      <c r="D405" s="405">
        <v>42744</v>
      </c>
      <c r="E405" s="406"/>
      <c r="F405" s="325"/>
      <c r="G405" s="324"/>
      <c r="H405" s="324">
        <v>4545.45</v>
      </c>
      <c r="I405" s="325">
        <v>723.45</v>
      </c>
      <c r="J405" s="325"/>
      <c r="K405" s="325">
        <f t="shared" si="77"/>
        <v>0</v>
      </c>
      <c r="L405" s="325">
        <f t="shared" si="78"/>
        <v>0</v>
      </c>
      <c r="M405" s="407">
        <v>40</v>
      </c>
      <c r="N405" s="408" t="s">
        <v>289</v>
      </c>
      <c r="O405" s="325">
        <f t="shared" si="80"/>
        <v>0</v>
      </c>
      <c r="P405" s="325">
        <f t="shared" si="81"/>
        <v>0</v>
      </c>
      <c r="Q405" s="325">
        <f t="shared" si="82"/>
        <v>0</v>
      </c>
      <c r="R405" s="325">
        <f t="shared" si="83"/>
        <v>144</v>
      </c>
      <c r="S405" s="325">
        <f t="shared" si="84"/>
        <v>0</v>
      </c>
      <c r="T405" s="325">
        <f t="shared" si="87"/>
        <v>144</v>
      </c>
      <c r="U405" s="325">
        <f t="shared" si="85"/>
        <v>579.45000000000005</v>
      </c>
      <c r="V405" s="325">
        <f t="shared" si="79"/>
        <v>0</v>
      </c>
      <c r="W405" s="449" cm="1">
        <f t="array" ref="W405">+IF(U405&lt;0,error,0)</f>
        <v>0</v>
      </c>
    </row>
    <row r="406" spans="1:23" ht="18" customHeight="1" x14ac:dyDescent="0.2">
      <c r="A406" s="402" t="s">
        <v>941</v>
      </c>
      <c r="B406" s="403"/>
      <c r="C406" s="404" t="s">
        <v>942</v>
      </c>
      <c r="D406" s="405">
        <v>42766</v>
      </c>
      <c r="E406" s="406"/>
      <c r="F406" s="325"/>
      <c r="G406" s="324"/>
      <c r="H406" s="324">
        <v>2208.23</v>
      </c>
      <c r="I406" s="325">
        <v>956.23</v>
      </c>
      <c r="J406" s="325"/>
      <c r="K406" s="325">
        <f t="shared" si="77"/>
        <v>0</v>
      </c>
      <c r="L406" s="325">
        <f t="shared" si="78"/>
        <v>0</v>
      </c>
      <c r="M406" s="407">
        <v>20</v>
      </c>
      <c r="N406" s="408" t="s">
        <v>289</v>
      </c>
      <c r="O406" s="325">
        <f t="shared" si="80"/>
        <v>0</v>
      </c>
      <c r="P406" s="325">
        <f t="shared" si="81"/>
        <v>0</v>
      </c>
      <c r="Q406" s="325">
        <f t="shared" si="82"/>
        <v>0</v>
      </c>
      <c r="R406" s="325">
        <f t="shared" si="83"/>
        <v>95</v>
      </c>
      <c r="S406" s="325">
        <f t="shared" si="84"/>
        <v>0</v>
      </c>
      <c r="T406" s="325">
        <f t="shared" si="87"/>
        <v>95</v>
      </c>
      <c r="U406" s="325">
        <f t="shared" si="85"/>
        <v>861.23</v>
      </c>
      <c r="V406" s="325">
        <f t="shared" si="79"/>
        <v>0</v>
      </c>
      <c r="W406" s="449" cm="1">
        <f t="array" ref="W406">+IF(U406&lt;0,error,0)</f>
        <v>0</v>
      </c>
    </row>
    <row r="407" spans="1:23" ht="18" customHeight="1" x14ac:dyDescent="0.2">
      <c r="A407" s="402" t="s">
        <v>943</v>
      </c>
      <c r="B407" s="403"/>
      <c r="C407" s="404" t="s">
        <v>944</v>
      </c>
      <c r="D407" s="405">
        <v>42775</v>
      </c>
      <c r="E407" s="406"/>
      <c r="F407" s="325"/>
      <c r="G407" s="324"/>
      <c r="H407" s="324">
        <v>14147.26</v>
      </c>
      <c r="I407" s="325">
        <v>9467.26</v>
      </c>
      <c r="J407" s="325"/>
      <c r="K407" s="325">
        <f t="shared" si="77"/>
        <v>0</v>
      </c>
      <c r="L407" s="325">
        <f t="shared" si="78"/>
        <v>0</v>
      </c>
      <c r="M407" s="407">
        <v>10</v>
      </c>
      <c r="N407" s="408" t="s">
        <v>289</v>
      </c>
      <c r="O407" s="325">
        <f t="shared" si="80"/>
        <v>0</v>
      </c>
      <c r="P407" s="325">
        <f t="shared" si="81"/>
        <v>0</v>
      </c>
      <c r="Q407" s="325">
        <f t="shared" si="82"/>
        <v>0</v>
      </c>
      <c r="R407" s="325">
        <f t="shared" si="83"/>
        <v>473</v>
      </c>
      <c r="S407" s="325">
        <f t="shared" si="84"/>
        <v>0</v>
      </c>
      <c r="T407" s="325">
        <f t="shared" si="87"/>
        <v>473</v>
      </c>
      <c r="U407" s="325">
        <f t="shared" si="85"/>
        <v>8994.26</v>
      </c>
      <c r="V407" s="325">
        <f t="shared" si="79"/>
        <v>0</v>
      </c>
      <c r="W407" s="449" cm="1">
        <f t="array" ref="W407">+IF(U407&lt;0,error,0)</f>
        <v>0</v>
      </c>
    </row>
    <row r="408" spans="1:23" ht="18" customHeight="1" x14ac:dyDescent="0.2">
      <c r="A408" s="402" t="s">
        <v>945</v>
      </c>
      <c r="B408" s="403"/>
      <c r="C408" s="404" t="s">
        <v>946</v>
      </c>
      <c r="D408" s="405">
        <v>42837</v>
      </c>
      <c r="E408" s="406"/>
      <c r="F408" s="325"/>
      <c r="G408" s="324"/>
      <c r="H408" s="324">
        <v>5000</v>
      </c>
      <c r="I408" s="325">
        <v>1549</v>
      </c>
      <c r="J408" s="325"/>
      <c r="K408" s="325">
        <f t="shared" si="77"/>
        <v>0</v>
      </c>
      <c r="L408" s="325">
        <f t="shared" si="78"/>
        <v>0</v>
      </c>
      <c r="M408" s="407">
        <v>28.57</v>
      </c>
      <c r="N408" s="408" t="s">
        <v>289</v>
      </c>
      <c r="O408" s="325">
        <f t="shared" si="80"/>
        <v>0</v>
      </c>
      <c r="P408" s="325">
        <f t="shared" si="81"/>
        <v>0</v>
      </c>
      <c r="Q408" s="325">
        <f t="shared" si="82"/>
        <v>0</v>
      </c>
      <c r="R408" s="325">
        <f t="shared" si="83"/>
        <v>221</v>
      </c>
      <c r="S408" s="325">
        <f t="shared" si="84"/>
        <v>0</v>
      </c>
      <c r="T408" s="325">
        <f t="shared" si="87"/>
        <v>221</v>
      </c>
      <c r="U408" s="325">
        <f t="shared" si="85"/>
        <v>1328</v>
      </c>
      <c r="V408" s="325">
        <f t="shared" si="79"/>
        <v>0</v>
      </c>
      <c r="W408" s="449" cm="1">
        <f t="array" ref="W408">+IF(U408&lt;0,error,0)</f>
        <v>0</v>
      </c>
    </row>
    <row r="409" spans="1:23" ht="18" customHeight="1" x14ac:dyDescent="0.2">
      <c r="A409" s="402" t="s">
        <v>947</v>
      </c>
      <c r="B409" s="403"/>
      <c r="C409" s="404" t="s">
        <v>948</v>
      </c>
      <c r="D409" s="405">
        <v>42905</v>
      </c>
      <c r="E409" s="406"/>
      <c r="F409" s="325"/>
      <c r="G409" s="324"/>
      <c r="H409" s="324">
        <v>3505.09</v>
      </c>
      <c r="I409" s="325">
        <v>679.09000000000015</v>
      </c>
      <c r="J409" s="325"/>
      <c r="K409" s="325">
        <f t="shared" si="77"/>
        <v>0</v>
      </c>
      <c r="L409" s="325">
        <f t="shared" si="78"/>
        <v>0</v>
      </c>
      <c r="M409" s="407">
        <v>40</v>
      </c>
      <c r="N409" s="408" t="s">
        <v>289</v>
      </c>
      <c r="O409" s="325">
        <f t="shared" si="80"/>
        <v>0</v>
      </c>
      <c r="P409" s="325">
        <f t="shared" si="81"/>
        <v>0</v>
      </c>
      <c r="Q409" s="325">
        <f t="shared" si="82"/>
        <v>0</v>
      </c>
      <c r="R409" s="325">
        <f t="shared" si="83"/>
        <v>135</v>
      </c>
      <c r="S409" s="325">
        <f t="shared" si="84"/>
        <v>0</v>
      </c>
      <c r="T409" s="325">
        <f t="shared" si="87"/>
        <v>135</v>
      </c>
      <c r="U409" s="325">
        <f t="shared" si="85"/>
        <v>544.09000000000015</v>
      </c>
      <c r="V409" s="325">
        <f t="shared" si="79"/>
        <v>0</v>
      </c>
      <c r="W409" s="449" cm="1">
        <f t="array" ref="W409">+IF(U409&lt;0,error,0)</f>
        <v>0</v>
      </c>
    </row>
    <row r="410" spans="1:23" ht="18" customHeight="1" x14ac:dyDescent="0.2">
      <c r="A410" s="402" t="s">
        <v>949</v>
      </c>
      <c r="B410" s="403"/>
      <c r="C410" s="404" t="s">
        <v>950</v>
      </c>
      <c r="D410" s="405">
        <v>42916</v>
      </c>
      <c r="E410" s="406"/>
      <c r="F410" s="325"/>
      <c r="G410" s="324"/>
      <c r="H410" s="324">
        <v>3906</v>
      </c>
      <c r="I410" s="325">
        <v>2397</v>
      </c>
      <c r="J410" s="325"/>
      <c r="K410" s="325">
        <f t="shared" si="77"/>
        <v>0</v>
      </c>
      <c r="L410" s="325">
        <f t="shared" si="78"/>
        <v>0</v>
      </c>
      <c r="M410" s="407">
        <v>13.33</v>
      </c>
      <c r="N410" s="408" t="s">
        <v>289</v>
      </c>
      <c r="O410" s="325">
        <f t="shared" si="80"/>
        <v>0</v>
      </c>
      <c r="P410" s="325">
        <f t="shared" si="81"/>
        <v>0</v>
      </c>
      <c r="Q410" s="325">
        <f t="shared" si="82"/>
        <v>0</v>
      </c>
      <c r="R410" s="325">
        <f t="shared" si="83"/>
        <v>159</v>
      </c>
      <c r="S410" s="325">
        <f t="shared" si="84"/>
        <v>0</v>
      </c>
      <c r="T410" s="325">
        <f t="shared" si="87"/>
        <v>159</v>
      </c>
      <c r="U410" s="325">
        <f t="shared" si="85"/>
        <v>2238</v>
      </c>
      <c r="V410" s="325">
        <f t="shared" si="79"/>
        <v>0</v>
      </c>
      <c r="W410" s="449" cm="1">
        <f t="array" ref="W410">+IF(U410&lt;0,error,0)</f>
        <v>0</v>
      </c>
    </row>
    <row r="411" spans="1:23" ht="18" customHeight="1" x14ac:dyDescent="0.2">
      <c r="A411" s="402" t="s">
        <v>951</v>
      </c>
      <c r="B411" s="403"/>
      <c r="C411" s="404" t="s">
        <v>952</v>
      </c>
      <c r="D411" s="405">
        <v>42864</v>
      </c>
      <c r="E411" s="406"/>
      <c r="F411" s="325"/>
      <c r="G411" s="324"/>
      <c r="H411" s="324">
        <v>9572.5</v>
      </c>
      <c r="I411" s="325">
        <v>4389.5</v>
      </c>
      <c r="J411" s="325"/>
      <c r="K411" s="325">
        <f t="shared" si="77"/>
        <v>0</v>
      </c>
      <c r="L411" s="325">
        <f t="shared" si="78"/>
        <v>0</v>
      </c>
      <c r="M411" s="407">
        <v>20</v>
      </c>
      <c r="N411" s="408" t="s">
        <v>289</v>
      </c>
      <c r="O411" s="325">
        <f t="shared" si="80"/>
        <v>0</v>
      </c>
      <c r="P411" s="325">
        <f t="shared" si="81"/>
        <v>0</v>
      </c>
      <c r="Q411" s="325">
        <f t="shared" si="82"/>
        <v>0</v>
      </c>
      <c r="R411" s="325">
        <f t="shared" si="83"/>
        <v>438</v>
      </c>
      <c r="S411" s="325">
        <f t="shared" si="84"/>
        <v>0</v>
      </c>
      <c r="T411" s="325">
        <f t="shared" si="87"/>
        <v>438</v>
      </c>
      <c r="U411" s="325">
        <f t="shared" si="85"/>
        <v>3951.5</v>
      </c>
      <c r="V411" s="325">
        <f t="shared" si="79"/>
        <v>0</v>
      </c>
      <c r="W411" s="449" cm="1">
        <f t="array" ref="W411">+IF(U411&lt;0,error,0)</f>
        <v>0</v>
      </c>
    </row>
    <row r="412" spans="1:23" ht="18" customHeight="1" x14ac:dyDescent="0.2">
      <c r="A412" s="402" t="s">
        <v>953</v>
      </c>
      <c r="B412" s="403"/>
      <c r="C412" s="404" t="s">
        <v>954</v>
      </c>
      <c r="D412" s="405">
        <v>42803</v>
      </c>
      <c r="E412" s="406"/>
      <c r="F412" s="325"/>
      <c r="G412" s="324"/>
      <c r="H412" s="324">
        <v>1170</v>
      </c>
      <c r="I412" s="325">
        <v>202</v>
      </c>
      <c r="J412" s="325"/>
      <c r="K412" s="325">
        <f t="shared" si="77"/>
        <v>0</v>
      </c>
      <c r="L412" s="325">
        <f t="shared" si="78"/>
        <v>0</v>
      </c>
      <c r="M412" s="407">
        <v>40</v>
      </c>
      <c r="N412" s="408" t="s">
        <v>289</v>
      </c>
      <c r="O412" s="325">
        <f t="shared" si="80"/>
        <v>0</v>
      </c>
      <c r="P412" s="325">
        <f t="shared" si="81"/>
        <v>0</v>
      </c>
      <c r="Q412" s="325">
        <f t="shared" si="82"/>
        <v>0</v>
      </c>
      <c r="R412" s="325">
        <f t="shared" si="83"/>
        <v>40</v>
      </c>
      <c r="S412" s="325">
        <f t="shared" si="84"/>
        <v>0</v>
      </c>
      <c r="T412" s="325">
        <f t="shared" si="87"/>
        <v>40</v>
      </c>
      <c r="U412" s="325">
        <f t="shared" si="85"/>
        <v>162</v>
      </c>
      <c r="V412" s="325">
        <f t="shared" si="79"/>
        <v>0</v>
      </c>
      <c r="W412" s="449" cm="1">
        <f t="array" ref="W412">+IF(U412&lt;0,error,0)</f>
        <v>0</v>
      </c>
    </row>
    <row r="413" spans="1:23" ht="18" customHeight="1" x14ac:dyDescent="0.2">
      <c r="A413" s="402" t="s">
        <v>955</v>
      </c>
      <c r="B413" s="403"/>
      <c r="C413" s="404" t="s">
        <v>956</v>
      </c>
      <c r="D413" s="405">
        <v>42803</v>
      </c>
      <c r="E413" s="406"/>
      <c r="F413" s="325"/>
      <c r="G413" s="324"/>
      <c r="H413" s="324">
        <v>1320</v>
      </c>
      <c r="I413" s="325">
        <v>228</v>
      </c>
      <c r="J413" s="325"/>
      <c r="K413" s="325">
        <f t="shared" si="77"/>
        <v>0</v>
      </c>
      <c r="L413" s="325">
        <f t="shared" si="78"/>
        <v>0</v>
      </c>
      <c r="M413" s="407">
        <v>40</v>
      </c>
      <c r="N413" s="408" t="s">
        <v>289</v>
      </c>
      <c r="O413" s="325">
        <f t="shared" si="80"/>
        <v>0</v>
      </c>
      <c r="P413" s="325">
        <f t="shared" si="81"/>
        <v>0</v>
      </c>
      <c r="Q413" s="325">
        <f t="shared" si="82"/>
        <v>0</v>
      </c>
      <c r="R413" s="325">
        <f t="shared" si="83"/>
        <v>45</v>
      </c>
      <c r="S413" s="325">
        <f t="shared" si="84"/>
        <v>0</v>
      </c>
      <c r="T413" s="325">
        <f t="shared" si="87"/>
        <v>45</v>
      </c>
      <c r="U413" s="325">
        <f t="shared" si="85"/>
        <v>183</v>
      </c>
      <c r="V413" s="325">
        <f t="shared" si="79"/>
        <v>0</v>
      </c>
      <c r="W413" s="449" cm="1">
        <f t="array" ref="W413">+IF(U413&lt;0,error,0)</f>
        <v>0</v>
      </c>
    </row>
    <row r="414" spans="1:23" ht="18" customHeight="1" x14ac:dyDescent="0.2">
      <c r="A414" s="402" t="s">
        <v>957</v>
      </c>
      <c r="B414" s="403"/>
      <c r="C414" s="404" t="s">
        <v>958</v>
      </c>
      <c r="D414" s="405">
        <v>42803</v>
      </c>
      <c r="E414" s="406"/>
      <c r="F414" s="325"/>
      <c r="G414" s="324"/>
      <c r="H414" s="324">
        <v>1192.5</v>
      </c>
      <c r="I414" s="325">
        <v>205.5</v>
      </c>
      <c r="J414" s="325"/>
      <c r="K414" s="325">
        <f t="shared" si="77"/>
        <v>0</v>
      </c>
      <c r="L414" s="325">
        <f t="shared" si="78"/>
        <v>0</v>
      </c>
      <c r="M414" s="407">
        <v>40</v>
      </c>
      <c r="N414" s="408" t="s">
        <v>289</v>
      </c>
      <c r="O414" s="325">
        <f t="shared" si="80"/>
        <v>0</v>
      </c>
      <c r="P414" s="325">
        <f t="shared" si="81"/>
        <v>0</v>
      </c>
      <c r="Q414" s="325">
        <f t="shared" si="82"/>
        <v>0</v>
      </c>
      <c r="R414" s="325">
        <f t="shared" si="83"/>
        <v>41</v>
      </c>
      <c r="S414" s="325">
        <f t="shared" si="84"/>
        <v>0</v>
      </c>
      <c r="T414" s="325">
        <f t="shared" si="87"/>
        <v>41</v>
      </c>
      <c r="U414" s="325">
        <f t="shared" si="85"/>
        <v>164.5</v>
      </c>
      <c r="V414" s="325">
        <f t="shared" si="79"/>
        <v>0</v>
      </c>
      <c r="W414" s="449" cm="1">
        <f t="array" ref="W414">+IF(U414&lt;0,error,0)</f>
        <v>0</v>
      </c>
    </row>
    <row r="415" spans="1:23" ht="18" customHeight="1" x14ac:dyDescent="0.2">
      <c r="A415" s="402" t="s">
        <v>959</v>
      </c>
      <c r="B415" s="403"/>
      <c r="C415" s="404" t="s">
        <v>960</v>
      </c>
      <c r="D415" s="405">
        <v>42978</v>
      </c>
      <c r="E415" s="406"/>
      <c r="F415" s="325"/>
      <c r="G415" s="324"/>
      <c r="H415" s="324">
        <v>3300</v>
      </c>
      <c r="I415" s="325">
        <v>2079</v>
      </c>
      <c r="J415" s="325"/>
      <c r="K415" s="325">
        <f t="shared" si="77"/>
        <v>0</v>
      </c>
      <c r="L415" s="325">
        <f t="shared" si="78"/>
        <v>0</v>
      </c>
      <c r="M415" s="407">
        <v>13.33</v>
      </c>
      <c r="N415" s="408" t="s">
        <v>289</v>
      </c>
      <c r="O415" s="325">
        <f t="shared" si="80"/>
        <v>0</v>
      </c>
      <c r="P415" s="325">
        <f t="shared" si="81"/>
        <v>0</v>
      </c>
      <c r="Q415" s="325">
        <f t="shared" si="82"/>
        <v>0</v>
      </c>
      <c r="R415" s="325">
        <f t="shared" si="83"/>
        <v>138</v>
      </c>
      <c r="S415" s="325">
        <f t="shared" si="84"/>
        <v>0</v>
      </c>
      <c r="T415" s="325">
        <f t="shared" si="87"/>
        <v>138</v>
      </c>
      <c r="U415" s="325">
        <f t="shared" si="85"/>
        <v>1941</v>
      </c>
      <c r="V415" s="325">
        <f t="shared" si="79"/>
        <v>0</v>
      </c>
      <c r="W415" s="449" cm="1">
        <f t="array" ref="W415">+IF(U415&lt;0,error,0)</f>
        <v>0</v>
      </c>
    </row>
    <row r="416" spans="1:23" ht="18" customHeight="1" x14ac:dyDescent="0.2">
      <c r="A416" s="402" t="s">
        <v>961</v>
      </c>
      <c r="B416" s="403"/>
      <c r="C416" s="404" t="s">
        <v>962</v>
      </c>
      <c r="D416" s="405">
        <v>43057</v>
      </c>
      <c r="E416" s="406"/>
      <c r="F416" s="325"/>
      <c r="G416" s="324"/>
      <c r="H416" s="324">
        <v>7000</v>
      </c>
      <c r="I416" s="325">
        <v>4551</v>
      </c>
      <c r="J416" s="325"/>
      <c r="K416" s="325">
        <f t="shared" si="77"/>
        <v>0</v>
      </c>
      <c r="L416" s="325">
        <f t="shared" si="78"/>
        <v>0</v>
      </c>
      <c r="M416" s="407">
        <v>13.33</v>
      </c>
      <c r="N416" s="408" t="s">
        <v>289</v>
      </c>
      <c r="O416" s="325">
        <f t="shared" si="80"/>
        <v>0</v>
      </c>
      <c r="P416" s="325">
        <f t="shared" si="81"/>
        <v>0</v>
      </c>
      <c r="Q416" s="325">
        <f t="shared" si="82"/>
        <v>0</v>
      </c>
      <c r="R416" s="325">
        <f t="shared" si="83"/>
        <v>303</v>
      </c>
      <c r="S416" s="325">
        <f t="shared" si="84"/>
        <v>0</v>
      </c>
      <c r="T416" s="325">
        <f t="shared" si="87"/>
        <v>303</v>
      </c>
      <c r="U416" s="325">
        <f t="shared" si="85"/>
        <v>4248</v>
      </c>
      <c r="V416" s="325">
        <f t="shared" si="79"/>
        <v>0</v>
      </c>
      <c r="W416" s="449" cm="1">
        <f t="array" ref="W416">+IF(U416&lt;0,error,0)</f>
        <v>0</v>
      </c>
    </row>
    <row r="417" spans="1:23" ht="18" customHeight="1" x14ac:dyDescent="0.2">
      <c r="A417" s="402" t="s">
        <v>963</v>
      </c>
      <c r="B417" s="403"/>
      <c r="C417" s="404" t="s">
        <v>964</v>
      </c>
      <c r="D417" s="405">
        <v>43088</v>
      </c>
      <c r="E417" s="406"/>
      <c r="F417" s="325"/>
      <c r="G417" s="324"/>
      <c r="H417" s="324">
        <v>30000</v>
      </c>
      <c r="I417" s="325">
        <v>19735</v>
      </c>
      <c r="J417" s="325"/>
      <c r="K417" s="325">
        <f t="shared" si="77"/>
        <v>0</v>
      </c>
      <c r="L417" s="325">
        <f t="shared" si="78"/>
        <v>0</v>
      </c>
      <c r="M417" s="407">
        <v>13.33</v>
      </c>
      <c r="N417" s="408" t="s">
        <v>289</v>
      </c>
      <c r="O417" s="325">
        <f t="shared" si="80"/>
        <v>0</v>
      </c>
      <c r="P417" s="325">
        <f t="shared" si="81"/>
        <v>0</v>
      </c>
      <c r="Q417" s="325">
        <f t="shared" si="82"/>
        <v>0</v>
      </c>
      <c r="R417" s="325">
        <f t="shared" si="83"/>
        <v>1315</v>
      </c>
      <c r="S417" s="325">
        <f t="shared" si="84"/>
        <v>0</v>
      </c>
      <c r="T417" s="325">
        <f t="shared" si="87"/>
        <v>1315</v>
      </c>
      <c r="U417" s="325">
        <f t="shared" si="85"/>
        <v>18420</v>
      </c>
      <c r="V417" s="325">
        <f t="shared" si="79"/>
        <v>0</v>
      </c>
      <c r="W417" s="449" cm="1">
        <f t="array" ref="W417">+IF(U417&lt;0,error,0)</f>
        <v>0</v>
      </c>
    </row>
    <row r="418" spans="1:23" ht="18" customHeight="1" x14ac:dyDescent="0.2">
      <c r="A418" s="402" t="s">
        <v>965</v>
      </c>
      <c r="B418" s="403"/>
      <c r="C418" s="404" t="s">
        <v>966</v>
      </c>
      <c r="D418" s="405">
        <v>43147</v>
      </c>
      <c r="E418" s="406"/>
      <c r="F418" s="325"/>
      <c r="G418" s="324"/>
      <c r="H418" s="324">
        <v>10000</v>
      </c>
      <c r="I418" s="325">
        <v>6733</v>
      </c>
      <c r="J418" s="325"/>
      <c r="K418" s="325">
        <f t="shared" si="77"/>
        <v>0</v>
      </c>
      <c r="L418" s="325">
        <f t="shared" si="78"/>
        <v>0</v>
      </c>
      <c r="M418" s="407">
        <v>13.33</v>
      </c>
      <c r="N418" s="408" t="s">
        <v>289</v>
      </c>
      <c r="O418" s="325">
        <f t="shared" si="80"/>
        <v>0</v>
      </c>
      <c r="P418" s="325">
        <f t="shared" si="81"/>
        <v>0</v>
      </c>
      <c r="Q418" s="325">
        <f t="shared" si="82"/>
        <v>0</v>
      </c>
      <c r="R418" s="325">
        <f t="shared" si="83"/>
        <v>448</v>
      </c>
      <c r="S418" s="325">
        <f t="shared" si="84"/>
        <v>0</v>
      </c>
      <c r="T418" s="325">
        <f t="shared" si="87"/>
        <v>448</v>
      </c>
      <c r="U418" s="325">
        <f t="shared" si="85"/>
        <v>6285</v>
      </c>
      <c r="V418" s="325">
        <f t="shared" si="79"/>
        <v>0</v>
      </c>
      <c r="W418" s="449" cm="1">
        <f t="array" ref="W418">+IF(U418&lt;0,error,0)</f>
        <v>0</v>
      </c>
    </row>
    <row r="419" spans="1:23" ht="18" customHeight="1" x14ac:dyDescent="0.2">
      <c r="A419" s="402" t="s">
        <v>967</v>
      </c>
      <c r="B419" s="403"/>
      <c r="C419" s="404" t="s">
        <v>968</v>
      </c>
      <c r="D419" s="405">
        <v>43223</v>
      </c>
      <c r="E419" s="406"/>
      <c r="F419" s="325"/>
      <c r="G419" s="324"/>
      <c r="H419" s="324">
        <v>12717</v>
      </c>
      <c r="I419" s="325">
        <v>8810</v>
      </c>
      <c r="J419" s="325"/>
      <c r="K419" s="325">
        <f t="shared" si="77"/>
        <v>0</v>
      </c>
      <c r="L419" s="325">
        <f t="shared" si="78"/>
        <v>0</v>
      </c>
      <c r="M419" s="407">
        <v>13.33</v>
      </c>
      <c r="N419" s="408" t="s">
        <v>289</v>
      </c>
      <c r="O419" s="325">
        <f t="shared" si="80"/>
        <v>0</v>
      </c>
      <c r="P419" s="325">
        <f t="shared" si="81"/>
        <v>0</v>
      </c>
      <c r="Q419" s="325">
        <f t="shared" si="82"/>
        <v>0</v>
      </c>
      <c r="R419" s="325">
        <f t="shared" si="83"/>
        <v>587</v>
      </c>
      <c r="S419" s="325">
        <f t="shared" si="84"/>
        <v>0</v>
      </c>
      <c r="T419" s="325">
        <f t="shared" si="87"/>
        <v>587</v>
      </c>
      <c r="U419" s="325">
        <f t="shared" si="85"/>
        <v>8223</v>
      </c>
      <c r="V419" s="325">
        <f t="shared" si="79"/>
        <v>0</v>
      </c>
      <c r="W419" s="449" cm="1">
        <f t="array" ref="W419">+IF(U419&lt;0,error,0)</f>
        <v>0</v>
      </c>
    </row>
    <row r="420" spans="1:23" ht="18" customHeight="1" x14ac:dyDescent="0.2">
      <c r="A420" s="402" t="s">
        <v>971</v>
      </c>
      <c r="B420" s="403"/>
      <c r="C420" s="404" t="s">
        <v>972</v>
      </c>
      <c r="D420" s="405">
        <v>42917</v>
      </c>
      <c r="E420" s="406"/>
      <c r="F420" s="325"/>
      <c r="G420" s="324"/>
      <c r="H420" s="324">
        <v>1000</v>
      </c>
      <c r="I420" s="325">
        <v>788</v>
      </c>
      <c r="J420" s="325"/>
      <c r="K420" s="325">
        <f t="shared" si="77"/>
        <v>0</v>
      </c>
      <c r="L420" s="325">
        <f t="shared" si="78"/>
        <v>0</v>
      </c>
      <c r="M420" s="407">
        <v>6.67</v>
      </c>
      <c r="N420" s="408" t="s">
        <v>289</v>
      </c>
      <c r="O420" s="325">
        <f t="shared" si="80"/>
        <v>0</v>
      </c>
      <c r="P420" s="325">
        <f t="shared" si="81"/>
        <v>0</v>
      </c>
      <c r="Q420" s="325">
        <f t="shared" si="82"/>
        <v>0</v>
      </c>
      <c r="R420" s="325">
        <f t="shared" si="83"/>
        <v>26</v>
      </c>
      <c r="S420" s="325">
        <f t="shared" si="84"/>
        <v>0</v>
      </c>
      <c r="T420" s="325">
        <f t="shared" si="87"/>
        <v>26</v>
      </c>
      <c r="U420" s="325">
        <f t="shared" si="85"/>
        <v>762</v>
      </c>
      <c r="V420" s="325">
        <f t="shared" si="79"/>
        <v>0</v>
      </c>
      <c r="W420" s="449" cm="1">
        <f t="array" ref="W420">+IF(U420&lt;0,error,0)</f>
        <v>0</v>
      </c>
    </row>
    <row r="421" spans="1:23" ht="18" customHeight="1" x14ac:dyDescent="0.2">
      <c r="A421" s="402" t="s">
        <v>973</v>
      </c>
      <c r="B421" s="403"/>
      <c r="C421" s="404" t="s">
        <v>974</v>
      </c>
      <c r="D421" s="405">
        <v>42917</v>
      </c>
      <c r="E421" s="406"/>
      <c r="F421" s="325"/>
      <c r="G421" s="324"/>
      <c r="H421" s="324">
        <v>2240</v>
      </c>
      <c r="I421" s="325">
        <v>1767</v>
      </c>
      <c r="J421" s="325"/>
      <c r="K421" s="325">
        <f t="shared" si="77"/>
        <v>0</v>
      </c>
      <c r="L421" s="325">
        <f t="shared" si="78"/>
        <v>0</v>
      </c>
      <c r="M421" s="407">
        <v>6.67</v>
      </c>
      <c r="N421" s="408" t="s">
        <v>289</v>
      </c>
      <c r="O421" s="325">
        <f t="shared" si="80"/>
        <v>0</v>
      </c>
      <c r="P421" s="325">
        <f t="shared" si="81"/>
        <v>0</v>
      </c>
      <c r="Q421" s="325">
        <f t="shared" si="82"/>
        <v>0</v>
      </c>
      <c r="R421" s="325">
        <f t="shared" si="83"/>
        <v>58</v>
      </c>
      <c r="S421" s="325">
        <f t="shared" si="84"/>
        <v>0</v>
      </c>
      <c r="T421" s="325">
        <f t="shared" si="87"/>
        <v>58</v>
      </c>
      <c r="U421" s="325">
        <f t="shared" si="85"/>
        <v>1709</v>
      </c>
      <c r="V421" s="325">
        <f t="shared" si="79"/>
        <v>0</v>
      </c>
      <c r="W421" s="449" cm="1">
        <f t="array" ref="W421">+IF(U421&lt;0,error,0)</f>
        <v>0</v>
      </c>
    </row>
    <row r="422" spans="1:23" ht="18" customHeight="1" x14ac:dyDescent="0.2">
      <c r="A422" s="402" t="s">
        <v>975</v>
      </c>
      <c r="B422" s="403"/>
      <c r="C422" s="404" t="s">
        <v>976</v>
      </c>
      <c r="D422" s="405">
        <v>43008</v>
      </c>
      <c r="E422" s="406"/>
      <c r="F422" s="325"/>
      <c r="G422" s="324"/>
      <c r="H422" s="324">
        <v>1858.5</v>
      </c>
      <c r="I422" s="325">
        <v>1186.5</v>
      </c>
      <c r="J422" s="325"/>
      <c r="K422" s="325">
        <f t="shared" si="77"/>
        <v>0</v>
      </c>
      <c r="L422" s="325">
        <f t="shared" si="78"/>
        <v>0</v>
      </c>
      <c r="M422" s="407">
        <v>13.33</v>
      </c>
      <c r="N422" s="408" t="s">
        <v>289</v>
      </c>
      <c r="O422" s="325">
        <f t="shared" si="80"/>
        <v>0</v>
      </c>
      <c r="P422" s="325">
        <f t="shared" si="81"/>
        <v>0</v>
      </c>
      <c r="Q422" s="325">
        <f t="shared" si="82"/>
        <v>0</v>
      </c>
      <c r="R422" s="325">
        <f t="shared" si="83"/>
        <v>79</v>
      </c>
      <c r="S422" s="325">
        <f t="shared" si="84"/>
        <v>0</v>
      </c>
      <c r="T422" s="325">
        <f t="shared" si="87"/>
        <v>79</v>
      </c>
      <c r="U422" s="325">
        <f t="shared" si="85"/>
        <v>1107.5</v>
      </c>
      <c r="V422" s="325">
        <f t="shared" si="79"/>
        <v>0</v>
      </c>
      <c r="W422" s="449" cm="1">
        <f t="array" ref="W422">+IF(U422&lt;0,error,0)</f>
        <v>0</v>
      </c>
    </row>
    <row r="423" spans="1:23" ht="18" customHeight="1" x14ac:dyDescent="0.2">
      <c r="A423" s="402" t="s">
        <v>977</v>
      </c>
      <c r="B423" s="403"/>
      <c r="C423" s="404" t="s">
        <v>978</v>
      </c>
      <c r="D423" s="405">
        <v>43069</v>
      </c>
      <c r="E423" s="406"/>
      <c r="F423" s="325"/>
      <c r="G423" s="324"/>
      <c r="H423" s="324">
        <v>3843</v>
      </c>
      <c r="I423" s="325">
        <v>2510</v>
      </c>
      <c r="J423" s="325"/>
      <c r="K423" s="325">
        <f t="shared" si="77"/>
        <v>0</v>
      </c>
      <c r="L423" s="325">
        <f t="shared" si="78"/>
        <v>0</v>
      </c>
      <c r="M423" s="407">
        <v>13.33</v>
      </c>
      <c r="N423" s="408" t="s">
        <v>289</v>
      </c>
      <c r="O423" s="325">
        <f t="shared" si="80"/>
        <v>0</v>
      </c>
      <c r="P423" s="325">
        <f t="shared" si="81"/>
        <v>0</v>
      </c>
      <c r="Q423" s="325">
        <f t="shared" si="82"/>
        <v>0</v>
      </c>
      <c r="R423" s="325">
        <f t="shared" si="83"/>
        <v>167</v>
      </c>
      <c r="S423" s="325">
        <f t="shared" si="84"/>
        <v>0</v>
      </c>
      <c r="T423" s="325">
        <f t="shared" si="87"/>
        <v>167</v>
      </c>
      <c r="U423" s="325">
        <f t="shared" si="85"/>
        <v>2343</v>
      </c>
      <c r="V423" s="325">
        <f t="shared" si="79"/>
        <v>0</v>
      </c>
      <c r="W423" s="449" cm="1">
        <f t="array" ref="W423">+IF(U423&lt;0,error,0)</f>
        <v>0</v>
      </c>
    </row>
    <row r="424" spans="1:23" ht="18" customHeight="1" x14ac:dyDescent="0.2">
      <c r="A424" s="402" t="s">
        <v>979</v>
      </c>
      <c r="B424" s="403"/>
      <c r="C424" s="440" t="s">
        <v>980</v>
      </c>
      <c r="D424" s="405">
        <v>43131</v>
      </c>
      <c r="E424" s="406"/>
      <c r="F424" s="325"/>
      <c r="G424" s="439"/>
      <c r="H424" s="324">
        <v>3024</v>
      </c>
      <c r="I424" s="325">
        <v>1638</v>
      </c>
      <c r="J424" s="325"/>
      <c r="K424" s="325">
        <f t="shared" si="77"/>
        <v>0</v>
      </c>
      <c r="L424" s="325">
        <f t="shared" si="78"/>
        <v>0</v>
      </c>
      <c r="M424" s="407">
        <v>20</v>
      </c>
      <c r="N424" s="408" t="s">
        <v>289</v>
      </c>
      <c r="O424" s="325">
        <f t="shared" si="80"/>
        <v>0</v>
      </c>
      <c r="P424" s="325">
        <f t="shared" si="81"/>
        <v>0</v>
      </c>
      <c r="Q424" s="325">
        <f t="shared" si="82"/>
        <v>0</v>
      </c>
      <c r="R424" s="325">
        <f t="shared" si="83"/>
        <v>163</v>
      </c>
      <c r="S424" s="325">
        <f t="shared" si="84"/>
        <v>0</v>
      </c>
      <c r="T424" s="325">
        <f t="shared" si="87"/>
        <v>163</v>
      </c>
      <c r="U424" s="325">
        <f t="shared" si="85"/>
        <v>1475</v>
      </c>
      <c r="V424" s="325">
        <f t="shared" si="79"/>
        <v>0</v>
      </c>
      <c r="W424" s="449" cm="1">
        <f t="array" ref="W424">+IF(U424&lt;0,error,0)</f>
        <v>0</v>
      </c>
    </row>
    <row r="425" spans="1:23" ht="18" customHeight="1" x14ac:dyDescent="0.2">
      <c r="A425" s="402" t="s">
        <v>981</v>
      </c>
      <c r="B425" s="403"/>
      <c r="C425" s="404" t="s">
        <v>982</v>
      </c>
      <c r="D425" s="405">
        <v>43131</v>
      </c>
      <c r="E425" s="406"/>
      <c r="F425" s="325"/>
      <c r="G425" s="324"/>
      <c r="H425" s="324">
        <v>1386</v>
      </c>
      <c r="I425" s="325">
        <v>752</v>
      </c>
      <c r="J425" s="325"/>
      <c r="K425" s="325">
        <f t="shared" si="77"/>
        <v>0</v>
      </c>
      <c r="L425" s="325">
        <f t="shared" si="78"/>
        <v>0</v>
      </c>
      <c r="M425" s="407">
        <v>20</v>
      </c>
      <c r="N425" s="408" t="s">
        <v>289</v>
      </c>
      <c r="O425" s="325">
        <f t="shared" si="80"/>
        <v>0</v>
      </c>
      <c r="P425" s="325">
        <f t="shared" si="81"/>
        <v>0</v>
      </c>
      <c r="Q425" s="325">
        <f t="shared" si="82"/>
        <v>0</v>
      </c>
      <c r="R425" s="325">
        <f t="shared" si="83"/>
        <v>75</v>
      </c>
      <c r="S425" s="325">
        <f t="shared" si="84"/>
        <v>0</v>
      </c>
      <c r="T425" s="325">
        <f t="shared" si="87"/>
        <v>75</v>
      </c>
      <c r="U425" s="325">
        <f t="shared" si="85"/>
        <v>677</v>
      </c>
      <c r="V425" s="325">
        <f t="shared" si="79"/>
        <v>0</v>
      </c>
      <c r="W425" s="449" cm="1">
        <f t="array" ref="W425">+IF(U425&lt;0,error,0)</f>
        <v>0</v>
      </c>
    </row>
    <row r="426" spans="1:23" ht="18" customHeight="1" x14ac:dyDescent="0.2">
      <c r="A426" s="402" t="s">
        <v>983</v>
      </c>
      <c r="B426" s="403"/>
      <c r="C426" s="404" t="s">
        <v>984</v>
      </c>
      <c r="D426" s="405">
        <v>43145</v>
      </c>
      <c r="E426" s="406"/>
      <c r="F426" s="325"/>
      <c r="G426" s="324"/>
      <c r="H426" s="324">
        <v>13800</v>
      </c>
      <c r="I426" s="325">
        <v>9282</v>
      </c>
      <c r="J426" s="325"/>
      <c r="K426" s="325">
        <f t="shared" si="77"/>
        <v>0</v>
      </c>
      <c r="L426" s="325">
        <f t="shared" si="78"/>
        <v>0</v>
      </c>
      <c r="M426" s="407">
        <v>13.33</v>
      </c>
      <c r="N426" s="408" t="s">
        <v>289</v>
      </c>
      <c r="O426" s="325">
        <f t="shared" si="80"/>
        <v>0</v>
      </c>
      <c r="P426" s="325">
        <f t="shared" si="81"/>
        <v>0</v>
      </c>
      <c r="Q426" s="325">
        <f t="shared" si="82"/>
        <v>0</v>
      </c>
      <c r="R426" s="325">
        <f t="shared" si="83"/>
        <v>618</v>
      </c>
      <c r="S426" s="325">
        <f t="shared" si="84"/>
        <v>0</v>
      </c>
      <c r="T426" s="325">
        <f t="shared" si="87"/>
        <v>618</v>
      </c>
      <c r="U426" s="325">
        <f t="shared" si="85"/>
        <v>8664</v>
      </c>
      <c r="V426" s="325">
        <f t="shared" si="79"/>
        <v>0</v>
      </c>
      <c r="W426" s="449" cm="1">
        <f t="array" ref="W426">+IF(U426&lt;0,error,0)</f>
        <v>0</v>
      </c>
    </row>
    <row r="427" spans="1:23" ht="18" customHeight="1" x14ac:dyDescent="0.2">
      <c r="A427" s="402" t="s">
        <v>985</v>
      </c>
      <c r="B427" s="403"/>
      <c r="C427" s="404" t="s">
        <v>986</v>
      </c>
      <c r="D427" s="405">
        <v>43145</v>
      </c>
      <c r="E427" s="406"/>
      <c r="F427" s="325"/>
      <c r="G427" s="324"/>
      <c r="H427" s="324">
        <v>4469.54</v>
      </c>
      <c r="I427" s="325">
        <v>3007.54</v>
      </c>
      <c r="J427" s="325"/>
      <c r="K427" s="325">
        <f t="shared" si="77"/>
        <v>0</v>
      </c>
      <c r="L427" s="325">
        <f t="shared" si="78"/>
        <v>0</v>
      </c>
      <c r="M427" s="407">
        <v>13.33</v>
      </c>
      <c r="N427" s="408" t="s">
        <v>289</v>
      </c>
      <c r="O427" s="325">
        <f t="shared" si="80"/>
        <v>0</v>
      </c>
      <c r="P427" s="325">
        <f t="shared" si="81"/>
        <v>0</v>
      </c>
      <c r="Q427" s="325">
        <f t="shared" si="82"/>
        <v>0</v>
      </c>
      <c r="R427" s="325">
        <f t="shared" si="83"/>
        <v>200</v>
      </c>
      <c r="S427" s="325">
        <f t="shared" si="84"/>
        <v>0</v>
      </c>
      <c r="T427" s="325">
        <f t="shared" si="87"/>
        <v>200</v>
      </c>
      <c r="U427" s="325">
        <f t="shared" si="85"/>
        <v>2807.54</v>
      </c>
      <c r="V427" s="325">
        <f t="shared" si="79"/>
        <v>0</v>
      </c>
      <c r="W427" s="449" cm="1">
        <f t="array" ref="W427">+IF(U427&lt;0,error,0)</f>
        <v>0</v>
      </c>
    </row>
    <row r="428" spans="1:23" ht="18" customHeight="1" x14ac:dyDescent="0.2">
      <c r="A428" s="402" t="s">
        <v>987</v>
      </c>
      <c r="B428" s="403"/>
      <c r="C428" s="404" t="s">
        <v>988</v>
      </c>
      <c r="D428" s="405">
        <v>43145</v>
      </c>
      <c r="E428" s="406"/>
      <c r="F428" s="325"/>
      <c r="G428" s="324"/>
      <c r="H428" s="324">
        <v>7285.6</v>
      </c>
      <c r="I428" s="325">
        <v>4901.6000000000004</v>
      </c>
      <c r="J428" s="325"/>
      <c r="K428" s="325">
        <f t="shared" si="77"/>
        <v>0</v>
      </c>
      <c r="L428" s="325">
        <f t="shared" si="78"/>
        <v>0</v>
      </c>
      <c r="M428" s="407">
        <v>13.33</v>
      </c>
      <c r="N428" s="408" t="s">
        <v>289</v>
      </c>
      <c r="O428" s="325">
        <f t="shared" si="80"/>
        <v>0</v>
      </c>
      <c r="P428" s="325">
        <f t="shared" si="81"/>
        <v>0</v>
      </c>
      <c r="Q428" s="325">
        <f t="shared" si="82"/>
        <v>0</v>
      </c>
      <c r="R428" s="325">
        <f t="shared" si="83"/>
        <v>326</v>
      </c>
      <c r="S428" s="325">
        <f t="shared" si="84"/>
        <v>0</v>
      </c>
      <c r="T428" s="325">
        <f t="shared" si="87"/>
        <v>326</v>
      </c>
      <c r="U428" s="325">
        <f t="shared" si="85"/>
        <v>4575.6000000000004</v>
      </c>
      <c r="V428" s="325">
        <f t="shared" si="79"/>
        <v>0</v>
      </c>
      <c r="W428" s="449" cm="1">
        <f t="array" ref="W428">+IF(U428&lt;0,error,0)</f>
        <v>0</v>
      </c>
    </row>
    <row r="429" spans="1:23" ht="18" customHeight="1" x14ac:dyDescent="0.2">
      <c r="A429" s="402" t="s">
        <v>989</v>
      </c>
      <c r="B429" s="403"/>
      <c r="C429" s="404" t="s">
        <v>990</v>
      </c>
      <c r="D429" s="405">
        <v>43158</v>
      </c>
      <c r="E429" s="406"/>
      <c r="F429" s="325"/>
      <c r="G429" s="324"/>
      <c r="H429" s="324">
        <v>2072.7200000000003</v>
      </c>
      <c r="I429" s="325">
        <v>1401.72</v>
      </c>
      <c r="J429" s="325"/>
      <c r="K429" s="325">
        <f t="shared" si="77"/>
        <v>0</v>
      </c>
      <c r="L429" s="325">
        <f t="shared" si="78"/>
        <v>0</v>
      </c>
      <c r="M429" s="407">
        <v>13.33</v>
      </c>
      <c r="N429" s="408" t="s">
        <v>289</v>
      </c>
      <c r="O429" s="325">
        <f t="shared" si="80"/>
        <v>0</v>
      </c>
      <c r="P429" s="325">
        <f t="shared" si="81"/>
        <v>0</v>
      </c>
      <c r="Q429" s="325">
        <f t="shared" si="82"/>
        <v>0</v>
      </c>
      <c r="R429" s="325">
        <f t="shared" si="83"/>
        <v>93</v>
      </c>
      <c r="S429" s="325">
        <f t="shared" si="84"/>
        <v>0</v>
      </c>
      <c r="T429" s="325">
        <f t="shared" si="87"/>
        <v>93</v>
      </c>
      <c r="U429" s="325">
        <f t="shared" si="85"/>
        <v>1308.72</v>
      </c>
      <c r="V429" s="325">
        <f t="shared" si="79"/>
        <v>0</v>
      </c>
      <c r="W429" s="449" cm="1">
        <f t="array" ref="W429">+IF(U429&lt;0,error,0)</f>
        <v>0</v>
      </c>
    </row>
    <row r="430" spans="1:23" ht="18" customHeight="1" x14ac:dyDescent="0.2">
      <c r="A430" s="402" t="s">
        <v>991</v>
      </c>
      <c r="B430" s="403"/>
      <c r="C430" s="412" t="s">
        <v>992</v>
      </c>
      <c r="D430" s="405">
        <v>43159</v>
      </c>
      <c r="E430" s="406"/>
      <c r="F430" s="325"/>
      <c r="G430" s="324"/>
      <c r="H430" s="324">
        <v>2976</v>
      </c>
      <c r="I430" s="325">
        <v>1638</v>
      </c>
      <c r="J430" s="325"/>
      <c r="K430" s="325">
        <f t="shared" si="77"/>
        <v>0</v>
      </c>
      <c r="L430" s="325">
        <f t="shared" si="78"/>
        <v>0</v>
      </c>
      <c r="M430" s="407">
        <v>20</v>
      </c>
      <c r="N430" s="408" t="s">
        <v>289</v>
      </c>
      <c r="O430" s="325">
        <f t="shared" si="80"/>
        <v>0</v>
      </c>
      <c r="P430" s="325">
        <f t="shared" si="81"/>
        <v>0</v>
      </c>
      <c r="Q430" s="325">
        <f t="shared" si="82"/>
        <v>0</v>
      </c>
      <c r="R430" s="325">
        <f t="shared" si="83"/>
        <v>163</v>
      </c>
      <c r="S430" s="325">
        <f t="shared" si="84"/>
        <v>0</v>
      </c>
      <c r="T430" s="325">
        <f t="shared" si="87"/>
        <v>163</v>
      </c>
      <c r="U430" s="325">
        <f t="shared" si="85"/>
        <v>1475</v>
      </c>
      <c r="V430" s="325">
        <f t="shared" si="79"/>
        <v>0</v>
      </c>
      <c r="W430" s="449" cm="1">
        <f t="array" ref="W430">+IF(U430&lt;0,error,0)</f>
        <v>0</v>
      </c>
    </row>
    <row r="431" spans="1:23" ht="18" customHeight="1" x14ac:dyDescent="0.2">
      <c r="A431" s="402" t="s">
        <v>993</v>
      </c>
      <c r="B431" s="403"/>
      <c r="C431" s="412" t="s">
        <v>994</v>
      </c>
      <c r="D431" s="405">
        <v>43159</v>
      </c>
      <c r="E431" s="406"/>
      <c r="F431" s="325"/>
      <c r="G431" s="324"/>
      <c r="H431" s="324">
        <v>1860</v>
      </c>
      <c r="I431" s="325">
        <v>1026</v>
      </c>
      <c r="J431" s="325"/>
      <c r="K431" s="325">
        <f t="shared" si="77"/>
        <v>0</v>
      </c>
      <c r="L431" s="325">
        <f t="shared" si="78"/>
        <v>0</v>
      </c>
      <c r="M431" s="407">
        <v>20</v>
      </c>
      <c r="N431" s="408" t="s">
        <v>289</v>
      </c>
      <c r="O431" s="325">
        <f t="shared" si="80"/>
        <v>0</v>
      </c>
      <c r="P431" s="325">
        <f t="shared" si="81"/>
        <v>0</v>
      </c>
      <c r="Q431" s="325">
        <f t="shared" si="82"/>
        <v>0</v>
      </c>
      <c r="R431" s="325">
        <f t="shared" si="83"/>
        <v>102</v>
      </c>
      <c r="S431" s="325">
        <f t="shared" si="84"/>
        <v>0</v>
      </c>
      <c r="T431" s="325">
        <f t="shared" si="87"/>
        <v>102</v>
      </c>
      <c r="U431" s="325">
        <f t="shared" si="85"/>
        <v>924</v>
      </c>
      <c r="V431" s="325">
        <f t="shared" si="79"/>
        <v>0</v>
      </c>
      <c r="W431" s="449" cm="1">
        <f t="array" ref="W431">+IF(U431&lt;0,error,0)</f>
        <v>0</v>
      </c>
    </row>
    <row r="432" spans="1:23" ht="18" customHeight="1" x14ac:dyDescent="0.2">
      <c r="A432" s="402" t="s">
        <v>995</v>
      </c>
      <c r="B432" s="403"/>
      <c r="C432" s="412" t="s">
        <v>996</v>
      </c>
      <c r="D432" s="405">
        <v>43159</v>
      </c>
      <c r="E432" s="406"/>
      <c r="F432" s="325"/>
      <c r="G432" s="324"/>
      <c r="H432" s="324">
        <v>5650</v>
      </c>
      <c r="I432" s="325">
        <v>4663</v>
      </c>
      <c r="J432" s="325"/>
      <c r="K432" s="325">
        <f t="shared" si="77"/>
        <v>0</v>
      </c>
      <c r="L432" s="325">
        <f t="shared" si="78"/>
        <v>0</v>
      </c>
      <c r="M432" s="407">
        <v>6.67</v>
      </c>
      <c r="N432" s="408" t="s">
        <v>289</v>
      </c>
      <c r="O432" s="325">
        <f t="shared" si="80"/>
        <v>0</v>
      </c>
      <c r="P432" s="325">
        <f t="shared" si="81"/>
        <v>0</v>
      </c>
      <c r="Q432" s="325">
        <f t="shared" si="82"/>
        <v>0</v>
      </c>
      <c r="R432" s="325">
        <f t="shared" si="83"/>
        <v>155</v>
      </c>
      <c r="S432" s="325">
        <f t="shared" si="84"/>
        <v>0</v>
      </c>
      <c r="T432" s="325">
        <f t="shared" si="87"/>
        <v>155</v>
      </c>
      <c r="U432" s="325">
        <f t="shared" si="85"/>
        <v>4508</v>
      </c>
      <c r="V432" s="325">
        <f t="shared" si="79"/>
        <v>0</v>
      </c>
      <c r="W432" s="449" cm="1">
        <f t="array" ref="W432">+IF(U432&lt;0,error,0)</f>
        <v>0</v>
      </c>
    </row>
    <row r="433" spans="1:23" ht="18" customHeight="1" x14ac:dyDescent="0.2">
      <c r="A433" s="402" t="s">
        <v>997</v>
      </c>
      <c r="B433" s="403"/>
      <c r="C433" s="412" t="s">
        <v>996</v>
      </c>
      <c r="D433" s="405">
        <v>43159</v>
      </c>
      <c r="E433" s="406"/>
      <c r="F433" s="325"/>
      <c r="G433" s="324"/>
      <c r="H433" s="324">
        <v>9300</v>
      </c>
      <c r="I433" s="325">
        <v>7674</v>
      </c>
      <c r="J433" s="325"/>
      <c r="K433" s="325">
        <f t="shared" ref="K433:K468" si="88">INT(IF($E433&gt;0,IF(+F433-I433+Q433&lt;0,0,+F433-I433+Q433),0))</f>
        <v>0</v>
      </c>
      <c r="L433" s="325">
        <f t="shared" ref="L433:L468" si="89">INT(IF($E433&gt;0,IF(K433=0,-F433+I433-Q433,0),0))</f>
        <v>0</v>
      </c>
      <c r="M433" s="407">
        <v>6.67</v>
      </c>
      <c r="N433" s="408" t="s">
        <v>289</v>
      </c>
      <c r="O433" s="325">
        <f t="shared" si="80"/>
        <v>0</v>
      </c>
      <c r="P433" s="325">
        <f t="shared" si="81"/>
        <v>0</v>
      </c>
      <c r="Q433" s="325">
        <f t="shared" si="82"/>
        <v>0</v>
      </c>
      <c r="R433" s="325">
        <f t="shared" si="83"/>
        <v>255</v>
      </c>
      <c r="S433" s="325">
        <f t="shared" si="84"/>
        <v>0</v>
      </c>
      <c r="T433" s="325">
        <f t="shared" si="87"/>
        <v>255</v>
      </c>
      <c r="U433" s="325">
        <f t="shared" si="85"/>
        <v>7419</v>
      </c>
      <c r="V433" s="325">
        <f t="shared" ref="V433:V496" si="90">IF(E433&gt;0,+H433+J433,0)</f>
        <v>0</v>
      </c>
      <c r="W433" s="449" cm="1">
        <f t="array" ref="W433">+IF(U433&lt;0,error,0)</f>
        <v>0</v>
      </c>
    </row>
    <row r="434" spans="1:23" ht="18" customHeight="1" x14ac:dyDescent="0.2">
      <c r="A434" s="402" t="s">
        <v>998</v>
      </c>
      <c r="B434" s="403"/>
      <c r="C434" s="404" t="s">
        <v>999</v>
      </c>
      <c r="D434" s="405">
        <v>43189</v>
      </c>
      <c r="E434" s="406"/>
      <c r="F434" s="325"/>
      <c r="G434" s="324"/>
      <c r="H434" s="324">
        <v>2542</v>
      </c>
      <c r="I434" s="325">
        <v>1425</v>
      </c>
      <c r="J434" s="325"/>
      <c r="K434" s="325">
        <f t="shared" si="88"/>
        <v>0</v>
      </c>
      <c r="L434" s="325">
        <f t="shared" si="89"/>
        <v>0</v>
      </c>
      <c r="M434" s="407">
        <v>20</v>
      </c>
      <c r="N434" s="408" t="s">
        <v>289</v>
      </c>
      <c r="O434" s="325">
        <f t="shared" ref="O434:O468" si="91">IF(E434&gt;0,INT(IF($N434="D",IF($D434&lt;$H$3,$I434*($M434/100)*((E434-$H$3)/365),$J434*($M434/100)*($J$3-$D434)/365),0)),0)</f>
        <v>0</v>
      </c>
      <c r="P434" s="325">
        <f t="shared" ref="P434:P468" si="92">IF(E434&gt;0,INT(IF($N434="P",IF($D434&lt;$H$3,$H434*($M434/100)*(E434-$H$3)/365,$J434*($M434/100)*($J$3-$D434)/365),0)),0)</f>
        <v>0</v>
      </c>
      <c r="Q434" s="325">
        <f t="shared" ref="Q434:Q468" si="93">+O434+P434</f>
        <v>0</v>
      </c>
      <c r="R434" s="325">
        <f t="shared" ref="R434:R490" si="94">INT(IF($E434&gt;0,0,(IF($N434="D",IF($D434&lt;$H$3,$I434*($M434/100)*$U$3/12,$J434*($M434/100)*($J$3-$D434)/365),0))))</f>
        <v>142</v>
      </c>
      <c r="S434" s="325">
        <f t="shared" ref="S434:S490" si="95">INT(IF($E434&gt;0,0,(IF($N434="P",IF($D434&lt;$H$3,$H434*($M434/100)*$U$3/12,$J434*($M434/100)*($J$3-$D434)/365),0))))</f>
        <v>0</v>
      </c>
      <c r="T434" s="325">
        <f t="shared" si="87"/>
        <v>142</v>
      </c>
      <c r="U434" s="325">
        <f t="shared" si="85"/>
        <v>1283</v>
      </c>
      <c r="V434" s="325">
        <f t="shared" si="90"/>
        <v>0</v>
      </c>
      <c r="W434" s="449" cm="1">
        <f t="array" ref="W434">+IF(U434&lt;0,error,0)</f>
        <v>0</v>
      </c>
    </row>
    <row r="435" spans="1:23" ht="18" customHeight="1" x14ac:dyDescent="0.2">
      <c r="A435" s="402" t="s">
        <v>1000</v>
      </c>
      <c r="B435" s="403"/>
      <c r="C435" s="404" t="s">
        <v>1001</v>
      </c>
      <c r="D435" s="405">
        <v>43258</v>
      </c>
      <c r="E435" s="406"/>
      <c r="F435" s="325"/>
      <c r="G435" s="324"/>
      <c r="H435" s="324">
        <v>158048</v>
      </c>
      <c r="I435" s="325">
        <v>110910</v>
      </c>
      <c r="J435" s="325"/>
      <c r="K435" s="325">
        <f t="shared" si="88"/>
        <v>0</v>
      </c>
      <c r="L435" s="325">
        <f t="shared" si="89"/>
        <v>0</v>
      </c>
      <c r="M435" s="407">
        <v>13.33</v>
      </c>
      <c r="N435" s="408" t="s">
        <v>289</v>
      </c>
      <c r="O435" s="325">
        <f t="shared" si="91"/>
        <v>0</v>
      </c>
      <c r="P435" s="325">
        <f t="shared" si="92"/>
        <v>0</v>
      </c>
      <c r="Q435" s="325">
        <f t="shared" si="93"/>
        <v>0</v>
      </c>
      <c r="R435" s="325">
        <f t="shared" si="94"/>
        <v>7392</v>
      </c>
      <c r="S435" s="325">
        <f t="shared" si="95"/>
        <v>0</v>
      </c>
      <c r="T435" s="325">
        <f t="shared" si="87"/>
        <v>7392</v>
      </c>
      <c r="U435" s="325">
        <f t="shared" si="85"/>
        <v>103518</v>
      </c>
      <c r="V435" s="325">
        <f t="shared" si="90"/>
        <v>0</v>
      </c>
      <c r="W435" s="449" cm="1">
        <f t="array" ref="W435">+IF(U435&lt;0,error,0)</f>
        <v>0</v>
      </c>
    </row>
    <row r="436" spans="1:23" ht="18" customHeight="1" x14ac:dyDescent="0.2">
      <c r="A436" s="402" t="s">
        <v>1002</v>
      </c>
      <c r="B436" s="403"/>
      <c r="C436" s="404" t="s">
        <v>1003</v>
      </c>
      <c r="D436" s="405">
        <v>42924</v>
      </c>
      <c r="E436" s="406"/>
      <c r="F436" s="325"/>
      <c r="G436" s="324"/>
      <c r="H436" s="324">
        <v>1092.0999999999999</v>
      </c>
      <c r="I436" s="325">
        <v>519.1</v>
      </c>
      <c r="J436" s="325"/>
      <c r="K436" s="325">
        <f t="shared" si="88"/>
        <v>0</v>
      </c>
      <c r="L436" s="325">
        <f t="shared" si="89"/>
        <v>0</v>
      </c>
      <c r="M436" s="407">
        <v>20</v>
      </c>
      <c r="N436" s="408" t="s">
        <v>289</v>
      </c>
      <c r="O436" s="325">
        <f t="shared" si="91"/>
        <v>0</v>
      </c>
      <c r="P436" s="325">
        <f t="shared" si="92"/>
        <v>0</v>
      </c>
      <c r="Q436" s="325">
        <f t="shared" si="93"/>
        <v>0</v>
      </c>
      <c r="R436" s="325">
        <f t="shared" si="94"/>
        <v>51</v>
      </c>
      <c r="S436" s="325">
        <f t="shared" si="95"/>
        <v>0</v>
      </c>
      <c r="T436" s="325">
        <f t="shared" si="87"/>
        <v>51</v>
      </c>
      <c r="U436" s="325">
        <f t="shared" ref="U436:U468" si="96">+I436+J436-T436-F436+K436-L436</f>
        <v>468.1</v>
      </c>
      <c r="V436" s="325">
        <f t="shared" si="90"/>
        <v>0</v>
      </c>
      <c r="W436" s="449" cm="1">
        <f t="array" ref="W436">+IF(U436&lt;0,error,0)</f>
        <v>0</v>
      </c>
    </row>
    <row r="437" spans="1:23" ht="18" customHeight="1" x14ac:dyDescent="0.2">
      <c r="A437" s="402" t="s">
        <v>1004</v>
      </c>
      <c r="B437" s="403"/>
      <c r="C437" s="404" t="s">
        <v>1005</v>
      </c>
      <c r="D437" s="405">
        <v>42933</v>
      </c>
      <c r="E437" s="406"/>
      <c r="F437" s="325"/>
      <c r="G437" s="324"/>
      <c r="H437" s="324">
        <v>2876.54</v>
      </c>
      <c r="I437" s="325">
        <v>1374.54</v>
      </c>
      <c r="J437" s="325"/>
      <c r="K437" s="325">
        <f t="shared" si="88"/>
        <v>0</v>
      </c>
      <c r="L437" s="325">
        <f t="shared" si="89"/>
        <v>0</v>
      </c>
      <c r="M437" s="407">
        <v>20</v>
      </c>
      <c r="N437" s="408" t="s">
        <v>289</v>
      </c>
      <c r="O437" s="325">
        <f t="shared" si="91"/>
        <v>0</v>
      </c>
      <c r="P437" s="325">
        <f t="shared" si="92"/>
        <v>0</v>
      </c>
      <c r="Q437" s="325">
        <f t="shared" si="93"/>
        <v>0</v>
      </c>
      <c r="R437" s="325">
        <f t="shared" si="94"/>
        <v>137</v>
      </c>
      <c r="S437" s="325">
        <f t="shared" si="95"/>
        <v>0</v>
      </c>
      <c r="T437" s="325">
        <f t="shared" si="87"/>
        <v>137</v>
      </c>
      <c r="U437" s="325">
        <f t="shared" si="96"/>
        <v>1237.54</v>
      </c>
      <c r="V437" s="325">
        <f t="shared" si="90"/>
        <v>0</v>
      </c>
      <c r="W437" s="449" cm="1">
        <f t="array" ref="W437">+IF(U437&lt;0,error,0)</f>
        <v>0</v>
      </c>
    </row>
    <row r="438" spans="1:23" ht="18" customHeight="1" x14ac:dyDescent="0.2">
      <c r="A438" s="402" t="s">
        <v>1006</v>
      </c>
      <c r="B438" s="403"/>
      <c r="C438" s="404" t="s">
        <v>1007</v>
      </c>
      <c r="D438" s="405">
        <v>42961</v>
      </c>
      <c r="E438" s="406"/>
      <c r="F438" s="325"/>
      <c r="G438" s="324"/>
      <c r="H438" s="324">
        <v>4662</v>
      </c>
      <c r="I438" s="325">
        <v>2268</v>
      </c>
      <c r="J438" s="325"/>
      <c r="K438" s="325">
        <f t="shared" si="88"/>
        <v>0</v>
      </c>
      <c r="L438" s="325">
        <f t="shared" si="89"/>
        <v>0</v>
      </c>
      <c r="M438" s="407">
        <v>20</v>
      </c>
      <c r="N438" s="408" t="s">
        <v>289</v>
      </c>
      <c r="O438" s="325">
        <f t="shared" si="91"/>
        <v>0</v>
      </c>
      <c r="P438" s="325">
        <f t="shared" si="92"/>
        <v>0</v>
      </c>
      <c r="Q438" s="325">
        <f t="shared" si="93"/>
        <v>0</v>
      </c>
      <c r="R438" s="325">
        <f t="shared" si="94"/>
        <v>226</v>
      </c>
      <c r="S438" s="325">
        <f t="shared" si="95"/>
        <v>0</v>
      </c>
      <c r="T438" s="325">
        <f t="shared" si="87"/>
        <v>226</v>
      </c>
      <c r="U438" s="325">
        <f t="shared" si="96"/>
        <v>2042</v>
      </c>
      <c r="V438" s="325">
        <f t="shared" si="90"/>
        <v>0</v>
      </c>
      <c r="W438" s="449" cm="1">
        <f t="array" ref="W438">+IF(U438&lt;0,error,0)</f>
        <v>0</v>
      </c>
    </row>
    <row r="439" spans="1:23" ht="18" customHeight="1" x14ac:dyDescent="0.2">
      <c r="A439" s="402" t="s">
        <v>1008</v>
      </c>
      <c r="B439" s="403"/>
      <c r="C439" s="404" t="s">
        <v>1009</v>
      </c>
      <c r="D439" s="405">
        <v>43140</v>
      </c>
      <c r="E439" s="406"/>
      <c r="F439" s="325"/>
      <c r="G439" s="324"/>
      <c r="H439" s="324">
        <v>12750</v>
      </c>
      <c r="I439" s="325">
        <v>9481</v>
      </c>
      <c r="J439" s="325"/>
      <c r="K439" s="325">
        <f t="shared" si="88"/>
        <v>0</v>
      </c>
      <c r="L439" s="325">
        <f t="shared" si="89"/>
        <v>0</v>
      </c>
      <c r="M439" s="407">
        <v>10</v>
      </c>
      <c r="N439" s="408" t="s">
        <v>289</v>
      </c>
      <c r="O439" s="325">
        <f t="shared" si="91"/>
        <v>0</v>
      </c>
      <c r="P439" s="325">
        <f t="shared" si="92"/>
        <v>0</v>
      </c>
      <c r="Q439" s="325">
        <f t="shared" si="93"/>
        <v>0</v>
      </c>
      <c r="R439" s="325">
        <f t="shared" si="94"/>
        <v>474</v>
      </c>
      <c r="S439" s="325">
        <f t="shared" si="95"/>
        <v>0</v>
      </c>
      <c r="T439" s="325">
        <f t="shared" si="87"/>
        <v>474</v>
      </c>
      <c r="U439" s="325">
        <f t="shared" si="96"/>
        <v>9007</v>
      </c>
      <c r="V439" s="325">
        <f t="shared" si="90"/>
        <v>0</v>
      </c>
      <c r="W439" s="449" cm="1">
        <f t="array" ref="W439">+IF(U439&lt;0,error,0)</f>
        <v>0</v>
      </c>
    </row>
    <row r="440" spans="1:23" ht="18" customHeight="1" x14ac:dyDescent="0.2">
      <c r="A440" s="402" t="s">
        <v>1010</v>
      </c>
      <c r="B440" s="403"/>
      <c r="C440" s="404" t="s">
        <v>1011</v>
      </c>
      <c r="D440" s="405">
        <v>42978</v>
      </c>
      <c r="E440" s="406"/>
      <c r="F440" s="325"/>
      <c r="G440" s="324"/>
      <c r="H440" s="324">
        <v>1638</v>
      </c>
      <c r="I440" s="325">
        <v>808</v>
      </c>
      <c r="J440" s="325"/>
      <c r="K440" s="325">
        <f t="shared" si="88"/>
        <v>0</v>
      </c>
      <c r="L440" s="325">
        <f t="shared" si="89"/>
        <v>0</v>
      </c>
      <c r="M440" s="407">
        <v>20</v>
      </c>
      <c r="N440" s="408" t="s">
        <v>289</v>
      </c>
      <c r="O440" s="325">
        <f t="shared" si="91"/>
        <v>0</v>
      </c>
      <c r="P440" s="325">
        <f t="shared" si="92"/>
        <v>0</v>
      </c>
      <c r="Q440" s="325">
        <f t="shared" si="93"/>
        <v>0</v>
      </c>
      <c r="R440" s="325">
        <f t="shared" si="94"/>
        <v>80</v>
      </c>
      <c r="S440" s="325">
        <f t="shared" si="95"/>
        <v>0</v>
      </c>
      <c r="T440" s="325">
        <f t="shared" si="87"/>
        <v>80</v>
      </c>
      <c r="U440" s="325">
        <f t="shared" si="96"/>
        <v>728</v>
      </c>
      <c r="V440" s="325">
        <f t="shared" si="90"/>
        <v>0</v>
      </c>
      <c r="W440" s="449" cm="1">
        <f t="array" ref="W440">+IF(U440&lt;0,error,0)</f>
        <v>0</v>
      </c>
    </row>
    <row r="441" spans="1:23" ht="18" customHeight="1" x14ac:dyDescent="0.2">
      <c r="A441" s="402" t="s">
        <v>1012</v>
      </c>
      <c r="B441" s="403"/>
      <c r="C441" s="404" t="s">
        <v>1013</v>
      </c>
      <c r="D441" s="405">
        <v>42978</v>
      </c>
      <c r="E441" s="406"/>
      <c r="F441" s="325"/>
      <c r="G441" s="324"/>
      <c r="H441" s="324">
        <v>104498.59</v>
      </c>
      <c r="I441" s="325">
        <v>74100.59</v>
      </c>
      <c r="J441" s="325"/>
      <c r="K441" s="325">
        <f t="shared" si="88"/>
        <v>0</v>
      </c>
      <c r="L441" s="325">
        <f t="shared" si="89"/>
        <v>0</v>
      </c>
      <c r="M441" s="407">
        <v>10</v>
      </c>
      <c r="N441" s="408" t="s">
        <v>289</v>
      </c>
      <c r="O441" s="325">
        <f t="shared" si="91"/>
        <v>0</v>
      </c>
      <c r="P441" s="325">
        <f t="shared" si="92"/>
        <v>0</v>
      </c>
      <c r="Q441" s="325">
        <f t="shared" si="93"/>
        <v>0</v>
      </c>
      <c r="R441" s="325">
        <f t="shared" si="94"/>
        <v>3705</v>
      </c>
      <c r="S441" s="325">
        <f t="shared" si="95"/>
        <v>0</v>
      </c>
      <c r="T441" s="325">
        <f t="shared" si="87"/>
        <v>3705</v>
      </c>
      <c r="U441" s="325">
        <f t="shared" si="96"/>
        <v>70395.59</v>
      </c>
      <c r="V441" s="325">
        <f t="shared" si="90"/>
        <v>0</v>
      </c>
      <c r="W441" s="449" cm="1">
        <f t="array" ref="W441">+IF(U441&lt;0,error,0)</f>
        <v>0</v>
      </c>
    </row>
    <row r="442" spans="1:23" ht="18" customHeight="1" x14ac:dyDescent="0.2">
      <c r="A442" s="402" t="s">
        <v>1014</v>
      </c>
      <c r="B442" s="403"/>
      <c r="C442" s="412" t="s">
        <v>1015</v>
      </c>
      <c r="D442" s="405">
        <v>43100</v>
      </c>
      <c r="E442" s="406"/>
      <c r="F442" s="325"/>
      <c r="G442" s="324"/>
      <c r="H442" s="324">
        <v>1953</v>
      </c>
      <c r="I442" s="325">
        <v>1039</v>
      </c>
      <c r="J442" s="325"/>
      <c r="K442" s="325">
        <f t="shared" si="88"/>
        <v>0</v>
      </c>
      <c r="L442" s="325">
        <f t="shared" si="89"/>
        <v>0</v>
      </c>
      <c r="M442" s="407">
        <v>20</v>
      </c>
      <c r="N442" s="408" t="s">
        <v>289</v>
      </c>
      <c r="O442" s="325">
        <f t="shared" si="91"/>
        <v>0</v>
      </c>
      <c r="P442" s="325">
        <f t="shared" si="92"/>
        <v>0</v>
      </c>
      <c r="Q442" s="325">
        <f t="shared" si="93"/>
        <v>0</v>
      </c>
      <c r="R442" s="325">
        <f t="shared" si="94"/>
        <v>103</v>
      </c>
      <c r="S442" s="325">
        <f t="shared" si="95"/>
        <v>0</v>
      </c>
      <c r="T442" s="325">
        <f t="shared" si="87"/>
        <v>103</v>
      </c>
      <c r="U442" s="325">
        <f t="shared" si="96"/>
        <v>936</v>
      </c>
      <c r="V442" s="325">
        <f t="shared" si="90"/>
        <v>0</v>
      </c>
      <c r="W442" s="449" cm="1">
        <f t="array" ref="W442">+IF(U442&lt;0,error,0)</f>
        <v>0</v>
      </c>
    </row>
    <row r="443" spans="1:23" ht="18" customHeight="1" x14ac:dyDescent="0.2">
      <c r="A443" s="402" t="s">
        <v>1016</v>
      </c>
      <c r="B443" s="403"/>
      <c r="C443" s="404" t="s">
        <v>1017</v>
      </c>
      <c r="D443" s="405">
        <v>43188</v>
      </c>
      <c r="E443" s="406"/>
      <c r="F443" s="325"/>
      <c r="G443" s="324"/>
      <c r="H443" s="324">
        <v>1143.76</v>
      </c>
      <c r="I443" s="325">
        <v>641.76</v>
      </c>
      <c r="J443" s="325"/>
      <c r="K443" s="325">
        <f t="shared" si="88"/>
        <v>0</v>
      </c>
      <c r="L443" s="325">
        <f t="shared" si="89"/>
        <v>0</v>
      </c>
      <c r="M443" s="407">
        <v>20</v>
      </c>
      <c r="N443" s="408" t="s">
        <v>289</v>
      </c>
      <c r="O443" s="325">
        <f t="shared" si="91"/>
        <v>0</v>
      </c>
      <c r="P443" s="325">
        <f t="shared" si="92"/>
        <v>0</v>
      </c>
      <c r="Q443" s="325">
        <f t="shared" si="93"/>
        <v>0</v>
      </c>
      <c r="R443" s="325">
        <f t="shared" si="94"/>
        <v>64</v>
      </c>
      <c r="S443" s="325">
        <f t="shared" si="95"/>
        <v>0</v>
      </c>
      <c r="T443" s="325">
        <f t="shared" si="87"/>
        <v>64</v>
      </c>
      <c r="U443" s="325">
        <f t="shared" si="96"/>
        <v>577.76</v>
      </c>
      <c r="V443" s="325">
        <f t="shared" si="90"/>
        <v>0</v>
      </c>
      <c r="W443" s="449" cm="1">
        <f t="array" ref="W443">+IF(U443&lt;0,error,0)</f>
        <v>0</v>
      </c>
    </row>
    <row r="444" spans="1:23" ht="18" customHeight="1" x14ac:dyDescent="0.2">
      <c r="A444" s="402" t="s">
        <v>1018</v>
      </c>
      <c r="B444" s="403"/>
      <c r="C444" s="404" t="s">
        <v>1019</v>
      </c>
      <c r="D444" s="405">
        <v>43189</v>
      </c>
      <c r="E444" s="406"/>
      <c r="F444" s="325"/>
      <c r="G444" s="324"/>
      <c r="H444" s="324">
        <v>1798</v>
      </c>
      <c r="I444" s="325">
        <v>1008</v>
      </c>
      <c r="J444" s="325"/>
      <c r="K444" s="325">
        <f t="shared" si="88"/>
        <v>0</v>
      </c>
      <c r="L444" s="325">
        <f t="shared" si="89"/>
        <v>0</v>
      </c>
      <c r="M444" s="407">
        <v>20</v>
      </c>
      <c r="N444" s="408" t="s">
        <v>289</v>
      </c>
      <c r="O444" s="325">
        <f t="shared" si="91"/>
        <v>0</v>
      </c>
      <c r="P444" s="325">
        <f t="shared" si="92"/>
        <v>0</v>
      </c>
      <c r="Q444" s="325">
        <f t="shared" si="93"/>
        <v>0</v>
      </c>
      <c r="R444" s="325">
        <f t="shared" si="94"/>
        <v>100</v>
      </c>
      <c r="S444" s="325">
        <f t="shared" si="95"/>
        <v>0</v>
      </c>
      <c r="T444" s="325">
        <f t="shared" si="87"/>
        <v>100</v>
      </c>
      <c r="U444" s="325">
        <f t="shared" si="96"/>
        <v>908</v>
      </c>
      <c r="V444" s="325">
        <f t="shared" si="90"/>
        <v>0</v>
      </c>
      <c r="W444" s="449" cm="1">
        <f t="array" ref="W444">+IF(U444&lt;0,error,0)</f>
        <v>0</v>
      </c>
    </row>
    <row r="445" spans="1:23" ht="18" customHeight="1" x14ac:dyDescent="0.2">
      <c r="A445" s="402" t="s">
        <v>1020</v>
      </c>
      <c r="B445" s="403"/>
      <c r="C445" s="404" t="s">
        <v>1021</v>
      </c>
      <c r="D445" s="405">
        <v>43281</v>
      </c>
      <c r="E445" s="406"/>
      <c r="F445" s="325"/>
      <c r="G445" s="324"/>
      <c r="H445" s="324">
        <v>1240</v>
      </c>
      <c r="I445" s="325">
        <v>960</v>
      </c>
      <c r="J445" s="325"/>
      <c r="K445" s="325">
        <f t="shared" si="88"/>
        <v>0</v>
      </c>
      <c r="L445" s="325">
        <f t="shared" si="89"/>
        <v>0</v>
      </c>
      <c r="M445" s="407">
        <v>10</v>
      </c>
      <c r="N445" s="408" t="s">
        <v>289</v>
      </c>
      <c r="O445" s="325">
        <f t="shared" si="91"/>
        <v>0</v>
      </c>
      <c r="P445" s="325">
        <f t="shared" si="92"/>
        <v>0</v>
      </c>
      <c r="Q445" s="325">
        <f t="shared" si="93"/>
        <v>0</v>
      </c>
      <c r="R445" s="325">
        <f t="shared" si="94"/>
        <v>48</v>
      </c>
      <c r="S445" s="325">
        <f t="shared" si="95"/>
        <v>0</v>
      </c>
      <c r="T445" s="325">
        <f t="shared" si="87"/>
        <v>48</v>
      </c>
      <c r="U445" s="325">
        <f t="shared" si="96"/>
        <v>912</v>
      </c>
      <c r="V445" s="325">
        <f t="shared" si="90"/>
        <v>0</v>
      </c>
      <c r="W445" s="449" cm="1">
        <f t="array" ref="W445">+IF(U445&lt;0,error,0)</f>
        <v>0</v>
      </c>
    </row>
    <row r="446" spans="1:23" ht="18" customHeight="1" x14ac:dyDescent="0.2">
      <c r="A446" s="402" t="s">
        <v>1022</v>
      </c>
      <c r="B446" s="403"/>
      <c r="C446" s="412" t="s">
        <v>1023</v>
      </c>
      <c r="D446" s="405">
        <v>43251</v>
      </c>
      <c r="E446" s="406"/>
      <c r="F446" s="325"/>
      <c r="G446" s="324"/>
      <c r="H446" s="324">
        <v>1178</v>
      </c>
      <c r="I446" s="325">
        <v>685</v>
      </c>
      <c r="J446" s="325"/>
      <c r="K446" s="325">
        <f t="shared" si="88"/>
        <v>0</v>
      </c>
      <c r="L446" s="325">
        <f t="shared" si="89"/>
        <v>0</v>
      </c>
      <c r="M446" s="407">
        <v>20</v>
      </c>
      <c r="N446" s="408" t="s">
        <v>289</v>
      </c>
      <c r="O446" s="325">
        <f t="shared" si="91"/>
        <v>0</v>
      </c>
      <c r="P446" s="325">
        <f t="shared" si="92"/>
        <v>0</v>
      </c>
      <c r="Q446" s="325">
        <f t="shared" si="93"/>
        <v>0</v>
      </c>
      <c r="R446" s="325">
        <f t="shared" si="94"/>
        <v>68</v>
      </c>
      <c r="S446" s="325">
        <f t="shared" si="95"/>
        <v>0</v>
      </c>
      <c r="T446" s="325">
        <f t="shared" si="87"/>
        <v>68</v>
      </c>
      <c r="U446" s="325">
        <f t="shared" si="96"/>
        <v>617</v>
      </c>
      <c r="V446" s="325">
        <f t="shared" si="90"/>
        <v>0</v>
      </c>
      <c r="W446" s="449" cm="1">
        <f t="array" ref="W446">+IF(U446&lt;0,error,0)</f>
        <v>0</v>
      </c>
    </row>
    <row r="447" spans="1:23" ht="18" customHeight="1" x14ac:dyDescent="0.2">
      <c r="A447" s="402" t="s">
        <v>1024</v>
      </c>
      <c r="B447" s="403"/>
      <c r="C447" s="404" t="s">
        <v>1025</v>
      </c>
      <c r="D447" s="405">
        <v>43014</v>
      </c>
      <c r="E447" s="406"/>
      <c r="F447" s="325"/>
      <c r="G447" s="324"/>
      <c r="H447" s="324">
        <v>7187.29</v>
      </c>
      <c r="I447" s="325">
        <v>3619.29</v>
      </c>
      <c r="J447" s="325"/>
      <c r="K447" s="325">
        <f t="shared" si="88"/>
        <v>0</v>
      </c>
      <c r="L447" s="325">
        <f t="shared" si="89"/>
        <v>0</v>
      </c>
      <c r="M447" s="407">
        <v>20</v>
      </c>
      <c r="N447" s="408" t="s">
        <v>289</v>
      </c>
      <c r="O447" s="325">
        <f t="shared" si="91"/>
        <v>0</v>
      </c>
      <c r="P447" s="325">
        <f t="shared" si="92"/>
        <v>0</v>
      </c>
      <c r="Q447" s="325">
        <f t="shared" si="93"/>
        <v>0</v>
      </c>
      <c r="R447" s="325">
        <f t="shared" si="94"/>
        <v>361</v>
      </c>
      <c r="S447" s="325">
        <f t="shared" si="95"/>
        <v>0</v>
      </c>
      <c r="T447" s="325">
        <f t="shared" si="87"/>
        <v>361</v>
      </c>
      <c r="U447" s="325">
        <f t="shared" si="96"/>
        <v>3258.29</v>
      </c>
      <c r="V447" s="325">
        <f t="shared" si="90"/>
        <v>0</v>
      </c>
      <c r="W447" s="449" cm="1">
        <f t="array" ref="W447">+IF(U447&lt;0,error,0)</f>
        <v>0</v>
      </c>
    </row>
    <row r="448" spans="1:23" ht="18" customHeight="1" x14ac:dyDescent="0.2">
      <c r="A448" s="402" t="s">
        <v>1026</v>
      </c>
      <c r="B448" s="403"/>
      <c r="C448" s="404" t="s">
        <v>1027</v>
      </c>
      <c r="D448" s="405">
        <v>43022</v>
      </c>
      <c r="E448" s="406"/>
      <c r="F448" s="325"/>
      <c r="G448" s="324"/>
      <c r="H448" s="324">
        <v>4195.2</v>
      </c>
      <c r="I448" s="325">
        <v>2123.2000000000003</v>
      </c>
      <c r="J448" s="325"/>
      <c r="K448" s="325">
        <f t="shared" si="88"/>
        <v>0</v>
      </c>
      <c r="L448" s="325">
        <f t="shared" si="89"/>
        <v>0</v>
      </c>
      <c r="M448" s="407">
        <v>20</v>
      </c>
      <c r="N448" s="408" t="s">
        <v>289</v>
      </c>
      <c r="O448" s="325">
        <f t="shared" si="91"/>
        <v>0</v>
      </c>
      <c r="P448" s="325">
        <f t="shared" si="92"/>
        <v>0</v>
      </c>
      <c r="Q448" s="325">
        <f t="shared" si="93"/>
        <v>0</v>
      </c>
      <c r="R448" s="325">
        <f t="shared" si="94"/>
        <v>212</v>
      </c>
      <c r="S448" s="325">
        <f t="shared" si="95"/>
        <v>0</v>
      </c>
      <c r="T448" s="325">
        <f t="shared" si="87"/>
        <v>212</v>
      </c>
      <c r="U448" s="325">
        <f t="shared" si="96"/>
        <v>1911.2000000000003</v>
      </c>
      <c r="V448" s="325">
        <f t="shared" si="90"/>
        <v>0</v>
      </c>
      <c r="W448" s="449" cm="1">
        <f t="array" ref="W448">+IF(U448&lt;0,error,0)</f>
        <v>0</v>
      </c>
    </row>
    <row r="449" spans="1:23" ht="18" customHeight="1" x14ac:dyDescent="0.2">
      <c r="A449" s="402" t="s">
        <v>1028</v>
      </c>
      <c r="B449" s="403"/>
      <c r="C449" s="404" t="s">
        <v>1029</v>
      </c>
      <c r="D449" s="405">
        <v>43188</v>
      </c>
      <c r="E449" s="406"/>
      <c r="F449" s="325"/>
      <c r="G449" s="324"/>
      <c r="H449" s="324">
        <v>1128</v>
      </c>
      <c r="I449" s="325">
        <v>632</v>
      </c>
      <c r="J449" s="325"/>
      <c r="K449" s="325">
        <f t="shared" si="88"/>
        <v>0</v>
      </c>
      <c r="L449" s="325">
        <f t="shared" si="89"/>
        <v>0</v>
      </c>
      <c r="M449" s="407">
        <v>20</v>
      </c>
      <c r="N449" s="408" t="s">
        <v>289</v>
      </c>
      <c r="O449" s="325">
        <f t="shared" si="91"/>
        <v>0</v>
      </c>
      <c r="P449" s="325">
        <f t="shared" si="92"/>
        <v>0</v>
      </c>
      <c r="Q449" s="325">
        <f t="shared" si="93"/>
        <v>0</v>
      </c>
      <c r="R449" s="325">
        <f t="shared" si="94"/>
        <v>63</v>
      </c>
      <c r="S449" s="325">
        <f t="shared" si="95"/>
        <v>0</v>
      </c>
      <c r="T449" s="325">
        <f t="shared" si="87"/>
        <v>63</v>
      </c>
      <c r="U449" s="325">
        <f t="shared" si="96"/>
        <v>569</v>
      </c>
      <c r="V449" s="325">
        <f t="shared" si="90"/>
        <v>0</v>
      </c>
      <c r="W449" s="449" cm="1">
        <f t="array" ref="W449">+IF(U449&lt;0,error,0)</f>
        <v>0</v>
      </c>
    </row>
    <row r="450" spans="1:23" ht="18" customHeight="1" x14ac:dyDescent="0.2">
      <c r="A450" s="402" t="s">
        <v>1030</v>
      </c>
      <c r="B450" s="403"/>
      <c r="C450" s="404" t="s">
        <v>1031</v>
      </c>
      <c r="D450" s="405">
        <v>43191</v>
      </c>
      <c r="E450" s="406"/>
      <c r="F450" s="325"/>
      <c r="G450" s="324"/>
      <c r="H450" s="324">
        <v>5451</v>
      </c>
      <c r="I450" s="325">
        <v>3057</v>
      </c>
      <c r="J450" s="325"/>
      <c r="K450" s="325">
        <f t="shared" si="88"/>
        <v>0</v>
      </c>
      <c r="L450" s="325">
        <f t="shared" si="89"/>
        <v>0</v>
      </c>
      <c r="M450" s="407">
        <v>20</v>
      </c>
      <c r="N450" s="408" t="s">
        <v>289</v>
      </c>
      <c r="O450" s="325">
        <f t="shared" si="91"/>
        <v>0</v>
      </c>
      <c r="P450" s="325">
        <f t="shared" si="92"/>
        <v>0</v>
      </c>
      <c r="Q450" s="325">
        <f t="shared" si="93"/>
        <v>0</v>
      </c>
      <c r="R450" s="325">
        <f t="shared" si="94"/>
        <v>305</v>
      </c>
      <c r="S450" s="325">
        <f t="shared" si="95"/>
        <v>0</v>
      </c>
      <c r="T450" s="325">
        <f t="shared" si="87"/>
        <v>305</v>
      </c>
      <c r="U450" s="325">
        <f t="shared" si="96"/>
        <v>2752</v>
      </c>
      <c r="V450" s="325">
        <f t="shared" si="90"/>
        <v>0</v>
      </c>
      <c r="W450" s="449" cm="1">
        <f t="array" ref="W450">+IF(U450&lt;0,error,0)</f>
        <v>0</v>
      </c>
    </row>
    <row r="451" spans="1:23" ht="18" customHeight="1" x14ac:dyDescent="0.2">
      <c r="A451" s="402" t="s">
        <v>1032</v>
      </c>
      <c r="B451" s="403"/>
      <c r="C451" s="404" t="s">
        <v>2152</v>
      </c>
      <c r="D451" s="405">
        <v>43108</v>
      </c>
      <c r="E451" s="406"/>
      <c r="F451" s="325"/>
      <c r="G451" s="324"/>
      <c r="H451" s="324">
        <v>7000</v>
      </c>
      <c r="I451" s="325">
        <v>3738.2222222222217</v>
      </c>
      <c r="J451" s="325"/>
      <c r="K451" s="325">
        <f t="shared" si="88"/>
        <v>0</v>
      </c>
      <c r="L451" s="325">
        <f t="shared" si="89"/>
        <v>0</v>
      </c>
      <c r="M451" s="407">
        <v>20</v>
      </c>
      <c r="N451" s="408" t="s">
        <v>289</v>
      </c>
      <c r="O451" s="325">
        <f t="shared" si="91"/>
        <v>0</v>
      </c>
      <c r="P451" s="325">
        <f t="shared" si="92"/>
        <v>0</v>
      </c>
      <c r="Q451" s="325">
        <f t="shared" si="93"/>
        <v>0</v>
      </c>
      <c r="R451" s="325">
        <f t="shared" si="94"/>
        <v>373</v>
      </c>
      <c r="S451" s="325">
        <f t="shared" si="95"/>
        <v>0</v>
      </c>
      <c r="T451" s="325">
        <f t="shared" si="87"/>
        <v>373</v>
      </c>
      <c r="U451" s="325">
        <f t="shared" si="96"/>
        <v>3365.2222222222217</v>
      </c>
      <c r="V451" s="325">
        <f t="shared" si="90"/>
        <v>0</v>
      </c>
      <c r="W451" s="449" cm="1">
        <f t="array" ref="W451">+IF(U451&lt;0,error,0)</f>
        <v>0</v>
      </c>
    </row>
    <row r="452" spans="1:23" ht="18" customHeight="1" x14ac:dyDescent="0.2">
      <c r="A452" s="402" t="s">
        <v>1034</v>
      </c>
      <c r="B452" s="403"/>
      <c r="C452" s="404" t="s">
        <v>1035</v>
      </c>
      <c r="D452" s="405">
        <v>43145</v>
      </c>
      <c r="E452" s="406"/>
      <c r="F452" s="325"/>
      <c r="G452" s="324"/>
      <c r="H452" s="324">
        <v>4000</v>
      </c>
      <c r="I452" s="325">
        <v>2185</v>
      </c>
      <c r="J452" s="325"/>
      <c r="K452" s="325">
        <f t="shared" si="88"/>
        <v>0</v>
      </c>
      <c r="L452" s="325">
        <f t="shared" si="89"/>
        <v>0</v>
      </c>
      <c r="M452" s="407">
        <v>20</v>
      </c>
      <c r="N452" s="408" t="s">
        <v>289</v>
      </c>
      <c r="O452" s="325">
        <f t="shared" si="91"/>
        <v>0</v>
      </c>
      <c r="P452" s="325">
        <f t="shared" si="92"/>
        <v>0</v>
      </c>
      <c r="Q452" s="325">
        <f t="shared" si="93"/>
        <v>0</v>
      </c>
      <c r="R452" s="325">
        <f t="shared" si="94"/>
        <v>218</v>
      </c>
      <c r="S452" s="325">
        <f t="shared" si="95"/>
        <v>0</v>
      </c>
      <c r="T452" s="325">
        <f t="shared" si="87"/>
        <v>218</v>
      </c>
      <c r="U452" s="325">
        <f t="shared" si="96"/>
        <v>1967</v>
      </c>
      <c r="V452" s="325">
        <f t="shared" si="90"/>
        <v>0</v>
      </c>
      <c r="W452" s="449" cm="1">
        <f t="array" ref="W452">+IF(U452&lt;0,error,0)</f>
        <v>0</v>
      </c>
    </row>
    <row r="453" spans="1:23" ht="18" customHeight="1" x14ac:dyDescent="0.2">
      <c r="A453" s="402" t="s">
        <v>1036</v>
      </c>
      <c r="B453" s="403"/>
      <c r="C453" s="404" t="s">
        <v>1037</v>
      </c>
      <c r="D453" s="405">
        <v>43273</v>
      </c>
      <c r="E453" s="406"/>
      <c r="F453" s="325"/>
      <c r="G453" s="324"/>
      <c r="H453" s="324">
        <v>4727.2700000000004</v>
      </c>
      <c r="I453" s="325">
        <v>2778.2700000000004</v>
      </c>
      <c r="J453" s="325"/>
      <c r="K453" s="325">
        <f t="shared" si="88"/>
        <v>0</v>
      </c>
      <c r="L453" s="325">
        <f t="shared" si="89"/>
        <v>0</v>
      </c>
      <c r="M453" s="407">
        <v>20</v>
      </c>
      <c r="N453" s="408" t="s">
        <v>289</v>
      </c>
      <c r="O453" s="325">
        <f t="shared" si="91"/>
        <v>0</v>
      </c>
      <c r="P453" s="325">
        <f t="shared" si="92"/>
        <v>0</v>
      </c>
      <c r="Q453" s="325">
        <f t="shared" si="93"/>
        <v>0</v>
      </c>
      <c r="R453" s="325">
        <f t="shared" si="94"/>
        <v>277</v>
      </c>
      <c r="S453" s="325">
        <f t="shared" si="95"/>
        <v>0</v>
      </c>
      <c r="T453" s="325">
        <f t="shared" si="87"/>
        <v>277</v>
      </c>
      <c r="U453" s="325">
        <f t="shared" si="96"/>
        <v>2501.2700000000004</v>
      </c>
      <c r="V453" s="325">
        <f t="shared" si="90"/>
        <v>0</v>
      </c>
      <c r="W453" s="449" cm="1">
        <f t="array" ref="W453">+IF(U453&lt;0,error,0)</f>
        <v>0</v>
      </c>
    </row>
    <row r="454" spans="1:23" ht="18" customHeight="1" x14ac:dyDescent="0.2">
      <c r="A454" s="402" t="s">
        <v>1038</v>
      </c>
      <c r="B454" s="403"/>
      <c r="C454" s="404" t="s">
        <v>1039</v>
      </c>
      <c r="D454" s="405">
        <v>43213</v>
      </c>
      <c r="E454" s="406"/>
      <c r="F454" s="325"/>
      <c r="G454" s="324"/>
      <c r="H454" s="324">
        <v>1186.04</v>
      </c>
      <c r="I454" s="325">
        <v>675.04</v>
      </c>
      <c r="J454" s="325"/>
      <c r="K454" s="325">
        <f t="shared" si="88"/>
        <v>0</v>
      </c>
      <c r="L454" s="325">
        <f t="shared" si="89"/>
        <v>0</v>
      </c>
      <c r="M454" s="407">
        <v>20</v>
      </c>
      <c r="N454" s="408" t="s">
        <v>289</v>
      </c>
      <c r="O454" s="325">
        <f t="shared" si="91"/>
        <v>0</v>
      </c>
      <c r="P454" s="325">
        <f t="shared" si="92"/>
        <v>0</v>
      </c>
      <c r="Q454" s="325">
        <f t="shared" si="93"/>
        <v>0</v>
      </c>
      <c r="R454" s="325">
        <f t="shared" si="94"/>
        <v>67</v>
      </c>
      <c r="S454" s="325">
        <f t="shared" si="95"/>
        <v>0</v>
      </c>
      <c r="T454" s="325">
        <f t="shared" si="87"/>
        <v>67</v>
      </c>
      <c r="U454" s="325">
        <f t="shared" si="96"/>
        <v>608.04</v>
      </c>
      <c r="V454" s="325">
        <f t="shared" si="90"/>
        <v>0</v>
      </c>
      <c r="W454" s="449" cm="1">
        <f t="array" ref="W454">+IF(U454&lt;0,error,0)</f>
        <v>0</v>
      </c>
    </row>
    <row r="455" spans="1:23" ht="18" customHeight="1" x14ac:dyDescent="0.2">
      <c r="A455" s="402" t="s">
        <v>1040</v>
      </c>
      <c r="B455" s="403"/>
      <c r="C455" s="412" t="s">
        <v>1041</v>
      </c>
      <c r="D455" s="405">
        <v>42956</v>
      </c>
      <c r="E455" s="406"/>
      <c r="F455" s="325"/>
      <c r="G455" s="324"/>
      <c r="H455" s="324">
        <v>5700</v>
      </c>
      <c r="I455" s="325">
        <v>4016</v>
      </c>
      <c r="J455" s="325"/>
      <c r="K455" s="325">
        <f t="shared" si="88"/>
        <v>0</v>
      </c>
      <c r="L455" s="325">
        <f t="shared" si="89"/>
        <v>0</v>
      </c>
      <c r="M455" s="407">
        <v>10</v>
      </c>
      <c r="N455" s="408" t="s">
        <v>289</v>
      </c>
      <c r="O455" s="325">
        <f t="shared" si="91"/>
        <v>0</v>
      </c>
      <c r="P455" s="325">
        <f t="shared" si="92"/>
        <v>0</v>
      </c>
      <c r="Q455" s="325">
        <f t="shared" si="93"/>
        <v>0</v>
      </c>
      <c r="R455" s="325">
        <f t="shared" si="94"/>
        <v>200</v>
      </c>
      <c r="S455" s="325">
        <f t="shared" si="95"/>
        <v>0</v>
      </c>
      <c r="T455" s="325">
        <f t="shared" si="87"/>
        <v>200</v>
      </c>
      <c r="U455" s="325">
        <f t="shared" si="96"/>
        <v>3816</v>
      </c>
      <c r="V455" s="325">
        <f t="shared" si="90"/>
        <v>0</v>
      </c>
      <c r="W455" s="449" cm="1">
        <f t="array" ref="W455">+IF(U455&lt;0,error,0)</f>
        <v>0</v>
      </c>
    </row>
    <row r="456" spans="1:23" ht="18" customHeight="1" x14ac:dyDescent="0.2">
      <c r="A456" s="402" t="s">
        <v>1042</v>
      </c>
      <c r="B456" s="403"/>
      <c r="C456" s="404" t="s">
        <v>1043</v>
      </c>
      <c r="D456" s="405">
        <v>43047</v>
      </c>
      <c r="E456" s="406"/>
      <c r="F456" s="325"/>
      <c r="G456" s="324"/>
      <c r="H456" s="324">
        <v>21755.040000000001</v>
      </c>
      <c r="I456" s="325">
        <v>15746.04</v>
      </c>
      <c r="J456" s="325"/>
      <c r="K456" s="325">
        <f t="shared" si="88"/>
        <v>0</v>
      </c>
      <c r="L456" s="325">
        <f t="shared" si="89"/>
        <v>0</v>
      </c>
      <c r="M456" s="407">
        <v>10</v>
      </c>
      <c r="N456" s="408" t="s">
        <v>289</v>
      </c>
      <c r="O456" s="325">
        <f t="shared" si="91"/>
        <v>0</v>
      </c>
      <c r="P456" s="325">
        <f t="shared" si="92"/>
        <v>0</v>
      </c>
      <c r="Q456" s="325">
        <f t="shared" si="93"/>
        <v>0</v>
      </c>
      <c r="R456" s="325">
        <f t="shared" si="94"/>
        <v>787</v>
      </c>
      <c r="S456" s="325">
        <f t="shared" si="95"/>
        <v>0</v>
      </c>
      <c r="T456" s="325">
        <f t="shared" si="87"/>
        <v>787</v>
      </c>
      <c r="U456" s="325">
        <f t="shared" si="96"/>
        <v>14959.04</v>
      </c>
      <c r="V456" s="325">
        <f t="shared" si="90"/>
        <v>0</v>
      </c>
      <c r="W456" s="449" cm="1">
        <f t="array" ref="W456">+IF(U456&lt;0,error,0)</f>
        <v>0</v>
      </c>
    </row>
    <row r="457" spans="1:23" ht="18" customHeight="1" x14ac:dyDescent="0.2">
      <c r="A457" s="402" t="s">
        <v>1044</v>
      </c>
      <c r="B457" s="403"/>
      <c r="C457" s="404" t="s">
        <v>1045</v>
      </c>
      <c r="D457" s="405">
        <v>43154</v>
      </c>
      <c r="E457" s="406"/>
      <c r="F457" s="325"/>
      <c r="G457" s="324"/>
      <c r="H457" s="324">
        <v>2305</v>
      </c>
      <c r="I457" s="325">
        <v>1722</v>
      </c>
      <c r="J457" s="325"/>
      <c r="K457" s="325">
        <f t="shared" si="88"/>
        <v>0</v>
      </c>
      <c r="L457" s="325">
        <f t="shared" si="89"/>
        <v>0</v>
      </c>
      <c r="M457" s="407">
        <v>10</v>
      </c>
      <c r="N457" s="408" t="s">
        <v>289</v>
      </c>
      <c r="O457" s="325">
        <f t="shared" si="91"/>
        <v>0</v>
      </c>
      <c r="P457" s="325">
        <f t="shared" si="92"/>
        <v>0</v>
      </c>
      <c r="Q457" s="325">
        <f t="shared" si="93"/>
        <v>0</v>
      </c>
      <c r="R457" s="325">
        <f t="shared" si="94"/>
        <v>86</v>
      </c>
      <c r="S457" s="325">
        <f t="shared" si="95"/>
        <v>0</v>
      </c>
      <c r="T457" s="325">
        <f t="shared" si="87"/>
        <v>86</v>
      </c>
      <c r="U457" s="325">
        <f t="shared" si="96"/>
        <v>1636</v>
      </c>
      <c r="V457" s="325">
        <f t="shared" si="90"/>
        <v>0</v>
      </c>
      <c r="W457" s="449" cm="1">
        <f t="array" ref="W457">+IF(U457&lt;0,error,0)</f>
        <v>0</v>
      </c>
    </row>
    <row r="458" spans="1:23" ht="18" customHeight="1" x14ac:dyDescent="0.2">
      <c r="A458" s="402" t="s">
        <v>1046</v>
      </c>
      <c r="B458" s="403"/>
      <c r="C458" s="404" t="s">
        <v>1047</v>
      </c>
      <c r="D458" s="405">
        <v>43159</v>
      </c>
      <c r="E458" s="406"/>
      <c r="F458" s="325"/>
      <c r="G458" s="324"/>
      <c r="H458" s="324">
        <v>1408</v>
      </c>
      <c r="I458" s="325">
        <v>776</v>
      </c>
      <c r="J458" s="325"/>
      <c r="K458" s="325">
        <f t="shared" si="88"/>
        <v>0</v>
      </c>
      <c r="L458" s="325">
        <f t="shared" si="89"/>
        <v>0</v>
      </c>
      <c r="M458" s="407">
        <v>20</v>
      </c>
      <c r="N458" s="408" t="s">
        <v>289</v>
      </c>
      <c r="O458" s="325">
        <f t="shared" si="91"/>
        <v>0</v>
      </c>
      <c r="P458" s="325">
        <f t="shared" si="92"/>
        <v>0</v>
      </c>
      <c r="Q458" s="325">
        <f t="shared" si="93"/>
        <v>0</v>
      </c>
      <c r="R458" s="325">
        <f t="shared" si="94"/>
        <v>77</v>
      </c>
      <c r="S458" s="325">
        <f t="shared" si="95"/>
        <v>0</v>
      </c>
      <c r="T458" s="325">
        <f t="shared" si="87"/>
        <v>77</v>
      </c>
      <c r="U458" s="325">
        <f t="shared" si="96"/>
        <v>699</v>
      </c>
      <c r="V458" s="325">
        <f t="shared" si="90"/>
        <v>0</v>
      </c>
      <c r="W458" s="449" cm="1">
        <f t="array" ref="W458">+IF(U458&lt;0,error,0)</f>
        <v>0</v>
      </c>
    </row>
    <row r="459" spans="1:23" ht="18" customHeight="1" x14ac:dyDescent="0.2">
      <c r="A459" s="402" t="s">
        <v>1048</v>
      </c>
      <c r="B459" s="403"/>
      <c r="C459" s="404" t="s">
        <v>1045</v>
      </c>
      <c r="D459" s="405">
        <v>43173</v>
      </c>
      <c r="E459" s="406"/>
      <c r="F459" s="325"/>
      <c r="G459" s="324"/>
      <c r="H459" s="324">
        <v>2305</v>
      </c>
      <c r="I459" s="325">
        <v>1732</v>
      </c>
      <c r="J459" s="325"/>
      <c r="K459" s="325">
        <f t="shared" si="88"/>
        <v>0</v>
      </c>
      <c r="L459" s="325">
        <f t="shared" si="89"/>
        <v>0</v>
      </c>
      <c r="M459" s="407">
        <v>10</v>
      </c>
      <c r="N459" s="408" t="s">
        <v>289</v>
      </c>
      <c r="O459" s="325">
        <f t="shared" si="91"/>
        <v>0</v>
      </c>
      <c r="P459" s="325">
        <f t="shared" si="92"/>
        <v>0</v>
      </c>
      <c r="Q459" s="325">
        <f t="shared" si="93"/>
        <v>0</v>
      </c>
      <c r="R459" s="325">
        <f t="shared" si="94"/>
        <v>86</v>
      </c>
      <c r="S459" s="325">
        <f t="shared" si="95"/>
        <v>0</v>
      </c>
      <c r="T459" s="325">
        <f t="shared" si="87"/>
        <v>86</v>
      </c>
      <c r="U459" s="325">
        <f t="shared" si="96"/>
        <v>1646</v>
      </c>
      <c r="V459" s="325">
        <f t="shared" si="90"/>
        <v>0</v>
      </c>
      <c r="W459" s="449" cm="1">
        <f t="array" ref="W459">+IF(U459&lt;0,error,0)</f>
        <v>0</v>
      </c>
    </row>
    <row r="460" spans="1:23" ht="18" customHeight="1" x14ac:dyDescent="0.2">
      <c r="A460" s="402" t="s">
        <v>1049</v>
      </c>
      <c r="B460" s="403"/>
      <c r="C460" s="404" t="s">
        <v>1050</v>
      </c>
      <c r="D460" s="405">
        <v>43241</v>
      </c>
      <c r="E460" s="406"/>
      <c r="F460" s="325"/>
      <c r="G460" s="324"/>
      <c r="H460" s="324">
        <v>18636.36</v>
      </c>
      <c r="I460" s="325">
        <v>10749.36</v>
      </c>
      <c r="J460" s="325"/>
      <c r="K460" s="325">
        <f t="shared" si="88"/>
        <v>0</v>
      </c>
      <c r="L460" s="325">
        <f t="shared" si="89"/>
        <v>0</v>
      </c>
      <c r="M460" s="407">
        <v>20</v>
      </c>
      <c r="N460" s="408" t="s">
        <v>289</v>
      </c>
      <c r="O460" s="325">
        <f t="shared" si="91"/>
        <v>0</v>
      </c>
      <c r="P460" s="325">
        <f t="shared" si="92"/>
        <v>0</v>
      </c>
      <c r="Q460" s="325">
        <f t="shared" si="93"/>
        <v>0</v>
      </c>
      <c r="R460" s="325">
        <f t="shared" si="94"/>
        <v>1074</v>
      </c>
      <c r="S460" s="325">
        <f t="shared" si="95"/>
        <v>0</v>
      </c>
      <c r="T460" s="325">
        <f t="shared" si="87"/>
        <v>1074</v>
      </c>
      <c r="U460" s="325">
        <f t="shared" si="96"/>
        <v>9675.36</v>
      </c>
      <c r="V460" s="325">
        <f t="shared" si="90"/>
        <v>0</v>
      </c>
      <c r="W460" s="449" cm="1">
        <f t="array" ref="W460">+IF(U460&lt;0,error,0)</f>
        <v>0</v>
      </c>
    </row>
    <row r="461" spans="1:23" ht="18" customHeight="1" x14ac:dyDescent="0.2">
      <c r="A461" s="402" t="s">
        <v>1051</v>
      </c>
      <c r="B461" s="403"/>
      <c r="C461" s="404" t="s">
        <v>1052</v>
      </c>
      <c r="D461" s="405">
        <v>43264</v>
      </c>
      <c r="E461" s="406"/>
      <c r="F461" s="325"/>
      <c r="G461" s="324"/>
      <c r="H461" s="324">
        <v>50099</v>
      </c>
      <c r="I461" s="325">
        <v>38563</v>
      </c>
      <c r="J461" s="325"/>
      <c r="K461" s="325">
        <f t="shared" si="88"/>
        <v>0</v>
      </c>
      <c r="L461" s="325">
        <f t="shared" si="89"/>
        <v>0</v>
      </c>
      <c r="M461" s="407">
        <v>10</v>
      </c>
      <c r="N461" s="408" t="s">
        <v>289</v>
      </c>
      <c r="O461" s="325">
        <f t="shared" si="91"/>
        <v>0</v>
      </c>
      <c r="P461" s="325">
        <f t="shared" si="92"/>
        <v>0</v>
      </c>
      <c r="Q461" s="325">
        <f t="shared" si="93"/>
        <v>0</v>
      </c>
      <c r="R461" s="325">
        <f t="shared" si="94"/>
        <v>1928</v>
      </c>
      <c r="S461" s="325">
        <f t="shared" si="95"/>
        <v>0</v>
      </c>
      <c r="T461" s="325">
        <f t="shared" si="87"/>
        <v>1928</v>
      </c>
      <c r="U461" s="325">
        <f t="shared" si="96"/>
        <v>36635</v>
      </c>
      <c r="V461" s="325">
        <f t="shared" si="90"/>
        <v>0</v>
      </c>
      <c r="W461" s="449" cm="1">
        <f t="array" ref="W461">+IF(U461&lt;0,error,0)</f>
        <v>0</v>
      </c>
    </row>
    <row r="462" spans="1:23" ht="18" customHeight="1" x14ac:dyDescent="0.2">
      <c r="A462" s="402" t="s">
        <v>1053</v>
      </c>
      <c r="B462" s="403"/>
      <c r="C462" s="404" t="s">
        <v>1054</v>
      </c>
      <c r="D462" s="405">
        <v>43146</v>
      </c>
      <c r="E462" s="406"/>
      <c r="F462" s="325"/>
      <c r="G462" s="324"/>
      <c r="H462" s="324">
        <v>2340</v>
      </c>
      <c r="I462" s="325">
        <v>1279</v>
      </c>
      <c r="J462" s="325"/>
      <c r="K462" s="325">
        <f t="shared" si="88"/>
        <v>0</v>
      </c>
      <c r="L462" s="325">
        <f t="shared" si="89"/>
        <v>0</v>
      </c>
      <c r="M462" s="407">
        <v>20</v>
      </c>
      <c r="N462" s="408" t="s">
        <v>289</v>
      </c>
      <c r="O462" s="325">
        <f t="shared" si="91"/>
        <v>0</v>
      </c>
      <c r="P462" s="325">
        <f t="shared" si="92"/>
        <v>0</v>
      </c>
      <c r="Q462" s="325">
        <f t="shared" si="93"/>
        <v>0</v>
      </c>
      <c r="R462" s="325">
        <f t="shared" si="94"/>
        <v>127</v>
      </c>
      <c r="S462" s="325">
        <f t="shared" si="95"/>
        <v>0</v>
      </c>
      <c r="T462" s="325">
        <f t="shared" si="87"/>
        <v>127</v>
      </c>
      <c r="U462" s="325">
        <f t="shared" si="96"/>
        <v>1152</v>
      </c>
      <c r="V462" s="325">
        <f t="shared" si="90"/>
        <v>0</v>
      </c>
      <c r="W462" s="449" cm="1">
        <f t="array" ref="W462">+IF(U462&lt;0,error,0)</f>
        <v>0</v>
      </c>
    </row>
    <row r="463" spans="1:23" ht="18" customHeight="1" x14ac:dyDescent="0.2">
      <c r="A463" s="402" t="s">
        <v>1055</v>
      </c>
      <c r="B463" s="403"/>
      <c r="C463" s="404" t="s">
        <v>1056</v>
      </c>
      <c r="D463" s="405">
        <v>43146</v>
      </c>
      <c r="E463" s="406"/>
      <c r="F463" s="325"/>
      <c r="G463" s="324"/>
      <c r="H463" s="324">
        <v>3960</v>
      </c>
      <c r="I463" s="325">
        <v>2164</v>
      </c>
      <c r="J463" s="325"/>
      <c r="K463" s="325">
        <f t="shared" si="88"/>
        <v>0</v>
      </c>
      <c r="L463" s="325">
        <f t="shared" si="89"/>
        <v>0</v>
      </c>
      <c r="M463" s="407">
        <v>20</v>
      </c>
      <c r="N463" s="408" t="s">
        <v>289</v>
      </c>
      <c r="O463" s="325">
        <f t="shared" si="91"/>
        <v>0</v>
      </c>
      <c r="P463" s="325">
        <f t="shared" si="92"/>
        <v>0</v>
      </c>
      <c r="Q463" s="325">
        <f t="shared" si="93"/>
        <v>0</v>
      </c>
      <c r="R463" s="325">
        <f t="shared" si="94"/>
        <v>216</v>
      </c>
      <c r="S463" s="325">
        <f t="shared" si="95"/>
        <v>0</v>
      </c>
      <c r="T463" s="325">
        <f t="shared" si="87"/>
        <v>216</v>
      </c>
      <c r="U463" s="325">
        <f t="shared" si="96"/>
        <v>1948</v>
      </c>
      <c r="V463" s="325">
        <f t="shared" si="90"/>
        <v>0</v>
      </c>
      <c r="W463" s="449" cm="1">
        <f t="array" ref="W463">+IF(U463&lt;0,error,0)</f>
        <v>0</v>
      </c>
    </row>
    <row r="464" spans="1:23" ht="18" customHeight="1" x14ac:dyDescent="0.2">
      <c r="A464" s="402" t="s">
        <v>1057</v>
      </c>
      <c r="B464" s="403"/>
      <c r="C464" s="441" t="s">
        <v>1058</v>
      </c>
      <c r="D464" s="405">
        <v>43318</v>
      </c>
      <c r="E464" s="406"/>
      <c r="F464" s="325"/>
      <c r="G464" s="324"/>
      <c r="H464" s="324">
        <v>25000</v>
      </c>
      <c r="I464" s="325">
        <v>17947</v>
      </c>
      <c r="J464" s="325"/>
      <c r="K464" s="325">
        <f t="shared" si="88"/>
        <v>0</v>
      </c>
      <c r="L464" s="325">
        <f t="shared" si="89"/>
        <v>0</v>
      </c>
      <c r="M464" s="407">
        <v>13.33</v>
      </c>
      <c r="N464" s="408" t="s">
        <v>289</v>
      </c>
      <c r="O464" s="325">
        <f t="shared" si="91"/>
        <v>0</v>
      </c>
      <c r="P464" s="325">
        <f t="shared" si="92"/>
        <v>0</v>
      </c>
      <c r="Q464" s="325">
        <f t="shared" si="93"/>
        <v>0</v>
      </c>
      <c r="R464" s="325">
        <f t="shared" si="94"/>
        <v>1196</v>
      </c>
      <c r="S464" s="325">
        <f t="shared" si="95"/>
        <v>0</v>
      </c>
      <c r="T464" s="325">
        <f t="shared" ref="T464:T468" si="97">+R464+S464+Q464</f>
        <v>1196</v>
      </c>
      <c r="U464" s="325">
        <f t="shared" si="96"/>
        <v>16751</v>
      </c>
      <c r="V464" s="325">
        <f t="shared" si="90"/>
        <v>0</v>
      </c>
      <c r="W464" s="449" cm="1">
        <f t="array" ref="W464">+IF(U464&lt;0,error,0)</f>
        <v>0</v>
      </c>
    </row>
    <row r="465" spans="1:23" ht="18" customHeight="1" x14ac:dyDescent="0.2">
      <c r="A465" s="402" t="s">
        <v>1059</v>
      </c>
      <c r="B465" s="403"/>
      <c r="C465" s="442" t="s">
        <v>1060</v>
      </c>
      <c r="D465" s="405">
        <v>43342</v>
      </c>
      <c r="E465" s="406"/>
      <c r="F465" s="325"/>
      <c r="G465" s="324"/>
      <c r="H465" s="324">
        <v>361854</v>
      </c>
      <c r="I465" s="325">
        <v>308791</v>
      </c>
      <c r="J465" s="325"/>
      <c r="K465" s="325">
        <f t="shared" si="88"/>
        <v>0</v>
      </c>
      <c r="L465" s="325">
        <f t="shared" si="89"/>
        <v>0</v>
      </c>
      <c r="M465" s="407">
        <v>6.67</v>
      </c>
      <c r="N465" s="408" t="s">
        <v>289</v>
      </c>
      <c r="O465" s="325">
        <f t="shared" si="91"/>
        <v>0</v>
      </c>
      <c r="P465" s="325">
        <f t="shared" si="92"/>
        <v>0</v>
      </c>
      <c r="Q465" s="325">
        <f t="shared" si="93"/>
        <v>0</v>
      </c>
      <c r="R465" s="325">
        <f t="shared" si="94"/>
        <v>10298</v>
      </c>
      <c r="S465" s="325">
        <f t="shared" si="95"/>
        <v>0</v>
      </c>
      <c r="T465" s="325">
        <f t="shared" si="97"/>
        <v>10298</v>
      </c>
      <c r="U465" s="325">
        <f t="shared" si="96"/>
        <v>298493</v>
      </c>
      <c r="V465" s="325">
        <f t="shared" si="90"/>
        <v>0</v>
      </c>
      <c r="W465" s="449" cm="1">
        <f t="array" ref="W465">+IF(U465&lt;0,error,0)</f>
        <v>0</v>
      </c>
    </row>
    <row r="466" spans="1:23" ht="18" customHeight="1" x14ac:dyDescent="0.2">
      <c r="A466" s="402" t="s">
        <v>1061</v>
      </c>
      <c r="B466" s="403"/>
      <c r="C466" s="404" t="s">
        <v>1062</v>
      </c>
      <c r="D466" s="405">
        <v>43342</v>
      </c>
      <c r="E466" s="406"/>
      <c r="F466" s="325"/>
      <c r="G466" s="324"/>
      <c r="H466" s="324">
        <v>33926</v>
      </c>
      <c r="I466" s="325">
        <v>28953</v>
      </c>
      <c r="J466" s="325"/>
      <c r="K466" s="325">
        <f t="shared" si="88"/>
        <v>0</v>
      </c>
      <c r="L466" s="325">
        <f t="shared" si="89"/>
        <v>0</v>
      </c>
      <c r="M466" s="407">
        <v>6.67</v>
      </c>
      <c r="N466" s="408" t="s">
        <v>289</v>
      </c>
      <c r="O466" s="325">
        <f t="shared" si="91"/>
        <v>0</v>
      </c>
      <c r="P466" s="325">
        <f t="shared" si="92"/>
        <v>0</v>
      </c>
      <c r="Q466" s="325">
        <f t="shared" si="93"/>
        <v>0</v>
      </c>
      <c r="R466" s="325">
        <f t="shared" si="94"/>
        <v>965</v>
      </c>
      <c r="S466" s="325">
        <f t="shared" si="95"/>
        <v>0</v>
      </c>
      <c r="T466" s="325">
        <f t="shared" si="97"/>
        <v>965</v>
      </c>
      <c r="U466" s="325">
        <f t="shared" si="96"/>
        <v>27988</v>
      </c>
      <c r="V466" s="325">
        <f t="shared" si="90"/>
        <v>0</v>
      </c>
      <c r="W466" s="449" cm="1">
        <f t="array" ref="W466">+IF(U466&lt;0,error,0)</f>
        <v>0</v>
      </c>
    </row>
    <row r="467" spans="1:23" ht="18" customHeight="1" x14ac:dyDescent="0.2">
      <c r="A467" s="402" t="s">
        <v>1063</v>
      </c>
      <c r="B467" s="403"/>
      <c r="C467" s="404" t="s">
        <v>1064</v>
      </c>
      <c r="D467" s="405">
        <v>43342</v>
      </c>
      <c r="E467" s="406"/>
      <c r="F467" s="325"/>
      <c r="G467" s="324"/>
      <c r="H467" s="324">
        <v>26846</v>
      </c>
      <c r="I467" s="325">
        <v>22912</v>
      </c>
      <c r="J467" s="325"/>
      <c r="K467" s="325">
        <f t="shared" si="88"/>
        <v>0</v>
      </c>
      <c r="L467" s="325">
        <f t="shared" si="89"/>
        <v>0</v>
      </c>
      <c r="M467" s="407">
        <v>6.67</v>
      </c>
      <c r="N467" s="408" t="s">
        <v>289</v>
      </c>
      <c r="O467" s="325">
        <f t="shared" si="91"/>
        <v>0</v>
      </c>
      <c r="P467" s="325">
        <f t="shared" si="92"/>
        <v>0</v>
      </c>
      <c r="Q467" s="325">
        <f t="shared" si="93"/>
        <v>0</v>
      </c>
      <c r="R467" s="325">
        <f t="shared" si="94"/>
        <v>764</v>
      </c>
      <c r="S467" s="325">
        <f t="shared" si="95"/>
        <v>0</v>
      </c>
      <c r="T467" s="325">
        <f t="shared" si="97"/>
        <v>764</v>
      </c>
      <c r="U467" s="325">
        <f t="shared" si="96"/>
        <v>22148</v>
      </c>
      <c r="V467" s="325">
        <f t="shared" si="90"/>
        <v>0</v>
      </c>
      <c r="W467" s="449" cm="1">
        <f t="array" ref="W467">+IF(U467&lt;0,error,0)</f>
        <v>0</v>
      </c>
    </row>
    <row r="468" spans="1:23" ht="18" customHeight="1" x14ac:dyDescent="0.2">
      <c r="A468" s="402" t="s">
        <v>1065</v>
      </c>
      <c r="B468" s="403"/>
      <c r="C468" s="404" t="s">
        <v>1066</v>
      </c>
      <c r="D468" s="405">
        <v>43342</v>
      </c>
      <c r="E468" s="406"/>
      <c r="F468" s="325"/>
      <c r="G468" s="324"/>
      <c r="H468" s="324">
        <v>53006</v>
      </c>
      <c r="I468" s="325">
        <v>45234</v>
      </c>
      <c r="J468" s="325"/>
      <c r="K468" s="325">
        <f t="shared" si="88"/>
        <v>0</v>
      </c>
      <c r="L468" s="325">
        <f t="shared" si="89"/>
        <v>0</v>
      </c>
      <c r="M468" s="407">
        <v>6.67</v>
      </c>
      <c r="N468" s="408" t="s">
        <v>289</v>
      </c>
      <c r="O468" s="325">
        <f t="shared" si="91"/>
        <v>0</v>
      </c>
      <c r="P468" s="325">
        <f t="shared" si="92"/>
        <v>0</v>
      </c>
      <c r="Q468" s="325">
        <f t="shared" si="93"/>
        <v>0</v>
      </c>
      <c r="R468" s="325">
        <f t="shared" si="94"/>
        <v>1508</v>
      </c>
      <c r="S468" s="325">
        <f t="shared" si="95"/>
        <v>0</v>
      </c>
      <c r="T468" s="325">
        <f t="shared" si="97"/>
        <v>1508</v>
      </c>
      <c r="U468" s="325">
        <f t="shared" si="96"/>
        <v>43726</v>
      </c>
      <c r="V468" s="325">
        <f t="shared" si="90"/>
        <v>0</v>
      </c>
      <c r="W468" s="449" cm="1">
        <f t="array" ref="W468">+IF(U468&lt;0,error,0)</f>
        <v>0</v>
      </c>
    </row>
    <row r="469" spans="1:23" ht="18" customHeight="1" x14ac:dyDescent="0.2">
      <c r="A469" s="402" t="s">
        <v>2046</v>
      </c>
      <c r="B469" s="403"/>
      <c r="C469" s="443" t="s">
        <v>2056</v>
      </c>
      <c r="D469" s="405">
        <v>43497</v>
      </c>
      <c r="E469" s="406"/>
      <c r="F469" s="325"/>
      <c r="G469" s="324"/>
      <c r="H469" s="324">
        <v>17684.939999999999</v>
      </c>
      <c r="I469" s="325">
        <v>15540.939999999999</v>
      </c>
      <c r="J469" s="325"/>
      <c r="K469" s="325">
        <f>INT(IF($E469&gt;0,IF(+F469-I469+Q469&lt;0,0,+F469-I469+Q469),0))</f>
        <v>0</v>
      </c>
      <c r="L469" s="325">
        <f>INT(IF($E469&gt;0,IF(K469=0,-F469+I469-Q469,0),0))</f>
        <v>0</v>
      </c>
      <c r="M469" s="407">
        <v>6.67</v>
      </c>
      <c r="N469" s="408" t="s">
        <v>289</v>
      </c>
      <c r="O469" s="325">
        <f>IF(E469&gt;0,INT(IF($N469="D",IF($D469&lt;$H$3,$I469*($M469/100)*((E469-$H$3)/365),$J469*($M469/100)*($J$3-$D469)/365),0)),0)</f>
        <v>0</v>
      </c>
      <c r="P469" s="325">
        <f>IF(E469&gt;0,INT(IF($N469="P",IF($D469&lt;$H$3,$H469*($M469/100)*(E469-$H$3)/365,$J469*($M469/100)*($J$3-$D469)/365),0)),0)</f>
        <v>0</v>
      </c>
      <c r="Q469" s="325">
        <f>+O469+P469</f>
        <v>0</v>
      </c>
      <c r="R469" s="325">
        <f t="shared" si="94"/>
        <v>518</v>
      </c>
      <c r="S469" s="325">
        <f t="shared" si="95"/>
        <v>0</v>
      </c>
      <c r="T469" s="325">
        <f>+R469+S469+Q469</f>
        <v>518</v>
      </c>
      <c r="U469" s="325">
        <f>+I469+J469-T469-F469+K469-L469</f>
        <v>15022.939999999999</v>
      </c>
      <c r="V469" s="325">
        <f t="shared" si="90"/>
        <v>0</v>
      </c>
      <c r="W469" s="449" cm="1">
        <f t="array" ref="W469">+IF(U469&lt;0,error,0)</f>
        <v>0</v>
      </c>
    </row>
    <row r="470" spans="1:23" ht="18" customHeight="1" x14ac:dyDescent="0.2">
      <c r="A470" s="402" t="s">
        <v>1067</v>
      </c>
      <c r="B470" s="403"/>
      <c r="C470" s="444" t="s">
        <v>1068</v>
      </c>
      <c r="D470" s="405">
        <v>43374</v>
      </c>
      <c r="E470" s="406"/>
      <c r="F470" s="325"/>
      <c r="G470" s="324"/>
      <c r="H470" s="324">
        <v>74600</v>
      </c>
      <c r="I470" s="325">
        <v>54695</v>
      </c>
      <c r="J470" s="325"/>
      <c r="K470" s="325">
        <f t="shared" ref="K470:K471" si="98">INT(IF($E470&gt;0,IF(+F470-I470+Q470&lt;0,0,+F470-I470+Q470),0))</f>
        <v>0</v>
      </c>
      <c r="L470" s="325">
        <f t="shared" ref="L470:L471" si="99">INT(IF($E470&gt;0,IF(K470=0,-F470+I470-Q470,0),0))</f>
        <v>0</v>
      </c>
      <c r="M470" s="407">
        <v>13.33</v>
      </c>
      <c r="N470" s="408" t="s">
        <v>289</v>
      </c>
      <c r="O470" s="325">
        <f t="shared" ref="O470:O471" si="100">IF(E470&gt;0,INT(IF($N470="D",IF($D470&lt;$H$3,$I470*($M470/100)*((E470-$H$3)/365),$J470*($M470/100)*($J$3-$D470)/365),0)),0)</f>
        <v>0</v>
      </c>
      <c r="P470" s="325">
        <f t="shared" ref="P470:P471" si="101">IF(E470&gt;0,INT(IF($N470="P",IF($D470&lt;$H$3,$H470*($M470/100)*(E470-$H$3)/365,$J470*($M470/100)*($J$3-$D470)/365),0)),0)</f>
        <v>0</v>
      </c>
      <c r="Q470" s="325">
        <f t="shared" ref="Q470:Q471" si="102">+O470+P470</f>
        <v>0</v>
      </c>
      <c r="R470" s="325">
        <f t="shared" si="94"/>
        <v>3645</v>
      </c>
      <c r="S470" s="325">
        <f t="shared" si="95"/>
        <v>0</v>
      </c>
      <c r="T470" s="325">
        <f t="shared" ref="T470:T471" si="103">+R470+S470+Q470</f>
        <v>3645</v>
      </c>
      <c r="U470" s="325">
        <f t="shared" ref="U470:U471" si="104">+I470+J470-T470-F470+K470-L470</f>
        <v>51050</v>
      </c>
      <c r="V470" s="325">
        <f t="shared" si="90"/>
        <v>0</v>
      </c>
      <c r="W470" s="449" cm="1">
        <f t="array" ref="W470">+IF(U470&lt;0,error,0)</f>
        <v>0</v>
      </c>
    </row>
    <row r="471" spans="1:23" ht="18" customHeight="1" x14ac:dyDescent="0.2">
      <c r="A471" s="402" t="s">
        <v>1069</v>
      </c>
      <c r="B471" s="403"/>
      <c r="C471" s="404" t="s">
        <v>1070</v>
      </c>
      <c r="D471" s="405">
        <v>43374</v>
      </c>
      <c r="E471" s="406"/>
      <c r="F471" s="325"/>
      <c r="G471" s="324"/>
      <c r="H471" s="324">
        <v>80600</v>
      </c>
      <c r="I471" s="325">
        <v>59094</v>
      </c>
      <c r="J471" s="325"/>
      <c r="K471" s="325">
        <f t="shared" si="98"/>
        <v>0</v>
      </c>
      <c r="L471" s="325">
        <f t="shared" si="99"/>
        <v>0</v>
      </c>
      <c r="M471" s="407">
        <v>13.33</v>
      </c>
      <c r="N471" s="408" t="s">
        <v>289</v>
      </c>
      <c r="O471" s="325">
        <f t="shared" si="100"/>
        <v>0</v>
      </c>
      <c r="P471" s="325">
        <f t="shared" si="101"/>
        <v>0</v>
      </c>
      <c r="Q471" s="325">
        <f t="shared" si="102"/>
        <v>0</v>
      </c>
      <c r="R471" s="325">
        <f t="shared" si="94"/>
        <v>3938</v>
      </c>
      <c r="S471" s="325">
        <f t="shared" si="95"/>
        <v>0</v>
      </c>
      <c r="T471" s="325">
        <f t="shared" si="103"/>
        <v>3938</v>
      </c>
      <c r="U471" s="325">
        <f t="shared" si="104"/>
        <v>55156</v>
      </c>
      <c r="V471" s="325">
        <f t="shared" si="90"/>
        <v>0</v>
      </c>
      <c r="W471" s="449" cm="1">
        <f t="array" ref="W471">+IF(U471&lt;0,error,0)</f>
        <v>0</v>
      </c>
    </row>
    <row r="472" spans="1:23" ht="18" customHeight="1" x14ac:dyDescent="0.2">
      <c r="A472" s="402" t="s">
        <v>2047</v>
      </c>
      <c r="B472" s="403"/>
      <c r="C472" s="404" t="s">
        <v>2057</v>
      </c>
      <c r="D472" s="405">
        <v>43572</v>
      </c>
      <c r="E472" s="406"/>
      <c r="F472" s="325"/>
      <c r="G472" s="324"/>
      <c r="H472" s="324">
        <v>18581.009999999998</v>
      </c>
      <c r="I472" s="325">
        <v>14702.009999999998</v>
      </c>
      <c r="J472" s="325"/>
      <c r="K472" s="325">
        <f>INT(IF($E472&gt;0,IF(+F472-I472+Q472&lt;0,0,+F472-I472+Q472),0))</f>
        <v>0</v>
      </c>
      <c r="L472" s="325">
        <f>INT(IF($E472&gt;0,IF(K472=0,-F472+I472-Q472,0),0))</f>
        <v>0</v>
      </c>
      <c r="M472" s="407">
        <v>13.33</v>
      </c>
      <c r="N472" s="408" t="s">
        <v>289</v>
      </c>
      <c r="O472" s="325">
        <f>IF(E472&gt;0,INT(IF($N472="D",IF($D472&lt;$H$3,$I472*($M472/100)*((E472-$H$3)/365),$J472*($M472/100)*($J$3-$D472)/365),0)),0)</f>
        <v>0</v>
      </c>
      <c r="P472" s="325">
        <f>IF(E472&gt;0,INT(IF($N472="P",IF($D472&lt;$H$3,$H472*($M472/100)*(E472-$H$3)/365,$J472*($M472/100)*($J$3-$D472)/365),0)),0)</f>
        <v>0</v>
      </c>
      <c r="Q472" s="325">
        <f>+O472+P472</f>
        <v>0</v>
      </c>
      <c r="R472" s="325">
        <f t="shared" si="94"/>
        <v>979</v>
      </c>
      <c r="S472" s="325">
        <f t="shared" si="95"/>
        <v>0</v>
      </c>
      <c r="T472" s="325">
        <f>+R472+S472+Q472</f>
        <v>979</v>
      </c>
      <c r="U472" s="325">
        <f>+I472+J472-T472-F472+K472-L472</f>
        <v>13723.009999999998</v>
      </c>
      <c r="V472" s="325">
        <f t="shared" si="90"/>
        <v>0</v>
      </c>
      <c r="W472" s="449" cm="1">
        <f t="array" ref="W472">+IF(U472&lt;0,error,0)</f>
        <v>0</v>
      </c>
    </row>
    <row r="473" spans="1:23" ht="18" customHeight="1" x14ac:dyDescent="0.2">
      <c r="A473" s="402" t="s">
        <v>1071</v>
      </c>
      <c r="B473" s="403"/>
      <c r="C473" s="412" t="s">
        <v>1072</v>
      </c>
      <c r="D473" s="405">
        <v>43299</v>
      </c>
      <c r="E473" s="406"/>
      <c r="F473" s="325"/>
      <c r="G473" s="324"/>
      <c r="H473" s="324">
        <v>616</v>
      </c>
      <c r="I473" s="325">
        <v>369</v>
      </c>
      <c r="J473" s="325"/>
      <c r="K473" s="325">
        <f>INT(IF($E473&gt;0,IF(+F473-I473+Q473&lt;0,0,+F473-I473+Q473),0))</f>
        <v>0</v>
      </c>
      <c r="L473" s="325">
        <f>INT(IF($E473&gt;0,IF(K473=0,-F473+I473-Q473,0),0))</f>
        <v>0</v>
      </c>
      <c r="M473" s="407">
        <v>20</v>
      </c>
      <c r="N473" s="408" t="s">
        <v>289</v>
      </c>
      <c r="O473" s="325">
        <f t="shared" ref="O473:O490" si="105">IF(E473&gt;0,INT(IF($N473="D",IF($D473&lt;$H$3,$I473*($M473/100)*((E473-$H$3)/365),$J473*($M473/100)*($J$3-$D473)/365),0)),0)</f>
        <v>0</v>
      </c>
      <c r="P473" s="325">
        <f t="shared" ref="P473:P490" si="106">IF(E473&gt;0,INT(IF($N473="P",IF($D473&lt;$H$3,$H473*($M473/100)*(E473-$H$3)/365,$J473*($M473/100)*($J$3-$D473)/365),0)),0)</f>
        <v>0</v>
      </c>
      <c r="Q473" s="325">
        <f t="shared" ref="Q473:Q490" si="107">+O473+P473</f>
        <v>0</v>
      </c>
      <c r="R473" s="325">
        <f t="shared" si="94"/>
        <v>36</v>
      </c>
      <c r="S473" s="325">
        <f t="shared" si="95"/>
        <v>0</v>
      </c>
      <c r="T473" s="325">
        <f t="shared" ref="T473:T497" si="108">+R473+S473+Q473</f>
        <v>36</v>
      </c>
      <c r="U473" s="325">
        <f t="shared" ref="U473:U497" si="109">+I473+J473-T473-F473+K473-L473</f>
        <v>333</v>
      </c>
      <c r="V473" s="325">
        <f t="shared" si="90"/>
        <v>0</v>
      </c>
      <c r="W473" s="449" cm="1">
        <f t="array" ref="W473">+IF(U473&lt;0,error,0)</f>
        <v>0</v>
      </c>
    </row>
    <row r="474" spans="1:23" ht="18" customHeight="1" x14ac:dyDescent="0.2">
      <c r="A474" s="402" t="s">
        <v>1073</v>
      </c>
      <c r="B474" s="403"/>
      <c r="C474" s="412" t="s">
        <v>1074</v>
      </c>
      <c r="D474" s="405">
        <v>43299</v>
      </c>
      <c r="E474" s="406"/>
      <c r="F474" s="325"/>
      <c r="G474" s="324"/>
      <c r="H474" s="324">
        <v>556</v>
      </c>
      <c r="I474" s="325">
        <v>333</v>
      </c>
      <c r="J474" s="325"/>
      <c r="K474" s="325">
        <f t="shared" ref="K474:K497" si="110">INT(IF($E474&gt;0,IF(+F474-I474+Q474&lt;0,0,+F474-I474+Q474),0))</f>
        <v>0</v>
      </c>
      <c r="L474" s="325">
        <f t="shared" ref="L474:L497" si="111">INT(IF($E474&gt;0,IF(K474=0,-F474+I474-Q474,0),0))</f>
        <v>0</v>
      </c>
      <c r="M474" s="407">
        <v>20</v>
      </c>
      <c r="N474" s="408" t="s">
        <v>289</v>
      </c>
      <c r="O474" s="325">
        <f t="shared" si="105"/>
        <v>0</v>
      </c>
      <c r="P474" s="325">
        <f t="shared" si="106"/>
        <v>0</v>
      </c>
      <c r="Q474" s="325">
        <f t="shared" si="107"/>
        <v>0</v>
      </c>
      <c r="R474" s="325">
        <f t="shared" si="94"/>
        <v>33</v>
      </c>
      <c r="S474" s="325">
        <f t="shared" si="95"/>
        <v>0</v>
      </c>
      <c r="T474" s="325">
        <f t="shared" si="108"/>
        <v>33</v>
      </c>
      <c r="U474" s="325">
        <f t="shared" si="109"/>
        <v>300</v>
      </c>
      <c r="V474" s="325">
        <f t="shared" si="90"/>
        <v>0</v>
      </c>
      <c r="W474" s="449" cm="1">
        <f t="array" ref="W474">+IF(U474&lt;0,error,0)</f>
        <v>0</v>
      </c>
    </row>
    <row r="475" spans="1:23" ht="18" customHeight="1" x14ac:dyDescent="0.2">
      <c r="A475" s="402" t="s">
        <v>1075</v>
      </c>
      <c r="B475" s="403"/>
      <c r="C475" s="404" t="s">
        <v>1076</v>
      </c>
      <c r="D475" s="405">
        <v>43312</v>
      </c>
      <c r="E475" s="406"/>
      <c r="F475" s="325"/>
      <c r="G475" s="324"/>
      <c r="H475" s="324">
        <v>434</v>
      </c>
      <c r="I475" s="325">
        <v>262</v>
      </c>
      <c r="J475" s="325"/>
      <c r="K475" s="325">
        <f t="shared" si="110"/>
        <v>0</v>
      </c>
      <c r="L475" s="325">
        <f t="shared" si="111"/>
        <v>0</v>
      </c>
      <c r="M475" s="407">
        <v>20</v>
      </c>
      <c r="N475" s="408" t="s">
        <v>289</v>
      </c>
      <c r="O475" s="325">
        <f t="shared" si="105"/>
        <v>0</v>
      </c>
      <c r="P475" s="325">
        <f t="shared" si="106"/>
        <v>0</v>
      </c>
      <c r="Q475" s="325">
        <f t="shared" si="107"/>
        <v>0</v>
      </c>
      <c r="R475" s="325">
        <f t="shared" si="94"/>
        <v>26</v>
      </c>
      <c r="S475" s="325">
        <f t="shared" si="95"/>
        <v>0</v>
      </c>
      <c r="T475" s="325">
        <f t="shared" si="108"/>
        <v>26</v>
      </c>
      <c r="U475" s="325">
        <f t="shared" si="109"/>
        <v>236</v>
      </c>
      <c r="V475" s="325">
        <f t="shared" si="90"/>
        <v>0</v>
      </c>
      <c r="W475" s="449" cm="1">
        <f t="array" ref="W475">+IF(U475&lt;0,error,0)</f>
        <v>0</v>
      </c>
    </row>
    <row r="476" spans="1:23" ht="18" customHeight="1" x14ac:dyDescent="0.2">
      <c r="A476" s="402" t="s">
        <v>1077</v>
      </c>
      <c r="B476" s="403"/>
      <c r="C476" s="404" t="s">
        <v>1078</v>
      </c>
      <c r="D476" s="405">
        <v>43313</v>
      </c>
      <c r="E476" s="406"/>
      <c r="F476" s="325"/>
      <c r="G476" s="324"/>
      <c r="H476" s="324">
        <v>367.09000000000003</v>
      </c>
      <c r="I476" s="325">
        <v>265.09000000000003</v>
      </c>
      <c r="J476" s="325"/>
      <c r="K476" s="325">
        <f t="shared" si="110"/>
        <v>0</v>
      </c>
      <c r="L476" s="325">
        <f t="shared" si="111"/>
        <v>0</v>
      </c>
      <c r="M476" s="407">
        <v>13.33</v>
      </c>
      <c r="N476" s="408" t="s">
        <v>289</v>
      </c>
      <c r="O476" s="325">
        <f t="shared" si="105"/>
        <v>0</v>
      </c>
      <c r="P476" s="325">
        <f t="shared" si="106"/>
        <v>0</v>
      </c>
      <c r="Q476" s="325">
        <f t="shared" si="107"/>
        <v>0</v>
      </c>
      <c r="R476" s="325">
        <f t="shared" si="94"/>
        <v>17</v>
      </c>
      <c r="S476" s="325">
        <f t="shared" si="95"/>
        <v>0</v>
      </c>
      <c r="T476" s="325">
        <f t="shared" si="108"/>
        <v>17</v>
      </c>
      <c r="U476" s="325">
        <f t="shared" si="109"/>
        <v>248.09000000000003</v>
      </c>
      <c r="V476" s="325">
        <f t="shared" si="90"/>
        <v>0</v>
      </c>
      <c r="W476" s="449" cm="1">
        <f t="array" ref="W476">+IF(U476&lt;0,error,0)</f>
        <v>0</v>
      </c>
    </row>
    <row r="477" spans="1:23" ht="18" customHeight="1" x14ac:dyDescent="0.2">
      <c r="A477" s="402" t="s">
        <v>1079</v>
      </c>
      <c r="B477" s="403"/>
      <c r="C477" s="404" t="s">
        <v>1080</v>
      </c>
      <c r="D477" s="405">
        <v>43326</v>
      </c>
      <c r="E477" s="406"/>
      <c r="F477" s="325"/>
      <c r="G477" s="324"/>
      <c r="H477" s="324">
        <v>20080.14</v>
      </c>
      <c r="I477" s="325">
        <v>14459.14</v>
      </c>
      <c r="J477" s="325"/>
      <c r="K477" s="325">
        <f t="shared" si="110"/>
        <v>0</v>
      </c>
      <c r="L477" s="325">
        <f t="shared" si="111"/>
        <v>0</v>
      </c>
      <c r="M477" s="407">
        <v>13.33</v>
      </c>
      <c r="N477" s="408" t="s">
        <v>289</v>
      </c>
      <c r="O477" s="325">
        <f t="shared" si="105"/>
        <v>0</v>
      </c>
      <c r="P477" s="325">
        <f t="shared" si="106"/>
        <v>0</v>
      </c>
      <c r="Q477" s="325">
        <f t="shared" si="107"/>
        <v>0</v>
      </c>
      <c r="R477" s="325">
        <f t="shared" si="94"/>
        <v>963</v>
      </c>
      <c r="S477" s="325">
        <f t="shared" si="95"/>
        <v>0</v>
      </c>
      <c r="T477" s="325">
        <f t="shared" si="108"/>
        <v>963</v>
      </c>
      <c r="U477" s="325">
        <f t="shared" si="109"/>
        <v>13496.14</v>
      </c>
      <c r="V477" s="325">
        <f t="shared" si="90"/>
        <v>0</v>
      </c>
      <c r="W477" s="449" cm="1">
        <f t="array" ref="W477">+IF(U477&lt;0,error,0)</f>
        <v>0</v>
      </c>
    </row>
    <row r="478" spans="1:23" ht="18" customHeight="1" x14ac:dyDescent="0.2">
      <c r="A478" s="402" t="s">
        <v>1081</v>
      </c>
      <c r="B478" s="403"/>
      <c r="C478" s="404" t="s">
        <v>1082</v>
      </c>
      <c r="D478" s="405">
        <v>43339</v>
      </c>
      <c r="E478" s="406"/>
      <c r="F478" s="325"/>
      <c r="G478" s="324"/>
      <c r="H478" s="324">
        <v>975.30000000000007</v>
      </c>
      <c r="I478" s="325">
        <v>707.30000000000007</v>
      </c>
      <c r="J478" s="325"/>
      <c r="K478" s="325">
        <f t="shared" si="110"/>
        <v>0</v>
      </c>
      <c r="L478" s="325">
        <f t="shared" si="111"/>
        <v>0</v>
      </c>
      <c r="M478" s="407">
        <v>13.33</v>
      </c>
      <c r="N478" s="408" t="s">
        <v>289</v>
      </c>
      <c r="O478" s="325">
        <f t="shared" si="105"/>
        <v>0</v>
      </c>
      <c r="P478" s="325">
        <f t="shared" si="106"/>
        <v>0</v>
      </c>
      <c r="Q478" s="325">
        <f t="shared" si="107"/>
        <v>0</v>
      </c>
      <c r="R478" s="325">
        <f t="shared" si="94"/>
        <v>47</v>
      </c>
      <c r="S478" s="325">
        <f t="shared" si="95"/>
        <v>0</v>
      </c>
      <c r="T478" s="325">
        <f t="shared" si="108"/>
        <v>47</v>
      </c>
      <c r="U478" s="325">
        <f t="shared" si="109"/>
        <v>660.30000000000007</v>
      </c>
      <c r="V478" s="325">
        <f t="shared" si="90"/>
        <v>0</v>
      </c>
      <c r="W478" s="449" cm="1">
        <f t="array" ref="W478">+IF(U478&lt;0,error,0)</f>
        <v>0</v>
      </c>
    </row>
    <row r="479" spans="1:23" ht="18" customHeight="1" x14ac:dyDescent="0.2">
      <c r="A479" s="402" t="s">
        <v>1083</v>
      </c>
      <c r="B479" s="403"/>
      <c r="C479" s="404" t="s">
        <v>1084</v>
      </c>
      <c r="D479" s="405">
        <v>43342</v>
      </c>
      <c r="E479" s="406"/>
      <c r="F479" s="325"/>
      <c r="G479" s="324"/>
      <c r="H479" s="324">
        <v>3844</v>
      </c>
      <c r="I479" s="325">
        <v>2786</v>
      </c>
      <c r="J479" s="325"/>
      <c r="K479" s="325">
        <f t="shared" si="110"/>
        <v>0</v>
      </c>
      <c r="L479" s="325">
        <f t="shared" si="111"/>
        <v>0</v>
      </c>
      <c r="M479" s="407">
        <v>13.33</v>
      </c>
      <c r="N479" s="408" t="s">
        <v>289</v>
      </c>
      <c r="O479" s="325">
        <f t="shared" si="105"/>
        <v>0</v>
      </c>
      <c r="P479" s="325">
        <f t="shared" si="106"/>
        <v>0</v>
      </c>
      <c r="Q479" s="325">
        <f t="shared" si="107"/>
        <v>0</v>
      </c>
      <c r="R479" s="325">
        <f t="shared" si="94"/>
        <v>185</v>
      </c>
      <c r="S479" s="325">
        <f t="shared" si="95"/>
        <v>0</v>
      </c>
      <c r="T479" s="325">
        <f t="shared" si="108"/>
        <v>185</v>
      </c>
      <c r="U479" s="325">
        <f t="shared" si="109"/>
        <v>2601</v>
      </c>
      <c r="V479" s="325">
        <f t="shared" si="90"/>
        <v>0</v>
      </c>
      <c r="W479" s="449" cm="1">
        <f t="array" ref="W479">+IF(U479&lt;0,error,0)</f>
        <v>0</v>
      </c>
    </row>
    <row r="480" spans="1:23" ht="18" customHeight="1" x14ac:dyDescent="0.2">
      <c r="A480" s="402" t="s">
        <v>1085</v>
      </c>
      <c r="B480" s="403"/>
      <c r="C480" s="412" t="s">
        <v>1086</v>
      </c>
      <c r="D480" s="405">
        <v>43331</v>
      </c>
      <c r="E480" s="406"/>
      <c r="F480" s="325"/>
      <c r="G480" s="324"/>
      <c r="H480" s="324">
        <v>960</v>
      </c>
      <c r="I480" s="325">
        <v>695</v>
      </c>
      <c r="J480" s="325"/>
      <c r="K480" s="325">
        <f t="shared" si="110"/>
        <v>0</v>
      </c>
      <c r="L480" s="325">
        <f t="shared" si="111"/>
        <v>0</v>
      </c>
      <c r="M480" s="407">
        <v>13.33</v>
      </c>
      <c r="N480" s="408" t="s">
        <v>289</v>
      </c>
      <c r="O480" s="325">
        <f t="shared" si="105"/>
        <v>0</v>
      </c>
      <c r="P480" s="325">
        <f t="shared" si="106"/>
        <v>0</v>
      </c>
      <c r="Q480" s="325">
        <f t="shared" si="107"/>
        <v>0</v>
      </c>
      <c r="R480" s="325">
        <f t="shared" si="94"/>
        <v>46</v>
      </c>
      <c r="S480" s="325">
        <f t="shared" si="95"/>
        <v>0</v>
      </c>
      <c r="T480" s="325">
        <f t="shared" si="108"/>
        <v>46</v>
      </c>
      <c r="U480" s="325">
        <f t="shared" si="109"/>
        <v>649</v>
      </c>
      <c r="V480" s="325">
        <f t="shared" si="90"/>
        <v>0</v>
      </c>
      <c r="W480" s="449" cm="1">
        <f t="array" ref="W480">+IF(U480&lt;0,error,0)</f>
        <v>0</v>
      </c>
    </row>
    <row r="481" spans="1:23" ht="18" customHeight="1" x14ac:dyDescent="0.2">
      <c r="A481" s="402" t="s">
        <v>1087</v>
      </c>
      <c r="B481" s="403"/>
      <c r="C481" s="404" t="s">
        <v>1088</v>
      </c>
      <c r="D481" s="405">
        <v>43312</v>
      </c>
      <c r="E481" s="406"/>
      <c r="F481" s="325"/>
      <c r="G481" s="324"/>
      <c r="H481" s="324">
        <v>1364</v>
      </c>
      <c r="I481" s="325">
        <v>1065</v>
      </c>
      <c r="J481" s="325"/>
      <c r="K481" s="325">
        <f t="shared" si="110"/>
        <v>0</v>
      </c>
      <c r="L481" s="325">
        <f t="shared" si="111"/>
        <v>0</v>
      </c>
      <c r="M481" s="407">
        <v>10</v>
      </c>
      <c r="N481" s="408" t="s">
        <v>289</v>
      </c>
      <c r="O481" s="325">
        <f t="shared" si="105"/>
        <v>0</v>
      </c>
      <c r="P481" s="325">
        <f t="shared" si="106"/>
        <v>0</v>
      </c>
      <c r="Q481" s="325">
        <f t="shared" si="107"/>
        <v>0</v>
      </c>
      <c r="R481" s="325">
        <f t="shared" si="94"/>
        <v>53</v>
      </c>
      <c r="S481" s="325">
        <f t="shared" si="95"/>
        <v>0</v>
      </c>
      <c r="T481" s="325">
        <f t="shared" si="108"/>
        <v>53</v>
      </c>
      <c r="U481" s="325">
        <f t="shared" si="109"/>
        <v>1012</v>
      </c>
      <c r="V481" s="325">
        <f t="shared" si="90"/>
        <v>0</v>
      </c>
      <c r="W481" s="449" cm="1">
        <f t="array" ref="W481">+IF(U481&lt;0,error,0)</f>
        <v>0</v>
      </c>
    </row>
    <row r="482" spans="1:23" ht="18" customHeight="1" x14ac:dyDescent="0.2">
      <c r="A482" s="402" t="s">
        <v>1089</v>
      </c>
      <c r="B482" s="403"/>
      <c r="C482" s="404" t="s">
        <v>1090</v>
      </c>
      <c r="D482" s="405">
        <v>43343</v>
      </c>
      <c r="E482" s="406"/>
      <c r="F482" s="325"/>
      <c r="G482" s="324"/>
      <c r="H482" s="324">
        <v>4658</v>
      </c>
      <c r="I482" s="325">
        <v>3668</v>
      </c>
      <c r="J482" s="325"/>
      <c r="K482" s="325">
        <f t="shared" si="110"/>
        <v>0</v>
      </c>
      <c r="L482" s="325">
        <f t="shared" si="111"/>
        <v>0</v>
      </c>
      <c r="M482" s="407">
        <v>10</v>
      </c>
      <c r="N482" s="408" t="s">
        <v>289</v>
      </c>
      <c r="O482" s="325">
        <f t="shared" si="105"/>
        <v>0</v>
      </c>
      <c r="P482" s="325">
        <f t="shared" si="106"/>
        <v>0</v>
      </c>
      <c r="Q482" s="325">
        <f t="shared" si="107"/>
        <v>0</v>
      </c>
      <c r="R482" s="325">
        <f t="shared" si="94"/>
        <v>183</v>
      </c>
      <c r="S482" s="325">
        <f t="shared" si="95"/>
        <v>0</v>
      </c>
      <c r="T482" s="325">
        <f t="shared" si="108"/>
        <v>183</v>
      </c>
      <c r="U482" s="325">
        <f t="shared" si="109"/>
        <v>3485</v>
      </c>
      <c r="V482" s="325">
        <f t="shared" si="90"/>
        <v>0</v>
      </c>
      <c r="W482" s="449" cm="1">
        <f t="array" ref="W482">+IF(U482&lt;0,error,0)</f>
        <v>0</v>
      </c>
    </row>
    <row r="483" spans="1:23" ht="18" customHeight="1" x14ac:dyDescent="0.2">
      <c r="A483" s="402" t="s">
        <v>1093</v>
      </c>
      <c r="B483" s="403"/>
      <c r="C483" s="404" t="s">
        <v>1094</v>
      </c>
      <c r="D483" s="405">
        <v>43290</v>
      </c>
      <c r="E483" s="406"/>
      <c r="F483" s="325"/>
      <c r="G483" s="324"/>
      <c r="H483" s="324">
        <v>10454.550000000001</v>
      </c>
      <c r="I483" s="325">
        <v>6198.5500000000011</v>
      </c>
      <c r="J483" s="325"/>
      <c r="K483" s="325">
        <f t="shared" si="110"/>
        <v>0</v>
      </c>
      <c r="L483" s="325">
        <f t="shared" si="111"/>
        <v>0</v>
      </c>
      <c r="M483" s="407">
        <v>20</v>
      </c>
      <c r="N483" s="408" t="s">
        <v>289</v>
      </c>
      <c r="O483" s="325">
        <f t="shared" si="105"/>
        <v>0</v>
      </c>
      <c r="P483" s="325">
        <f t="shared" si="106"/>
        <v>0</v>
      </c>
      <c r="Q483" s="325">
        <f t="shared" si="107"/>
        <v>0</v>
      </c>
      <c r="R483" s="325">
        <f t="shared" si="94"/>
        <v>619</v>
      </c>
      <c r="S483" s="325">
        <f t="shared" si="95"/>
        <v>0</v>
      </c>
      <c r="T483" s="325">
        <f t="shared" si="108"/>
        <v>619</v>
      </c>
      <c r="U483" s="325">
        <f t="shared" si="109"/>
        <v>5579.5500000000011</v>
      </c>
      <c r="V483" s="325">
        <f t="shared" si="90"/>
        <v>0</v>
      </c>
      <c r="W483" s="449" cm="1">
        <f t="array" ref="W483">+IF(U483&lt;0,error,0)</f>
        <v>0</v>
      </c>
    </row>
    <row r="484" spans="1:23" ht="18" customHeight="1" x14ac:dyDescent="0.2">
      <c r="A484" s="402" t="s">
        <v>1095</v>
      </c>
      <c r="B484" s="403"/>
      <c r="C484" s="404" t="s">
        <v>1096</v>
      </c>
      <c r="D484" s="405">
        <v>43298</v>
      </c>
      <c r="E484" s="406"/>
      <c r="F484" s="325"/>
      <c r="G484" s="324"/>
      <c r="H484" s="324">
        <v>1512.73</v>
      </c>
      <c r="I484" s="325">
        <v>901.73</v>
      </c>
      <c r="J484" s="325"/>
      <c r="K484" s="325">
        <f t="shared" si="110"/>
        <v>0</v>
      </c>
      <c r="L484" s="325">
        <f t="shared" si="111"/>
        <v>0</v>
      </c>
      <c r="M484" s="407">
        <v>20</v>
      </c>
      <c r="N484" s="408" t="s">
        <v>289</v>
      </c>
      <c r="O484" s="325">
        <f t="shared" si="105"/>
        <v>0</v>
      </c>
      <c r="P484" s="325">
        <f t="shared" si="106"/>
        <v>0</v>
      </c>
      <c r="Q484" s="325">
        <f t="shared" si="107"/>
        <v>0</v>
      </c>
      <c r="R484" s="325">
        <f t="shared" si="94"/>
        <v>90</v>
      </c>
      <c r="S484" s="325">
        <f t="shared" si="95"/>
        <v>0</v>
      </c>
      <c r="T484" s="325">
        <f t="shared" si="108"/>
        <v>90</v>
      </c>
      <c r="U484" s="325">
        <f t="shared" si="109"/>
        <v>811.73</v>
      </c>
      <c r="V484" s="325">
        <f t="shared" si="90"/>
        <v>0</v>
      </c>
      <c r="W484" s="449" cm="1">
        <f t="array" ref="W484">+IF(U484&lt;0,error,0)</f>
        <v>0</v>
      </c>
    </row>
    <row r="485" spans="1:23" ht="18" customHeight="1" x14ac:dyDescent="0.2">
      <c r="A485" s="402" t="s">
        <v>1097</v>
      </c>
      <c r="B485" s="403"/>
      <c r="C485" s="404" t="s">
        <v>1098</v>
      </c>
      <c r="D485" s="405">
        <v>43298</v>
      </c>
      <c r="E485" s="406"/>
      <c r="F485" s="325"/>
      <c r="G485" s="324"/>
      <c r="H485" s="324">
        <v>3528.1800000000003</v>
      </c>
      <c r="I485" s="325">
        <v>2103.1800000000003</v>
      </c>
      <c r="J485" s="325"/>
      <c r="K485" s="325">
        <f t="shared" si="110"/>
        <v>0</v>
      </c>
      <c r="L485" s="325">
        <f t="shared" si="111"/>
        <v>0</v>
      </c>
      <c r="M485" s="407">
        <v>20</v>
      </c>
      <c r="N485" s="408" t="s">
        <v>289</v>
      </c>
      <c r="O485" s="325">
        <f t="shared" si="105"/>
        <v>0</v>
      </c>
      <c r="P485" s="325">
        <f t="shared" si="106"/>
        <v>0</v>
      </c>
      <c r="Q485" s="325">
        <f t="shared" si="107"/>
        <v>0</v>
      </c>
      <c r="R485" s="325">
        <f t="shared" si="94"/>
        <v>210</v>
      </c>
      <c r="S485" s="325">
        <f t="shared" si="95"/>
        <v>0</v>
      </c>
      <c r="T485" s="325">
        <f t="shared" si="108"/>
        <v>210</v>
      </c>
      <c r="U485" s="325">
        <f t="shared" si="109"/>
        <v>1893.1800000000003</v>
      </c>
      <c r="V485" s="325">
        <f t="shared" si="90"/>
        <v>0</v>
      </c>
      <c r="W485" s="449" cm="1">
        <f t="array" ref="W485">+IF(U485&lt;0,error,0)</f>
        <v>0</v>
      </c>
    </row>
    <row r="486" spans="1:23" ht="18" customHeight="1" x14ac:dyDescent="0.2">
      <c r="A486" s="402" t="s">
        <v>1099</v>
      </c>
      <c r="B486" s="403"/>
      <c r="C486" s="404" t="s">
        <v>1100</v>
      </c>
      <c r="D486" s="405">
        <v>43319</v>
      </c>
      <c r="E486" s="406"/>
      <c r="F486" s="325"/>
      <c r="G486" s="324"/>
      <c r="H486" s="324">
        <v>1747.32</v>
      </c>
      <c r="I486" s="325">
        <v>1055.32</v>
      </c>
      <c r="J486" s="325"/>
      <c r="K486" s="325">
        <f t="shared" si="110"/>
        <v>0</v>
      </c>
      <c r="L486" s="325">
        <f t="shared" si="111"/>
        <v>0</v>
      </c>
      <c r="M486" s="407">
        <v>20</v>
      </c>
      <c r="N486" s="408" t="s">
        <v>289</v>
      </c>
      <c r="O486" s="325">
        <f t="shared" si="105"/>
        <v>0</v>
      </c>
      <c r="P486" s="325">
        <f t="shared" si="106"/>
        <v>0</v>
      </c>
      <c r="Q486" s="325">
        <f t="shared" si="107"/>
        <v>0</v>
      </c>
      <c r="R486" s="325">
        <f t="shared" si="94"/>
        <v>105</v>
      </c>
      <c r="S486" s="325">
        <f t="shared" si="95"/>
        <v>0</v>
      </c>
      <c r="T486" s="325">
        <f t="shared" si="108"/>
        <v>105</v>
      </c>
      <c r="U486" s="325">
        <f t="shared" si="109"/>
        <v>950.31999999999994</v>
      </c>
      <c r="V486" s="325">
        <f t="shared" si="90"/>
        <v>0</v>
      </c>
      <c r="W486" s="449" cm="1">
        <f t="array" ref="W486">+IF(U486&lt;0,error,0)</f>
        <v>0</v>
      </c>
    </row>
    <row r="487" spans="1:23" ht="18" customHeight="1" x14ac:dyDescent="0.2">
      <c r="A487" s="402" t="s">
        <v>1101</v>
      </c>
      <c r="B487" s="403"/>
      <c r="C487" s="404" t="s">
        <v>1102</v>
      </c>
      <c r="D487" s="405">
        <v>43383</v>
      </c>
      <c r="E487" s="406"/>
      <c r="F487" s="325"/>
      <c r="G487" s="324"/>
      <c r="H487" s="324">
        <v>1715.45</v>
      </c>
      <c r="I487" s="325">
        <v>1074.45</v>
      </c>
      <c r="J487" s="325"/>
      <c r="K487" s="325">
        <f t="shared" si="110"/>
        <v>0</v>
      </c>
      <c r="L487" s="325">
        <f t="shared" si="111"/>
        <v>0</v>
      </c>
      <c r="M487" s="407">
        <v>20</v>
      </c>
      <c r="N487" s="408" t="s">
        <v>289</v>
      </c>
      <c r="O487" s="325">
        <f t="shared" si="105"/>
        <v>0</v>
      </c>
      <c r="P487" s="325">
        <f t="shared" si="106"/>
        <v>0</v>
      </c>
      <c r="Q487" s="325">
        <f t="shared" si="107"/>
        <v>0</v>
      </c>
      <c r="R487" s="325">
        <f t="shared" si="94"/>
        <v>107</v>
      </c>
      <c r="S487" s="325">
        <f t="shared" si="95"/>
        <v>0</v>
      </c>
      <c r="T487" s="325">
        <f t="shared" si="108"/>
        <v>107</v>
      </c>
      <c r="U487" s="325">
        <f t="shared" si="109"/>
        <v>967.45</v>
      </c>
      <c r="V487" s="325">
        <f t="shared" si="90"/>
        <v>0</v>
      </c>
      <c r="W487" s="449" cm="1">
        <f t="array" ref="W487">+IF(U487&lt;0,error,0)</f>
        <v>0</v>
      </c>
    </row>
    <row r="488" spans="1:23" ht="18" customHeight="1" x14ac:dyDescent="0.2">
      <c r="A488" s="402" t="s">
        <v>1103</v>
      </c>
      <c r="B488" s="403"/>
      <c r="C488" s="411" t="s">
        <v>1104</v>
      </c>
      <c r="D488" s="405">
        <v>43395</v>
      </c>
      <c r="E488" s="406"/>
      <c r="F488" s="325"/>
      <c r="G488" s="439"/>
      <c r="H488" s="324">
        <v>30000</v>
      </c>
      <c r="I488" s="325">
        <v>23957</v>
      </c>
      <c r="J488" s="325"/>
      <c r="K488" s="325">
        <f t="shared" si="110"/>
        <v>0</v>
      </c>
      <c r="L488" s="325">
        <f t="shared" si="111"/>
        <v>0</v>
      </c>
      <c r="M488" s="407">
        <v>10</v>
      </c>
      <c r="N488" s="408" t="s">
        <v>289</v>
      </c>
      <c r="O488" s="325">
        <f t="shared" si="105"/>
        <v>0</v>
      </c>
      <c r="P488" s="325">
        <f t="shared" si="106"/>
        <v>0</v>
      </c>
      <c r="Q488" s="325">
        <f t="shared" si="107"/>
        <v>0</v>
      </c>
      <c r="R488" s="325">
        <f t="shared" si="94"/>
        <v>1197</v>
      </c>
      <c r="S488" s="325">
        <f t="shared" si="95"/>
        <v>0</v>
      </c>
      <c r="T488" s="325">
        <f t="shared" si="108"/>
        <v>1197</v>
      </c>
      <c r="U488" s="325">
        <f t="shared" si="109"/>
        <v>22760</v>
      </c>
      <c r="V488" s="325">
        <f t="shared" si="90"/>
        <v>0</v>
      </c>
      <c r="W488" s="449" cm="1">
        <f t="array" ref="W488">+IF(U488&lt;0,error,0)</f>
        <v>0</v>
      </c>
    </row>
    <row r="489" spans="1:23" ht="18" customHeight="1" x14ac:dyDescent="0.2">
      <c r="A489" s="402" t="s">
        <v>1105</v>
      </c>
      <c r="B489" s="403"/>
      <c r="C489" s="404" t="s">
        <v>1106</v>
      </c>
      <c r="D489" s="405">
        <v>43374</v>
      </c>
      <c r="E489" s="406"/>
      <c r="F489" s="325"/>
      <c r="G489" s="324"/>
      <c r="H489" s="324">
        <v>1060</v>
      </c>
      <c r="I489" s="325">
        <v>662</v>
      </c>
      <c r="J489" s="325"/>
      <c r="K489" s="325">
        <f t="shared" si="110"/>
        <v>0</v>
      </c>
      <c r="L489" s="325">
        <f t="shared" si="111"/>
        <v>0</v>
      </c>
      <c r="M489" s="407">
        <v>20</v>
      </c>
      <c r="N489" s="408" t="s">
        <v>289</v>
      </c>
      <c r="O489" s="325">
        <f t="shared" si="105"/>
        <v>0</v>
      </c>
      <c r="P489" s="325">
        <f t="shared" si="106"/>
        <v>0</v>
      </c>
      <c r="Q489" s="325">
        <f t="shared" si="107"/>
        <v>0</v>
      </c>
      <c r="R489" s="325">
        <f t="shared" si="94"/>
        <v>66</v>
      </c>
      <c r="S489" s="325">
        <f t="shared" si="95"/>
        <v>0</v>
      </c>
      <c r="T489" s="325">
        <f t="shared" si="108"/>
        <v>66</v>
      </c>
      <c r="U489" s="325">
        <f t="shared" si="109"/>
        <v>596</v>
      </c>
      <c r="V489" s="325">
        <f t="shared" si="90"/>
        <v>0</v>
      </c>
      <c r="W489" s="449" cm="1">
        <f t="array" ref="W489">+IF(U489&lt;0,error,0)</f>
        <v>0</v>
      </c>
    </row>
    <row r="490" spans="1:23" ht="18" customHeight="1" x14ac:dyDescent="0.2">
      <c r="A490" s="402" t="s">
        <v>1107</v>
      </c>
      <c r="B490" s="403"/>
      <c r="C490" s="404" t="s">
        <v>1108</v>
      </c>
      <c r="D490" s="405">
        <v>43406</v>
      </c>
      <c r="E490" s="406"/>
      <c r="F490" s="325"/>
      <c r="G490" s="324"/>
      <c r="H490" s="324">
        <v>2036.3600000000001</v>
      </c>
      <c r="I490" s="325">
        <v>1292.3600000000001</v>
      </c>
      <c r="J490" s="325"/>
      <c r="K490" s="325">
        <f t="shared" si="110"/>
        <v>0</v>
      </c>
      <c r="L490" s="325">
        <f t="shared" si="111"/>
        <v>0</v>
      </c>
      <c r="M490" s="407">
        <v>20</v>
      </c>
      <c r="N490" s="408" t="s">
        <v>289</v>
      </c>
      <c r="O490" s="325">
        <f t="shared" si="105"/>
        <v>0</v>
      </c>
      <c r="P490" s="325">
        <f t="shared" si="106"/>
        <v>0</v>
      </c>
      <c r="Q490" s="325">
        <f t="shared" si="107"/>
        <v>0</v>
      </c>
      <c r="R490" s="325">
        <f t="shared" si="94"/>
        <v>129</v>
      </c>
      <c r="S490" s="325">
        <f t="shared" si="95"/>
        <v>0</v>
      </c>
      <c r="T490" s="325">
        <f t="shared" si="108"/>
        <v>129</v>
      </c>
      <c r="U490" s="325">
        <f t="shared" si="109"/>
        <v>1163.3600000000001</v>
      </c>
      <c r="V490" s="325">
        <f t="shared" si="90"/>
        <v>0</v>
      </c>
      <c r="W490" s="449" cm="1">
        <f t="array" ref="W490">+IF(U490&lt;0,error,0)</f>
        <v>0</v>
      </c>
    </row>
    <row r="491" spans="1:23" ht="18" customHeight="1" x14ac:dyDescent="0.2">
      <c r="A491" s="402" t="s">
        <v>1109</v>
      </c>
      <c r="B491" s="403"/>
      <c r="C491" s="404" t="s">
        <v>1110</v>
      </c>
      <c r="D491" s="405">
        <v>43410</v>
      </c>
      <c r="E491" s="406"/>
      <c r="F491" s="325"/>
      <c r="G491" s="324"/>
      <c r="H491" s="324">
        <v>545.45000000000005</v>
      </c>
      <c r="I491" s="325">
        <v>349.45000000000005</v>
      </c>
      <c r="J491" s="325"/>
      <c r="K491" s="325">
        <f t="shared" si="110"/>
        <v>0</v>
      </c>
      <c r="L491" s="325">
        <f t="shared" si="111"/>
        <v>0</v>
      </c>
      <c r="M491" s="407">
        <v>20</v>
      </c>
      <c r="N491" s="408" t="s">
        <v>289</v>
      </c>
      <c r="O491" s="325">
        <f>IF(E491&gt;0,INT(IF($N491="D",IF($D491&lt;$H$3,$I491*($M491/100)*((E491-$H$3)/365),$J491*($M491/100)*($J$3-$D491)/365),0)),0)</f>
        <v>0</v>
      </c>
      <c r="P491" s="325">
        <f>IF(E491&gt;0,INT(IF($N491="P",IF($D491&lt;$H$3,$H491*($M491/100)*(E491-$H$3)/365,$J491*($M491/100)*($J$3-$D491)/365),0)),0)</f>
        <v>0</v>
      </c>
      <c r="Q491" s="325">
        <f>+O491+P491</f>
        <v>0</v>
      </c>
      <c r="R491" s="325">
        <f>INT(IF($E491&gt;0,0,(IF($N491="D",IF($D491&lt;$H$3,$I491*($M491/100)*$U$3/12,$J491*($M491/100)*($J$3-$D491)/365),0))))</f>
        <v>34</v>
      </c>
      <c r="S491" s="325">
        <f>INT(IF($E491&gt;0,0,(IF($N491="P",IF($D491&lt;$H$3,$H491*($M491/100)*$U$3/12,$J491*($M491/100)*($J$3-$D491)/365),0))))</f>
        <v>0</v>
      </c>
      <c r="T491" s="325">
        <f t="shared" si="108"/>
        <v>34</v>
      </c>
      <c r="U491" s="325">
        <f t="shared" si="109"/>
        <v>315.45000000000005</v>
      </c>
      <c r="V491" s="325">
        <f t="shared" si="90"/>
        <v>0</v>
      </c>
      <c r="W491" s="449" cm="1">
        <f t="array" ref="W491">+IF(U491&lt;0,error,0)</f>
        <v>0</v>
      </c>
    </row>
    <row r="492" spans="1:23" ht="18" customHeight="1" x14ac:dyDescent="0.2">
      <c r="A492" s="402" t="s">
        <v>1111</v>
      </c>
      <c r="B492" s="403"/>
      <c r="C492" s="404" t="s">
        <v>1112</v>
      </c>
      <c r="D492" s="405">
        <v>43410</v>
      </c>
      <c r="E492" s="406"/>
      <c r="F492" s="325"/>
      <c r="G492" s="324"/>
      <c r="H492" s="324">
        <v>690.73</v>
      </c>
      <c r="I492" s="325">
        <v>440.73</v>
      </c>
      <c r="J492" s="325"/>
      <c r="K492" s="325">
        <f t="shared" si="110"/>
        <v>0</v>
      </c>
      <c r="L492" s="325">
        <f t="shared" si="111"/>
        <v>0</v>
      </c>
      <c r="M492" s="407">
        <v>20</v>
      </c>
      <c r="N492" s="408" t="s">
        <v>289</v>
      </c>
      <c r="O492" s="325">
        <f>IF(E492&gt;0,INT(IF($N492="D",IF($D492&lt;$H$3,$I492*($M492/100)*((E492-$H$3)/365),$J492*($M492/100)*($J$3-$D492)/365),0)),0)</f>
        <v>0</v>
      </c>
      <c r="P492" s="325">
        <f>IF(E492&gt;0,INT(IF($N492="P",IF($D492&lt;$H$3,$H492*($M492/100)*(E492-$H$3)/365,$J492*($M492/100)*($J$3-$D492)/365),0)),0)</f>
        <v>0</v>
      </c>
      <c r="Q492" s="325">
        <f>+O492+P492</f>
        <v>0</v>
      </c>
      <c r="R492" s="325">
        <f>INT(IF($E492&gt;0,0,(IF($N492="D",IF($D492&lt;$H$3,$I492*($M492/100)*$U$3/12,$J492*($M492/100)*($J$3-$D492)/365),0))))</f>
        <v>44</v>
      </c>
      <c r="S492" s="325">
        <f>INT(IF($E492&gt;0,0,(IF($N492="P",IF($D492&lt;$H$3,$H492*($M492/100)*$U$3/12,$J492*($M492/100)*($J$3-$D492)/365),0))))</f>
        <v>0</v>
      </c>
      <c r="T492" s="325">
        <f t="shared" si="108"/>
        <v>44</v>
      </c>
      <c r="U492" s="325">
        <f t="shared" si="109"/>
        <v>396.73</v>
      </c>
      <c r="V492" s="325">
        <f t="shared" si="90"/>
        <v>0</v>
      </c>
      <c r="W492" s="449" cm="1">
        <f t="array" ref="W492">+IF(U492&lt;0,error,0)</f>
        <v>0</v>
      </c>
    </row>
    <row r="493" spans="1:23" ht="18" customHeight="1" x14ac:dyDescent="0.2">
      <c r="A493" s="402" t="s">
        <v>1113</v>
      </c>
      <c r="B493" s="403"/>
      <c r="C493" s="412" t="s">
        <v>1114</v>
      </c>
      <c r="D493" s="405">
        <v>43427</v>
      </c>
      <c r="E493" s="406"/>
      <c r="F493" s="325"/>
      <c r="G493" s="324"/>
      <c r="H493" s="324">
        <v>11137.12</v>
      </c>
      <c r="I493" s="325">
        <v>7142.1200000000008</v>
      </c>
      <c r="J493" s="325"/>
      <c r="K493" s="325">
        <f t="shared" si="110"/>
        <v>0</v>
      </c>
      <c r="L493" s="325">
        <f t="shared" si="111"/>
        <v>0</v>
      </c>
      <c r="M493" s="407">
        <v>20</v>
      </c>
      <c r="N493" s="408" t="s">
        <v>289</v>
      </c>
      <c r="O493" s="325">
        <f>IF(E493&gt;0,INT(IF($N493="D",IF($D493&lt;$H$3,$I493*($M493/100)*((E493-$H$3)/365),$J493*($M493/100)*($J$3-$D493)/365),0)),0)</f>
        <v>0</v>
      </c>
      <c r="P493" s="325">
        <f>IF(E493&gt;0,INT(IF($N493="P",IF($D493&lt;$H$3,$H493*($M493/100)*(E493-$H$3)/365,$J493*($M493/100)*($J$3-$D493)/365),0)),0)</f>
        <v>0</v>
      </c>
      <c r="Q493" s="325">
        <f>+O493+P493</f>
        <v>0</v>
      </c>
      <c r="R493" s="325">
        <f>INT(IF($E493&gt;0,0,(IF($N493="D",IF($D493&lt;$H$3,$I493*($M493/100)*$U$3/12,$J493*($M493/100)*($J$3-$D493)/365),0))))</f>
        <v>714</v>
      </c>
      <c r="S493" s="325">
        <f>INT(IF($E493&gt;0,0,(IF($N493="P",IF($D493&lt;$H$3,$H493*($M493/100)*$U$3/12,$J493*($M493/100)*($J$3-$D493)/365),0))))</f>
        <v>0</v>
      </c>
      <c r="T493" s="325">
        <f t="shared" si="108"/>
        <v>714</v>
      </c>
      <c r="U493" s="325">
        <f t="shared" si="109"/>
        <v>6428.1200000000008</v>
      </c>
      <c r="V493" s="325">
        <f t="shared" si="90"/>
        <v>0</v>
      </c>
      <c r="W493" s="449" cm="1">
        <f t="array" ref="W493">+IF(U493&lt;0,error,0)</f>
        <v>0</v>
      </c>
    </row>
    <row r="494" spans="1:23" ht="18" customHeight="1" x14ac:dyDescent="0.2">
      <c r="A494" s="402" t="s">
        <v>1115</v>
      </c>
      <c r="B494" s="403"/>
      <c r="C494" s="404" t="s">
        <v>1116</v>
      </c>
      <c r="D494" s="405">
        <v>43432</v>
      </c>
      <c r="E494" s="406"/>
      <c r="F494" s="325"/>
      <c r="G494" s="324"/>
      <c r="H494" s="324">
        <v>7168.75</v>
      </c>
      <c r="I494" s="325">
        <v>4609.75</v>
      </c>
      <c r="J494" s="325"/>
      <c r="K494" s="325">
        <f t="shared" si="110"/>
        <v>0</v>
      </c>
      <c r="L494" s="325">
        <f t="shared" si="111"/>
        <v>0</v>
      </c>
      <c r="M494" s="407">
        <v>20</v>
      </c>
      <c r="N494" s="408" t="s">
        <v>289</v>
      </c>
      <c r="O494" s="325">
        <f>IF(E494&gt;0,INT(IF($N494="D",IF($D494&lt;$H$3,$I494*($M494/100)*((E494-$H$3)/365),$J494*($M494/100)*($J$3-$D494)/365),0)),0)</f>
        <v>0</v>
      </c>
      <c r="P494" s="325">
        <f>IF(E494&gt;0,INT(IF($N494="P",IF($D494&lt;$H$3,$H494*($M494/100)*(E494-$H$3)/365,$J494*($M494/100)*($J$3-$D494)/365),0)),0)</f>
        <v>0</v>
      </c>
      <c r="Q494" s="325">
        <f>+O494+P494</f>
        <v>0</v>
      </c>
      <c r="R494" s="325">
        <f>INT(IF($E494&gt;0,0,(IF($N494="D",IF($D494&lt;$H$3,$I494*($M494/100)*$U$3/12,$J494*($M494/100)*($J$3-$D494)/365),0))))</f>
        <v>460</v>
      </c>
      <c r="S494" s="325">
        <f>INT(IF($E494&gt;0,0,(IF($N494="P",IF($D494&lt;$H$3,$H494*($M494/100)*$U$3/12,$J494*($M494/100)*($J$3-$D494)/365),0))))</f>
        <v>0</v>
      </c>
      <c r="T494" s="325">
        <f t="shared" si="108"/>
        <v>460</v>
      </c>
      <c r="U494" s="325">
        <f t="shared" si="109"/>
        <v>4149.75</v>
      </c>
      <c r="V494" s="325">
        <f t="shared" si="90"/>
        <v>0</v>
      </c>
      <c r="W494" s="449" cm="1">
        <f t="array" ref="W494">+IF(U494&lt;0,error,0)</f>
        <v>0</v>
      </c>
    </row>
    <row r="495" spans="1:23" ht="18" customHeight="1" x14ac:dyDescent="0.2">
      <c r="A495" s="402" t="s">
        <v>2045</v>
      </c>
      <c r="B495" s="403"/>
      <c r="C495" s="404" t="s">
        <v>2055</v>
      </c>
      <c r="D495" s="405">
        <v>43585</v>
      </c>
      <c r="E495" s="406"/>
      <c r="F495" s="325"/>
      <c r="G495" s="324"/>
      <c r="H495" s="324">
        <v>54800</v>
      </c>
      <c r="I495" s="325">
        <v>48949</v>
      </c>
      <c r="J495" s="325"/>
      <c r="K495" s="325">
        <f t="shared" si="110"/>
        <v>0</v>
      </c>
      <c r="L495" s="325">
        <f t="shared" si="111"/>
        <v>0</v>
      </c>
      <c r="M495" s="407">
        <v>6.67</v>
      </c>
      <c r="N495" s="408" t="s">
        <v>289</v>
      </c>
      <c r="O495" s="325">
        <f t="shared" ref="O495:O497" si="112">IF(E495&gt;0,INT(IF($N495="D",IF($D495&lt;$H$3,$I495*($M495/100)*((E495-$H$3)/365),$J495*($M495/100)*($J$3-$D495)/365),0)),0)</f>
        <v>0</v>
      </c>
      <c r="P495" s="325">
        <f t="shared" ref="P495:P497" si="113">IF(E495&gt;0,INT(IF($N495="P",IF($D495&lt;$H$3,$H495*($M495/100)*(E495-$H$3)/365,$J495*($M495/100)*($J$3-$D495)/365),0)),0)</f>
        <v>0</v>
      </c>
      <c r="Q495" s="325">
        <f t="shared" ref="Q495:Q497" si="114">+O495+P495</f>
        <v>0</v>
      </c>
      <c r="R495" s="325">
        <f t="shared" ref="R495:R534" si="115">INT(IF($E495&gt;0,0,(IF($N495="D",IF($D495&lt;$H$3,$I495*($M495/100)*$U$3/12,$J495*($M495/100)*($J$3-$D495)/365),0))))</f>
        <v>1632</v>
      </c>
      <c r="S495" s="325">
        <f t="shared" ref="S495:S534" si="116">INT(IF($E495&gt;0,0,(IF($N495="P",IF($D495&lt;$H$3,$H495*($M495/100)*$U$3/12,$J495*($M495/100)*($J$3-$D495)/365),0))))</f>
        <v>0</v>
      </c>
      <c r="T495" s="325">
        <f t="shared" si="108"/>
        <v>1632</v>
      </c>
      <c r="U495" s="325">
        <f t="shared" si="109"/>
        <v>47317</v>
      </c>
      <c r="V495" s="325">
        <f t="shared" si="90"/>
        <v>0</v>
      </c>
      <c r="W495" s="449" cm="1">
        <f t="array" ref="W495">+IF(U495&lt;0,error,0)</f>
        <v>0</v>
      </c>
    </row>
    <row r="496" spans="1:23" ht="18" customHeight="1" x14ac:dyDescent="0.2">
      <c r="A496" s="402" t="s">
        <v>2048</v>
      </c>
      <c r="B496" s="403"/>
      <c r="C496" s="404" t="s">
        <v>2058</v>
      </c>
      <c r="D496" s="405">
        <v>43538</v>
      </c>
      <c r="E496" s="406"/>
      <c r="F496" s="325"/>
      <c r="G496" s="324"/>
      <c r="H496" s="324">
        <v>14614</v>
      </c>
      <c r="I496" s="325">
        <v>12942</v>
      </c>
      <c r="J496" s="325"/>
      <c r="K496" s="325">
        <f t="shared" si="110"/>
        <v>0</v>
      </c>
      <c r="L496" s="325">
        <f t="shared" si="111"/>
        <v>0</v>
      </c>
      <c r="M496" s="407">
        <v>6.67</v>
      </c>
      <c r="N496" s="408" t="s">
        <v>289</v>
      </c>
      <c r="O496" s="325">
        <f t="shared" si="112"/>
        <v>0</v>
      </c>
      <c r="P496" s="325">
        <f t="shared" si="113"/>
        <v>0</v>
      </c>
      <c r="Q496" s="325">
        <f t="shared" si="114"/>
        <v>0</v>
      </c>
      <c r="R496" s="325">
        <f t="shared" si="115"/>
        <v>431</v>
      </c>
      <c r="S496" s="325">
        <f t="shared" si="116"/>
        <v>0</v>
      </c>
      <c r="T496" s="325">
        <f t="shared" si="108"/>
        <v>431</v>
      </c>
      <c r="U496" s="325">
        <f t="shared" si="109"/>
        <v>12511</v>
      </c>
      <c r="V496" s="325">
        <f t="shared" si="90"/>
        <v>0</v>
      </c>
      <c r="W496" s="449" cm="1">
        <f t="array" ref="W496">+IF(U496&lt;0,error,0)</f>
        <v>0</v>
      </c>
    </row>
    <row r="497" spans="1:23" ht="18" customHeight="1" x14ac:dyDescent="0.2">
      <c r="A497" s="402" t="s">
        <v>2049</v>
      </c>
      <c r="B497" s="403"/>
      <c r="C497" s="404" t="s">
        <v>2059</v>
      </c>
      <c r="D497" s="405">
        <v>43555</v>
      </c>
      <c r="E497" s="406"/>
      <c r="F497" s="325"/>
      <c r="G497" s="324"/>
      <c r="H497" s="324">
        <v>65105</v>
      </c>
      <c r="I497" s="325">
        <v>54429</v>
      </c>
      <c r="J497" s="325"/>
      <c r="K497" s="325">
        <f t="shared" si="110"/>
        <v>0</v>
      </c>
      <c r="L497" s="325">
        <f t="shared" si="111"/>
        <v>0</v>
      </c>
      <c r="M497" s="407">
        <v>10</v>
      </c>
      <c r="N497" s="408" t="s">
        <v>289</v>
      </c>
      <c r="O497" s="325">
        <f t="shared" si="112"/>
        <v>0</v>
      </c>
      <c r="P497" s="325">
        <f t="shared" si="113"/>
        <v>0</v>
      </c>
      <c r="Q497" s="325">
        <f t="shared" si="114"/>
        <v>0</v>
      </c>
      <c r="R497" s="325">
        <f t="shared" si="115"/>
        <v>2721</v>
      </c>
      <c r="S497" s="325">
        <f t="shared" si="116"/>
        <v>0</v>
      </c>
      <c r="T497" s="325">
        <f t="shared" si="108"/>
        <v>2721</v>
      </c>
      <c r="U497" s="325">
        <f t="shared" si="109"/>
        <v>51708</v>
      </c>
      <c r="V497" s="325">
        <f t="shared" ref="V497:V532" si="117">IF(E497&gt;0,+H497+J497,0)</f>
        <v>0</v>
      </c>
      <c r="W497" s="449" cm="1">
        <f t="array" ref="W497">+IF(U497&lt;0,error,0)</f>
        <v>0</v>
      </c>
    </row>
    <row r="498" spans="1:23" ht="18" customHeight="1" x14ac:dyDescent="0.2">
      <c r="A498" s="402" t="s">
        <v>2050</v>
      </c>
      <c r="B498" s="403"/>
      <c r="C498" s="404" t="s">
        <v>2060</v>
      </c>
      <c r="D498" s="405">
        <v>43524</v>
      </c>
      <c r="E498" s="406"/>
      <c r="F498" s="325"/>
      <c r="G498" s="324"/>
      <c r="H498" s="324">
        <v>42780</v>
      </c>
      <c r="I498" s="325">
        <v>35454</v>
      </c>
      <c r="J498" s="325"/>
      <c r="K498" s="325">
        <f>INT(IF($E498&gt;0,IF(+F498-I498+Q498&lt;0,0,+F498-I498+Q498),0))</f>
        <v>0</v>
      </c>
      <c r="L498" s="325">
        <f>INT(IF($E498&gt;0,IF(K498=0,-F498+I498-Q498,0),0))</f>
        <v>0</v>
      </c>
      <c r="M498" s="407">
        <v>10</v>
      </c>
      <c r="N498" s="408" t="s">
        <v>289</v>
      </c>
      <c r="O498" s="325">
        <f>IF(E498&gt;0,INT(IF($N498="D",IF($D498&lt;$H$3,$I498*($M498/100)*((E498-$H$3)/365),$J498*($M498/100)*($J$3-$D498)/365),0)),0)</f>
        <v>0</v>
      </c>
      <c r="P498" s="325">
        <f>IF(E498&gt;0,INT(IF($N498="P",IF($D498&lt;$H$3,$H498*($M498/100)*(E498-$H$3)/365,$J498*($M498/100)*($J$3-$D498)/365),0)),0)</f>
        <v>0</v>
      </c>
      <c r="Q498" s="325">
        <f>+O498+P498</f>
        <v>0</v>
      </c>
      <c r="R498" s="325">
        <f t="shared" si="115"/>
        <v>1772</v>
      </c>
      <c r="S498" s="325">
        <f t="shared" si="116"/>
        <v>0</v>
      </c>
      <c r="T498" s="325">
        <f>+R498+S498+Q498</f>
        <v>1772</v>
      </c>
      <c r="U498" s="325">
        <f>+I498+J498-T498-F498+K498-L498</f>
        <v>33682</v>
      </c>
      <c r="V498" s="325">
        <f t="shared" si="117"/>
        <v>0</v>
      </c>
      <c r="W498" s="449" cm="1">
        <f t="array" ref="W498">+IF(U498&lt;0,error,0)</f>
        <v>0</v>
      </c>
    </row>
    <row r="499" spans="1:23" ht="18" customHeight="1" x14ac:dyDescent="0.2">
      <c r="A499" s="402" t="s">
        <v>2051</v>
      </c>
      <c r="B499" s="403"/>
      <c r="C499" s="404" t="s">
        <v>2037</v>
      </c>
      <c r="D499" s="405">
        <v>43487</v>
      </c>
      <c r="E499" s="406"/>
      <c r="F499" s="325"/>
      <c r="G499" s="324"/>
      <c r="H499" s="324">
        <v>33510</v>
      </c>
      <c r="I499" s="325">
        <v>22302</v>
      </c>
      <c r="J499" s="325"/>
      <c r="K499" s="325">
        <f t="shared" ref="K499:K506" si="118">INT(IF($E499&gt;0,IF(+F499-I499+Q499&lt;0,0,+F499-I499+Q499),0))</f>
        <v>0</v>
      </c>
      <c r="L499" s="325">
        <f t="shared" ref="L499:L506" si="119">INT(IF($E499&gt;0,IF(K499=0,-F499+I499-Q499,0),0))</f>
        <v>0</v>
      </c>
      <c r="M499" s="407">
        <v>20</v>
      </c>
      <c r="N499" s="408" t="s">
        <v>289</v>
      </c>
      <c r="O499" s="325">
        <f t="shared" ref="O499:O506" si="120">IF(E499&gt;0,INT(IF($N499="D",IF($D499&lt;$H$3,$I499*($M499/100)*((E499-$H$3)/365),$J499*($M499/100)*($J$3-$D499)/365),0)),0)</f>
        <v>0</v>
      </c>
      <c r="P499" s="325">
        <f t="shared" ref="P499:P506" si="121">IF(E499&gt;0,INT(IF($N499="P",IF($D499&lt;$H$3,$H499*($M499/100)*(E499-$H$3)/365,$J499*($M499/100)*($J$3-$D499)/365),0)),0)</f>
        <v>0</v>
      </c>
      <c r="Q499" s="325">
        <f t="shared" ref="Q499:Q506" si="122">+O499+P499</f>
        <v>0</v>
      </c>
      <c r="R499" s="325">
        <f t="shared" si="115"/>
        <v>2230</v>
      </c>
      <c r="S499" s="325">
        <f t="shared" si="116"/>
        <v>0</v>
      </c>
      <c r="T499" s="325">
        <f t="shared" ref="T499:T506" si="123">+R499+S499+Q499</f>
        <v>2230</v>
      </c>
      <c r="U499" s="325">
        <f t="shared" ref="U499:U506" si="124">+I499+J499-T499-F499+K499-L499</f>
        <v>20072</v>
      </c>
      <c r="V499" s="325">
        <f t="shared" si="117"/>
        <v>0</v>
      </c>
      <c r="W499" s="449" cm="1">
        <f t="array" ref="W499">+IF(U499&lt;0,error,0)</f>
        <v>0</v>
      </c>
    </row>
    <row r="500" spans="1:23" ht="18" customHeight="1" x14ac:dyDescent="0.2">
      <c r="A500" s="402" t="s">
        <v>2052</v>
      </c>
      <c r="B500" s="403"/>
      <c r="C500" s="404" t="s">
        <v>2062</v>
      </c>
      <c r="D500" s="405">
        <v>43524</v>
      </c>
      <c r="E500" s="406"/>
      <c r="F500" s="325"/>
      <c r="G500" s="324"/>
      <c r="H500" s="324">
        <v>10285.01</v>
      </c>
      <c r="I500" s="325">
        <v>6999.01</v>
      </c>
      <c r="J500" s="325"/>
      <c r="K500" s="325">
        <f t="shared" si="118"/>
        <v>0</v>
      </c>
      <c r="L500" s="325">
        <f t="shared" si="119"/>
        <v>0</v>
      </c>
      <c r="M500" s="407">
        <v>20</v>
      </c>
      <c r="N500" s="408" t="s">
        <v>289</v>
      </c>
      <c r="O500" s="325">
        <f t="shared" si="120"/>
        <v>0</v>
      </c>
      <c r="P500" s="325">
        <f t="shared" si="121"/>
        <v>0</v>
      </c>
      <c r="Q500" s="325">
        <f t="shared" si="122"/>
        <v>0</v>
      </c>
      <c r="R500" s="325">
        <f t="shared" si="115"/>
        <v>699</v>
      </c>
      <c r="S500" s="325">
        <f t="shared" si="116"/>
        <v>0</v>
      </c>
      <c r="T500" s="325">
        <f t="shared" si="123"/>
        <v>699</v>
      </c>
      <c r="U500" s="325">
        <f t="shared" si="124"/>
        <v>6300.01</v>
      </c>
      <c r="V500" s="325">
        <f t="shared" si="117"/>
        <v>0</v>
      </c>
      <c r="W500" s="449" cm="1">
        <f t="array" ref="W500">+IF(U500&lt;0,error,0)</f>
        <v>0</v>
      </c>
    </row>
    <row r="501" spans="1:23" ht="18" customHeight="1" x14ac:dyDescent="0.2">
      <c r="A501" s="402" t="s">
        <v>2053</v>
      </c>
      <c r="B501" s="403"/>
      <c r="C501" s="404" t="s">
        <v>2073</v>
      </c>
      <c r="D501" s="405">
        <v>43461</v>
      </c>
      <c r="E501" s="406"/>
      <c r="F501" s="325"/>
      <c r="G501" s="324"/>
      <c r="H501" s="324">
        <v>2515</v>
      </c>
      <c r="I501" s="325">
        <v>1649</v>
      </c>
      <c r="J501" s="325"/>
      <c r="K501" s="325">
        <f t="shared" si="118"/>
        <v>0</v>
      </c>
      <c r="L501" s="325">
        <f t="shared" si="119"/>
        <v>0</v>
      </c>
      <c r="M501" s="407">
        <v>20</v>
      </c>
      <c r="N501" s="408" t="s">
        <v>289</v>
      </c>
      <c r="O501" s="325">
        <f t="shared" si="120"/>
        <v>0</v>
      </c>
      <c r="P501" s="325">
        <f t="shared" si="121"/>
        <v>0</v>
      </c>
      <c r="Q501" s="325">
        <f t="shared" si="122"/>
        <v>0</v>
      </c>
      <c r="R501" s="325">
        <f t="shared" si="115"/>
        <v>164</v>
      </c>
      <c r="S501" s="325">
        <f t="shared" si="116"/>
        <v>0</v>
      </c>
      <c r="T501" s="325">
        <f t="shared" si="123"/>
        <v>164</v>
      </c>
      <c r="U501" s="325">
        <f t="shared" si="124"/>
        <v>1485</v>
      </c>
      <c r="V501" s="325">
        <f t="shared" si="117"/>
        <v>0</v>
      </c>
      <c r="W501" s="449" cm="1">
        <f t="array" ref="W501">+IF(U501&lt;0,error,0)</f>
        <v>0</v>
      </c>
    </row>
    <row r="502" spans="1:23" ht="18" customHeight="1" x14ac:dyDescent="0.2">
      <c r="A502" s="402" t="s">
        <v>2054</v>
      </c>
      <c r="B502" s="403"/>
      <c r="C502" s="404" t="s">
        <v>2069</v>
      </c>
      <c r="D502" s="405">
        <v>43466</v>
      </c>
      <c r="E502" s="406"/>
      <c r="F502" s="325"/>
      <c r="G502" s="324"/>
      <c r="H502" s="324">
        <v>2487.87</v>
      </c>
      <c r="I502" s="325">
        <v>1636.87</v>
      </c>
      <c r="J502" s="325"/>
      <c r="K502" s="325">
        <f t="shared" si="118"/>
        <v>0</v>
      </c>
      <c r="L502" s="325">
        <f t="shared" si="119"/>
        <v>0</v>
      </c>
      <c r="M502" s="407">
        <v>20</v>
      </c>
      <c r="N502" s="408" t="s">
        <v>289</v>
      </c>
      <c r="O502" s="325">
        <f t="shared" si="120"/>
        <v>0</v>
      </c>
      <c r="P502" s="325">
        <f t="shared" si="121"/>
        <v>0</v>
      </c>
      <c r="Q502" s="325">
        <f t="shared" si="122"/>
        <v>0</v>
      </c>
      <c r="R502" s="325">
        <f t="shared" si="115"/>
        <v>163</v>
      </c>
      <c r="S502" s="325">
        <f t="shared" si="116"/>
        <v>0</v>
      </c>
      <c r="T502" s="325">
        <f t="shared" si="123"/>
        <v>163</v>
      </c>
      <c r="U502" s="325">
        <f t="shared" si="124"/>
        <v>1473.87</v>
      </c>
      <c r="V502" s="325">
        <f t="shared" si="117"/>
        <v>0</v>
      </c>
      <c r="W502" s="449" cm="1">
        <f t="array" ref="W502">+IF(U502&lt;0,error,0)</f>
        <v>0</v>
      </c>
    </row>
    <row r="503" spans="1:23" ht="18" customHeight="1" x14ac:dyDescent="0.2">
      <c r="A503" s="402" t="s">
        <v>2063</v>
      </c>
      <c r="B503" s="403"/>
      <c r="C503" s="404" t="s">
        <v>1932</v>
      </c>
      <c r="D503" s="405">
        <v>43476</v>
      </c>
      <c r="E503" s="406"/>
      <c r="F503" s="325"/>
      <c r="G503" s="324"/>
      <c r="H503" s="324">
        <v>2305</v>
      </c>
      <c r="I503" s="325">
        <v>1525</v>
      </c>
      <c r="J503" s="325"/>
      <c r="K503" s="325">
        <f t="shared" si="118"/>
        <v>0</v>
      </c>
      <c r="L503" s="325">
        <f t="shared" si="119"/>
        <v>0</v>
      </c>
      <c r="M503" s="407">
        <v>20</v>
      </c>
      <c r="N503" s="408" t="s">
        <v>289</v>
      </c>
      <c r="O503" s="325">
        <f t="shared" si="120"/>
        <v>0</v>
      </c>
      <c r="P503" s="325">
        <f t="shared" si="121"/>
        <v>0</v>
      </c>
      <c r="Q503" s="325">
        <f t="shared" si="122"/>
        <v>0</v>
      </c>
      <c r="R503" s="325">
        <f t="shared" si="115"/>
        <v>152</v>
      </c>
      <c r="S503" s="325">
        <f t="shared" si="116"/>
        <v>0</v>
      </c>
      <c r="T503" s="325">
        <f t="shared" si="123"/>
        <v>152</v>
      </c>
      <c r="U503" s="325">
        <f t="shared" si="124"/>
        <v>1373</v>
      </c>
      <c r="V503" s="325">
        <f t="shared" si="117"/>
        <v>0</v>
      </c>
      <c r="W503" s="449" cm="1">
        <f t="array" ref="W503">+IF(U503&lt;0,error,0)</f>
        <v>0</v>
      </c>
    </row>
    <row r="504" spans="1:23" ht="18" customHeight="1" x14ac:dyDescent="0.2">
      <c r="A504" s="402" t="s">
        <v>2064</v>
      </c>
      <c r="B504" s="403"/>
      <c r="C504" s="404" t="s">
        <v>1935</v>
      </c>
      <c r="D504" s="405">
        <v>43497</v>
      </c>
      <c r="E504" s="406"/>
      <c r="F504" s="325"/>
      <c r="G504" s="324"/>
      <c r="H504" s="324">
        <v>1657.5</v>
      </c>
      <c r="I504" s="325">
        <v>1457.5</v>
      </c>
      <c r="J504" s="325"/>
      <c r="K504" s="325">
        <f t="shared" si="118"/>
        <v>0</v>
      </c>
      <c r="L504" s="325">
        <f t="shared" si="119"/>
        <v>0</v>
      </c>
      <c r="M504" s="407">
        <v>6.67</v>
      </c>
      <c r="N504" s="408" t="s">
        <v>289</v>
      </c>
      <c r="O504" s="325">
        <f t="shared" si="120"/>
        <v>0</v>
      </c>
      <c r="P504" s="325">
        <f t="shared" si="121"/>
        <v>0</v>
      </c>
      <c r="Q504" s="325">
        <f t="shared" si="122"/>
        <v>0</v>
      </c>
      <c r="R504" s="325">
        <f t="shared" si="115"/>
        <v>48</v>
      </c>
      <c r="S504" s="325">
        <f t="shared" si="116"/>
        <v>0</v>
      </c>
      <c r="T504" s="325">
        <f t="shared" si="123"/>
        <v>48</v>
      </c>
      <c r="U504" s="325">
        <f t="shared" si="124"/>
        <v>1409.5</v>
      </c>
      <c r="V504" s="325">
        <f t="shared" si="117"/>
        <v>0</v>
      </c>
      <c r="W504" s="449" cm="1">
        <f t="array" ref="W504">+IF(U504&lt;0,error,0)</f>
        <v>0</v>
      </c>
    </row>
    <row r="505" spans="1:23" ht="18" customHeight="1" x14ac:dyDescent="0.2">
      <c r="A505" s="402" t="s">
        <v>2065</v>
      </c>
      <c r="B505" s="403"/>
      <c r="C505" s="404" t="s">
        <v>2068</v>
      </c>
      <c r="D505" s="405">
        <v>43466</v>
      </c>
      <c r="E505" s="406"/>
      <c r="F505" s="325"/>
      <c r="G505" s="324"/>
      <c r="H505" s="324">
        <v>6500</v>
      </c>
      <c r="I505" s="325">
        <v>5681</v>
      </c>
      <c r="J505" s="325"/>
      <c r="K505" s="325">
        <f t="shared" si="118"/>
        <v>0</v>
      </c>
      <c r="L505" s="325">
        <f t="shared" si="119"/>
        <v>0</v>
      </c>
      <c r="M505" s="407">
        <v>6.67</v>
      </c>
      <c r="N505" s="408" t="s">
        <v>289</v>
      </c>
      <c r="O505" s="325">
        <f t="shared" si="120"/>
        <v>0</v>
      </c>
      <c r="P505" s="325">
        <f t="shared" si="121"/>
        <v>0</v>
      </c>
      <c r="Q505" s="325">
        <f t="shared" si="122"/>
        <v>0</v>
      </c>
      <c r="R505" s="325">
        <f t="shared" si="115"/>
        <v>189</v>
      </c>
      <c r="S505" s="325">
        <f t="shared" si="116"/>
        <v>0</v>
      </c>
      <c r="T505" s="325">
        <f t="shared" si="123"/>
        <v>189</v>
      </c>
      <c r="U505" s="325">
        <f t="shared" si="124"/>
        <v>5492</v>
      </c>
      <c r="V505" s="325">
        <f t="shared" si="117"/>
        <v>0</v>
      </c>
      <c r="W505" s="449" cm="1">
        <f t="array" ref="W505">+IF(U505&lt;0,error,0)</f>
        <v>0</v>
      </c>
    </row>
    <row r="506" spans="1:23" ht="18" customHeight="1" x14ac:dyDescent="0.2">
      <c r="A506" s="402" t="s">
        <v>2066</v>
      </c>
      <c r="B506" s="403"/>
      <c r="C506" s="404" t="s">
        <v>2068</v>
      </c>
      <c r="D506" s="405">
        <v>43525</v>
      </c>
      <c r="E506" s="406"/>
      <c r="F506" s="325"/>
      <c r="G506" s="324"/>
      <c r="H506" s="324">
        <v>6500</v>
      </c>
      <c r="I506" s="325">
        <v>5743</v>
      </c>
      <c r="J506" s="325"/>
      <c r="K506" s="325">
        <f t="shared" si="118"/>
        <v>0</v>
      </c>
      <c r="L506" s="325">
        <f t="shared" si="119"/>
        <v>0</v>
      </c>
      <c r="M506" s="407">
        <v>6.67</v>
      </c>
      <c r="N506" s="408" t="s">
        <v>289</v>
      </c>
      <c r="O506" s="325">
        <f t="shared" si="120"/>
        <v>0</v>
      </c>
      <c r="P506" s="325">
        <f t="shared" si="121"/>
        <v>0</v>
      </c>
      <c r="Q506" s="325">
        <f t="shared" si="122"/>
        <v>0</v>
      </c>
      <c r="R506" s="325">
        <f t="shared" si="115"/>
        <v>191</v>
      </c>
      <c r="S506" s="325">
        <f t="shared" si="116"/>
        <v>0</v>
      </c>
      <c r="T506" s="325">
        <f t="shared" si="123"/>
        <v>191</v>
      </c>
      <c r="U506" s="325">
        <f t="shared" si="124"/>
        <v>5552</v>
      </c>
      <c r="V506" s="325">
        <f t="shared" si="117"/>
        <v>0</v>
      </c>
      <c r="W506" s="449" cm="1">
        <f t="array" ref="W506">+IF(U506&lt;0,error,0)</f>
        <v>0</v>
      </c>
    </row>
    <row r="507" spans="1:23" ht="18" customHeight="1" x14ac:dyDescent="0.2">
      <c r="A507" s="402" t="s">
        <v>2067</v>
      </c>
      <c r="B507" s="403"/>
      <c r="C507" s="404" t="s">
        <v>2071</v>
      </c>
      <c r="D507" s="405">
        <v>43487</v>
      </c>
      <c r="E507" s="406"/>
      <c r="F507" s="325"/>
      <c r="G507" s="324"/>
      <c r="H507" s="324">
        <v>1120.5999999999999</v>
      </c>
      <c r="I507" s="325">
        <v>921.59999999999991</v>
      </c>
      <c r="J507" s="325"/>
      <c r="K507" s="325">
        <f>INT(IF($E507&gt;0,IF(+F507-I507+Q507&lt;0,0,+F507-I507+Q507),0))</f>
        <v>0</v>
      </c>
      <c r="L507" s="325">
        <f>INT(IF($E507&gt;0,IF(K507=0,-F507+I507-Q507,0),0))</f>
        <v>0</v>
      </c>
      <c r="M507" s="407">
        <v>10</v>
      </c>
      <c r="N507" s="408" t="s">
        <v>289</v>
      </c>
      <c r="O507" s="325">
        <f>IF(E507&gt;0,INT(IF($N507="D",IF($D507&lt;$H$3,$I507*($M507/100)*((E507-$H$3)/365),$J507*($M507/100)*($J$3-$D507)/365),0)),0)</f>
        <v>0</v>
      </c>
      <c r="P507" s="325">
        <f>IF(E507&gt;0,INT(IF($N507="P",IF($D507&lt;$H$3,$H507*($M507/100)*(E507-$H$3)/365,$J507*($M507/100)*($J$3-$D507)/365),0)),0)</f>
        <v>0</v>
      </c>
      <c r="Q507" s="325">
        <f>+O507+P507</f>
        <v>0</v>
      </c>
      <c r="R507" s="325">
        <f t="shared" si="115"/>
        <v>46</v>
      </c>
      <c r="S507" s="325">
        <f t="shared" si="116"/>
        <v>0</v>
      </c>
      <c r="T507" s="325">
        <f>+R507+S507+Q507</f>
        <v>46</v>
      </c>
      <c r="U507" s="325">
        <f>+I507+J507-T507-F507+K507-L507</f>
        <v>875.59999999999991</v>
      </c>
      <c r="V507" s="325">
        <f t="shared" si="117"/>
        <v>0</v>
      </c>
      <c r="W507" s="449" cm="1">
        <f t="array" ref="W507">+IF(U507&lt;0,error,0)</f>
        <v>0</v>
      </c>
    </row>
    <row r="508" spans="1:23" ht="18" customHeight="1" x14ac:dyDescent="0.2">
      <c r="A508" s="402" t="s">
        <v>2070</v>
      </c>
      <c r="B508" s="403"/>
      <c r="C508" s="404" t="s">
        <v>2072</v>
      </c>
      <c r="D508" s="405">
        <v>43509</v>
      </c>
      <c r="E508" s="406"/>
      <c r="F508" s="325"/>
      <c r="G508" s="324"/>
      <c r="H508" s="324">
        <v>4820</v>
      </c>
      <c r="I508" s="325">
        <v>3252</v>
      </c>
      <c r="J508" s="325"/>
      <c r="K508" s="325">
        <f>INT(IF($E508&gt;0,IF(+F508-I508+Q508&lt;0,0,+F508-I508+Q508),0))</f>
        <v>0</v>
      </c>
      <c r="L508" s="325">
        <f>INT(IF($E508&gt;0,IF(K508=0,-F508+I508-Q508,0),0))</f>
        <v>0</v>
      </c>
      <c r="M508" s="407">
        <v>20</v>
      </c>
      <c r="N508" s="408" t="s">
        <v>289</v>
      </c>
      <c r="O508" s="325">
        <f>IF(E508&gt;0,INT(IF($N508="D",IF($D508&lt;$H$3,$I508*($M508/100)*((E508-$H$3)/365),$J508*($M508/100)*($J$3-$D508)/365),0)),0)</f>
        <v>0</v>
      </c>
      <c r="P508" s="325">
        <f>IF(E508&gt;0,INT(IF($N508="P",IF($D508&lt;$H$3,$H508*($M508/100)*(E508-$H$3)/365,$J508*($M508/100)*($J$3-$D508)/365),0)),0)</f>
        <v>0</v>
      </c>
      <c r="Q508" s="325">
        <f>+O508+P508</f>
        <v>0</v>
      </c>
      <c r="R508" s="325">
        <f t="shared" si="115"/>
        <v>325</v>
      </c>
      <c r="S508" s="325">
        <f t="shared" si="116"/>
        <v>0</v>
      </c>
      <c r="T508" s="325">
        <f>+R508+S508+Q508</f>
        <v>325</v>
      </c>
      <c r="U508" s="325">
        <f>+I508+J508-T508-F508+K508-L508</f>
        <v>2927</v>
      </c>
      <c r="V508" s="325">
        <f t="shared" si="117"/>
        <v>0</v>
      </c>
      <c r="W508" s="449" cm="1">
        <f t="array" ref="W508">+IF(U508&lt;0,error,0)</f>
        <v>0</v>
      </c>
    </row>
    <row r="509" spans="1:23" ht="18" customHeight="1" x14ac:dyDescent="0.2">
      <c r="A509" s="402" t="s">
        <v>2113</v>
      </c>
      <c r="B509" s="403"/>
      <c r="C509" s="404" t="s">
        <v>2121</v>
      </c>
      <c r="D509" s="405">
        <v>43650</v>
      </c>
      <c r="E509" s="406"/>
      <c r="F509" s="325"/>
      <c r="G509" s="324"/>
      <c r="H509" s="324">
        <v>2322.12</v>
      </c>
      <c r="I509" s="325">
        <v>1891.12</v>
      </c>
      <c r="J509" s="325"/>
      <c r="K509" s="325">
        <f t="shared" ref="K509:K532" si="125">INT(IF($E509&gt;0,IF(+F509-I509+Q509&lt;0,0,+F509-I509+Q509),0))</f>
        <v>0</v>
      </c>
      <c r="L509" s="325">
        <f t="shared" ref="L509:L532" si="126">INT(IF($E509&gt;0,IF(K509=0,-F509+I509-Q509,0),0))</f>
        <v>0</v>
      </c>
      <c r="M509" s="407">
        <v>13.33</v>
      </c>
      <c r="N509" s="408" t="s">
        <v>289</v>
      </c>
      <c r="O509" s="325">
        <f t="shared" ref="O509:O532" si="127">IF(E509&gt;0,INT(IF($N509="D",IF($D509&lt;$H$3,$I509*($M509/100)*((E509-$H$3)/365),$J509*($M509/100)*($J$3-$D509)/365),0)),0)</f>
        <v>0</v>
      </c>
      <c r="P509" s="325">
        <f t="shared" ref="P509:P532" si="128">IF(E509&gt;0,INT(IF($N509="P",IF($D509&lt;$H$3,$H509*($M509/100)*(E509-$H$3)/365,$J509*($M509/100)*($J$3-$D509)/365),0)),0)</f>
        <v>0</v>
      </c>
      <c r="Q509" s="325">
        <f t="shared" ref="Q509:Q532" si="129">+O509+P509</f>
        <v>0</v>
      </c>
      <c r="R509" s="325">
        <f t="shared" si="115"/>
        <v>126</v>
      </c>
      <c r="S509" s="325">
        <f t="shared" si="116"/>
        <v>0</v>
      </c>
      <c r="T509" s="325">
        <f t="shared" ref="T509:T532" si="130">+R509+S509+Q509</f>
        <v>126</v>
      </c>
      <c r="U509" s="325">
        <f t="shared" ref="U509:U532" si="131">+I509+J509-T509-F509+K509-L509</f>
        <v>1765.12</v>
      </c>
      <c r="V509" s="325">
        <f t="shared" si="117"/>
        <v>0</v>
      </c>
      <c r="W509" s="449" cm="1">
        <f t="array" ref="W509">+IF(U509&lt;0,error,0)</f>
        <v>0</v>
      </c>
    </row>
    <row r="510" spans="1:23" ht="18" customHeight="1" x14ac:dyDescent="0.2">
      <c r="A510" s="402" t="s">
        <v>2115</v>
      </c>
      <c r="B510" s="403"/>
      <c r="C510" s="404" t="s">
        <v>2123</v>
      </c>
      <c r="D510" s="405">
        <v>43650</v>
      </c>
      <c r="E510" s="406"/>
      <c r="F510" s="325"/>
      <c r="G510" s="324"/>
      <c r="H510" s="324">
        <v>3317.32</v>
      </c>
      <c r="I510" s="325">
        <v>2701.32</v>
      </c>
      <c r="J510" s="325"/>
      <c r="K510" s="325">
        <f t="shared" si="125"/>
        <v>0</v>
      </c>
      <c r="L510" s="325">
        <f t="shared" si="126"/>
        <v>0</v>
      </c>
      <c r="M510" s="407">
        <v>13.33</v>
      </c>
      <c r="N510" s="408" t="s">
        <v>289</v>
      </c>
      <c r="O510" s="325">
        <f t="shared" si="127"/>
        <v>0</v>
      </c>
      <c r="P510" s="325">
        <f t="shared" si="128"/>
        <v>0</v>
      </c>
      <c r="Q510" s="325">
        <f t="shared" si="129"/>
        <v>0</v>
      </c>
      <c r="R510" s="325">
        <f t="shared" si="115"/>
        <v>180</v>
      </c>
      <c r="S510" s="325">
        <f t="shared" si="116"/>
        <v>0</v>
      </c>
      <c r="T510" s="325">
        <f t="shared" si="130"/>
        <v>180</v>
      </c>
      <c r="U510" s="325">
        <f t="shared" si="131"/>
        <v>2521.3200000000002</v>
      </c>
      <c r="V510" s="325">
        <f t="shared" si="117"/>
        <v>0</v>
      </c>
      <c r="W510" s="449" cm="1">
        <f t="array" ref="W510">+IF(U510&lt;0,error,0)</f>
        <v>0</v>
      </c>
    </row>
    <row r="511" spans="1:23" ht="18" customHeight="1" x14ac:dyDescent="0.2">
      <c r="A511" s="402" t="s">
        <v>2116</v>
      </c>
      <c r="B511" s="403"/>
      <c r="C511" s="404" t="s">
        <v>2124</v>
      </c>
      <c r="D511" s="405">
        <v>43650</v>
      </c>
      <c r="E511" s="406"/>
      <c r="F511" s="325"/>
      <c r="G511" s="324"/>
      <c r="H511" s="324">
        <v>2543.2800000000002</v>
      </c>
      <c r="I511" s="325">
        <v>2071.2800000000002</v>
      </c>
      <c r="J511" s="325"/>
      <c r="K511" s="325">
        <f t="shared" si="125"/>
        <v>0</v>
      </c>
      <c r="L511" s="325">
        <f t="shared" si="126"/>
        <v>0</v>
      </c>
      <c r="M511" s="407">
        <v>13.33</v>
      </c>
      <c r="N511" s="408" t="s">
        <v>289</v>
      </c>
      <c r="O511" s="325">
        <f t="shared" si="127"/>
        <v>0</v>
      </c>
      <c r="P511" s="325">
        <f t="shared" si="128"/>
        <v>0</v>
      </c>
      <c r="Q511" s="325">
        <f t="shared" si="129"/>
        <v>0</v>
      </c>
      <c r="R511" s="325">
        <f t="shared" si="115"/>
        <v>138</v>
      </c>
      <c r="S511" s="325">
        <f t="shared" si="116"/>
        <v>0</v>
      </c>
      <c r="T511" s="325">
        <f t="shared" si="130"/>
        <v>138</v>
      </c>
      <c r="U511" s="325">
        <f t="shared" si="131"/>
        <v>1933.2800000000002</v>
      </c>
      <c r="V511" s="325">
        <f t="shared" si="117"/>
        <v>0</v>
      </c>
      <c r="W511" s="449" cm="1">
        <f t="array" ref="W511">+IF(U511&lt;0,error,0)</f>
        <v>0</v>
      </c>
    </row>
    <row r="512" spans="1:23" ht="18" customHeight="1" x14ac:dyDescent="0.2">
      <c r="A512" s="402" t="s">
        <v>2117</v>
      </c>
      <c r="B512" s="403"/>
      <c r="C512" s="404" t="s">
        <v>2133</v>
      </c>
      <c r="D512" s="405">
        <v>43650</v>
      </c>
      <c r="E512" s="406"/>
      <c r="F512" s="325"/>
      <c r="G512" s="324"/>
      <c r="H512" s="324">
        <v>97582.25</v>
      </c>
      <c r="I512" s="325">
        <v>79421.25</v>
      </c>
      <c r="J512" s="325"/>
      <c r="K512" s="325">
        <f t="shared" si="125"/>
        <v>0</v>
      </c>
      <c r="L512" s="325">
        <f t="shared" si="126"/>
        <v>0</v>
      </c>
      <c r="M512" s="407">
        <v>13.33</v>
      </c>
      <c r="N512" s="408" t="s">
        <v>289</v>
      </c>
      <c r="O512" s="325">
        <f t="shared" si="127"/>
        <v>0</v>
      </c>
      <c r="P512" s="325">
        <f t="shared" si="128"/>
        <v>0</v>
      </c>
      <c r="Q512" s="325">
        <f t="shared" si="129"/>
        <v>0</v>
      </c>
      <c r="R512" s="325">
        <f t="shared" si="115"/>
        <v>5293</v>
      </c>
      <c r="S512" s="325">
        <f t="shared" si="116"/>
        <v>0</v>
      </c>
      <c r="T512" s="325">
        <f t="shared" si="130"/>
        <v>5293</v>
      </c>
      <c r="U512" s="325">
        <f t="shared" si="131"/>
        <v>74128.25</v>
      </c>
      <c r="V512" s="325">
        <f t="shared" si="117"/>
        <v>0</v>
      </c>
      <c r="W512" s="449" cm="1">
        <f t="array" ref="W512">+IF(U512&lt;0,error,0)</f>
        <v>0</v>
      </c>
    </row>
    <row r="513" spans="1:23" ht="18" customHeight="1" x14ac:dyDescent="0.2">
      <c r="A513" s="402" t="s">
        <v>2118</v>
      </c>
      <c r="B513" s="403"/>
      <c r="C513" s="404" t="s">
        <v>2134</v>
      </c>
      <c r="D513" s="405">
        <v>43704</v>
      </c>
      <c r="E513" s="406"/>
      <c r="F513" s="325"/>
      <c r="G513" s="324"/>
      <c r="H513" s="324">
        <v>102040.73</v>
      </c>
      <c r="I513" s="325">
        <v>84802.73</v>
      </c>
      <c r="J513" s="325"/>
      <c r="K513" s="325">
        <f t="shared" si="125"/>
        <v>0</v>
      </c>
      <c r="L513" s="325">
        <f t="shared" si="126"/>
        <v>0</v>
      </c>
      <c r="M513" s="407">
        <v>13.33</v>
      </c>
      <c r="N513" s="408" t="s">
        <v>289</v>
      </c>
      <c r="O513" s="325">
        <f t="shared" si="127"/>
        <v>0</v>
      </c>
      <c r="P513" s="325">
        <f t="shared" si="128"/>
        <v>0</v>
      </c>
      <c r="Q513" s="325">
        <f t="shared" si="129"/>
        <v>0</v>
      </c>
      <c r="R513" s="325">
        <f t="shared" si="115"/>
        <v>5652</v>
      </c>
      <c r="S513" s="325">
        <f t="shared" si="116"/>
        <v>0</v>
      </c>
      <c r="T513" s="325">
        <f t="shared" si="130"/>
        <v>5652</v>
      </c>
      <c r="U513" s="325">
        <f t="shared" si="131"/>
        <v>79150.73</v>
      </c>
      <c r="V513" s="325">
        <f t="shared" si="117"/>
        <v>0</v>
      </c>
      <c r="W513" s="449" cm="1">
        <f t="array" ref="W513">+IF(U513&lt;0,error,0)</f>
        <v>0</v>
      </c>
    </row>
    <row r="514" spans="1:23" ht="18" customHeight="1" x14ac:dyDescent="0.2">
      <c r="A514" s="402" t="s">
        <v>2120</v>
      </c>
      <c r="B514" s="403"/>
      <c r="C514" s="404" t="s">
        <v>2138</v>
      </c>
      <c r="D514" s="405">
        <v>43677</v>
      </c>
      <c r="E514" s="406"/>
      <c r="F514" s="325"/>
      <c r="G514" s="324"/>
      <c r="H514" s="324">
        <v>487.5</v>
      </c>
      <c r="I514" s="325">
        <v>402.5</v>
      </c>
      <c r="J514" s="325"/>
      <c r="K514" s="325">
        <f t="shared" si="125"/>
        <v>0</v>
      </c>
      <c r="L514" s="325">
        <f t="shared" si="126"/>
        <v>0</v>
      </c>
      <c r="M514" s="407">
        <v>13.33</v>
      </c>
      <c r="N514" s="408" t="s">
        <v>289</v>
      </c>
      <c r="O514" s="325">
        <f t="shared" si="127"/>
        <v>0</v>
      </c>
      <c r="P514" s="325">
        <f t="shared" si="128"/>
        <v>0</v>
      </c>
      <c r="Q514" s="325">
        <f t="shared" si="129"/>
        <v>0</v>
      </c>
      <c r="R514" s="325">
        <f t="shared" si="115"/>
        <v>26</v>
      </c>
      <c r="S514" s="325">
        <f t="shared" si="116"/>
        <v>0</v>
      </c>
      <c r="T514" s="325">
        <f t="shared" si="130"/>
        <v>26</v>
      </c>
      <c r="U514" s="325">
        <f t="shared" si="131"/>
        <v>376.5</v>
      </c>
      <c r="V514" s="325">
        <f t="shared" si="117"/>
        <v>0</v>
      </c>
      <c r="W514" s="449" cm="1">
        <f t="array" ref="W514">+IF(U514&lt;0,error,0)</f>
        <v>0</v>
      </c>
    </row>
    <row r="515" spans="1:23" ht="18" customHeight="1" x14ac:dyDescent="0.2">
      <c r="A515" s="402" t="s">
        <v>2125</v>
      </c>
      <c r="B515" s="403"/>
      <c r="C515" s="404" t="s">
        <v>2139</v>
      </c>
      <c r="D515" s="405">
        <v>43677</v>
      </c>
      <c r="E515" s="406"/>
      <c r="F515" s="325"/>
      <c r="G515" s="324"/>
      <c r="H515" s="324">
        <v>2307.5</v>
      </c>
      <c r="I515" s="325">
        <v>1899.5</v>
      </c>
      <c r="J515" s="325"/>
      <c r="K515" s="325">
        <f t="shared" si="125"/>
        <v>0</v>
      </c>
      <c r="L515" s="325">
        <f t="shared" si="126"/>
        <v>0</v>
      </c>
      <c r="M515" s="407">
        <v>13.33</v>
      </c>
      <c r="N515" s="408" t="s">
        <v>289</v>
      </c>
      <c r="O515" s="325">
        <f t="shared" si="127"/>
        <v>0</v>
      </c>
      <c r="P515" s="325">
        <f t="shared" si="128"/>
        <v>0</v>
      </c>
      <c r="Q515" s="325">
        <f t="shared" si="129"/>
        <v>0</v>
      </c>
      <c r="R515" s="325">
        <f t="shared" si="115"/>
        <v>126</v>
      </c>
      <c r="S515" s="325">
        <f t="shared" si="116"/>
        <v>0</v>
      </c>
      <c r="T515" s="325">
        <f t="shared" si="130"/>
        <v>126</v>
      </c>
      <c r="U515" s="325">
        <f t="shared" si="131"/>
        <v>1773.5</v>
      </c>
      <c r="V515" s="325">
        <f t="shared" si="117"/>
        <v>0</v>
      </c>
      <c r="W515" s="449" cm="1">
        <f t="array" ref="W515">+IF(U515&lt;0,error,0)</f>
        <v>0</v>
      </c>
    </row>
    <row r="516" spans="1:23" ht="18" customHeight="1" x14ac:dyDescent="0.2">
      <c r="A516" s="402" t="s">
        <v>2126</v>
      </c>
      <c r="B516" s="403"/>
      <c r="C516" s="404" t="s">
        <v>2135</v>
      </c>
      <c r="D516" s="405">
        <v>43704</v>
      </c>
      <c r="E516" s="406"/>
      <c r="F516" s="325"/>
      <c r="G516" s="324"/>
      <c r="H516" s="324">
        <v>9000</v>
      </c>
      <c r="I516" s="325">
        <v>7480</v>
      </c>
      <c r="J516" s="325"/>
      <c r="K516" s="325">
        <f t="shared" si="125"/>
        <v>0</v>
      </c>
      <c r="L516" s="325">
        <f t="shared" si="126"/>
        <v>0</v>
      </c>
      <c r="M516" s="407">
        <v>13.33</v>
      </c>
      <c r="N516" s="408" t="s">
        <v>289</v>
      </c>
      <c r="O516" s="325">
        <f t="shared" si="127"/>
        <v>0</v>
      </c>
      <c r="P516" s="325">
        <f t="shared" si="128"/>
        <v>0</v>
      </c>
      <c r="Q516" s="325">
        <f t="shared" si="129"/>
        <v>0</v>
      </c>
      <c r="R516" s="325">
        <f t="shared" si="115"/>
        <v>498</v>
      </c>
      <c r="S516" s="325">
        <f t="shared" si="116"/>
        <v>0</v>
      </c>
      <c r="T516" s="325">
        <f t="shared" si="130"/>
        <v>498</v>
      </c>
      <c r="U516" s="325">
        <f t="shared" si="131"/>
        <v>6982</v>
      </c>
      <c r="V516" s="325">
        <f t="shared" si="117"/>
        <v>0</v>
      </c>
      <c r="W516" s="449" cm="1">
        <f t="array" ref="W516">+IF(U516&lt;0,error,0)</f>
        <v>0</v>
      </c>
    </row>
    <row r="517" spans="1:23" ht="18" customHeight="1" x14ac:dyDescent="0.2">
      <c r="A517" s="402" t="s">
        <v>2127</v>
      </c>
      <c r="B517" s="403"/>
      <c r="C517" s="404" t="s">
        <v>2136</v>
      </c>
      <c r="D517" s="405">
        <v>43704</v>
      </c>
      <c r="E517" s="406"/>
      <c r="F517" s="325"/>
      <c r="G517" s="324"/>
      <c r="H517" s="324">
        <v>1000</v>
      </c>
      <c r="I517" s="325">
        <v>832</v>
      </c>
      <c r="J517" s="325"/>
      <c r="K517" s="325">
        <f t="shared" si="125"/>
        <v>0</v>
      </c>
      <c r="L517" s="325">
        <f t="shared" si="126"/>
        <v>0</v>
      </c>
      <c r="M517" s="407">
        <v>13.33</v>
      </c>
      <c r="N517" s="408" t="s">
        <v>289</v>
      </c>
      <c r="O517" s="325">
        <f t="shared" si="127"/>
        <v>0</v>
      </c>
      <c r="P517" s="325">
        <f t="shared" si="128"/>
        <v>0</v>
      </c>
      <c r="Q517" s="325">
        <f t="shared" si="129"/>
        <v>0</v>
      </c>
      <c r="R517" s="325">
        <f t="shared" si="115"/>
        <v>55</v>
      </c>
      <c r="S517" s="325">
        <f t="shared" si="116"/>
        <v>0</v>
      </c>
      <c r="T517" s="325">
        <f t="shared" si="130"/>
        <v>55</v>
      </c>
      <c r="U517" s="325">
        <f t="shared" si="131"/>
        <v>777</v>
      </c>
      <c r="V517" s="325">
        <f t="shared" si="117"/>
        <v>0</v>
      </c>
      <c r="W517" s="449" cm="1">
        <f t="array" ref="W517">+IF(U517&lt;0,error,0)</f>
        <v>0</v>
      </c>
    </row>
    <row r="518" spans="1:23" ht="18" customHeight="1" x14ac:dyDescent="0.2">
      <c r="A518" s="402" t="s">
        <v>2128</v>
      </c>
      <c r="B518" s="403"/>
      <c r="C518" s="404" t="s">
        <v>2140</v>
      </c>
      <c r="D518" s="405">
        <v>43689</v>
      </c>
      <c r="E518" s="406"/>
      <c r="F518" s="325"/>
      <c r="G518" s="324"/>
      <c r="H518" s="324">
        <v>3820</v>
      </c>
      <c r="I518" s="325">
        <v>3158</v>
      </c>
      <c r="J518" s="325"/>
      <c r="K518" s="325">
        <f t="shared" si="125"/>
        <v>0</v>
      </c>
      <c r="L518" s="325">
        <f t="shared" si="126"/>
        <v>0</v>
      </c>
      <c r="M518" s="407">
        <v>13.33</v>
      </c>
      <c r="N518" s="408" t="s">
        <v>289</v>
      </c>
      <c r="O518" s="325">
        <f t="shared" si="127"/>
        <v>0</v>
      </c>
      <c r="P518" s="325">
        <f t="shared" si="128"/>
        <v>0</v>
      </c>
      <c r="Q518" s="325">
        <f t="shared" si="129"/>
        <v>0</v>
      </c>
      <c r="R518" s="325">
        <f t="shared" si="115"/>
        <v>210</v>
      </c>
      <c r="S518" s="325">
        <f t="shared" si="116"/>
        <v>0</v>
      </c>
      <c r="T518" s="325">
        <f t="shared" si="130"/>
        <v>210</v>
      </c>
      <c r="U518" s="325">
        <f t="shared" si="131"/>
        <v>2948</v>
      </c>
      <c r="V518" s="325">
        <f t="shared" si="117"/>
        <v>0</v>
      </c>
      <c r="W518" s="449" cm="1">
        <f t="array" ref="W518">+IF(U518&lt;0,error,0)</f>
        <v>0</v>
      </c>
    </row>
    <row r="519" spans="1:23" ht="18" customHeight="1" x14ac:dyDescent="0.2">
      <c r="A519" s="402" t="s">
        <v>2129</v>
      </c>
      <c r="B519" s="403"/>
      <c r="C519" s="404" t="s">
        <v>2141</v>
      </c>
      <c r="D519" s="405">
        <v>43698</v>
      </c>
      <c r="E519" s="406"/>
      <c r="F519" s="325"/>
      <c r="G519" s="324"/>
      <c r="H519" s="324">
        <v>1800</v>
      </c>
      <c r="I519" s="325">
        <v>1494</v>
      </c>
      <c r="J519" s="325"/>
      <c r="K519" s="325">
        <f t="shared" si="125"/>
        <v>0</v>
      </c>
      <c r="L519" s="325">
        <f t="shared" si="126"/>
        <v>0</v>
      </c>
      <c r="M519" s="407">
        <v>13.33</v>
      </c>
      <c r="N519" s="408" t="s">
        <v>289</v>
      </c>
      <c r="O519" s="325">
        <f t="shared" si="127"/>
        <v>0</v>
      </c>
      <c r="P519" s="325">
        <f t="shared" si="128"/>
        <v>0</v>
      </c>
      <c r="Q519" s="325">
        <f t="shared" si="129"/>
        <v>0</v>
      </c>
      <c r="R519" s="325">
        <f t="shared" si="115"/>
        <v>99</v>
      </c>
      <c r="S519" s="325">
        <f t="shared" si="116"/>
        <v>0</v>
      </c>
      <c r="T519" s="325">
        <f t="shared" si="130"/>
        <v>99</v>
      </c>
      <c r="U519" s="325">
        <f t="shared" si="131"/>
        <v>1395</v>
      </c>
      <c r="V519" s="325">
        <f t="shared" si="117"/>
        <v>0</v>
      </c>
      <c r="W519" s="449" cm="1">
        <f t="array" ref="W519">+IF(U519&lt;0,error,0)</f>
        <v>0</v>
      </c>
    </row>
    <row r="520" spans="1:23" ht="18" customHeight="1" x14ac:dyDescent="0.2">
      <c r="A520" s="402" t="s">
        <v>2130</v>
      </c>
      <c r="B520" s="403"/>
      <c r="C520" s="404" t="s">
        <v>2142</v>
      </c>
      <c r="D520" s="405">
        <v>43709</v>
      </c>
      <c r="E520" s="406"/>
      <c r="F520" s="325"/>
      <c r="G520" s="324"/>
      <c r="H520" s="324">
        <v>4136.5</v>
      </c>
      <c r="I520" s="325">
        <v>3445.5</v>
      </c>
      <c r="J520" s="325"/>
      <c r="K520" s="325">
        <f t="shared" si="125"/>
        <v>0</v>
      </c>
      <c r="L520" s="325">
        <f t="shared" si="126"/>
        <v>0</v>
      </c>
      <c r="M520" s="407">
        <v>13.33</v>
      </c>
      <c r="N520" s="408" t="s">
        <v>289</v>
      </c>
      <c r="O520" s="325">
        <f t="shared" si="127"/>
        <v>0</v>
      </c>
      <c r="P520" s="325">
        <f t="shared" si="128"/>
        <v>0</v>
      </c>
      <c r="Q520" s="325">
        <f t="shared" si="129"/>
        <v>0</v>
      </c>
      <c r="R520" s="325">
        <f t="shared" si="115"/>
        <v>229</v>
      </c>
      <c r="S520" s="325">
        <f t="shared" si="116"/>
        <v>0</v>
      </c>
      <c r="T520" s="325">
        <f t="shared" si="130"/>
        <v>229</v>
      </c>
      <c r="U520" s="325">
        <f t="shared" si="131"/>
        <v>3216.5</v>
      </c>
      <c r="V520" s="325">
        <f t="shared" si="117"/>
        <v>0</v>
      </c>
      <c r="W520" s="449" cm="1">
        <f t="array" ref="W520">+IF(U520&lt;0,error,0)</f>
        <v>0</v>
      </c>
    </row>
    <row r="521" spans="1:23" ht="18" customHeight="1" x14ac:dyDescent="0.2">
      <c r="A521" s="402" t="s">
        <v>2131</v>
      </c>
      <c r="B521" s="403"/>
      <c r="C521" s="404" t="s">
        <v>2143</v>
      </c>
      <c r="D521" s="405">
        <v>43731</v>
      </c>
      <c r="E521" s="406"/>
      <c r="F521" s="325"/>
      <c r="G521" s="324"/>
      <c r="H521" s="324">
        <v>5500</v>
      </c>
      <c r="I521" s="325">
        <v>4620</v>
      </c>
      <c r="J521" s="325"/>
      <c r="K521" s="325">
        <f t="shared" si="125"/>
        <v>0</v>
      </c>
      <c r="L521" s="325">
        <f t="shared" si="126"/>
        <v>0</v>
      </c>
      <c r="M521" s="407">
        <v>13.33</v>
      </c>
      <c r="N521" s="408" t="s">
        <v>289</v>
      </c>
      <c r="O521" s="325">
        <f t="shared" si="127"/>
        <v>0</v>
      </c>
      <c r="P521" s="325">
        <f t="shared" si="128"/>
        <v>0</v>
      </c>
      <c r="Q521" s="325">
        <f t="shared" si="129"/>
        <v>0</v>
      </c>
      <c r="R521" s="325">
        <f t="shared" si="115"/>
        <v>307</v>
      </c>
      <c r="S521" s="325">
        <f t="shared" si="116"/>
        <v>0</v>
      </c>
      <c r="T521" s="325">
        <f t="shared" si="130"/>
        <v>307</v>
      </c>
      <c r="U521" s="325">
        <f t="shared" si="131"/>
        <v>4313</v>
      </c>
      <c r="V521" s="325">
        <f t="shared" si="117"/>
        <v>0</v>
      </c>
      <c r="W521" s="449" cm="1">
        <f t="array" ref="W521">+IF(U521&lt;0,error,0)</f>
        <v>0</v>
      </c>
    </row>
    <row r="522" spans="1:23" ht="18" customHeight="1" x14ac:dyDescent="0.2">
      <c r="A522" s="402" t="s">
        <v>2132</v>
      </c>
      <c r="B522" s="403"/>
      <c r="C522" s="404" t="s">
        <v>2144</v>
      </c>
      <c r="D522" s="405">
        <v>43738</v>
      </c>
      <c r="E522" s="406"/>
      <c r="F522" s="325"/>
      <c r="G522" s="324"/>
      <c r="H522" s="324">
        <v>455</v>
      </c>
      <c r="I522" s="325">
        <v>384</v>
      </c>
      <c r="J522" s="325"/>
      <c r="K522" s="325">
        <f t="shared" si="125"/>
        <v>0</v>
      </c>
      <c r="L522" s="325">
        <f t="shared" si="126"/>
        <v>0</v>
      </c>
      <c r="M522" s="407">
        <v>13.33</v>
      </c>
      <c r="N522" s="408" t="s">
        <v>289</v>
      </c>
      <c r="O522" s="325">
        <f t="shared" si="127"/>
        <v>0</v>
      </c>
      <c r="P522" s="325">
        <f t="shared" si="128"/>
        <v>0</v>
      </c>
      <c r="Q522" s="325">
        <f t="shared" si="129"/>
        <v>0</v>
      </c>
      <c r="R522" s="325">
        <f t="shared" si="115"/>
        <v>25</v>
      </c>
      <c r="S522" s="325">
        <f t="shared" si="116"/>
        <v>0</v>
      </c>
      <c r="T522" s="325">
        <f t="shared" si="130"/>
        <v>25</v>
      </c>
      <c r="U522" s="325">
        <f t="shared" si="131"/>
        <v>359</v>
      </c>
      <c r="V522" s="325">
        <f t="shared" si="117"/>
        <v>0</v>
      </c>
      <c r="W522" s="449" cm="1">
        <f t="array" ref="W522">+IF(U522&lt;0,error,0)</f>
        <v>0</v>
      </c>
    </row>
    <row r="523" spans="1:23" ht="18" customHeight="1" x14ac:dyDescent="0.2">
      <c r="A523" s="402" t="s">
        <v>2146</v>
      </c>
      <c r="B523" s="403"/>
      <c r="C523" s="404" t="s">
        <v>2145</v>
      </c>
      <c r="D523" s="405">
        <v>43799</v>
      </c>
      <c r="E523" s="406"/>
      <c r="F523" s="325"/>
      <c r="G523" s="324"/>
      <c r="H523" s="324">
        <v>845</v>
      </c>
      <c r="I523" s="325">
        <v>729</v>
      </c>
      <c r="J523" s="325"/>
      <c r="K523" s="325">
        <f t="shared" si="125"/>
        <v>0</v>
      </c>
      <c r="L523" s="325">
        <f t="shared" si="126"/>
        <v>0</v>
      </c>
      <c r="M523" s="407">
        <v>13.33</v>
      </c>
      <c r="N523" s="408" t="s">
        <v>289</v>
      </c>
      <c r="O523" s="325">
        <f t="shared" si="127"/>
        <v>0</v>
      </c>
      <c r="P523" s="325">
        <f t="shared" si="128"/>
        <v>0</v>
      </c>
      <c r="Q523" s="325">
        <f t="shared" si="129"/>
        <v>0</v>
      </c>
      <c r="R523" s="325">
        <f t="shared" si="115"/>
        <v>48</v>
      </c>
      <c r="S523" s="325">
        <f t="shared" si="116"/>
        <v>0</v>
      </c>
      <c r="T523" s="325">
        <f t="shared" si="130"/>
        <v>48</v>
      </c>
      <c r="U523" s="325">
        <f t="shared" si="131"/>
        <v>681</v>
      </c>
      <c r="V523" s="325">
        <f t="shared" si="117"/>
        <v>0</v>
      </c>
      <c r="W523" s="449" cm="1">
        <f t="array" ref="W523">+IF(U523&lt;0,error,0)</f>
        <v>0</v>
      </c>
    </row>
    <row r="524" spans="1:23" ht="18" customHeight="1" x14ac:dyDescent="0.2">
      <c r="A524" s="402" t="s">
        <v>2352</v>
      </c>
      <c r="B524" s="403"/>
      <c r="C524" s="404" t="s">
        <v>2361</v>
      </c>
      <c r="D524" s="405">
        <v>43861</v>
      </c>
      <c r="E524" s="406"/>
      <c r="F524" s="325"/>
      <c r="G524" s="324"/>
      <c r="H524" s="324">
        <v>17030</v>
      </c>
      <c r="I524" s="325">
        <v>15019</v>
      </c>
      <c r="J524" s="325"/>
      <c r="K524" s="325">
        <f t="shared" si="125"/>
        <v>0</v>
      </c>
      <c r="L524" s="325">
        <f t="shared" si="126"/>
        <v>0</v>
      </c>
      <c r="M524" s="407">
        <v>13.33</v>
      </c>
      <c r="N524" s="408" t="s">
        <v>289</v>
      </c>
      <c r="O524" s="325">
        <f t="shared" si="127"/>
        <v>0</v>
      </c>
      <c r="P524" s="325">
        <f t="shared" si="128"/>
        <v>0</v>
      </c>
      <c r="Q524" s="325">
        <f t="shared" si="129"/>
        <v>0</v>
      </c>
      <c r="R524" s="325">
        <f t="shared" si="115"/>
        <v>1001</v>
      </c>
      <c r="S524" s="325">
        <f t="shared" si="116"/>
        <v>0</v>
      </c>
      <c r="T524" s="325">
        <f t="shared" si="130"/>
        <v>1001</v>
      </c>
      <c r="U524" s="325">
        <f t="shared" si="131"/>
        <v>14018</v>
      </c>
      <c r="V524" s="325">
        <f t="shared" si="117"/>
        <v>0</v>
      </c>
      <c r="W524" s="449" cm="1">
        <f t="array" ref="W524">+IF(U524&lt;0,error,0)</f>
        <v>0</v>
      </c>
    </row>
    <row r="525" spans="1:23" ht="18" customHeight="1" x14ac:dyDescent="0.2">
      <c r="A525" s="402" t="s">
        <v>2353</v>
      </c>
      <c r="B525" s="403"/>
      <c r="C525" s="404" t="s">
        <v>2362</v>
      </c>
      <c r="D525" s="405">
        <v>43861</v>
      </c>
      <c r="E525" s="406"/>
      <c r="F525" s="325"/>
      <c r="G525" s="324"/>
      <c r="H525" s="324">
        <v>17650</v>
      </c>
      <c r="I525" s="325">
        <v>15566</v>
      </c>
      <c r="J525" s="325"/>
      <c r="K525" s="325">
        <f t="shared" si="125"/>
        <v>0</v>
      </c>
      <c r="L525" s="325">
        <f t="shared" si="126"/>
        <v>0</v>
      </c>
      <c r="M525" s="407">
        <v>13.33</v>
      </c>
      <c r="N525" s="408" t="s">
        <v>289</v>
      </c>
      <c r="O525" s="325">
        <f t="shared" si="127"/>
        <v>0</v>
      </c>
      <c r="P525" s="325">
        <f t="shared" si="128"/>
        <v>0</v>
      </c>
      <c r="Q525" s="325">
        <f t="shared" si="129"/>
        <v>0</v>
      </c>
      <c r="R525" s="325">
        <f t="shared" si="115"/>
        <v>1037</v>
      </c>
      <c r="S525" s="325">
        <f t="shared" si="116"/>
        <v>0</v>
      </c>
      <c r="T525" s="325">
        <f t="shared" si="130"/>
        <v>1037</v>
      </c>
      <c r="U525" s="325">
        <f t="shared" si="131"/>
        <v>14529</v>
      </c>
      <c r="V525" s="325">
        <f t="shared" si="117"/>
        <v>0</v>
      </c>
      <c r="W525" s="449" cm="1">
        <f t="array" ref="W525">+IF(U525&lt;0,error,0)</f>
        <v>0</v>
      </c>
    </row>
    <row r="526" spans="1:23" ht="18" customHeight="1" x14ac:dyDescent="0.2">
      <c r="A526" s="402" t="s">
        <v>2354</v>
      </c>
      <c r="B526" s="403"/>
      <c r="C526" s="404" t="s">
        <v>2363</v>
      </c>
      <c r="D526" s="405">
        <v>43861</v>
      </c>
      <c r="E526" s="406"/>
      <c r="F526" s="325"/>
      <c r="G526" s="324"/>
      <c r="H526" s="324">
        <v>34963</v>
      </c>
      <c r="I526" s="325">
        <v>30834</v>
      </c>
      <c r="J526" s="325"/>
      <c r="K526" s="325">
        <f t="shared" si="125"/>
        <v>0</v>
      </c>
      <c r="L526" s="325">
        <f t="shared" si="126"/>
        <v>0</v>
      </c>
      <c r="M526" s="407">
        <v>13.33</v>
      </c>
      <c r="N526" s="408" t="s">
        <v>289</v>
      </c>
      <c r="O526" s="325">
        <f t="shared" si="127"/>
        <v>0</v>
      </c>
      <c r="P526" s="325">
        <f t="shared" si="128"/>
        <v>0</v>
      </c>
      <c r="Q526" s="325">
        <f t="shared" si="129"/>
        <v>0</v>
      </c>
      <c r="R526" s="325">
        <f t="shared" si="115"/>
        <v>2055</v>
      </c>
      <c r="S526" s="325">
        <f t="shared" si="116"/>
        <v>0</v>
      </c>
      <c r="T526" s="325">
        <f t="shared" si="130"/>
        <v>2055</v>
      </c>
      <c r="U526" s="325">
        <f t="shared" si="131"/>
        <v>28779</v>
      </c>
      <c r="V526" s="325">
        <f t="shared" si="117"/>
        <v>0</v>
      </c>
      <c r="W526" s="449" cm="1">
        <f t="array" ref="W526">+IF(U526&lt;0,error,0)</f>
        <v>0</v>
      </c>
    </row>
    <row r="527" spans="1:23" ht="18" customHeight="1" x14ac:dyDescent="0.2">
      <c r="A527" s="402" t="s">
        <v>2355</v>
      </c>
      <c r="B527" s="403"/>
      <c r="C527" s="404" t="s">
        <v>2364</v>
      </c>
      <c r="D527" s="405">
        <v>43861</v>
      </c>
      <c r="E527" s="406"/>
      <c r="F527" s="325"/>
      <c r="G527" s="324"/>
      <c r="H527" s="324">
        <v>6736.5</v>
      </c>
      <c r="I527" s="325">
        <v>5941.5</v>
      </c>
      <c r="J527" s="325"/>
      <c r="K527" s="325">
        <f t="shared" si="125"/>
        <v>0</v>
      </c>
      <c r="L527" s="325">
        <f t="shared" si="126"/>
        <v>0</v>
      </c>
      <c r="M527" s="407">
        <v>13.33</v>
      </c>
      <c r="N527" s="408" t="s">
        <v>289</v>
      </c>
      <c r="O527" s="325">
        <f t="shared" si="127"/>
        <v>0</v>
      </c>
      <c r="P527" s="325">
        <f t="shared" si="128"/>
        <v>0</v>
      </c>
      <c r="Q527" s="325">
        <f t="shared" si="129"/>
        <v>0</v>
      </c>
      <c r="R527" s="325">
        <f t="shared" si="115"/>
        <v>396</v>
      </c>
      <c r="S527" s="325">
        <f t="shared" si="116"/>
        <v>0</v>
      </c>
      <c r="T527" s="325">
        <f t="shared" si="130"/>
        <v>396</v>
      </c>
      <c r="U527" s="325">
        <f t="shared" si="131"/>
        <v>5545.5</v>
      </c>
      <c r="V527" s="325">
        <f t="shared" si="117"/>
        <v>0</v>
      </c>
      <c r="W527" s="449" cm="1">
        <f t="array" ref="W527">+IF(U527&lt;0,error,0)</f>
        <v>0</v>
      </c>
    </row>
    <row r="528" spans="1:23" ht="18" customHeight="1" x14ac:dyDescent="0.2">
      <c r="A528" s="402" t="s">
        <v>2356</v>
      </c>
      <c r="B528" s="403"/>
      <c r="C528" s="404" t="s">
        <v>2365</v>
      </c>
      <c r="D528" s="405">
        <v>43843</v>
      </c>
      <c r="E528" s="406"/>
      <c r="F528" s="325"/>
      <c r="G528" s="324"/>
      <c r="H528" s="324">
        <v>1983.22</v>
      </c>
      <c r="I528" s="325">
        <v>1737.22</v>
      </c>
      <c r="J528" s="325"/>
      <c r="K528" s="325">
        <f t="shared" si="125"/>
        <v>0</v>
      </c>
      <c r="L528" s="325">
        <f t="shared" si="126"/>
        <v>0</v>
      </c>
      <c r="M528" s="407">
        <v>13.33</v>
      </c>
      <c r="N528" s="408" t="s">
        <v>289</v>
      </c>
      <c r="O528" s="325">
        <f t="shared" si="127"/>
        <v>0</v>
      </c>
      <c r="P528" s="325">
        <f t="shared" si="128"/>
        <v>0</v>
      </c>
      <c r="Q528" s="325">
        <f t="shared" si="129"/>
        <v>0</v>
      </c>
      <c r="R528" s="325">
        <f t="shared" si="115"/>
        <v>115</v>
      </c>
      <c r="S528" s="325">
        <f t="shared" si="116"/>
        <v>0</v>
      </c>
      <c r="T528" s="325">
        <f t="shared" si="130"/>
        <v>115</v>
      </c>
      <c r="U528" s="325">
        <f t="shared" si="131"/>
        <v>1622.22</v>
      </c>
      <c r="V528" s="325">
        <f t="shared" si="117"/>
        <v>0</v>
      </c>
      <c r="W528" s="449" cm="1">
        <f t="array" ref="W528">+IF(U528&lt;0,error,0)</f>
        <v>0</v>
      </c>
    </row>
    <row r="529" spans="1:26" ht="18" customHeight="1" x14ac:dyDescent="0.2">
      <c r="A529" s="402" t="s">
        <v>2357</v>
      </c>
      <c r="B529" s="403"/>
      <c r="C529" s="404" t="s">
        <v>2366</v>
      </c>
      <c r="D529" s="405">
        <v>43843</v>
      </c>
      <c r="E529" s="406"/>
      <c r="F529" s="325"/>
      <c r="G529" s="324"/>
      <c r="H529" s="324">
        <v>1061</v>
      </c>
      <c r="I529" s="325">
        <v>991</v>
      </c>
      <c r="J529" s="325"/>
      <c r="K529" s="325">
        <f t="shared" si="125"/>
        <v>0</v>
      </c>
      <c r="L529" s="325">
        <f t="shared" si="126"/>
        <v>0</v>
      </c>
      <c r="M529" s="407">
        <v>13.33</v>
      </c>
      <c r="N529" s="408" t="s">
        <v>289</v>
      </c>
      <c r="O529" s="325">
        <f t="shared" si="127"/>
        <v>0</v>
      </c>
      <c r="P529" s="325">
        <f t="shared" si="128"/>
        <v>0</v>
      </c>
      <c r="Q529" s="325">
        <f t="shared" si="129"/>
        <v>0</v>
      </c>
      <c r="R529" s="325">
        <f t="shared" si="115"/>
        <v>66</v>
      </c>
      <c r="S529" s="325">
        <f t="shared" si="116"/>
        <v>0</v>
      </c>
      <c r="T529" s="325">
        <f t="shared" si="130"/>
        <v>66</v>
      </c>
      <c r="U529" s="325">
        <f t="shared" si="131"/>
        <v>925</v>
      </c>
      <c r="V529" s="325">
        <f t="shared" si="117"/>
        <v>0</v>
      </c>
      <c r="W529" s="449" cm="1">
        <f t="array" ref="W529">+IF(U529&lt;0,error,0)</f>
        <v>0</v>
      </c>
    </row>
    <row r="530" spans="1:26" ht="18" customHeight="1" x14ac:dyDescent="0.2">
      <c r="A530" s="402" t="s">
        <v>2358</v>
      </c>
      <c r="B530" s="403"/>
      <c r="C530" s="404" t="s">
        <v>2367</v>
      </c>
      <c r="D530" s="405">
        <v>43861</v>
      </c>
      <c r="E530" s="406"/>
      <c r="F530" s="325"/>
      <c r="G530" s="324"/>
      <c r="H530" s="324">
        <v>780</v>
      </c>
      <c r="I530" s="325">
        <v>688</v>
      </c>
      <c r="J530" s="325"/>
      <c r="K530" s="325">
        <f t="shared" si="125"/>
        <v>0</v>
      </c>
      <c r="L530" s="325">
        <f t="shared" si="126"/>
        <v>0</v>
      </c>
      <c r="M530" s="407">
        <v>13.33</v>
      </c>
      <c r="N530" s="408" t="s">
        <v>289</v>
      </c>
      <c r="O530" s="325">
        <f t="shared" si="127"/>
        <v>0</v>
      </c>
      <c r="P530" s="325">
        <f t="shared" si="128"/>
        <v>0</v>
      </c>
      <c r="Q530" s="325">
        <f t="shared" si="129"/>
        <v>0</v>
      </c>
      <c r="R530" s="325">
        <f t="shared" si="115"/>
        <v>45</v>
      </c>
      <c r="S530" s="325">
        <f t="shared" si="116"/>
        <v>0</v>
      </c>
      <c r="T530" s="325">
        <f t="shared" si="130"/>
        <v>45</v>
      </c>
      <c r="U530" s="325">
        <f t="shared" si="131"/>
        <v>643</v>
      </c>
      <c r="V530" s="325">
        <f t="shared" si="117"/>
        <v>0</v>
      </c>
      <c r="W530" s="449" cm="1">
        <f t="array" ref="W530">+IF(U530&lt;0,error,0)</f>
        <v>0</v>
      </c>
    </row>
    <row r="531" spans="1:26" ht="18" customHeight="1" x14ac:dyDescent="0.2">
      <c r="A531" s="402" t="s">
        <v>2359</v>
      </c>
      <c r="B531" s="403"/>
      <c r="C531" s="404" t="s">
        <v>2368</v>
      </c>
      <c r="D531" s="405">
        <v>43867</v>
      </c>
      <c r="E531" s="406"/>
      <c r="F531" s="325"/>
      <c r="G531" s="324"/>
      <c r="H531" s="324">
        <v>12150</v>
      </c>
      <c r="I531" s="325">
        <v>10741</v>
      </c>
      <c r="J531" s="325"/>
      <c r="K531" s="325">
        <f t="shared" si="125"/>
        <v>0</v>
      </c>
      <c r="L531" s="325">
        <f t="shared" si="126"/>
        <v>0</v>
      </c>
      <c r="M531" s="407">
        <v>13.33</v>
      </c>
      <c r="N531" s="408" t="s">
        <v>289</v>
      </c>
      <c r="O531" s="325">
        <f t="shared" si="127"/>
        <v>0</v>
      </c>
      <c r="P531" s="325">
        <f t="shared" si="128"/>
        <v>0</v>
      </c>
      <c r="Q531" s="325">
        <f t="shared" si="129"/>
        <v>0</v>
      </c>
      <c r="R531" s="325">
        <f t="shared" si="115"/>
        <v>715</v>
      </c>
      <c r="S531" s="325">
        <f t="shared" si="116"/>
        <v>0</v>
      </c>
      <c r="T531" s="325">
        <f t="shared" si="130"/>
        <v>715</v>
      </c>
      <c r="U531" s="325">
        <f t="shared" si="131"/>
        <v>10026</v>
      </c>
      <c r="V531" s="325">
        <f t="shared" si="117"/>
        <v>0</v>
      </c>
      <c r="W531" s="449" cm="1">
        <f t="array" ref="W531">+IF(U531&lt;0,error,0)</f>
        <v>0</v>
      </c>
    </row>
    <row r="532" spans="1:26" ht="18" customHeight="1" x14ac:dyDescent="0.2">
      <c r="A532" s="402" t="s">
        <v>2360</v>
      </c>
      <c r="B532" s="403"/>
      <c r="C532" s="404" t="s">
        <v>2369</v>
      </c>
      <c r="D532" s="405">
        <v>43878</v>
      </c>
      <c r="E532" s="406"/>
      <c r="F532" s="325"/>
      <c r="G532" s="324"/>
      <c r="H532" s="324">
        <v>4300</v>
      </c>
      <c r="I532" s="325">
        <v>3818.0141111100088</v>
      </c>
      <c r="J532" s="325"/>
      <c r="K532" s="325">
        <f t="shared" si="125"/>
        <v>0</v>
      </c>
      <c r="L532" s="325">
        <f t="shared" si="126"/>
        <v>0</v>
      </c>
      <c r="M532" s="407">
        <v>13.33</v>
      </c>
      <c r="N532" s="408" t="s">
        <v>289</v>
      </c>
      <c r="O532" s="325">
        <f t="shared" si="127"/>
        <v>0</v>
      </c>
      <c r="P532" s="325">
        <f t="shared" si="128"/>
        <v>0</v>
      </c>
      <c r="Q532" s="325">
        <f t="shared" si="129"/>
        <v>0</v>
      </c>
      <c r="R532" s="325">
        <f t="shared" si="115"/>
        <v>254</v>
      </c>
      <c r="S532" s="325">
        <f t="shared" si="116"/>
        <v>0</v>
      </c>
      <c r="T532" s="325">
        <f t="shared" si="130"/>
        <v>254</v>
      </c>
      <c r="U532" s="325">
        <f t="shared" si="131"/>
        <v>3564.0141111100088</v>
      </c>
      <c r="V532" s="325">
        <f t="shared" si="117"/>
        <v>0</v>
      </c>
      <c r="W532" s="449" cm="1">
        <f t="array" ref="W532">+IF(U532&lt;0,error,0)</f>
        <v>0</v>
      </c>
    </row>
    <row r="533" spans="1:26" ht="18" customHeight="1" x14ac:dyDescent="0.2">
      <c r="A533" s="402">
        <v>742642</v>
      </c>
      <c r="B533" s="403"/>
      <c r="C533" s="404" t="s">
        <v>2413</v>
      </c>
      <c r="D533" s="405">
        <v>44292</v>
      </c>
      <c r="E533" s="406"/>
      <c r="F533" s="325"/>
      <c r="G533" s="324"/>
      <c r="H533" s="324"/>
      <c r="I533" s="325"/>
      <c r="J533" s="325">
        <v>2975</v>
      </c>
      <c r="K533" s="325">
        <f t="shared" ref="K533" si="132">INT(IF($E533&gt;0,IF(+F533-I533+Q533&lt;0,0,+F533-I533+Q533),0))</f>
        <v>0</v>
      </c>
      <c r="L533" s="325">
        <f t="shared" ref="L533" si="133">INT(IF($E533&gt;0,IF(K533=0,-F533+I533-Q533,0),0))</f>
        <v>0</v>
      </c>
      <c r="M533" s="407">
        <v>13.33</v>
      </c>
      <c r="N533" s="408" t="s">
        <v>289</v>
      </c>
      <c r="O533" s="325">
        <f t="shared" ref="O533" si="134">IF(E533&gt;0,INT(IF($N533="D",IF($D533&lt;$H$3,$I533*($M533/100)*((E533-$H$3)/365),$J533*($M533/100)*($J$3-$D533)/365),0)),0)</f>
        <v>0</v>
      </c>
      <c r="P533" s="325">
        <f t="shared" ref="P533" si="135">IF(E533&gt;0,INT(IF($N533="P",IF($D533&lt;$H$3,$H533*($M533/100)*(E533-$H$3)/365,$J533*($M533/100)*($J$3-$D533)/365),0)),0)</f>
        <v>0</v>
      </c>
      <c r="Q533" s="325">
        <f t="shared" ref="Q533" si="136">+O533+P533</f>
        <v>0</v>
      </c>
      <c r="R533" s="325">
        <f t="shared" si="115"/>
        <v>92</v>
      </c>
      <c r="S533" s="325">
        <f t="shared" si="116"/>
        <v>0</v>
      </c>
      <c r="T533" s="325">
        <f t="shared" ref="T533" si="137">+R533+S533+Q533</f>
        <v>92</v>
      </c>
      <c r="U533" s="325">
        <f t="shared" ref="U533" si="138">+I533+J533-T533-F533+K533-L533</f>
        <v>2883</v>
      </c>
      <c r="V533" s="325">
        <f t="shared" ref="V533" si="139">IF(E533&gt;0,+H533+J533,0)</f>
        <v>0</v>
      </c>
      <c r="W533" s="449" cm="1">
        <f t="array" ref="W533">+IF(U533&lt;0,error,0)</f>
        <v>0</v>
      </c>
    </row>
    <row r="534" spans="1:26" ht="18" customHeight="1" x14ac:dyDescent="0.2">
      <c r="A534" s="402">
        <v>742643</v>
      </c>
      <c r="B534" s="403"/>
      <c r="C534" s="404" t="s">
        <v>2414</v>
      </c>
      <c r="D534" s="405">
        <v>44302</v>
      </c>
      <c r="E534" s="406"/>
      <c r="F534" s="325"/>
      <c r="G534" s="324"/>
      <c r="H534" s="324"/>
      <c r="I534" s="325"/>
      <c r="J534" s="325">
        <v>1635.64</v>
      </c>
      <c r="K534" s="325">
        <f t="shared" ref="K534" si="140">INT(IF($E534&gt;0,IF(+F534-I534+Q534&lt;0,0,+F534-I534+Q534),0))</f>
        <v>0</v>
      </c>
      <c r="L534" s="325">
        <f t="shared" ref="L534" si="141">INT(IF($E534&gt;0,IF(K534=0,-F534+I534-Q534,0),0))</f>
        <v>0</v>
      </c>
      <c r="M534" s="407">
        <v>13.33</v>
      </c>
      <c r="N534" s="408" t="s">
        <v>289</v>
      </c>
      <c r="O534" s="325">
        <f t="shared" ref="O534" si="142">IF(E534&gt;0,INT(IF($N534="D",IF($D534&lt;$H$3,$I534*($M534/100)*((E534-$H$3)/365),$J534*($M534/100)*($J$3-$D534)/365),0)),0)</f>
        <v>0</v>
      </c>
      <c r="P534" s="325">
        <f t="shared" ref="P534" si="143">IF(E534&gt;0,INT(IF($N534="P",IF($D534&lt;$H$3,$H534*($M534/100)*(E534-$H$3)/365,$J534*($M534/100)*($J$3-$D534)/365),0)),0)</f>
        <v>0</v>
      </c>
      <c r="Q534" s="325">
        <f t="shared" ref="Q534" si="144">+O534+P534</f>
        <v>0</v>
      </c>
      <c r="R534" s="325">
        <f t="shared" si="115"/>
        <v>44</v>
      </c>
      <c r="S534" s="325">
        <f t="shared" si="116"/>
        <v>0</v>
      </c>
      <c r="T534" s="325">
        <f t="shared" ref="T534" si="145">+R534+S534+Q534</f>
        <v>44</v>
      </c>
      <c r="U534" s="325">
        <f t="shared" ref="U534" si="146">+I534+J534-T534-F534+K534-L534</f>
        <v>1591.64</v>
      </c>
      <c r="V534" s="325">
        <f t="shared" ref="V534" si="147">IF(E534&gt;0,+H534+J534,0)</f>
        <v>0</v>
      </c>
      <c r="W534" s="449" cm="1">
        <f t="array" ref="W534">+IF(U534&lt;0,error,0)</f>
        <v>0</v>
      </c>
    </row>
    <row r="535" spans="1:26" ht="18" customHeight="1" x14ac:dyDescent="0.2">
      <c r="A535" s="413"/>
      <c r="B535" s="414"/>
      <c r="C535" s="416"/>
      <c r="D535" s="416"/>
      <c r="E535" s="406"/>
      <c r="F535" s="325"/>
      <c r="G535" s="324"/>
      <c r="H535" s="324"/>
      <c r="I535" s="333"/>
      <c r="J535" s="333"/>
      <c r="K535" s="333"/>
      <c r="L535" s="333"/>
      <c r="M535" s="418"/>
      <c r="N535" s="408"/>
      <c r="O535" s="408"/>
      <c r="P535" s="333"/>
      <c r="Q535" s="333"/>
      <c r="R535" s="408"/>
      <c r="S535" s="333"/>
      <c r="T535" s="333"/>
      <c r="U535" s="333"/>
      <c r="V535" s="333"/>
      <c r="W535" s="449" cm="1">
        <f t="array" ref="W535">+IF(U535&lt;0,error,0)</f>
        <v>0</v>
      </c>
    </row>
    <row r="536" spans="1:26" ht="18" customHeight="1" x14ac:dyDescent="0.2">
      <c r="A536" s="413"/>
      <c r="B536" s="414"/>
      <c r="C536" s="415" t="s">
        <v>2043</v>
      </c>
      <c r="D536" s="416"/>
      <c r="E536" s="406"/>
      <c r="F536" s="325"/>
      <c r="G536" s="324"/>
      <c r="H536" s="417">
        <f>+J537-V537</f>
        <v>3510.6400000000003</v>
      </c>
      <c r="I536" s="333"/>
      <c r="J536" s="333"/>
      <c r="K536" s="333"/>
      <c r="L536" s="333"/>
      <c r="M536" s="418"/>
      <c r="N536" s="408"/>
      <c r="O536" s="408"/>
      <c r="P536" s="333"/>
      <c r="Q536" s="333"/>
      <c r="R536" s="408"/>
      <c r="S536" s="333"/>
      <c r="T536" s="333"/>
      <c r="U536" s="333"/>
      <c r="V536" s="333"/>
      <c r="W536" s="449" cm="1">
        <f t="array" ref="W536">+IF(U536&lt;0,error,0)</f>
        <v>0</v>
      </c>
    </row>
    <row r="537" spans="1:26" s="347" customFormat="1" ht="18" customHeight="1" x14ac:dyDescent="0.2">
      <c r="A537" s="420"/>
      <c r="B537" s="421"/>
      <c r="C537" s="422" t="s">
        <v>1654</v>
      </c>
      <c r="D537" s="415"/>
      <c r="E537" s="429"/>
      <c r="F537" s="334">
        <f>SUM(F176:F535)</f>
        <v>700</v>
      </c>
      <c r="G537" s="417">
        <f>SUM(G176:G535)</f>
        <v>1100</v>
      </c>
      <c r="H537" s="417">
        <f>SUM(H176:H536)</f>
        <v>4764355.3615999958</v>
      </c>
      <c r="I537" s="417">
        <f>SUM(I176:I535)</f>
        <v>2815421.25</v>
      </c>
      <c r="J537" s="334">
        <f>SUM(J176:J535)</f>
        <v>4610.6400000000003</v>
      </c>
      <c r="K537" s="334">
        <f>SUM(K176:K535)</f>
        <v>700</v>
      </c>
      <c r="L537" s="334">
        <f>SUM(L176:L535)</f>
        <v>0</v>
      </c>
      <c r="M537" s="415"/>
      <c r="N537" s="426"/>
      <c r="O537" s="334">
        <f>SUM(O176:O494)</f>
        <v>0</v>
      </c>
      <c r="P537" s="334">
        <f>SUM(P176:P494)</f>
        <v>0</v>
      </c>
      <c r="Q537" s="334">
        <f>SUM(Q176:Q494)</f>
        <v>0</v>
      </c>
      <c r="R537" s="334">
        <f>SUM(R176:R494)</f>
        <v>125316</v>
      </c>
      <c r="S537" s="334">
        <f>SUM(S176:S494)</f>
        <v>404</v>
      </c>
      <c r="T537" s="417">
        <f>SUM(T176:T535)</f>
        <v>155315</v>
      </c>
      <c r="U537" s="334">
        <f>SUM(U176:U535)</f>
        <v>2664716.8899999997</v>
      </c>
      <c r="V537" s="417">
        <f>SUM(V176:V535)</f>
        <v>1100</v>
      </c>
      <c r="W537" s="449" cm="1">
        <f t="array" ref="W537">+IF(U537&lt;0,error,0)</f>
        <v>0</v>
      </c>
      <c r="Y537" s="347">
        <f>4764355.36-2099638.47</f>
        <v>2664716.89</v>
      </c>
      <c r="Z537" s="505">
        <f>+U537-Y537</f>
        <v>0</v>
      </c>
    </row>
    <row r="538" spans="1:26" ht="18" customHeight="1" x14ac:dyDescent="0.2">
      <c r="A538" s="402"/>
      <c r="B538" s="403"/>
      <c r="C538" s="416"/>
      <c r="D538" s="416"/>
      <c r="E538" s="406"/>
      <c r="F538" s="325"/>
      <c r="G538" s="324"/>
      <c r="H538" s="324"/>
      <c r="I538" s="325"/>
      <c r="J538" s="325"/>
      <c r="K538" s="325"/>
      <c r="L538" s="325"/>
      <c r="M538" s="416"/>
      <c r="N538" s="416"/>
      <c r="O538" s="416"/>
      <c r="P538" s="325"/>
      <c r="Q538" s="325"/>
      <c r="R538" s="416"/>
      <c r="S538" s="325"/>
      <c r="T538" s="325"/>
      <c r="U538" s="325"/>
      <c r="V538" s="325"/>
      <c r="W538" s="449" cm="1">
        <f t="array" ref="W538">+IF(U538&lt;0,error,0)</f>
        <v>0</v>
      </c>
    </row>
    <row r="539" spans="1:26" ht="18" customHeight="1" x14ac:dyDescent="0.2">
      <c r="A539" s="432" t="s">
        <v>1118</v>
      </c>
      <c r="B539" s="433"/>
      <c r="C539" s="416"/>
      <c r="D539" s="428"/>
      <c r="E539" s="434"/>
      <c r="F539" s="336"/>
      <c r="G539" s="435"/>
      <c r="H539" s="435"/>
      <c r="I539" s="336"/>
      <c r="J539" s="336"/>
      <c r="K539" s="336"/>
      <c r="L539" s="336"/>
      <c r="M539" s="428"/>
      <c r="N539" s="436"/>
      <c r="O539" s="436"/>
      <c r="P539" s="336"/>
      <c r="Q539" s="336"/>
      <c r="R539" s="436"/>
      <c r="S539" s="336"/>
      <c r="T539" s="336"/>
      <c r="U539" s="333"/>
      <c r="V539" s="333"/>
      <c r="W539" s="449" cm="1">
        <f t="array" ref="W539">+IF(U539&lt;0,error,0)</f>
        <v>0</v>
      </c>
    </row>
    <row r="540" spans="1:26" ht="18" customHeight="1" x14ac:dyDescent="0.2">
      <c r="A540" s="437" t="s">
        <v>1119</v>
      </c>
      <c r="B540" s="414"/>
      <c r="C540" s="416"/>
      <c r="D540" s="416"/>
      <c r="E540" s="406"/>
      <c r="F540" s="325"/>
      <c r="G540" s="324"/>
      <c r="H540" s="324"/>
      <c r="I540" s="333"/>
      <c r="J540" s="333"/>
      <c r="K540" s="333"/>
      <c r="L540" s="333"/>
      <c r="M540" s="418"/>
      <c r="N540" s="408"/>
      <c r="O540" s="408"/>
      <c r="P540" s="333"/>
      <c r="Q540" s="333"/>
      <c r="R540" s="408"/>
      <c r="S540" s="333"/>
      <c r="T540" s="333"/>
      <c r="U540" s="333"/>
      <c r="V540" s="333"/>
      <c r="W540" s="449" cm="1">
        <f t="array" ref="W540">+IF(U540&lt;0,error,0)</f>
        <v>0</v>
      </c>
    </row>
    <row r="541" spans="1:26" ht="18" customHeight="1" x14ac:dyDescent="0.2">
      <c r="A541" s="402" t="s">
        <v>1120</v>
      </c>
      <c r="B541" s="403"/>
      <c r="C541" s="404" t="s">
        <v>2269</v>
      </c>
      <c r="D541" s="405">
        <v>39973</v>
      </c>
      <c r="E541" s="406"/>
      <c r="F541" s="325"/>
      <c r="G541" s="324"/>
      <c r="H541" s="324">
        <v>17499</v>
      </c>
      <c r="I541" s="325">
        <v>1764</v>
      </c>
      <c r="J541" s="325"/>
      <c r="K541" s="325">
        <f t="shared" ref="K541:K551" si="148">INT(IF($E541&gt;0,IF(+F541-I541+Q541&lt;0,0,+F541-I541+Q541),0))</f>
        <v>0</v>
      </c>
      <c r="L541" s="325">
        <f t="shared" ref="L541:L551" si="149">INT(IF($E541&gt;0,IF(K541=0,-F541+I541-Q541,0),0))</f>
        <v>0</v>
      </c>
      <c r="M541" s="407">
        <v>18.18</v>
      </c>
      <c r="N541" s="408" t="s">
        <v>289</v>
      </c>
      <c r="O541" s="325">
        <f t="shared" ref="O541:O551" si="150">IF(E541&gt;0,INT(IF($N541="D",IF($D541&lt;$H$3,$I541*($M541/100)*((E541-$H$3)/365),$J541*($M541/100)*($J$3-$D541)/365),0)),0)</f>
        <v>0</v>
      </c>
      <c r="P541" s="325">
        <f t="shared" ref="P541:P551" si="151">IF(E541&gt;0,INT(IF($N541="P",IF($D541&lt;$H$3,$H541*($M541/100)*(E541-$H$3)/365,$J541*($M541/100)*($J$3-$D541)/365),0)),0)</f>
        <v>0</v>
      </c>
      <c r="Q541" s="325">
        <f t="shared" ref="Q541:Q551" si="152">+O541+P541</f>
        <v>0</v>
      </c>
      <c r="R541" s="325">
        <f t="shared" ref="R541:R551" si="153">INT(IF($E541&gt;0,0,(IF($N541="D",IF($D541&lt;$H$3,$I541*($M541/100)*$U$3/12,$J541*($M541/100)*($J$3-$D541)/365),0))))</f>
        <v>160</v>
      </c>
      <c r="S541" s="325">
        <f t="shared" ref="S541:S551" si="154">INT(IF($E541&gt;0,0,(IF($N541="P",IF($D541&lt;$H$3,$H541*($M541/100)*$U$3/12,$J541*($M541/100)*($J$3-$D541)/365),0))))</f>
        <v>0</v>
      </c>
      <c r="T541" s="325">
        <f t="shared" ref="T541:T551" si="155">+R541+S541+Q541</f>
        <v>160</v>
      </c>
      <c r="U541" s="325">
        <f>+I541+J541-T541-F541+K541-L541</f>
        <v>1604</v>
      </c>
      <c r="V541" s="325">
        <f t="shared" ref="V541:V551" si="156">IF(E541&gt;0,+H541+J541,0)</f>
        <v>0</v>
      </c>
      <c r="W541" s="449" cm="1">
        <f t="array" ref="W541">+IF(U541&lt;0,error,0)</f>
        <v>0</v>
      </c>
    </row>
    <row r="542" spans="1:26" ht="18" customHeight="1" x14ac:dyDescent="0.2">
      <c r="A542" s="402" t="s">
        <v>1121</v>
      </c>
      <c r="B542" s="403"/>
      <c r="C542" s="411" t="s">
        <v>1122</v>
      </c>
      <c r="D542" s="405">
        <v>40268</v>
      </c>
      <c r="E542" s="406"/>
      <c r="F542" s="325"/>
      <c r="G542" s="324"/>
      <c r="H542" s="324">
        <v>13034.44</v>
      </c>
      <c r="I542" s="325">
        <v>1550.2600000000002</v>
      </c>
      <c r="J542" s="325"/>
      <c r="K542" s="325">
        <f t="shared" si="148"/>
        <v>0</v>
      </c>
      <c r="L542" s="325">
        <f t="shared" si="149"/>
        <v>0</v>
      </c>
      <c r="M542" s="407">
        <v>18.18</v>
      </c>
      <c r="N542" s="408" t="s">
        <v>289</v>
      </c>
      <c r="O542" s="325">
        <f t="shared" si="150"/>
        <v>0</v>
      </c>
      <c r="P542" s="325">
        <f t="shared" si="151"/>
        <v>0</v>
      </c>
      <c r="Q542" s="325">
        <f t="shared" si="152"/>
        <v>0</v>
      </c>
      <c r="R542" s="325">
        <f t="shared" si="153"/>
        <v>140</v>
      </c>
      <c r="S542" s="325">
        <f t="shared" si="154"/>
        <v>0</v>
      </c>
      <c r="T542" s="325">
        <f t="shared" si="155"/>
        <v>140</v>
      </c>
      <c r="U542" s="325">
        <f>+I542+J542-T542-F542+K542-L542</f>
        <v>1410.2600000000002</v>
      </c>
      <c r="V542" s="325">
        <f t="shared" si="156"/>
        <v>0</v>
      </c>
      <c r="W542" s="449" cm="1">
        <f t="array" ref="W542">+IF(U542&lt;0,error,0)</f>
        <v>0</v>
      </c>
    </row>
    <row r="543" spans="1:26" ht="18" customHeight="1" x14ac:dyDescent="0.2">
      <c r="A543" s="402" t="s">
        <v>1123</v>
      </c>
      <c r="B543" s="403"/>
      <c r="C543" s="440" t="s">
        <v>1124</v>
      </c>
      <c r="D543" s="405">
        <v>41611</v>
      </c>
      <c r="E543" s="406"/>
      <c r="F543" s="325"/>
      <c r="G543" s="324"/>
      <c r="H543" s="324">
        <v>37380.36</v>
      </c>
      <c r="I543" s="325">
        <v>10543.36</v>
      </c>
      <c r="J543" s="325"/>
      <c r="K543" s="325">
        <f t="shared" si="148"/>
        <v>0</v>
      </c>
      <c r="L543" s="325">
        <f t="shared" si="149"/>
        <v>0</v>
      </c>
      <c r="M543" s="407">
        <v>16.66</v>
      </c>
      <c r="N543" s="408" t="s">
        <v>289</v>
      </c>
      <c r="O543" s="325">
        <f t="shared" si="150"/>
        <v>0</v>
      </c>
      <c r="P543" s="325">
        <f t="shared" si="151"/>
        <v>0</v>
      </c>
      <c r="Q543" s="325">
        <f t="shared" si="152"/>
        <v>0</v>
      </c>
      <c r="R543" s="325">
        <f t="shared" si="153"/>
        <v>878</v>
      </c>
      <c r="S543" s="325">
        <f t="shared" si="154"/>
        <v>0</v>
      </c>
      <c r="T543" s="325">
        <f t="shared" si="155"/>
        <v>878</v>
      </c>
      <c r="U543" s="325">
        <f>+I543+J543-T543-F543+K543-L543</f>
        <v>9665.36</v>
      </c>
      <c r="V543" s="325">
        <f t="shared" si="156"/>
        <v>0</v>
      </c>
      <c r="W543" s="449" cm="1">
        <f t="array" ref="W543">+IF(U543&lt;0,error,0)</f>
        <v>0</v>
      </c>
    </row>
    <row r="544" spans="1:26" ht="18" customHeight="1" x14ac:dyDescent="0.2">
      <c r="A544" s="402" t="s">
        <v>1127</v>
      </c>
      <c r="B544" s="403"/>
      <c r="C544" s="411" t="s">
        <v>1128</v>
      </c>
      <c r="D544" s="405">
        <v>42125</v>
      </c>
      <c r="E544" s="406"/>
      <c r="F544" s="325"/>
      <c r="G544" s="324"/>
      <c r="H544" s="324">
        <v>19272</v>
      </c>
      <c r="I544" s="325">
        <v>3988</v>
      </c>
      <c r="J544" s="325"/>
      <c r="K544" s="325">
        <f t="shared" si="148"/>
        <v>0</v>
      </c>
      <c r="L544" s="325">
        <f t="shared" si="149"/>
        <v>0</v>
      </c>
      <c r="M544" s="407">
        <v>25</v>
      </c>
      <c r="N544" s="408" t="s">
        <v>289</v>
      </c>
      <c r="O544" s="325">
        <f t="shared" si="150"/>
        <v>0</v>
      </c>
      <c r="P544" s="325">
        <f t="shared" si="151"/>
        <v>0</v>
      </c>
      <c r="Q544" s="325">
        <f t="shared" si="152"/>
        <v>0</v>
      </c>
      <c r="R544" s="325">
        <f t="shared" si="153"/>
        <v>498</v>
      </c>
      <c r="S544" s="325">
        <f t="shared" si="154"/>
        <v>0</v>
      </c>
      <c r="T544" s="325">
        <f t="shared" si="155"/>
        <v>498</v>
      </c>
      <c r="U544" s="325">
        <f>+I544+J544-T544-F544+K544-L544</f>
        <v>3490</v>
      </c>
      <c r="V544" s="325">
        <f t="shared" si="156"/>
        <v>0</v>
      </c>
      <c r="W544" s="449" cm="1">
        <f t="array" ref="W544">+IF(U544&lt;0,error,0)</f>
        <v>0</v>
      </c>
    </row>
    <row r="545" spans="1:26" ht="18" customHeight="1" x14ac:dyDescent="0.2">
      <c r="A545" s="402" t="s">
        <v>1131</v>
      </c>
      <c r="B545" s="403"/>
      <c r="C545" s="411" t="s">
        <v>1132</v>
      </c>
      <c r="D545" s="405">
        <v>42360</v>
      </c>
      <c r="E545" s="406"/>
      <c r="F545" s="325"/>
      <c r="G545" s="324"/>
      <c r="H545" s="324">
        <v>37434</v>
      </c>
      <c r="I545" s="325">
        <v>9756</v>
      </c>
      <c r="J545" s="325"/>
      <c r="K545" s="325">
        <f t="shared" si="148"/>
        <v>0</v>
      </c>
      <c r="L545" s="325">
        <f t="shared" si="149"/>
        <v>0</v>
      </c>
      <c r="M545" s="407">
        <v>25</v>
      </c>
      <c r="N545" s="408" t="s">
        <v>289</v>
      </c>
      <c r="O545" s="325">
        <f t="shared" si="150"/>
        <v>0</v>
      </c>
      <c r="P545" s="325">
        <f t="shared" si="151"/>
        <v>0</v>
      </c>
      <c r="Q545" s="325">
        <f t="shared" si="152"/>
        <v>0</v>
      </c>
      <c r="R545" s="325">
        <f t="shared" si="153"/>
        <v>1219</v>
      </c>
      <c r="S545" s="325">
        <f t="shared" si="154"/>
        <v>0</v>
      </c>
      <c r="T545" s="325">
        <f t="shared" si="155"/>
        <v>1219</v>
      </c>
      <c r="U545" s="325">
        <f t="shared" ref="U545:U549" si="157">+I545+J545-T545-F545+K545-L545</f>
        <v>8537</v>
      </c>
      <c r="V545" s="325">
        <f t="shared" si="156"/>
        <v>0</v>
      </c>
      <c r="W545" s="449" cm="1">
        <f t="array" ref="W545">+IF(U545&lt;0,error,0)</f>
        <v>0</v>
      </c>
    </row>
    <row r="546" spans="1:26" ht="18" customHeight="1" x14ac:dyDescent="0.2">
      <c r="A546" s="402" t="s">
        <v>1133</v>
      </c>
      <c r="B546" s="403"/>
      <c r="C546" s="411" t="s">
        <v>1134</v>
      </c>
      <c r="D546" s="405">
        <v>42387</v>
      </c>
      <c r="E546" s="406"/>
      <c r="F546" s="325"/>
      <c r="G546" s="324"/>
      <c r="H546" s="324">
        <v>2100</v>
      </c>
      <c r="I546" s="325">
        <v>557</v>
      </c>
      <c r="J546" s="325"/>
      <c r="K546" s="325">
        <f t="shared" si="148"/>
        <v>0</v>
      </c>
      <c r="L546" s="325">
        <f t="shared" si="149"/>
        <v>0</v>
      </c>
      <c r="M546" s="407">
        <v>25</v>
      </c>
      <c r="N546" s="408" t="s">
        <v>289</v>
      </c>
      <c r="O546" s="325">
        <f t="shared" si="150"/>
        <v>0</v>
      </c>
      <c r="P546" s="325">
        <f t="shared" si="151"/>
        <v>0</v>
      </c>
      <c r="Q546" s="325">
        <f t="shared" si="152"/>
        <v>0</v>
      </c>
      <c r="R546" s="325">
        <f t="shared" si="153"/>
        <v>69</v>
      </c>
      <c r="S546" s="325">
        <f t="shared" si="154"/>
        <v>0</v>
      </c>
      <c r="T546" s="325">
        <f t="shared" si="155"/>
        <v>69</v>
      </c>
      <c r="U546" s="325">
        <f t="shared" si="157"/>
        <v>488</v>
      </c>
      <c r="V546" s="325">
        <f t="shared" si="156"/>
        <v>0</v>
      </c>
      <c r="W546" s="449" cm="1">
        <f t="array" ref="W546">+IF(U546&lt;0,error,0)</f>
        <v>0</v>
      </c>
    </row>
    <row r="547" spans="1:26" ht="18" customHeight="1" x14ac:dyDescent="0.2">
      <c r="A547" s="402" t="s">
        <v>1137</v>
      </c>
      <c r="B547" s="403"/>
      <c r="C547" s="411" t="s">
        <v>1138</v>
      </c>
      <c r="D547" s="405">
        <v>42829</v>
      </c>
      <c r="E547" s="406"/>
      <c r="F547" s="325"/>
      <c r="G547" s="324"/>
      <c r="H547" s="324">
        <v>51566.81</v>
      </c>
      <c r="I547" s="325">
        <v>18619.810000000001</v>
      </c>
      <c r="J547" s="325"/>
      <c r="K547" s="325">
        <f t="shared" si="148"/>
        <v>0</v>
      </c>
      <c r="L547" s="325">
        <f t="shared" si="149"/>
        <v>0</v>
      </c>
      <c r="M547" s="407">
        <v>25</v>
      </c>
      <c r="N547" s="408" t="s">
        <v>289</v>
      </c>
      <c r="O547" s="325">
        <f t="shared" si="150"/>
        <v>0</v>
      </c>
      <c r="P547" s="325">
        <f t="shared" si="151"/>
        <v>0</v>
      </c>
      <c r="Q547" s="325">
        <f t="shared" si="152"/>
        <v>0</v>
      </c>
      <c r="R547" s="325">
        <f t="shared" si="153"/>
        <v>2327</v>
      </c>
      <c r="S547" s="325">
        <f t="shared" si="154"/>
        <v>0</v>
      </c>
      <c r="T547" s="325">
        <f t="shared" si="155"/>
        <v>2327</v>
      </c>
      <c r="U547" s="325">
        <f t="shared" si="157"/>
        <v>16292.810000000001</v>
      </c>
      <c r="V547" s="325">
        <f t="shared" si="156"/>
        <v>0</v>
      </c>
      <c r="W547" s="449" cm="1">
        <f t="array" ref="W547">+IF(U547&lt;0,error,0)</f>
        <v>0</v>
      </c>
    </row>
    <row r="548" spans="1:26" ht="18" customHeight="1" x14ac:dyDescent="0.2">
      <c r="A548" s="402" t="s">
        <v>1139</v>
      </c>
      <c r="B548" s="403"/>
      <c r="C548" s="404" t="s">
        <v>1140</v>
      </c>
      <c r="D548" s="405">
        <v>43159</v>
      </c>
      <c r="E548" s="406"/>
      <c r="F548" s="325"/>
      <c r="G548" s="324"/>
      <c r="H548" s="324">
        <v>98531.82</v>
      </c>
      <c r="I548" s="325">
        <v>46222.820000000007</v>
      </c>
      <c r="J548" s="325"/>
      <c r="K548" s="325">
        <f t="shared" si="148"/>
        <v>0</v>
      </c>
      <c r="L548" s="325">
        <f t="shared" si="149"/>
        <v>0</v>
      </c>
      <c r="M548" s="407">
        <v>25</v>
      </c>
      <c r="N548" s="408" t="s">
        <v>289</v>
      </c>
      <c r="O548" s="325">
        <f t="shared" si="150"/>
        <v>0</v>
      </c>
      <c r="P548" s="325">
        <f t="shared" si="151"/>
        <v>0</v>
      </c>
      <c r="Q548" s="325">
        <f t="shared" si="152"/>
        <v>0</v>
      </c>
      <c r="R548" s="325">
        <f t="shared" si="153"/>
        <v>5777</v>
      </c>
      <c r="S548" s="325">
        <f t="shared" si="154"/>
        <v>0</v>
      </c>
      <c r="T548" s="325">
        <f t="shared" si="155"/>
        <v>5777</v>
      </c>
      <c r="U548" s="325">
        <f t="shared" si="157"/>
        <v>40445.820000000007</v>
      </c>
      <c r="V548" s="325">
        <f t="shared" si="156"/>
        <v>0</v>
      </c>
      <c r="W548" s="449" cm="1">
        <f t="array" ref="W548">+IF(U548&lt;0,error,0)</f>
        <v>0</v>
      </c>
    </row>
    <row r="549" spans="1:26" ht="18" customHeight="1" x14ac:dyDescent="0.2">
      <c r="A549" s="402" t="s">
        <v>2074</v>
      </c>
      <c r="B549" s="403"/>
      <c r="C549" s="404" t="s">
        <v>1922</v>
      </c>
      <c r="D549" s="405">
        <v>43437</v>
      </c>
      <c r="E549" s="406"/>
      <c r="F549" s="325"/>
      <c r="G549" s="324"/>
      <c r="H549" s="324">
        <f>37034+0.08</f>
        <v>37034.080000000002</v>
      </c>
      <c r="I549" s="325">
        <v>23907</v>
      </c>
      <c r="J549" s="325"/>
      <c r="K549" s="325">
        <f t="shared" si="148"/>
        <v>0</v>
      </c>
      <c r="L549" s="325">
        <f t="shared" si="149"/>
        <v>0</v>
      </c>
      <c r="M549" s="407">
        <v>20</v>
      </c>
      <c r="N549" s="408" t="s">
        <v>289</v>
      </c>
      <c r="O549" s="325">
        <f t="shared" si="150"/>
        <v>0</v>
      </c>
      <c r="P549" s="325">
        <f t="shared" si="151"/>
        <v>0</v>
      </c>
      <c r="Q549" s="325">
        <f t="shared" si="152"/>
        <v>0</v>
      </c>
      <c r="R549" s="325">
        <f t="shared" si="153"/>
        <v>2390</v>
      </c>
      <c r="S549" s="325">
        <f t="shared" si="154"/>
        <v>0</v>
      </c>
      <c r="T549" s="325">
        <f t="shared" si="155"/>
        <v>2390</v>
      </c>
      <c r="U549" s="325">
        <f t="shared" si="157"/>
        <v>21517</v>
      </c>
      <c r="V549" s="325">
        <f t="shared" si="156"/>
        <v>0</v>
      </c>
      <c r="W549" s="449" cm="1">
        <f t="array" ref="W549">+IF(U549&lt;0,error,0)</f>
        <v>0</v>
      </c>
    </row>
    <row r="550" spans="1:26" ht="18" customHeight="1" x14ac:dyDescent="0.2">
      <c r="A550" s="402">
        <f>+A549+1</f>
        <v>744018</v>
      </c>
      <c r="B550" s="403"/>
      <c r="C550" s="404" t="s">
        <v>2273</v>
      </c>
      <c r="D550" s="405">
        <v>43867</v>
      </c>
      <c r="E550" s="406"/>
      <c r="F550" s="325"/>
      <c r="G550" s="324"/>
      <c r="H550" s="324">
        <v>164505.33000000002</v>
      </c>
      <c r="I550" s="325">
        <v>129647.76999999999</v>
      </c>
      <c r="J550" s="325"/>
      <c r="K550" s="325">
        <f t="shared" si="148"/>
        <v>0</v>
      </c>
      <c r="L550" s="325">
        <f t="shared" si="149"/>
        <v>0</v>
      </c>
      <c r="M550" s="407">
        <v>25</v>
      </c>
      <c r="N550" s="408" t="s">
        <v>289</v>
      </c>
      <c r="O550" s="325">
        <f t="shared" si="150"/>
        <v>0</v>
      </c>
      <c r="P550" s="325">
        <f t="shared" si="151"/>
        <v>0</v>
      </c>
      <c r="Q550" s="325">
        <f t="shared" si="152"/>
        <v>0</v>
      </c>
      <c r="R550" s="325">
        <f t="shared" si="153"/>
        <v>16205</v>
      </c>
      <c r="S550" s="325">
        <f t="shared" si="154"/>
        <v>0</v>
      </c>
      <c r="T550" s="325">
        <f t="shared" si="155"/>
        <v>16205</v>
      </c>
      <c r="U550" s="325">
        <f>+I550+J550-T550-F550+K550-L550</f>
        <v>113442.76999999999</v>
      </c>
      <c r="V550" s="325">
        <f t="shared" si="156"/>
        <v>0</v>
      </c>
      <c r="W550" s="449" cm="1">
        <f t="array" ref="W550">+IF(U550&lt;0,error,0)</f>
        <v>0</v>
      </c>
    </row>
    <row r="551" spans="1:26" ht="18" customHeight="1" x14ac:dyDescent="0.2">
      <c r="A551" s="402">
        <f>+A550+1</f>
        <v>744019</v>
      </c>
      <c r="B551" s="403"/>
      <c r="C551" s="404" t="s">
        <v>2395</v>
      </c>
      <c r="D551" s="405">
        <v>44138</v>
      </c>
      <c r="E551" s="406"/>
      <c r="F551" s="325"/>
      <c r="G551" s="324"/>
      <c r="H551" s="324">
        <v>66040.639999999999</v>
      </c>
      <c r="I551" s="325">
        <v>63417.64</v>
      </c>
      <c r="J551" s="325"/>
      <c r="K551" s="325">
        <f t="shared" si="148"/>
        <v>0</v>
      </c>
      <c r="L551" s="325">
        <f t="shared" si="149"/>
        <v>0</v>
      </c>
      <c r="M551" s="407">
        <v>25</v>
      </c>
      <c r="N551" s="408" t="s">
        <v>289</v>
      </c>
      <c r="O551" s="325">
        <f t="shared" si="150"/>
        <v>0</v>
      </c>
      <c r="P551" s="325">
        <f t="shared" si="151"/>
        <v>0</v>
      </c>
      <c r="Q551" s="325">
        <f t="shared" si="152"/>
        <v>0</v>
      </c>
      <c r="R551" s="325">
        <f t="shared" si="153"/>
        <v>7927</v>
      </c>
      <c r="S551" s="325">
        <f t="shared" si="154"/>
        <v>0</v>
      </c>
      <c r="T551" s="325">
        <f t="shared" si="155"/>
        <v>7927</v>
      </c>
      <c r="U551" s="325">
        <f>+I551+J551-T551-F551+K551-L551</f>
        <v>55490.64</v>
      </c>
      <c r="V551" s="325">
        <f t="shared" si="156"/>
        <v>0</v>
      </c>
      <c r="W551" s="449" cm="1">
        <f t="array" ref="W551">+IF(U551&lt;0,error,0)</f>
        <v>0</v>
      </c>
    </row>
    <row r="552" spans="1:26" ht="18" customHeight="1" x14ac:dyDescent="0.2">
      <c r="A552" s="402"/>
      <c r="B552" s="403"/>
      <c r="C552" s="404"/>
      <c r="D552" s="405"/>
      <c r="E552" s="406"/>
      <c r="F552" s="325"/>
      <c r="G552" s="324"/>
      <c r="H552" s="324"/>
      <c r="I552" s="325"/>
      <c r="J552" s="325"/>
      <c r="K552" s="325"/>
      <c r="L552" s="325"/>
      <c r="M552" s="407"/>
      <c r="N552" s="408"/>
      <c r="O552" s="325"/>
      <c r="P552" s="325"/>
      <c r="Q552" s="325"/>
      <c r="R552" s="325"/>
      <c r="S552" s="325"/>
      <c r="T552" s="325"/>
      <c r="U552" s="325"/>
      <c r="V552" s="325"/>
      <c r="W552" s="449" cm="1">
        <f t="array" ref="W552">+IF(U552&lt;0,error,0)</f>
        <v>0</v>
      </c>
    </row>
    <row r="553" spans="1:26" ht="18" customHeight="1" x14ac:dyDescent="0.2">
      <c r="A553" s="413"/>
      <c r="B553" s="414"/>
      <c r="C553" s="415" t="s">
        <v>2043</v>
      </c>
      <c r="D553" s="416"/>
      <c r="E553" s="406"/>
      <c r="F553" s="325"/>
      <c r="G553" s="324"/>
      <c r="H553" s="417">
        <f>+J554-V554</f>
        <v>0</v>
      </c>
      <c r="I553" s="333"/>
      <c r="J553" s="333"/>
      <c r="K553" s="333"/>
      <c r="L553" s="333"/>
      <c r="M553" s="418"/>
      <c r="N553" s="408"/>
      <c r="O553" s="408"/>
      <c r="P553" s="333"/>
      <c r="Q553" s="333"/>
      <c r="R553" s="408"/>
      <c r="S553" s="333"/>
      <c r="T553" s="333"/>
      <c r="U553" s="333"/>
      <c r="V553" s="333"/>
      <c r="W553" s="449" cm="1">
        <f t="array" ref="W553">+IF(U553&lt;0,error,0)</f>
        <v>0</v>
      </c>
    </row>
    <row r="554" spans="1:26" s="347" customFormat="1" ht="18" customHeight="1" x14ac:dyDescent="0.2">
      <c r="A554" s="420"/>
      <c r="B554" s="421"/>
      <c r="C554" s="422" t="s">
        <v>1655</v>
      </c>
      <c r="D554" s="415"/>
      <c r="E554" s="429"/>
      <c r="F554" s="417">
        <f t="shared" ref="F554:L554" si="158">SUM(F541:F553)</f>
        <v>0</v>
      </c>
      <c r="G554" s="417">
        <f t="shared" si="158"/>
        <v>0</v>
      </c>
      <c r="H554" s="417">
        <f t="shared" si="158"/>
        <v>544398.48</v>
      </c>
      <c r="I554" s="417">
        <f t="shared" si="158"/>
        <v>309973.66000000003</v>
      </c>
      <c r="J554" s="334">
        <f t="shared" si="158"/>
        <v>0</v>
      </c>
      <c r="K554" s="417">
        <f t="shared" si="158"/>
        <v>0</v>
      </c>
      <c r="L554" s="334">
        <f t="shared" si="158"/>
        <v>0</v>
      </c>
      <c r="M554" s="423"/>
      <c r="N554" s="446"/>
      <c r="O554" s="334">
        <f>SUM(O541:O553)</f>
        <v>0</v>
      </c>
      <c r="P554" s="334">
        <f>SUM(P541:P553)</f>
        <v>0</v>
      </c>
      <c r="Q554" s="334"/>
      <c r="R554" s="334">
        <f>SUM(R541:R553)</f>
        <v>37590</v>
      </c>
      <c r="S554" s="334">
        <f>SUM(S541:S553)</f>
        <v>0</v>
      </c>
      <c r="T554" s="334">
        <f>SUM(T541:T553)</f>
        <v>37590</v>
      </c>
      <c r="U554" s="334">
        <f>SUM(U541:U553)</f>
        <v>272383.66000000003</v>
      </c>
      <c r="V554" s="417">
        <f>SUM(V541:V553)</f>
        <v>0</v>
      </c>
      <c r="W554" s="449" cm="1">
        <f t="array" ref="W554">+IF(U554&lt;0,error,0)</f>
        <v>0</v>
      </c>
      <c r="X554" s="427"/>
      <c r="Y554" s="347">
        <f>544398.48-272014.82</f>
        <v>272383.65999999997</v>
      </c>
      <c r="Z554" s="505">
        <f>+U554-Y554</f>
        <v>0</v>
      </c>
    </row>
    <row r="555" spans="1:26" ht="18" customHeight="1" x14ac:dyDescent="0.2">
      <c r="A555" s="402"/>
      <c r="B555" s="403"/>
      <c r="C555" s="416"/>
      <c r="D555" s="416"/>
      <c r="E555" s="406"/>
      <c r="F555" s="325"/>
      <c r="G555" s="324"/>
      <c r="H555" s="324"/>
      <c r="I555" s="325"/>
      <c r="J555" s="325"/>
      <c r="K555" s="325"/>
      <c r="L555" s="325"/>
      <c r="M555" s="418"/>
      <c r="N555" s="408"/>
      <c r="O555" s="408">
        <v>277</v>
      </c>
      <c r="P555" s="325">
        <v>0</v>
      </c>
      <c r="Q555" s="325"/>
      <c r="R555" s="408">
        <v>25880</v>
      </c>
      <c r="S555" s="325">
        <v>0</v>
      </c>
      <c r="T555" s="325"/>
      <c r="U555" s="325"/>
      <c r="V555" s="325"/>
      <c r="W555" s="449" cm="1">
        <f t="array" ref="W555">+IF(U555&lt;0,error,0)</f>
        <v>0</v>
      </c>
    </row>
    <row r="556" spans="1:26" ht="18" customHeight="1" x14ac:dyDescent="0.2">
      <c r="A556" s="432" t="s">
        <v>1141</v>
      </c>
      <c r="B556" s="433"/>
      <c r="C556" s="418"/>
      <c r="D556" s="415"/>
      <c r="E556" s="429"/>
      <c r="F556" s="334"/>
      <c r="G556" s="417"/>
      <c r="H556" s="417"/>
      <c r="I556" s="334"/>
      <c r="J556" s="334"/>
      <c r="K556" s="334"/>
      <c r="L556" s="334"/>
      <c r="M556" s="415"/>
      <c r="N556" s="446"/>
      <c r="O556" s="446"/>
      <c r="P556" s="334"/>
      <c r="Q556" s="334"/>
      <c r="R556" s="446"/>
      <c r="S556" s="334"/>
      <c r="T556" s="334"/>
      <c r="U556" s="333"/>
      <c r="V556" s="333"/>
      <c r="W556" s="449" cm="1">
        <f t="array" ref="W556">+IF(U556&lt;0,error,0)</f>
        <v>0</v>
      </c>
    </row>
    <row r="557" spans="1:26" ht="18" customHeight="1" x14ac:dyDescent="0.2">
      <c r="A557" s="437" t="s">
        <v>1142</v>
      </c>
      <c r="B557" s="414"/>
      <c r="C557" s="416"/>
      <c r="D557" s="416"/>
      <c r="E557" s="406"/>
      <c r="F557" s="325"/>
      <c r="G557" s="324"/>
      <c r="H557" s="324"/>
      <c r="I557" s="333"/>
      <c r="J557" s="333"/>
      <c r="K557" s="333"/>
      <c r="L557" s="333"/>
      <c r="M557" s="418"/>
      <c r="N557" s="408"/>
      <c r="O557" s="408"/>
      <c r="P557" s="333"/>
      <c r="Q557" s="333"/>
      <c r="R557" s="408"/>
      <c r="S557" s="333"/>
      <c r="T557" s="333"/>
      <c r="U557" s="333"/>
      <c r="V557" s="333"/>
      <c r="W557" s="449" cm="1">
        <f t="array" ref="W557">+IF(U557&lt;0,error,0)</f>
        <v>0</v>
      </c>
    </row>
    <row r="558" spans="1:26" ht="18" customHeight="1" x14ac:dyDescent="0.2">
      <c r="A558" s="402" t="s">
        <v>1143</v>
      </c>
      <c r="B558" s="403"/>
      <c r="C558" s="404" t="s">
        <v>1144</v>
      </c>
      <c r="D558" s="405">
        <v>42453</v>
      </c>
      <c r="E558" s="406"/>
      <c r="F558" s="325"/>
      <c r="G558" s="324"/>
      <c r="H558" s="324">
        <v>8580</v>
      </c>
      <c r="I558" s="325">
        <v>439</v>
      </c>
      <c r="J558" s="325"/>
      <c r="K558" s="325">
        <f t="shared" ref="K558:K618" si="159">INT(IF($E558&gt;0,IF(+F558-I558+Q558&lt;0,0,+F558-I558+Q558),0))</f>
        <v>0</v>
      </c>
      <c r="L558" s="325">
        <f t="shared" ref="L558:L618" si="160">INT(IF($E558&gt;0,IF(K558=0,-F558+I558-Q558,0),0))</f>
        <v>0</v>
      </c>
      <c r="M558" s="407">
        <v>50</v>
      </c>
      <c r="N558" s="408" t="s">
        <v>289</v>
      </c>
      <c r="O558" s="325">
        <f t="shared" ref="O558:O618" si="161">IF(E558&gt;0,INT(IF($N558="D",IF($D558&lt;$H$3,$I558*($M558/100)*((E558-$H$3)/365),$J558*($M558/100)*($J$3-$D558)/365),0)),0)</f>
        <v>0</v>
      </c>
      <c r="P558" s="325">
        <f t="shared" ref="P558:P618" si="162">IF(E558&gt;0,INT(IF($N558="P",IF($D558&lt;$H$3,$H558*($M558/100)*(E558-$H$3)/365,$J558*($M558/100)*($J$3-$D558)/365),0)),0)</f>
        <v>0</v>
      </c>
      <c r="Q558" s="325">
        <f t="shared" ref="Q558:Q618" si="163">+O558+P558</f>
        <v>0</v>
      </c>
      <c r="R558" s="325">
        <f t="shared" ref="R558:R618" si="164">INT(IF($E558&gt;0,0,(IF($N558="D",IF($D558&lt;$H$3,$I558*($M558/100)*$U$3/12,$J558*($M558/100)*($J$3-$D558)/365),0))))</f>
        <v>109</v>
      </c>
      <c r="S558" s="325">
        <f t="shared" ref="S558:S618" si="165">INT(IF($E558&gt;0,0,(IF($N558="P",IF($D558&lt;$H$3,$H558*($M558/100)*$U$3/12,$J558*($M558/100)*($J$3-$D558)/365),0))))</f>
        <v>0</v>
      </c>
      <c r="T558" s="325">
        <f t="shared" ref="T558:T567" si="166">+R558+S558+Q558</f>
        <v>109</v>
      </c>
      <c r="U558" s="325">
        <f t="shared" ref="U558:U618" si="167">+I558+J558-T558-F558+K558-L558</f>
        <v>330</v>
      </c>
      <c r="V558" s="325">
        <f t="shared" ref="V558:V618" si="168">IF(E558&gt;0,+H558+J558,0)</f>
        <v>0</v>
      </c>
      <c r="W558" s="449" cm="1">
        <f t="array" ref="W558">+IF(U558&lt;0,error,0)</f>
        <v>0</v>
      </c>
    </row>
    <row r="559" spans="1:26" ht="18" customHeight="1" x14ac:dyDescent="0.2">
      <c r="A559" s="402" t="s">
        <v>1145</v>
      </c>
      <c r="B559" s="403"/>
      <c r="C559" s="404" t="s">
        <v>1146</v>
      </c>
      <c r="D559" s="405">
        <v>42452</v>
      </c>
      <c r="E559" s="406"/>
      <c r="F559" s="325"/>
      <c r="G559" s="324"/>
      <c r="H559" s="324">
        <v>10536</v>
      </c>
      <c r="I559" s="325">
        <v>538</v>
      </c>
      <c r="J559" s="325"/>
      <c r="K559" s="325">
        <f t="shared" si="159"/>
        <v>0</v>
      </c>
      <c r="L559" s="325">
        <f t="shared" si="160"/>
        <v>0</v>
      </c>
      <c r="M559" s="407">
        <v>50</v>
      </c>
      <c r="N559" s="408" t="s">
        <v>289</v>
      </c>
      <c r="O559" s="325">
        <f t="shared" si="161"/>
        <v>0</v>
      </c>
      <c r="P559" s="325">
        <f t="shared" si="162"/>
        <v>0</v>
      </c>
      <c r="Q559" s="325">
        <f t="shared" si="163"/>
        <v>0</v>
      </c>
      <c r="R559" s="325">
        <f t="shared" si="164"/>
        <v>134</v>
      </c>
      <c r="S559" s="325">
        <f t="shared" si="165"/>
        <v>0</v>
      </c>
      <c r="T559" s="325">
        <f t="shared" si="166"/>
        <v>134</v>
      </c>
      <c r="U559" s="325">
        <f t="shared" si="167"/>
        <v>404</v>
      </c>
      <c r="V559" s="325">
        <f t="shared" si="168"/>
        <v>0</v>
      </c>
      <c r="W559" s="449" cm="1">
        <f t="array" ref="W559">+IF(U559&lt;0,error,0)</f>
        <v>0</v>
      </c>
    </row>
    <row r="560" spans="1:26" ht="18" customHeight="1" x14ac:dyDescent="0.2">
      <c r="A560" s="402" t="s">
        <v>1171</v>
      </c>
      <c r="B560" s="403"/>
      <c r="C560" s="404" t="s">
        <v>1172</v>
      </c>
      <c r="D560" s="405">
        <v>39983</v>
      </c>
      <c r="E560" s="406"/>
      <c r="F560" s="325"/>
      <c r="G560" s="324"/>
      <c r="H560" s="324">
        <v>2350</v>
      </c>
      <c r="I560" s="325">
        <v>0</v>
      </c>
      <c r="J560" s="325"/>
      <c r="K560" s="325">
        <f t="shared" si="159"/>
        <v>0</v>
      </c>
      <c r="L560" s="325">
        <f t="shared" si="160"/>
        <v>0</v>
      </c>
      <c r="M560" s="407">
        <v>66.66</v>
      </c>
      <c r="N560" s="408" t="s">
        <v>289</v>
      </c>
      <c r="O560" s="325">
        <f t="shared" si="161"/>
        <v>0</v>
      </c>
      <c r="P560" s="325">
        <f t="shared" si="162"/>
        <v>0</v>
      </c>
      <c r="Q560" s="325">
        <f t="shared" si="163"/>
        <v>0</v>
      </c>
      <c r="R560" s="325">
        <f t="shared" si="164"/>
        <v>0</v>
      </c>
      <c r="S560" s="325">
        <f t="shared" si="165"/>
        <v>0</v>
      </c>
      <c r="T560" s="325">
        <f t="shared" si="166"/>
        <v>0</v>
      </c>
      <c r="U560" s="325">
        <f t="shared" si="167"/>
        <v>0</v>
      </c>
      <c r="V560" s="325">
        <f t="shared" si="168"/>
        <v>0</v>
      </c>
      <c r="W560" s="449" cm="1">
        <f t="array" ref="W560">+IF(U560&lt;0,error,0)</f>
        <v>0</v>
      </c>
    </row>
    <row r="561" spans="1:23" ht="18" customHeight="1" x14ac:dyDescent="0.2">
      <c r="A561" s="402" t="s">
        <v>1178</v>
      </c>
      <c r="B561" s="403"/>
      <c r="C561" s="404" t="s">
        <v>1179</v>
      </c>
      <c r="D561" s="405">
        <v>40232</v>
      </c>
      <c r="E561" s="406"/>
      <c r="F561" s="325"/>
      <c r="G561" s="324"/>
      <c r="H561" s="324">
        <v>950</v>
      </c>
      <c r="I561" s="325">
        <v>0</v>
      </c>
      <c r="J561" s="325"/>
      <c r="K561" s="325">
        <f t="shared" si="159"/>
        <v>0</v>
      </c>
      <c r="L561" s="325">
        <f t="shared" si="160"/>
        <v>0</v>
      </c>
      <c r="M561" s="407">
        <v>50</v>
      </c>
      <c r="N561" s="408" t="s">
        <v>289</v>
      </c>
      <c r="O561" s="325">
        <f t="shared" si="161"/>
        <v>0</v>
      </c>
      <c r="P561" s="325">
        <f t="shared" si="162"/>
        <v>0</v>
      </c>
      <c r="Q561" s="325">
        <f t="shared" si="163"/>
        <v>0</v>
      </c>
      <c r="R561" s="325">
        <f t="shared" si="164"/>
        <v>0</v>
      </c>
      <c r="S561" s="325">
        <f t="shared" si="165"/>
        <v>0</v>
      </c>
      <c r="T561" s="325">
        <f t="shared" si="166"/>
        <v>0</v>
      </c>
      <c r="U561" s="325">
        <f t="shared" si="167"/>
        <v>0</v>
      </c>
      <c r="V561" s="325">
        <f t="shared" si="168"/>
        <v>0</v>
      </c>
      <c r="W561" s="449" cm="1">
        <f t="array" ref="W561">+IF(U561&lt;0,error,0)</f>
        <v>0</v>
      </c>
    </row>
    <row r="562" spans="1:23" ht="18" customHeight="1" x14ac:dyDescent="0.2">
      <c r="A562" s="402" t="s">
        <v>1180</v>
      </c>
      <c r="B562" s="403"/>
      <c r="C562" s="404" t="s">
        <v>1181</v>
      </c>
      <c r="D562" s="405">
        <v>40232</v>
      </c>
      <c r="E562" s="406"/>
      <c r="F562" s="325"/>
      <c r="G562" s="324"/>
      <c r="H562" s="324">
        <v>1480</v>
      </c>
      <c r="I562" s="325">
        <v>0</v>
      </c>
      <c r="J562" s="325"/>
      <c r="K562" s="325">
        <f t="shared" si="159"/>
        <v>0</v>
      </c>
      <c r="L562" s="325">
        <f t="shared" si="160"/>
        <v>0</v>
      </c>
      <c r="M562" s="407">
        <v>50</v>
      </c>
      <c r="N562" s="408" t="s">
        <v>289</v>
      </c>
      <c r="O562" s="325">
        <f t="shared" si="161"/>
        <v>0</v>
      </c>
      <c r="P562" s="325">
        <f t="shared" si="162"/>
        <v>0</v>
      </c>
      <c r="Q562" s="325">
        <f t="shared" si="163"/>
        <v>0</v>
      </c>
      <c r="R562" s="325">
        <f t="shared" si="164"/>
        <v>0</v>
      </c>
      <c r="S562" s="325">
        <f t="shared" si="165"/>
        <v>0</v>
      </c>
      <c r="T562" s="325">
        <f t="shared" si="166"/>
        <v>0</v>
      </c>
      <c r="U562" s="325">
        <f t="shared" si="167"/>
        <v>0</v>
      </c>
      <c r="V562" s="325">
        <f t="shared" si="168"/>
        <v>0</v>
      </c>
      <c r="W562" s="449" cm="1">
        <f t="array" ref="W562">+IF(U562&lt;0,error,0)</f>
        <v>0</v>
      </c>
    </row>
    <row r="563" spans="1:23" ht="18" customHeight="1" x14ac:dyDescent="0.2">
      <c r="A563" s="402" t="s">
        <v>1192</v>
      </c>
      <c r="B563" s="403"/>
      <c r="C563" s="404" t="s">
        <v>1193</v>
      </c>
      <c r="D563" s="405">
        <v>40625</v>
      </c>
      <c r="E563" s="406"/>
      <c r="F563" s="325"/>
      <c r="G563" s="324"/>
      <c r="H563" s="324">
        <v>3618.2400000000002</v>
      </c>
      <c r="I563" s="325">
        <v>0</v>
      </c>
      <c r="J563" s="325"/>
      <c r="K563" s="325">
        <f t="shared" si="159"/>
        <v>0</v>
      </c>
      <c r="L563" s="325">
        <f t="shared" si="160"/>
        <v>0</v>
      </c>
      <c r="M563" s="407">
        <v>66.66</v>
      </c>
      <c r="N563" s="408" t="s">
        <v>289</v>
      </c>
      <c r="O563" s="325">
        <f t="shared" si="161"/>
        <v>0</v>
      </c>
      <c r="P563" s="325">
        <f t="shared" si="162"/>
        <v>0</v>
      </c>
      <c r="Q563" s="325">
        <f t="shared" si="163"/>
        <v>0</v>
      </c>
      <c r="R563" s="325">
        <f t="shared" si="164"/>
        <v>0</v>
      </c>
      <c r="S563" s="325">
        <f t="shared" si="165"/>
        <v>0</v>
      </c>
      <c r="T563" s="325">
        <f t="shared" si="166"/>
        <v>0</v>
      </c>
      <c r="U563" s="325">
        <f t="shared" si="167"/>
        <v>0</v>
      </c>
      <c r="V563" s="325">
        <f t="shared" si="168"/>
        <v>0</v>
      </c>
      <c r="W563" s="449" cm="1">
        <f t="array" ref="W563">+IF(U563&lt;0,error,0)</f>
        <v>0</v>
      </c>
    </row>
    <row r="564" spans="1:23" ht="18" customHeight="1" x14ac:dyDescent="0.2">
      <c r="A564" s="402" t="s">
        <v>1194</v>
      </c>
      <c r="B564" s="403"/>
      <c r="C564" s="404" t="s">
        <v>1195</v>
      </c>
      <c r="D564" s="405">
        <v>40644</v>
      </c>
      <c r="E564" s="406"/>
      <c r="F564" s="325"/>
      <c r="G564" s="324"/>
      <c r="H564" s="324">
        <v>3200</v>
      </c>
      <c r="I564" s="325">
        <v>0</v>
      </c>
      <c r="J564" s="325"/>
      <c r="K564" s="325">
        <f t="shared" si="159"/>
        <v>0</v>
      </c>
      <c r="L564" s="325">
        <f t="shared" si="160"/>
        <v>0</v>
      </c>
      <c r="M564" s="407">
        <v>66.66</v>
      </c>
      <c r="N564" s="408" t="s">
        <v>289</v>
      </c>
      <c r="O564" s="325">
        <f t="shared" si="161"/>
        <v>0</v>
      </c>
      <c r="P564" s="325">
        <f t="shared" si="162"/>
        <v>0</v>
      </c>
      <c r="Q564" s="325">
        <f t="shared" si="163"/>
        <v>0</v>
      </c>
      <c r="R564" s="325">
        <f t="shared" si="164"/>
        <v>0</v>
      </c>
      <c r="S564" s="325">
        <f t="shared" si="165"/>
        <v>0</v>
      </c>
      <c r="T564" s="325">
        <f t="shared" si="166"/>
        <v>0</v>
      </c>
      <c r="U564" s="325">
        <f t="shared" si="167"/>
        <v>0</v>
      </c>
      <c r="V564" s="325">
        <f t="shared" si="168"/>
        <v>0</v>
      </c>
      <c r="W564" s="449" cm="1">
        <f t="array" ref="W564">+IF(U564&lt;0,error,0)</f>
        <v>0</v>
      </c>
    </row>
    <row r="565" spans="1:23" ht="18" customHeight="1" x14ac:dyDescent="0.2">
      <c r="A565" s="402" t="s">
        <v>1196</v>
      </c>
      <c r="B565" s="403"/>
      <c r="C565" s="412" t="s">
        <v>1197</v>
      </c>
      <c r="D565" s="405">
        <v>40653</v>
      </c>
      <c r="E565" s="406"/>
      <c r="F565" s="325"/>
      <c r="G565" s="324"/>
      <c r="H565" s="324">
        <v>2520</v>
      </c>
      <c r="I565" s="325">
        <v>0</v>
      </c>
      <c r="J565" s="325"/>
      <c r="K565" s="325">
        <f t="shared" si="159"/>
        <v>0</v>
      </c>
      <c r="L565" s="325">
        <f t="shared" si="160"/>
        <v>0</v>
      </c>
      <c r="M565" s="407">
        <v>66.66</v>
      </c>
      <c r="N565" s="408" t="s">
        <v>289</v>
      </c>
      <c r="O565" s="325">
        <f t="shared" si="161"/>
        <v>0</v>
      </c>
      <c r="P565" s="325">
        <f t="shared" si="162"/>
        <v>0</v>
      </c>
      <c r="Q565" s="325">
        <f t="shared" si="163"/>
        <v>0</v>
      </c>
      <c r="R565" s="325">
        <f t="shared" si="164"/>
        <v>0</v>
      </c>
      <c r="S565" s="325">
        <f t="shared" si="165"/>
        <v>0</v>
      </c>
      <c r="T565" s="325">
        <f t="shared" si="166"/>
        <v>0</v>
      </c>
      <c r="U565" s="325">
        <f t="shared" si="167"/>
        <v>0</v>
      </c>
      <c r="V565" s="325">
        <f t="shared" si="168"/>
        <v>0</v>
      </c>
      <c r="W565" s="449" cm="1">
        <f t="array" ref="W565">+IF(U565&lt;0,error,0)</f>
        <v>0</v>
      </c>
    </row>
    <row r="566" spans="1:23" ht="18" customHeight="1" x14ac:dyDescent="0.2">
      <c r="A566" s="402" t="s">
        <v>1238</v>
      </c>
      <c r="B566" s="403"/>
      <c r="C566" s="404" t="s">
        <v>1239</v>
      </c>
      <c r="D566" s="405">
        <v>40728</v>
      </c>
      <c r="E566" s="406"/>
      <c r="F566" s="325"/>
      <c r="G566" s="324"/>
      <c r="H566" s="324">
        <f>1090.91-0.32</f>
        <v>1090.5900000000001</v>
      </c>
      <c r="I566" s="325">
        <v>0</v>
      </c>
      <c r="J566" s="325"/>
      <c r="K566" s="325">
        <f t="shared" si="159"/>
        <v>0</v>
      </c>
      <c r="L566" s="325">
        <f t="shared" si="160"/>
        <v>0</v>
      </c>
      <c r="M566" s="407">
        <v>66.66</v>
      </c>
      <c r="N566" s="408" t="s">
        <v>289</v>
      </c>
      <c r="O566" s="325">
        <f t="shared" si="161"/>
        <v>0</v>
      </c>
      <c r="P566" s="325">
        <f t="shared" si="162"/>
        <v>0</v>
      </c>
      <c r="Q566" s="325">
        <f t="shared" si="163"/>
        <v>0</v>
      </c>
      <c r="R566" s="325">
        <f t="shared" si="164"/>
        <v>0</v>
      </c>
      <c r="S566" s="325">
        <f t="shared" si="165"/>
        <v>0</v>
      </c>
      <c r="T566" s="325">
        <f t="shared" si="166"/>
        <v>0</v>
      </c>
      <c r="U566" s="325">
        <f t="shared" si="167"/>
        <v>0</v>
      </c>
      <c r="V566" s="325">
        <f t="shared" si="168"/>
        <v>0</v>
      </c>
      <c r="W566" s="449" cm="1">
        <f t="array" ref="W566">+IF(U566&lt;0,error,0)</f>
        <v>0</v>
      </c>
    </row>
    <row r="567" spans="1:23" ht="18" customHeight="1" x14ac:dyDescent="0.2">
      <c r="A567" s="402" t="s">
        <v>1242</v>
      </c>
      <c r="B567" s="403"/>
      <c r="C567" s="404" t="s">
        <v>1243</v>
      </c>
      <c r="D567" s="405">
        <v>40829</v>
      </c>
      <c r="E567" s="406">
        <v>44204</v>
      </c>
      <c r="F567" s="324">
        <f>363.64/2</f>
        <v>181.82</v>
      </c>
      <c r="G567" s="324">
        <v>400</v>
      </c>
      <c r="H567" s="324">
        <v>400</v>
      </c>
      <c r="I567" s="325">
        <v>0</v>
      </c>
      <c r="J567" s="325"/>
      <c r="K567" s="325">
        <f>+F567</f>
        <v>181.82</v>
      </c>
      <c r="L567" s="325">
        <f t="shared" si="160"/>
        <v>0</v>
      </c>
      <c r="M567" s="407">
        <v>66.66</v>
      </c>
      <c r="N567" s="408" t="s">
        <v>289</v>
      </c>
      <c r="O567" s="325">
        <f t="shared" si="161"/>
        <v>0</v>
      </c>
      <c r="P567" s="325">
        <f t="shared" si="162"/>
        <v>0</v>
      </c>
      <c r="Q567" s="325">
        <f t="shared" si="163"/>
        <v>0</v>
      </c>
      <c r="R567" s="325">
        <f t="shared" si="164"/>
        <v>0</v>
      </c>
      <c r="S567" s="325">
        <f t="shared" si="165"/>
        <v>0</v>
      </c>
      <c r="T567" s="325">
        <f t="shared" si="166"/>
        <v>0</v>
      </c>
      <c r="U567" s="325">
        <v>0</v>
      </c>
      <c r="V567" s="325">
        <f t="shared" si="168"/>
        <v>400</v>
      </c>
      <c r="W567" s="449" cm="1">
        <f t="array" ref="W567">+IF(U567&lt;0,error,0)</f>
        <v>0</v>
      </c>
    </row>
    <row r="568" spans="1:23" ht="18" customHeight="1" x14ac:dyDescent="0.2">
      <c r="A568" s="402" t="s">
        <v>1252</v>
      </c>
      <c r="B568" s="403"/>
      <c r="C568" s="412" t="s">
        <v>1253</v>
      </c>
      <c r="D568" s="405">
        <v>40952</v>
      </c>
      <c r="E568" s="406">
        <v>44204</v>
      </c>
      <c r="F568" s="324">
        <f>363.64/2</f>
        <v>181.82</v>
      </c>
      <c r="G568" s="324">
        <v>2190</v>
      </c>
      <c r="H568" s="324">
        <v>2190</v>
      </c>
      <c r="I568" s="325">
        <v>0</v>
      </c>
      <c r="J568" s="325"/>
      <c r="K568" s="325">
        <f>+F568</f>
        <v>181.82</v>
      </c>
      <c r="L568" s="325">
        <f t="shared" si="160"/>
        <v>0</v>
      </c>
      <c r="M568" s="407">
        <v>66.66</v>
      </c>
      <c r="N568" s="408" t="s">
        <v>289</v>
      </c>
      <c r="O568" s="325">
        <f t="shared" si="161"/>
        <v>0</v>
      </c>
      <c r="P568" s="325">
        <f t="shared" si="162"/>
        <v>0</v>
      </c>
      <c r="Q568" s="325">
        <f t="shared" si="163"/>
        <v>0</v>
      </c>
      <c r="R568" s="325">
        <f t="shared" si="164"/>
        <v>0</v>
      </c>
      <c r="S568" s="325">
        <f t="shared" si="165"/>
        <v>0</v>
      </c>
      <c r="T568" s="325">
        <v>0</v>
      </c>
      <c r="U568" s="325">
        <v>0</v>
      </c>
      <c r="V568" s="325">
        <f t="shared" si="168"/>
        <v>2190</v>
      </c>
      <c r="W568" s="449" cm="1">
        <f t="array" ref="W568">+IF(U568&lt;0,error,0)</f>
        <v>0</v>
      </c>
    </row>
    <row r="569" spans="1:23" ht="18" customHeight="1" x14ac:dyDescent="0.2">
      <c r="A569" s="402" t="s">
        <v>1265</v>
      </c>
      <c r="B569" s="403"/>
      <c r="C569" s="412" t="s">
        <v>1266</v>
      </c>
      <c r="D569" s="405">
        <v>40972</v>
      </c>
      <c r="E569" s="406">
        <v>44229</v>
      </c>
      <c r="F569" s="324">
        <f>590.91*2</f>
        <v>1181.82</v>
      </c>
      <c r="G569" s="324">
        <v>22953.94</v>
      </c>
      <c r="H569" s="324">
        <v>22953.94</v>
      </c>
      <c r="I569" s="504">
        <v>0</v>
      </c>
      <c r="J569" s="325"/>
      <c r="K569" s="325">
        <f>+F569</f>
        <v>1181.82</v>
      </c>
      <c r="L569" s="325">
        <f t="shared" si="160"/>
        <v>0</v>
      </c>
      <c r="M569" s="407">
        <v>66.66</v>
      </c>
      <c r="N569" s="408" t="s">
        <v>289</v>
      </c>
      <c r="O569" s="325">
        <f t="shared" si="161"/>
        <v>0</v>
      </c>
      <c r="P569" s="325">
        <f t="shared" si="162"/>
        <v>0</v>
      </c>
      <c r="Q569" s="325">
        <f t="shared" si="163"/>
        <v>0</v>
      </c>
      <c r="R569" s="325">
        <f t="shared" si="164"/>
        <v>0</v>
      </c>
      <c r="S569" s="325">
        <f t="shared" si="165"/>
        <v>0</v>
      </c>
      <c r="T569" s="325">
        <v>0</v>
      </c>
      <c r="U569" s="325">
        <v>0</v>
      </c>
      <c r="V569" s="325">
        <f t="shared" si="168"/>
        <v>22953.94</v>
      </c>
      <c r="W569" s="449" cm="1">
        <f t="array" ref="W569">+IF(U569&lt;0,error,0)</f>
        <v>0</v>
      </c>
    </row>
    <row r="570" spans="1:23" ht="18" customHeight="1" x14ac:dyDescent="0.2">
      <c r="A570" s="402" t="s">
        <v>1271</v>
      </c>
      <c r="B570" s="403"/>
      <c r="C570" s="412" t="s">
        <v>1272</v>
      </c>
      <c r="D570" s="405">
        <v>40981</v>
      </c>
      <c r="E570" s="406">
        <v>44237</v>
      </c>
      <c r="F570" s="324">
        <v>590.91</v>
      </c>
      <c r="G570" s="324">
        <v>13238</v>
      </c>
      <c r="H570" s="324">
        <v>13238</v>
      </c>
      <c r="I570" s="325">
        <v>0</v>
      </c>
      <c r="J570" s="325"/>
      <c r="K570" s="325">
        <f>+F570</f>
        <v>590.91</v>
      </c>
      <c r="L570" s="325">
        <f t="shared" si="160"/>
        <v>0</v>
      </c>
      <c r="M570" s="407">
        <v>66.66</v>
      </c>
      <c r="N570" s="408" t="s">
        <v>289</v>
      </c>
      <c r="O570" s="325">
        <f t="shared" si="161"/>
        <v>0</v>
      </c>
      <c r="P570" s="325">
        <f t="shared" si="162"/>
        <v>0</v>
      </c>
      <c r="Q570" s="325">
        <f t="shared" si="163"/>
        <v>0</v>
      </c>
      <c r="R570" s="325">
        <f t="shared" si="164"/>
        <v>0</v>
      </c>
      <c r="S570" s="325">
        <f t="shared" si="165"/>
        <v>0</v>
      </c>
      <c r="T570" s="325">
        <v>0</v>
      </c>
      <c r="U570" s="325">
        <v>0</v>
      </c>
      <c r="V570" s="325">
        <f t="shared" si="168"/>
        <v>13238</v>
      </c>
      <c r="W570" s="449" cm="1">
        <f t="array" ref="W570">+IF(U570&lt;0,error,0)</f>
        <v>0</v>
      </c>
    </row>
    <row r="571" spans="1:23" ht="18" customHeight="1" x14ac:dyDescent="0.2">
      <c r="A571" s="402" t="s">
        <v>1273</v>
      </c>
      <c r="B571" s="403"/>
      <c r="C571" s="412" t="s">
        <v>1274</v>
      </c>
      <c r="D571" s="405">
        <v>40989</v>
      </c>
      <c r="E571" s="406">
        <v>44265</v>
      </c>
      <c r="F571" s="324">
        <v>590.91</v>
      </c>
      <c r="G571" s="324">
        <v>18131.400000000001</v>
      </c>
      <c r="H571" s="324">
        <v>18131.400000000001</v>
      </c>
      <c r="I571" s="325">
        <v>0</v>
      </c>
      <c r="J571" s="325"/>
      <c r="K571" s="325">
        <f>+F571</f>
        <v>590.91</v>
      </c>
      <c r="L571" s="325">
        <f t="shared" si="160"/>
        <v>0</v>
      </c>
      <c r="M571" s="407">
        <v>66.66</v>
      </c>
      <c r="N571" s="408" t="s">
        <v>289</v>
      </c>
      <c r="O571" s="325">
        <f t="shared" si="161"/>
        <v>0</v>
      </c>
      <c r="P571" s="325">
        <f t="shared" si="162"/>
        <v>0</v>
      </c>
      <c r="Q571" s="325">
        <f t="shared" si="163"/>
        <v>0</v>
      </c>
      <c r="R571" s="325">
        <f t="shared" si="164"/>
        <v>0</v>
      </c>
      <c r="S571" s="325">
        <f t="shared" si="165"/>
        <v>0</v>
      </c>
      <c r="T571" s="325">
        <v>0</v>
      </c>
      <c r="U571" s="325">
        <v>0</v>
      </c>
      <c r="V571" s="325">
        <f t="shared" si="168"/>
        <v>18131.400000000001</v>
      </c>
      <c r="W571" s="449" cm="1">
        <f t="array" ref="W571">+IF(U571&lt;0,error,0)</f>
        <v>0</v>
      </c>
    </row>
    <row r="572" spans="1:23" ht="18" customHeight="1" x14ac:dyDescent="0.2">
      <c r="A572" s="402" t="s">
        <v>1302</v>
      </c>
      <c r="B572" s="403"/>
      <c r="C572" s="404" t="s">
        <v>1303</v>
      </c>
      <c r="D572" s="405">
        <v>41234</v>
      </c>
      <c r="E572" s="406"/>
      <c r="F572" s="325"/>
      <c r="G572" s="324"/>
      <c r="H572" s="324">
        <v>7450</v>
      </c>
      <c r="I572" s="325">
        <v>14.86</v>
      </c>
      <c r="J572" s="325"/>
      <c r="K572" s="325">
        <f t="shared" si="159"/>
        <v>0</v>
      </c>
      <c r="L572" s="325">
        <f t="shared" si="160"/>
        <v>0</v>
      </c>
      <c r="M572" s="407">
        <v>50</v>
      </c>
      <c r="N572" s="408" t="s">
        <v>289</v>
      </c>
      <c r="O572" s="325">
        <f t="shared" si="161"/>
        <v>0</v>
      </c>
      <c r="P572" s="325">
        <f t="shared" si="162"/>
        <v>0</v>
      </c>
      <c r="Q572" s="325">
        <f t="shared" si="163"/>
        <v>0</v>
      </c>
      <c r="R572" s="325">
        <f t="shared" si="164"/>
        <v>3</v>
      </c>
      <c r="S572" s="325">
        <f t="shared" si="165"/>
        <v>0</v>
      </c>
      <c r="T572" s="325">
        <f t="shared" ref="T572" si="169">+R572+S572+Q572</f>
        <v>3</v>
      </c>
      <c r="U572" s="325">
        <f t="shared" si="167"/>
        <v>11.86</v>
      </c>
      <c r="V572" s="325">
        <f t="shared" si="168"/>
        <v>0</v>
      </c>
      <c r="W572" s="449" cm="1">
        <f t="array" ref="W572">+IF(U572&lt;0,error,0)</f>
        <v>0</v>
      </c>
    </row>
    <row r="573" spans="1:23" ht="18" customHeight="1" x14ac:dyDescent="0.2">
      <c r="A573" s="402" t="s">
        <v>1306</v>
      </c>
      <c r="B573" s="403"/>
      <c r="C573" s="404" t="s">
        <v>1307</v>
      </c>
      <c r="D573" s="405">
        <v>41322</v>
      </c>
      <c r="E573" s="406"/>
      <c r="F573" s="325"/>
      <c r="G573" s="324"/>
      <c r="H573" s="324">
        <v>23975.08</v>
      </c>
      <c r="I573" s="325">
        <f>146.08+0.170000000000016</f>
        <v>146.25000000000003</v>
      </c>
      <c r="J573" s="325"/>
      <c r="K573" s="325">
        <f t="shared" si="159"/>
        <v>0</v>
      </c>
      <c r="L573" s="325">
        <f t="shared" si="160"/>
        <v>0</v>
      </c>
      <c r="M573" s="407">
        <v>50</v>
      </c>
      <c r="N573" s="408" t="s">
        <v>289</v>
      </c>
      <c r="O573" s="325">
        <f t="shared" si="161"/>
        <v>0</v>
      </c>
      <c r="P573" s="325">
        <f t="shared" si="162"/>
        <v>0</v>
      </c>
      <c r="Q573" s="325">
        <f t="shared" si="163"/>
        <v>0</v>
      </c>
      <c r="R573" s="325">
        <f t="shared" si="164"/>
        <v>36</v>
      </c>
      <c r="S573" s="325">
        <f t="shared" si="165"/>
        <v>0</v>
      </c>
      <c r="T573" s="325">
        <f t="shared" ref="T573:T636" si="170">+R573+S573+Q573</f>
        <v>36</v>
      </c>
      <c r="U573" s="325">
        <f t="shared" si="167"/>
        <v>110.25000000000003</v>
      </c>
      <c r="V573" s="325">
        <f t="shared" si="168"/>
        <v>0</v>
      </c>
      <c r="W573" s="449" cm="1">
        <f t="array" ref="W573">+IF(U573&lt;0,error,0)</f>
        <v>0</v>
      </c>
    </row>
    <row r="574" spans="1:23" ht="18" customHeight="1" x14ac:dyDescent="0.2">
      <c r="A574" s="402" t="s">
        <v>1308</v>
      </c>
      <c r="B574" s="403"/>
      <c r="C574" s="404" t="s">
        <v>1309</v>
      </c>
      <c r="D574" s="405">
        <v>41351</v>
      </c>
      <c r="E574" s="406"/>
      <c r="F574" s="325"/>
      <c r="G574" s="324"/>
      <c r="H574" s="324">
        <v>6859.2</v>
      </c>
      <c r="I574" s="325">
        <v>45.200000000000017</v>
      </c>
      <c r="J574" s="325"/>
      <c r="K574" s="325">
        <f t="shared" si="159"/>
        <v>0</v>
      </c>
      <c r="L574" s="325">
        <f t="shared" si="160"/>
        <v>0</v>
      </c>
      <c r="M574" s="407">
        <v>50</v>
      </c>
      <c r="N574" s="408" t="s">
        <v>289</v>
      </c>
      <c r="O574" s="325">
        <f t="shared" si="161"/>
        <v>0</v>
      </c>
      <c r="P574" s="325">
        <f t="shared" si="162"/>
        <v>0</v>
      </c>
      <c r="Q574" s="325">
        <f t="shared" si="163"/>
        <v>0</v>
      </c>
      <c r="R574" s="325">
        <f t="shared" si="164"/>
        <v>11</v>
      </c>
      <c r="S574" s="325">
        <f t="shared" si="165"/>
        <v>0</v>
      </c>
      <c r="T574" s="325">
        <f t="shared" si="170"/>
        <v>11</v>
      </c>
      <c r="U574" s="325">
        <f t="shared" si="167"/>
        <v>34.200000000000017</v>
      </c>
      <c r="V574" s="325">
        <f t="shared" si="168"/>
        <v>0</v>
      </c>
      <c r="W574" s="449" cm="1">
        <f t="array" ref="W574">+IF(U574&lt;0,error,0)</f>
        <v>0</v>
      </c>
    </row>
    <row r="575" spans="1:23" ht="18" customHeight="1" x14ac:dyDescent="0.2">
      <c r="A575" s="402" t="s">
        <v>1310</v>
      </c>
      <c r="B575" s="403"/>
      <c r="C575" s="411" t="s">
        <v>1311</v>
      </c>
      <c r="D575" s="405">
        <v>41351</v>
      </c>
      <c r="E575" s="406"/>
      <c r="F575" s="325"/>
      <c r="G575" s="324"/>
      <c r="H575" s="324">
        <v>5115.9000000000005</v>
      </c>
      <c r="I575" s="325">
        <v>33.900000000000006</v>
      </c>
      <c r="J575" s="325"/>
      <c r="K575" s="325">
        <f t="shared" si="159"/>
        <v>0</v>
      </c>
      <c r="L575" s="325">
        <f t="shared" si="160"/>
        <v>0</v>
      </c>
      <c r="M575" s="407">
        <v>50</v>
      </c>
      <c r="N575" s="408" t="s">
        <v>289</v>
      </c>
      <c r="O575" s="325">
        <f t="shared" si="161"/>
        <v>0</v>
      </c>
      <c r="P575" s="325">
        <f t="shared" si="162"/>
        <v>0</v>
      </c>
      <c r="Q575" s="325">
        <f t="shared" si="163"/>
        <v>0</v>
      </c>
      <c r="R575" s="325">
        <f t="shared" si="164"/>
        <v>8</v>
      </c>
      <c r="S575" s="325">
        <f t="shared" si="165"/>
        <v>0</v>
      </c>
      <c r="T575" s="325">
        <f t="shared" si="170"/>
        <v>8</v>
      </c>
      <c r="U575" s="325">
        <f t="shared" si="167"/>
        <v>25.900000000000006</v>
      </c>
      <c r="V575" s="325">
        <f t="shared" si="168"/>
        <v>0</v>
      </c>
      <c r="W575" s="449" cm="1">
        <f t="array" ref="W575">+IF(U575&lt;0,error,0)</f>
        <v>0</v>
      </c>
    </row>
    <row r="576" spans="1:23" ht="18" customHeight="1" x14ac:dyDescent="0.2">
      <c r="A576" s="402" t="s">
        <v>1312</v>
      </c>
      <c r="B576" s="403"/>
      <c r="C576" s="404" t="s">
        <v>1313</v>
      </c>
      <c r="D576" s="405">
        <v>41375</v>
      </c>
      <c r="E576" s="406"/>
      <c r="F576" s="325"/>
      <c r="G576" s="324"/>
      <c r="H576" s="324">
        <v>1590</v>
      </c>
      <c r="I576" s="325">
        <v>12</v>
      </c>
      <c r="J576" s="325"/>
      <c r="K576" s="325">
        <f t="shared" si="159"/>
        <v>0</v>
      </c>
      <c r="L576" s="325">
        <f t="shared" si="160"/>
        <v>0</v>
      </c>
      <c r="M576" s="407">
        <v>50</v>
      </c>
      <c r="N576" s="408" t="s">
        <v>289</v>
      </c>
      <c r="O576" s="325">
        <f t="shared" si="161"/>
        <v>0</v>
      </c>
      <c r="P576" s="325">
        <f t="shared" si="162"/>
        <v>0</v>
      </c>
      <c r="Q576" s="325">
        <f t="shared" si="163"/>
        <v>0</v>
      </c>
      <c r="R576" s="325">
        <f t="shared" si="164"/>
        <v>3</v>
      </c>
      <c r="S576" s="325">
        <f t="shared" si="165"/>
        <v>0</v>
      </c>
      <c r="T576" s="325">
        <f t="shared" si="170"/>
        <v>3</v>
      </c>
      <c r="U576" s="325">
        <f t="shared" si="167"/>
        <v>9</v>
      </c>
      <c r="V576" s="325">
        <f t="shared" si="168"/>
        <v>0</v>
      </c>
      <c r="W576" s="449" cm="1">
        <f t="array" ref="W576">+IF(U576&lt;0,error,0)</f>
        <v>0</v>
      </c>
    </row>
    <row r="577" spans="1:25" ht="18" customHeight="1" x14ac:dyDescent="0.2">
      <c r="A577" s="402" t="s">
        <v>1314</v>
      </c>
      <c r="B577" s="403"/>
      <c r="C577" s="404" t="s">
        <v>1315</v>
      </c>
      <c r="D577" s="405">
        <v>41436</v>
      </c>
      <c r="E577" s="406"/>
      <c r="F577" s="325"/>
      <c r="G577" s="324"/>
      <c r="H577" s="324">
        <v>7724.46</v>
      </c>
      <c r="I577" s="325">
        <v>57.460000000000008</v>
      </c>
      <c r="J577" s="325"/>
      <c r="K577" s="325">
        <f t="shared" si="159"/>
        <v>0</v>
      </c>
      <c r="L577" s="325">
        <f t="shared" si="160"/>
        <v>0</v>
      </c>
      <c r="M577" s="407">
        <v>50</v>
      </c>
      <c r="N577" s="408" t="s">
        <v>289</v>
      </c>
      <c r="O577" s="325">
        <f t="shared" si="161"/>
        <v>0</v>
      </c>
      <c r="P577" s="325">
        <f t="shared" si="162"/>
        <v>0</v>
      </c>
      <c r="Q577" s="325">
        <f t="shared" si="163"/>
        <v>0</v>
      </c>
      <c r="R577" s="325">
        <f t="shared" si="164"/>
        <v>14</v>
      </c>
      <c r="S577" s="325">
        <f t="shared" si="165"/>
        <v>0</v>
      </c>
      <c r="T577" s="325">
        <f t="shared" si="170"/>
        <v>14</v>
      </c>
      <c r="U577" s="325">
        <f t="shared" si="167"/>
        <v>43.460000000000008</v>
      </c>
      <c r="V577" s="325">
        <f t="shared" si="168"/>
        <v>0</v>
      </c>
      <c r="W577" s="449" cm="1">
        <f t="array" ref="W577">+IF(U577&lt;0,error,0)</f>
        <v>0</v>
      </c>
    </row>
    <row r="578" spans="1:25" ht="18" customHeight="1" x14ac:dyDescent="0.2">
      <c r="A578" s="402" t="s">
        <v>1320</v>
      </c>
      <c r="B578" s="403"/>
      <c r="C578" s="412" t="s">
        <v>1321</v>
      </c>
      <c r="D578" s="405">
        <v>41654</v>
      </c>
      <c r="E578" s="406"/>
      <c r="F578" s="325"/>
      <c r="G578" s="324"/>
      <c r="H578" s="324">
        <v>1331.94</v>
      </c>
      <c r="I578" s="325">
        <v>16.939999999999998</v>
      </c>
      <c r="J578" s="325"/>
      <c r="K578" s="325">
        <f t="shared" si="159"/>
        <v>0</v>
      </c>
      <c r="L578" s="325">
        <f t="shared" si="160"/>
        <v>0</v>
      </c>
      <c r="M578" s="407">
        <v>50</v>
      </c>
      <c r="N578" s="408" t="s">
        <v>289</v>
      </c>
      <c r="O578" s="325">
        <f t="shared" si="161"/>
        <v>0</v>
      </c>
      <c r="P578" s="325">
        <f t="shared" si="162"/>
        <v>0</v>
      </c>
      <c r="Q578" s="325">
        <f t="shared" si="163"/>
        <v>0</v>
      </c>
      <c r="R578" s="325">
        <f t="shared" si="164"/>
        <v>4</v>
      </c>
      <c r="S578" s="325">
        <f t="shared" si="165"/>
        <v>0</v>
      </c>
      <c r="T578" s="325">
        <f t="shared" si="170"/>
        <v>4</v>
      </c>
      <c r="U578" s="325">
        <f t="shared" si="167"/>
        <v>12.939999999999998</v>
      </c>
      <c r="V578" s="325">
        <f t="shared" si="168"/>
        <v>0</v>
      </c>
      <c r="W578" s="449" cm="1">
        <f t="array" ref="W578">+IF(U578&lt;0,error,0)</f>
        <v>0</v>
      </c>
    </row>
    <row r="579" spans="1:25" ht="18" customHeight="1" x14ac:dyDescent="0.2">
      <c r="A579" s="402" t="s">
        <v>1322</v>
      </c>
      <c r="B579" s="403"/>
      <c r="C579" s="412" t="s">
        <v>1323</v>
      </c>
      <c r="D579" s="405">
        <v>41670</v>
      </c>
      <c r="E579" s="406"/>
      <c r="F579" s="325"/>
      <c r="G579" s="324"/>
      <c r="H579" s="324">
        <v>1245.1000000000001</v>
      </c>
      <c r="I579" s="325">
        <v>15.100000000000001</v>
      </c>
      <c r="J579" s="325"/>
      <c r="K579" s="325">
        <f t="shared" si="159"/>
        <v>0</v>
      </c>
      <c r="L579" s="325">
        <f t="shared" si="160"/>
        <v>0</v>
      </c>
      <c r="M579" s="407">
        <v>50</v>
      </c>
      <c r="N579" s="408" t="s">
        <v>289</v>
      </c>
      <c r="O579" s="325">
        <f t="shared" si="161"/>
        <v>0</v>
      </c>
      <c r="P579" s="325">
        <f t="shared" si="162"/>
        <v>0</v>
      </c>
      <c r="Q579" s="325">
        <f t="shared" si="163"/>
        <v>0</v>
      </c>
      <c r="R579" s="325">
        <f t="shared" si="164"/>
        <v>3</v>
      </c>
      <c r="S579" s="325">
        <f t="shared" si="165"/>
        <v>0</v>
      </c>
      <c r="T579" s="325">
        <f t="shared" si="170"/>
        <v>3</v>
      </c>
      <c r="U579" s="325">
        <f t="shared" si="167"/>
        <v>12.100000000000001</v>
      </c>
      <c r="V579" s="325">
        <f t="shared" si="168"/>
        <v>0</v>
      </c>
      <c r="W579" s="449" cm="1">
        <f t="array" ref="W579">+IF(U579&lt;0,error,0)</f>
        <v>0</v>
      </c>
    </row>
    <row r="580" spans="1:25" ht="18" customHeight="1" x14ac:dyDescent="0.2">
      <c r="A580" s="402" t="s">
        <v>1324</v>
      </c>
      <c r="B580" s="403"/>
      <c r="C580" s="412" t="s">
        <v>1325</v>
      </c>
      <c r="D580" s="405">
        <v>41670</v>
      </c>
      <c r="E580" s="406"/>
      <c r="F580" s="325"/>
      <c r="G580" s="324"/>
      <c r="H580" s="324">
        <v>3261</v>
      </c>
      <c r="I580" s="325">
        <v>39</v>
      </c>
      <c r="J580" s="325"/>
      <c r="K580" s="325">
        <f t="shared" si="159"/>
        <v>0</v>
      </c>
      <c r="L580" s="325">
        <f t="shared" si="160"/>
        <v>0</v>
      </c>
      <c r="M580" s="407">
        <v>50</v>
      </c>
      <c r="N580" s="408" t="s">
        <v>289</v>
      </c>
      <c r="O580" s="325">
        <f t="shared" si="161"/>
        <v>0</v>
      </c>
      <c r="P580" s="325">
        <f t="shared" si="162"/>
        <v>0</v>
      </c>
      <c r="Q580" s="325">
        <f t="shared" si="163"/>
        <v>0</v>
      </c>
      <c r="R580" s="325">
        <f t="shared" si="164"/>
        <v>9</v>
      </c>
      <c r="S580" s="325">
        <f t="shared" si="165"/>
        <v>0</v>
      </c>
      <c r="T580" s="325">
        <f t="shared" si="170"/>
        <v>9</v>
      </c>
      <c r="U580" s="325">
        <f t="shared" si="167"/>
        <v>30</v>
      </c>
      <c r="V580" s="325">
        <f t="shared" si="168"/>
        <v>0</v>
      </c>
      <c r="W580" s="449" cm="1">
        <f t="array" ref="W580">+IF(U580&lt;0,error,0)</f>
        <v>0</v>
      </c>
    </row>
    <row r="581" spans="1:25" ht="18" customHeight="1" x14ac:dyDescent="0.2">
      <c r="A581" s="402" t="s">
        <v>1326</v>
      </c>
      <c r="B581" s="403"/>
      <c r="C581" s="404" t="s">
        <v>1327</v>
      </c>
      <c r="D581" s="405">
        <v>41675</v>
      </c>
      <c r="E581" s="406"/>
      <c r="F581" s="325"/>
      <c r="G581" s="324"/>
      <c r="H581" s="324">
        <v>5390</v>
      </c>
      <c r="I581" s="325">
        <v>65</v>
      </c>
      <c r="J581" s="325"/>
      <c r="K581" s="325">
        <f t="shared" si="159"/>
        <v>0</v>
      </c>
      <c r="L581" s="325">
        <f t="shared" si="160"/>
        <v>0</v>
      </c>
      <c r="M581" s="407">
        <v>50</v>
      </c>
      <c r="N581" s="408" t="s">
        <v>289</v>
      </c>
      <c r="O581" s="325">
        <f t="shared" si="161"/>
        <v>0</v>
      </c>
      <c r="P581" s="325">
        <f t="shared" si="162"/>
        <v>0</v>
      </c>
      <c r="Q581" s="325">
        <f t="shared" si="163"/>
        <v>0</v>
      </c>
      <c r="R581" s="325">
        <f t="shared" si="164"/>
        <v>16</v>
      </c>
      <c r="S581" s="325">
        <f t="shared" si="165"/>
        <v>0</v>
      </c>
      <c r="T581" s="325">
        <f t="shared" si="170"/>
        <v>16</v>
      </c>
      <c r="U581" s="325">
        <f t="shared" si="167"/>
        <v>49</v>
      </c>
      <c r="V581" s="325">
        <f t="shared" si="168"/>
        <v>0</v>
      </c>
      <c r="W581" s="449" cm="1">
        <f t="array" ref="W581">+IF(U581&lt;0,error,0)</f>
        <v>0</v>
      </c>
    </row>
    <row r="582" spans="1:25" ht="18" customHeight="1" x14ac:dyDescent="0.2">
      <c r="A582" s="402" t="s">
        <v>1328</v>
      </c>
      <c r="B582" s="403"/>
      <c r="C582" s="404" t="s">
        <v>1329</v>
      </c>
      <c r="D582" s="405">
        <v>41676</v>
      </c>
      <c r="E582" s="406">
        <v>44316</v>
      </c>
      <c r="F582" s="325">
        <v>350</v>
      </c>
      <c r="G582" s="324">
        <v>9835</v>
      </c>
      <c r="H582" s="324">
        <v>9835</v>
      </c>
      <c r="I582" s="325">
        <v>117</v>
      </c>
      <c r="J582" s="325"/>
      <c r="K582" s="325">
        <f t="shared" si="159"/>
        <v>252</v>
      </c>
      <c r="L582" s="325">
        <f t="shared" si="160"/>
        <v>0</v>
      </c>
      <c r="M582" s="407">
        <v>50</v>
      </c>
      <c r="N582" s="408" t="s">
        <v>289</v>
      </c>
      <c r="O582" s="325">
        <f t="shared" si="161"/>
        <v>19</v>
      </c>
      <c r="P582" s="325">
        <f t="shared" si="162"/>
        <v>0</v>
      </c>
      <c r="Q582" s="325">
        <f t="shared" si="163"/>
        <v>19</v>
      </c>
      <c r="R582" s="325">
        <f t="shared" si="164"/>
        <v>0</v>
      </c>
      <c r="S582" s="325">
        <f t="shared" si="165"/>
        <v>0</v>
      </c>
      <c r="T582" s="325">
        <f t="shared" si="170"/>
        <v>19</v>
      </c>
      <c r="U582" s="325">
        <v>0</v>
      </c>
      <c r="V582" s="325">
        <f t="shared" si="168"/>
        <v>9835</v>
      </c>
      <c r="W582" s="449" cm="1">
        <f t="array" ref="W582">+IF(U582&lt;0,error,0)</f>
        <v>0</v>
      </c>
    </row>
    <row r="583" spans="1:25" ht="18" customHeight="1" x14ac:dyDescent="0.2">
      <c r="A583" s="402" t="s">
        <v>1330</v>
      </c>
      <c r="B583" s="403"/>
      <c r="C583" s="404" t="s">
        <v>1331</v>
      </c>
      <c r="D583" s="405">
        <v>41676</v>
      </c>
      <c r="E583" s="406"/>
      <c r="F583" s="325"/>
      <c r="G583" s="324"/>
      <c r="H583" s="324">
        <v>4238</v>
      </c>
      <c r="I583" s="325">
        <v>51</v>
      </c>
      <c r="J583" s="325"/>
      <c r="K583" s="325">
        <f t="shared" si="159"/>
        <v>0</v>
      </c>
      <c r="L583" s="325">
        <f t="shared" si="160"/>
        <v>0</v>
      </c>
      <c r="M583" s="407">
        <v>50</v>
      </c>
      <c r="N583" s="408" t="s">
        <v>289</v>
      </c>
      <c r="O583" s="325">
        <f t="shared" si="161"/>
        <v>0</v>
      </c>
      <c r="P583" s="325">
        <f t="shared" si="162"/>
        <v>0</v>
      </c>
      <c r="Q583" s="325">
        <f t="shared" si="163"/>
        <v>0</v>
      </c>
      <c r="R583" s="325">
        <f t="shared" si="164"/>
        <v>12</v>
      </c>
      <c r="S583" s="325">
        <f t="shared" si="165"/>
        <v>0</v>
      </c>
      <c r="T583" s="325">
        <f t="shared" si="170"/>
        <v>12</v>
      </c>
      <c r="U583" s="325">
        <f t="shared" si="167"/>
        <v>39</v>
      </c>
      <c r="V583" s="325">
        <f t="shared" si="168"/>
        <v>0</v>
      </c>
      <c r="W583" s="449" cm="1">
        <f t="array" ref="W583">+IF(U583&lt;0,error,0)</f>
        <v>0</v>
      </c>
      <c r="Y583" s="516"/>
    </row>
    <row r="584" spans="1:25" ht="18" customHeight="1" x14ac:dyDescent="0.2">
      <c r="A584" s="402" t="s">
        <v>1332</v>
      </c>
      <c r="B584" s="403"/>
      <c r="C584" s="412" t="s">
        <v>1333</v>
      </c>
      <c r="D584" s="405">
        <v>41684</v>
      </c>
      <c r="E584" s="406"/>
      <c r="F584" s="325"/>
      <c r="G584" s="324"/>
      <c r="H584" s="324">
        <v>4365</v>
      </c>
      <c r="I584" s="325">
        <v>53</v>
      </c>
      <c r="J584" s="325"/>
      <c r="K584" s="325">
        <f t="shared" si="159"/>
        <v>0</v>
      </c>
      <c r="L584" s="325">
        <f t="shared" si="160"/>
        <v>0</v>
      </c>
      <c r="M584" s="407">
        <v>50</v>
      </c>
      <c r="N584" s="408" t="s">
        <v>289</v>
      </c>
      <c r="O584" s="325">
        <f t="shared" si="161"/>
        <v>0</v>
      </c>
      <c r="P584" s="325">
        <f t="shared" si="162"/>
        <v>0</v>
      </c>
      <c r="Q584" s="325">
        <f t="shared" si="163"/>
        <v>0</v>
      </c>
      <c r="R584" s="325">
        <f t="shared" si="164"/>
        <v>13</v>
      </c>
      <c r="S584" s="325">
        <f t="shared" si="165"/>
        <v>0</v>
      </c>
      <c r="T584" s="325">
        <f t="shared" si="170"/>
        <v>13</v>
      </c>
      <c r="U584" s="325">
        <f t="shared" si="167"/>
        <v>40</v>
      </c>
      <c r="V584" s="325">
        <f t="shared" si="168"/>
        <v>0</v>
      </c>
      <c r="W584" s="449" cm="1">
        <f t="array" ref="W584">+IF(U584&lt;0,error,0)</f>
        <v>0</v>
      </c>
    </row>
    <row r="585" spans="1:25" ht="18" customHeight="1" x14ac:dyDescent="0.2">
      <c r="A585" s="402" t="s">
        <v>1334</v>
      </c>
      <c r="B585" s="403"/>
      <c r="C585" s="412" t="s">
        <v>1335</v>
      </c>
      <c r="D585" s="405">
        <v>41689</v>
      </c>
      <c r="E585" s="406"/>
      <c r="F585" s="325"/>
      <c r="G585" s="324"/>
      <c r="H585" s="324">
        <v>3747</v>
      </c>
      <c r="I585" s="325">
        <v>46</v>
      </c>
      <c r="J585" s="325"/>
      <c r="K585" s="325">
        <f t="shared" si="159"/>
        <v>0</v>
      </c>
      <c r="L585" s="325">
        <f t="shared" si="160"/>
        <v>0</v>
      </c>
      <c r="M585" s="407">
        <v>50</v>
      </c>
      <c r="N585" s="408" t="s">
        <v>289</v>
      </c>
      <c r="O585" s="325">
        <f t="shared" si="161"/>
        <v>0</v>
      </c>
      <c r="P585" s="325">
        <f t="shared" si="162"/>
        <v>0</v>
      </c>
      <c r="Q585" s="325">
        <f t="shared" si="163"/>
        <v>0</v>
      </c>
      <c r="R585" s="325">
        <f t="shared" si="164"/>
        <v>11</v>
      </c>
      <c r="S585" s="325">
        <f t="shared" si="165"/>
        <v>0</v>
      </c>
      <c r="T585" s="325">
        <f t="shared" si="170"/>
        <v>11</v>
      </c>
      <c r="U585" s="325">
        <f t="shared" si="167"/>
        <v>35</v>
      </c>
      <c r="V585" s="325">
        <f t="shared" si="168"/>
        <v>0</v>
      </c>
      <c r="W585" s="449" cm="1">
        <f t="array" ref="W585">+IF(U585&lt;0,error,0)</f>
        <v>0</v>
      </c>
    </row>
    <row r="586" spans="1:25" ht="18" customHeight="1" x14ac:dyDescent="0.2">
      <c r="A586" s="402" t="s">
        <v>1336</v>
      </c>
      <c r="B586" s="403"/>
      <c r="C586" s="404" t="s">
        <v>1337</v>
      </c>
      <c r="D586" s="405">
        <v>41717</v>
      </c>
      <c r="E586" s="406"/>
      <c r="F586" s="325"/>
      <c r="G586" s="324"/>
      <c r="H586" s="324">
        <v>3075.92</v>
      </c>
      <c r="I586" s="325">
        <v>39.920000000000016</v>
      </c>
      <c r="J586" s="325"/>
      <c r="K586" s="325">
        <f t="shared" si="159"/>
        <v>0</v>
      </c>
      <c r="L586" s="325">
        <f t="shared" si="160"/>
        <v>0</v>
      </c>
      <c r="M586" s="407">
        <v>50</v>
      </c>
      <c r="N586" s="408" t="s">
        <v>289</v>
      </c>
      <c r="O586" s="325">
        <f t="shared" si="161"/>
        <v>0</v>
      </c>
      <c r="P586" s="325">
        <f t="shared" si="162"/>
        <v>0</v>
      </c>
      <c r="Q586" s="325">
        <f t="shared" si="163"/>
        <v>0</v>
      </c>
      <c r="R586" s="325">
        <f t="shared" si="164"/>
        <v>9</v>
      </c>
      <c r="S586" s="325">
        <f t="shared" si="165"/>
        <v>0</v>
      </c>
      <c r="T586" s="325">
        <f t="shared" si="170"/>
        <v>9</v>
      </c>
      <c r="U586" s="325">
        <f t="shared" si="167"/>
        <v>30.920000000000016</v>
      </c>
      <c r="V586" s="325">
        <f t="shared" si="168"/>
        <v>0</v>
      </c>
      <c r="W586" s="449" cm="1">
        <f t="array" ref="W586">+IF(U586&lt;0,error,0)</f>
        <v>0</v>
      </c>
    </row>
    <row r="587" spans="1:25" ht="18" customHeight="1" x14ac:dyDescent="0.2">
      <c r="A587" s="402" t="s">
        <v>1338</v>
      </c>
      <c r="B587" s="403"/>
      <c r="C587" s="404" t="s">
        <v>1339</v>
      </c>
      <c r="D587" s="405">
        <v>41717</v>
      </c>
      <c r="E587" s="406"/>
      <c r="F587" s="325"/>
      <c r="G587" s="324"/>
      <c r="H587" s="324">
        <v>1537.96</v>
      </c>
      <c r="I587" s="325">
        <v>21.960000000000008</v>
      </c>
      <c r="J587" s="325"/>
      <c r="K587" s="325">
        <f t="shared" si="159"/>
        <v>0</v>
      </c>
      <c r="L587" s="325">
        <f t="shared" si="160"/>
        <v>0</v>
      </c>
      <c r="M587" s="407">
        <v>50</v>
      </c>
      <c r="N587" s="408" t="s">
        <v>289</v>
      </c>
      <c r="O587" s="325">
        <f t="shared" si="161"/>
        <v>0</v>
      </c>
      <c r="P587" s="325">
        <f t="shared" si="162"/>
        <v>0</v>
      </c>
      <c r="Q587" s="325">
        <f t="shared" si="163"/>
        <v>0</v>
      </c>
      <c r="R587" s="325">
        <f t="shared" si="164"/>
        <v>5</v>
      </c>
      <c r="S587" s="325">
        <f t="shared" si="165"/>
        <v>0</v>
      </c>
      <c r="T587" s="325">
        <f t="shared" si="170"/>
        <v>5</v>
      </c>
      <c r="U587" s="325">
        <f t="shared" si="167"/>
        <v>16.960000000000008</v>
      </c>
      <c r="V587" s="325">
        <f t="shared" si="168"/>
        <v>0</v>
      </c>
      <c r="W587" s="449" cm="1">
        <f t="array" ref="W587">+IF(U587&lt;0,error,0)</f>
        <v>0</v>
      </c>
    </row>
    <row r="588" spans="1:25" ht="18" customHeight="1" x14ac:dyDescent="0.2">
      <c r="A588" s="402" t="s">
        <v>1340</v>
      </c>
      <c r="B588" s="403"/>
      <c r="C588" s="404" t="s">
        <v>1341</v>
      </c>
      <c r="D588" s="405">
        <v>41717</v>
      </c>
      <c r="E588" s="406"/>
      <c r="F588" s="325"/>
      <c r="G588" s="324"/>
      <c r="H588" s="324">
        <v>1537.96</v>
      </c>
      <c r="I588" s="325">
        <v>21.960000000000008</v>
      </c>
      <c r="J588" s="325"/>
      <c r="K588" s="325">
        <f t="shared" si="159"/>
        <v>0</v>
      </c>
      <c r="L588" s="325">
        <f t="shared" si="160"/>
        <v>0</v>
      </c>
      <c r="M588" s="407">
        <v>50</v>
      </c>
      <c r="N588" s="408" t="s">
        <v>289</v>
      </c>
      <c r="O588" s="325">
        <f t="shared" si="161"/>
        <v>0</v>
      </c>
      <c r="P588" s="325">
        <f t="shared" si="162"/>
        <v>0</v>
      </c>
      <c r="Q588" s="325">
        <f t="shared" si="163"/>
        <v>0</v>
      </c>
      <c r="R588" s="325">
        <f t="shared" si="164"/>
        <v>5</v>
      </c>
      <c r="S588" s="325">
        <f t="shared" si="165"/>
        <v>0</v>
      </c>
      <c r="T588" s="325">
        <f t="shared" si="170"/>
        <v>5</v>
      </c>
      <c r="U588" s="325">
        <f t="shared" si="167"/>
        <v>16.960000000000008</v>
      </c>
      <c r="V588" s="325">
        <f t="shared" si="168"/>
        <v>0</v>
      </c>
      <c r="W588" s="449" cm="1">
        <f t="array" ref="W588">+IF(U588&lt;0,error,0)</f>
        <v>0</v>
      </c>
    </row>
    <row r="589" spans="1:25" ht="18" customHeight="1" x14ac:dyDescent="0.2">
      <c r="A589" s="402" t="s">
        <v>1342</v>
      </c>
      <c r="B589" s="403"/>
      <c r="C589" s="404" t="s">
        <v>1343</v>
      </c>
      <c r="D589" s="405">
        <v>41717</v>
      </c>
      <c r="E589" s="406"/>
      <c r="F589" s="325"/>
      <c r="G589" s="324"/>
      <c r="H589" s="324">
        <v>2128.86</v>
      </c>
      <c r="I589" s="325">
        <v>27.86</v>
      </c>
      <c r="J589" s="325"/>
      <c r="K589" s="325">
        <f t="shared" si="159"/>
        <v>0</v>
      </c>
      <c r="L589" s="325">
        <f t="shared" si="160"/>
        <v>0</v>
      </c>
      <c r="M589" s="407">
        <v>50</v>
      </c>
      <c r="N589" s="408" t="s">
        <v>289</v>
      </c>
      <c r="O589" s="325">
        <f t="shared" si="161"/>
        <v>0</v>
      </c>
      <c r="P589" s="325">
        <f t="shared" si="162"/>
        <v>0</v>
      </c>
      <c r="Q589" s="325">
        <f t="shared" si="163"/>
        <v>0</v>
      </c>
      <c r="R589" s="325">
        <f t="shared" si="164"/>
        <v>6</v>
      </c>
      <c r="S589" s="325">
        <f t="shared" si="165"/>
        <v>0</v>
      </c>
      <c r="T589" s="325">
        <f t="shared" si="170"/>
        <v>6</v>
      </c>
      <c r="U589" s="325">
        <f t="shared" si="167"/>
        <v>21.86</v>
      </c>
      <c r="V589" s="325">
        <f t="shared" si="168"/>
        <v>0</v>
      </c>
      <c r="W589" s="449" cm="1">
        <f t="array" ref="W589">+IF(U589&lt;0,error,0)</f>
        <v>0</v>
      </c>
    </row>
    <row r="590" spans="1:25" ht="18" customHeight="1" x14ac:dyDescent="0.2">
      <c r="A590" s="402" t="s">
        <v>1344</v>
      </c>
      <c r="B590" s="403"/>
      <c r="C590" s="404" t="s">
        <v>1345</v>
      </c>
      <c r="D590" s="405">
        <v>41717</v>
      </c>
      <c r="E590" s="406"/>
      <c r="F590" s="325"/>
      <c r="G590" s="324"/>
      <c r="H590" s="324">
        <v>6386.58</v>
      </c>
      <c r="I590" s="325">
        <v>81.579999999999984</v>
      </c>
      <c r="J590" s="325"/>
      <c r="K590" s="325">
        <f t="shared" si="159"/>
        <v>0</v>
      </c>
      <c r="L590" s="325">
        <f t="shared" si="160"/>
        <v>0</v>
      </c>
      <c r="M590" s="407">
        <v>50</v>
      </c>
      <c r="N590" s="408" t="s">
        <v>289</v>
      </c>
      <c r="O590" s="325">
        <f t="shared" si="161"/>
        <v>0</v>
      </c>
      <c r="P590" s="325">
        <f t="shared" si="162"/>
        <v>0</v>
      </c>
      <c r="Q590" s="325">
        <f t="shared" si="163"/>
        <v>0</v>
      </c>
      <c r="R590" s="325">
        <f t="shared" si="164"/>
        <v>20</v>
      </c>
      <c r="S590" s="325">
        <f t="shared" si="165"/>
        <v>0</v>
      </c>
      <c r="T590" s="325">
        <f t="shared" si="170"/>
        <v>20</v>
      </c>
      <c r="U590" s="325">
        <f t="shared" si="167"/>
        <v>61.579999999999984</v>
      </c>
      <c r="V590" s="325">
        <f t="shared" si="168"/>
        <v>0</v>
      </c>
      <c r="W590" s="449" cm="1">
        <f t="array" ref="W590">+IF(U590&lt;0,error,0)</f>
        <v>0</v>
      </c>
    </row>
    <row r="591" spans="1:25" ht="18" customHeight="1" x14ac:dyDescent="0.2">
      <c r="A591" s="402" t="s">
        <v>1346</v>
      </c>
      <c r="B591" s="403"/>
      <c r="C591" s="404" t="s">
        <v>1347</v>
      </c>
      <c r="D591" s="405">
        <v>41717</v>
      </c>
      <c r="E591" s="406"/>
      <c r="F591" s="325"/>
      <c r="G591" s="324"/>
      <c r="H591" s="324">
        <v>2128.86</v>
      </c>
      <c r="I591" s="325">
        <v>27.86</v>
      </c>
      <c r="J591" s="325"/>
      <c r="K591" s="325">
        <f t="shared" si="159"/>
        <v>0</v>
      </c>
      <c r="L591" s="325">
        <f t="shared" si="160"/>
        <v>0</v>
      </c>
      <c r="M591" s="407">
        <v>50</v>
      </c>
      <c r="N591" s="408" t="s">
        <v>289</v>
      </c>
      <c r="O591" s="325">
        <f t="shared" si="161"/>
        <v>0</v>
      </c>
      <c r="P591" s="325">
        <f t="shared" si="162"/>
        <v>0</v>
      </c>
      <c r="Q591" s="325">
        <f t="shared" si="163"/>
        <v>0</v>
      </c>
      <c r="R591" s="325">
        <f t="shared" si="164"/>
        <v>6</v>
      </c>
      <c r="S591" s="325">
        <f t="shared" si="165"/>
        <v>0</v>
      </c>
      <c r="T591" s="325">
        <f t="shared" si="170"/>
        <v>6</v>
      </c>
      <c r="U591" s="325">
        <f t="shared" si="167"/>
        <v>21.86</v>
      </c>
      <c r="V591" s="325">
        <f t="shared" si="168"/>
        <v>0</v>
      </c>
      <c r="W591" s="449" cm="1">
        <f t="array" ref="W591">+IF(U591&lt;0,error,0)</f>
        <v>0</v>
      </c>
    </row>
    <row r="592" spans="1:25" ht="18" customHeight="1" x14ac:dyDescent="0.2">
      <c r="A592" s="402" t="s">
        <v>1348</v>
      </c>
      <c r="B592" s="403"/>
      <c r="C592" s="404" t="s">
        <v>1349</v>
      </c>
      <c r="D592" s="405">
        <v>41717</v>
      </c>
      <c r="E592" s="406"/>
      <c r="F592" s="325"/>
      <c r="G592" s="324"/>
      <c r="H592" s="324">
        <v>6489.8</v>
      </c>
      <c r="I592" s="325">
        <v>83.800000000000011</v>
      </c>
      <c r="J592" s="325"/>
      <c r="K592" s="325">
        <f t="shared" si="159"/>
        <v>0</v>
      </c>
      <c r="L592" s="325">
        <f t="shared" si="160"/>
        <v>0</v>
      </c>
      <c r="M592" s="407">
        <v>50</v>
      </c>
      <c r="N592" s="408" t="s">
        <v>289</v>
      </c>
      <c r="O592" s="325">
        <f t="shared" si="161"/>
        <v>0</v>
      </c>
      <c r="P592" s="325">
        <f t="shared" si="162"/>
        <v>0</v>
      </c>
      <c r="Q592" s="325">
        <f t="shared" si="163"/>
        <v>0</v>
      </c>
      <c r="R592" s="325">
        <f t="shared" si="164"/>
        <v>20</v>
      </c>
      <c r="S592" s="325">
        <f t="shared" si="165"/>
        <v>0</v>
      </c>
      <c r="T592" s="325">
        <f t="shared" si="170"/>
        <v>20</v>
      </c>
      <c r="U592" s="325">
        <f t="shared" si="167"/>
        <v>63.800000000000011</v>
      </c>
      <c r="V592" s="325">
        <f t="shared" si="168"/>
        <v>0</v>
      </c>
      <c r="W592" s="449" cm="1">
        <f t="array" ref="W592">+IF(U592&lt;0,error,0)</f>
        <v>0</v>
      </c>
    </row>
    <row r="593" spans="1:23" ht="18" customHeight="1" x14ac:dyDescent="0.2">
      <c r="A593" s="402" t="s">
        <v>1350</v>
      </c>
      <c r="B593" s="403"/>
      <c r="C593" s="404" t="s">
        <v>1351</v>
      </c>
      <c r="D593" s="405">
        <v>41726</v>
      </c>
      <c r="E593" s="406"/>
      <c r="F593" s="325"/>
      <c r="G593" s="324"/>
      <c r="H593" s="324">
        <v>4380</v>
      </c>
      <c r="I593" s="325">
        <v>57</v>
      </c>
      <c r="J593" s="325"/>
      <c r="K593" s="325">
        <f t="shared" si="159"/>
        <v>0</v>
      </c>
      <c r="L593" s="325">
        <f t="shared" si="160"/>
        <v>0</v>
      </c>
      <c r="M593" s="407">
        <v>50</v>
      </c>
      <c r="N593" s="408" t="s">
        <v>289</v>
      </c>
      <c r="O593" s="325">
        <f t="shared" si="161"/>
        <v>0</v>
      </c>
      <c r="P593" s="325">
        <f t="shared" si="162"/>
        <v>0</v>
      </c>
      <c r="Q593" s="325">
        <f t="shared" si="163"/>
        <v>0</v>
      </c>
      <c r="R593" s="325">
        <f t="shared" si="164"/>
        <v>14</v>
      </c>
      <c r="S593" s="325">
        <f t="shared" si="165"/>
        <v>0</v>
      </c>
      <c r="T593" s="325">
        <f t="shared" si="170"/>
        <v>14</v>
      </c>
      <c r="U593" s="325">
        <f t="shared" si="167"/>
        <v>43</v>
      </c>
      <c r="V593" s="325">
        <f t="shared" si="168"/>
        <v>0</v>
      </c>
      <c r="W593" s="449" cm="1">
        <f t="array" ref="W593">+IF(U593&lt;0,error,0)</f>
        <v>0</v>
      </c>
    </row>
    <row r="594" spans="1:23" ht="18" customHeight="1" x14ac:dyDescent="0.2">
      <c r="A594" s="402" t="s">
        <v>1352</v>
      </c>
      <c r="B594" s="403"/>
      <c r="C594" s="404" t="s">
        <v>1353</v>
      </c>
      <c r="D594" s="405">
        <v>41730</v>
      </c>
      <c r="E594" s="406"/>
      <c r="F594" s="325"/>
      <c r="G594" s="324"/>
      <c r="H594" s="324">
        <v>1400</v>
      </c>
      <c r="I594" s="325">
        <v>19</v>
      </c>
      <c r="J594" s="325"/>
      <c r="K594" s="325">
        <f t="shared" si="159"/>
        <v>0</v>
      </c>
      <c r="L594" s="325">
        <f t="shared" si="160"/>
        <v>0</v>
      </c>
      <c r="M594" s="407">
        <v>50</v>
      </c>
      <c r="N594" s="408" t="s">
        <v>289</v>
      </c>
      <c r="O594" s="325">
        <f t="shared" si="161"/>
        <v>0</v>
      </c>
      <c r="P594" s="325">
        <f t="shared" si="162"/>
        <v>0</v>
      </c>
      <c r="Q594" s="325">
        <f t="shared" si="163"/>
        <v>0</v>
      </c>
      <c r="R594" s="325">
        <f t="shared" si="164"/>
        <v>4</v>
      </c>
      <c r="S594" s="325">
        <f t="shared" si="165"/>
        <v>0</v>
      </c>
      <c r="T594" s="325">
        <f t="shared" si="170"/>
        <v>4</v>
      </c>
      <c r="U594" s="325">
        <f t="shared" si="167"/>
        <v>15</v>
      </c>
      <c r="V594" s="325">
        <f t="shared" si="168"/>
        <v>0</v>
      </c>
      <c r="W594" s="449" cm="1">
        <f t="array" ref="W594">+IF(U594&lt;0,error,0)</f>
        <v>0</v>
      </c>
    </row>
    <row r="595" spans="1:23" ht="18" customHeight="1" x14ac:dyDescent="0.2">
      <c r="A595" s="402" t="s">
        <v>1354</v>
      </c>
      <c r="B595" s="403"/>
      <c r="C595" s="404" t="s">
        <v>1355</v>
      </c>
      <c r="D595" s="405">
        <v>41730</v>
      </c>
      <c r="E595" s="406"/>
      <c r="F595" s="325"/>
      <c r="G595" s="324"/>
      <c r="H595" s="324">
        <v>700</v>
      </c>
      <c r="I595" s="325">
        <v>10</v>
      </c>
      <c r="J595" s="325"/>
      <c r="K595" s="325">
        <f t="shared" si="159"/>
        <v>0</v>
      </c>
      <c r="L595" s="325">
        <f t="shared" si="160"/>
        <v>0</v>
      </c>
      <c r="M595" s="407">
        <v>50</v>
      </c>
      <c r="N595" s="408" t="s">
        <v>289</v>
      </c>
      <c r="O595" s="325">
        <f t="shared" si="161"/>
        <v>0</v>
      </c>
      <c r="P595" s="325">
        <f t="shared" si="162"/>
        <v>0</v>
      </c>
      <c r="Q595" s="325">
        <f t="shared" si="163"/>
        <v>0</v>
      </c>
      <c r="R595" s="325">
        <f t="shared" si="164"/>
        <v>2</v>
      </c>
      <c r="S595" s="325">
        <f t="shared" si="165"/>
        <v>0</v>
      </c>
      <c r="T595" s="325">
        <f t="shared" si="170"/>
        <v>2</v>
      </c>
      <c r="U595" s="325">
        <f t="shared" si="167"/>
        <v>8</v>
      </c>
      <c r="V595" s="325">
        <f t="shared" si="168"/>
        <v>0</v>
      </c>
      <c r="W595" s="449" cm="1">
        <f t="array" ref="W595">+IF(U595&lt;0,error,0)</f>
        <v>0</v>
      </c>
    </row>
    <row r="596" spans="1:23" ht="18" customHeight="1" x14ac:dyDescent="0.2">
      <c r="A596" s="402" t="s">
        <v>1356</v>
      </c>
      <c r="B596" s="403"/>
      <c r="C596" s="412" t="s">
        <v>1357</v>
      </c>
      <c r="D596" s="405">
        <v>41731</v>
      </c>
      <c r="E596" s="406"/>
      <c r="F596" s="325"/>
      <c r="G596" s="324"/>
      <c r="H596" s="324">
        <v>6347.26</v>
      </c>
      <c r="I596" s="325">
        <v>84.259999999999991</v>
      </c>
      <c r="J596" s="325"/>
      <c r="K596" s="325">
        <f t="shared" si="159"/>
        <v>0</v>
      </c>
      <c r="L596" s="325">
        <f t="shared" si="160"/>
        <v>0</v>
      </c>
      <c r="M596" s="407">
        <v>50</v>
      </c>
      <c r="N596" s="408" t="s">
        <v>289</v>
      </c>
      <c r="O596" s="325">
        <f t="shared" si="161"/>
        <v>0</v>
      </c>
      <c r="P596" s="325">
        <f t="shared" si="162"/>
        <v>0</v>
      </c>
      <c r="Q596" s="325">
        <f t="shared" si="163"/>
        <v>0</v>
      </c>
      <c r="R596" s="325">
        <f t="shared" si="164"/>
        <v>21</v>
      </c>
      <c r="S596" s="325">
        <f t="shared" si="165"/>
        <v>0</v>
      </c>
      <c r="T596" s="325">
        <f t="shared" si="170"/>
        <v>21</v>
      </c>
      <c r="U596" s="325">
        <f t="shared" si="167"/>
        <v>63.259999999999991</v>
      </c>
      <c r="V596" s="325">
        <f t="shared" si="168"/>
        <v>0</v>
      </c>
      <c r="W596" s="449" cm="1">
        <f t="array" ref="W596">+IF(U596&lt;0,error,0)</f>
        <v>0</v>
      </c>
    </row>
    <row r="597" spans="1:23" ht="18" customHeight="1" x14ac:dyDescent="0.2">
      <c r="A597" s="402" t="s">
        <v>1358</v>
      </c>
      <c r="B597" s="403"/>
      <c r="C597" s="404" t="s">
        <v>1359</v>
      </c>
      <c r="D597" s="405">
        <v>41742</v>
      </c>
      <c r="E597" s="406"/>
      <c r="F597" s="325"/>
      <c r="G597" s="324"/>
      <c r="H597" s="324">
        <v>2100</v>
      </c>
      <c r="I597" s="325">
        <v>29</v>
      </c>
      <c r="J597" s="325"/>
      <c r="K597" s="325">
        <f t="shared" si="159"/>
        <v>0</v>
      </c>
      <c r="L597" s="325">
        <f t="shared" si="160"/>
        <v>0</v>
      </c>
      <c r="M597" s="407">
        <v>50</v>
      </c>
      <c r="N597" s="408" t="s">
        <v>289</v>
      </c>
      <c r="O597" s="325">
        <f t="shared" si="161"/>
        <v>0</v>
      </c>
      <c r="P597" s="325">
        <f t="shared" si="162"/>
        <v>0</v>
      </c>
      <c r="Q597" s="325">
        <f t="shared" si="163"/>
        <v>0</v>
      </c>
      <c r="R597" s="325">
        <f t="shared" si="164"/>
        <v>7</v>
      </c>
      <c r="S597" s="325">
        <f t="shared" si="165"/>
        <v>0</v>
      </c>
      <c r="T597" s="325">
        <f t="shared" si="170"/>
        <v>7</v>
      </c>
      <c r="U597" s="325">
        <f t="shared" si="167"/>
        <v>22</v>
      </c>
      <c r="V597" s="325">
        <f t="shared" si="168"/>
        <v>0</v>
      </c>
      <c r="W597" s="449" cm="1">
        <f t="array" ref="W597">+IF(U597&lt;0,error,0)</f>
        <v>0</v>
      </c>
    </row>
    <row r="598" spans="1:23" ht="18" customHeight="1" x14ac:dyDescent="0.2">
      <c r="A598" s="402" t="s">
        <v>1360</v>
      </c>
      <c r="B598" s="403"/>
      <c r="C598" s="404" t="s">
        <v>1361</v>
      </c>
      <c r="D598" s="405">
        <v>41742</v>
      </c>
      <c r="E598" s="406"/>
      <c r="F598" s="325"/>
      <c r="G598" s="324"/>
      <c r="H598" s="324">
        <v>2640</v>
      </c>
      <c r="I598" s="325">
        <v>36</v>
      </c>
      <c r="J598" s="325"/>
      <c r="K598" s="325">
        <f t="shared" si="159"/>
        <v>0</v>
      </c>
      <c r="L598" s="325">
        <f t="shared" si="160"/>
        <v>0</v>
      </c>
      <c r="M598" s="407">
        <v>50</v>
      </c>
      <c r="N598" s="408" t="s">
        <v>289</v>
      </c>
      <c r="O598" s="325">
        <f t="shared" si="161"/>
        <v>0</v>
      </c>
      <c r="P598" s="325">
        <f t="shared" si="162"/>
        <v>0</v>
      </c>
      <c r="Q598" s="325">
        <f t="shared" si="163"/>
        <v>0</v>
      </c>
      <c r="R598" s="325">
        <f t="shared" si="164"/>
        <v>9</v>
      </c>
      <c r="S598" s="325">
        <f t="shared" si="165"/>
        <v>0</v>
      </c>
      <c r="T598" s="325">
        <f t="shared" si="170"/>
        <v>9</v>
      </c>
      <c r="U598" s="325">
        <f t="shared" si="167"/>
        <v>27</v>
      </c>
      <c r="V598" s="325">
        <f t="shared" si="168"/>
        <v>0</v>
      </c>
      <c r="W598" s="449" cm="1">
        <f t="array" ref="W598">+IF(U598&lt;0,error,0)</f>
        <v>0</v>
      </c>
    </row>
    <row r="599" spans="1:23" ht="18" customHeight="1" x14ac:dyDescent="0.2">
      <c r="A599" s="402" t="s">
        <v>1362</v>
      </c>
      <c r="B599" s="403"/>
      <c r="C599" s="404" t="s">
        <v>1309</v>
      </c>
      <c r="D599" s="405">
        <v>41744</v>
      </c>
      <c r="E599" s="406"/>
      <c r="F599" s="325"/>
      <c r="G599" s="324"/>
      <c r="H599" s="324">
        <v>8142</v>
      </c>
      <c r="I599" s="325">
        <v>108</v>
      </c>
      <c r="J599" s="325"/>
      <c r="K599" s="325">
        <f t="shared" si="159"/>
        <v>0</v>
      </c>
      <c r="L599" s="325">
        <f t="shared" si="160"/>
        <v>0</v>
      </c>
      <c r="M599" s="407">
        <v>50</v>
      </c>
      <c r="N599" s="408" t="s">
        <v>289</v>
      </c>
      <c r="O599" s="325">
        <f t="shared" si="161"/>
        <v>0</v>
      </c>
      <c r="P599" s="325">
        <f t="shared" si="162"/>
        <v>0</v>
      </c>
      <c r="Q599" s="325">
        <f t="shared" si="163"/>
        <v>0</v>
      </c>
      <c r="R599" s="325">
        <f t="shared" si="164"/>
        <v>27</v>
      </c>
      <c r="S599" s="325">
        <f t="shared" si="165"/>
        <v>0</v>
      </c>
      <c r="T599" s="325">
        <f t="shared" si="170"/>
        <v>27</v>
      </c>
      <c r="U599" s="325">
        <f t="shared" si="167"/>
        <v>81</v>
      </c>
      <c r="V599" s="325">
        <f t="shared" si="168"/>
        <v>0</v>
      </c>
      <c r="W599" s="449" cm="1">
        <f t="array" ref="W599">+IF(U599&lt;0,error,0)</f>
        <v>0</v>
      </c>
    </row>
    <row r="600" spans="1:23" ht="18" customHeight="1" x14ac:dyDescent="0.2">
      <c r="A600" s="402" t="s">
        <v>1363</v>
      </c>
      <c r="B600" s="403"/>
      <c r="C600" s="404" t="s">
        <v>1364</v>
      </c>
      <c r="D600" s="405">
        <v>41820</v>
      </c>
      <c r="E600" s="406"/>
      <c r="F600" s="325"/>
      <c r="G600" s="324"/>
      <c r="H600" s="324">
        <v>10635.17</v>
      </c>
      <c r="I600" s="325">
        <v>158.16999999999996</v>
      </c>
      <c r="J600" s="325"/>
      <c r="K600" s="325">
        <f t="shared" si="159"/>
        <v>0</v>
      </c>
      <c r="L600" s="325">
        <f t="shared" si="160"/>
        <v>0</v>
      </c>
      <c r="M600" s="407">
        <v>50</v>
      </c>
      <c r="N600" s="408" t="s">
        <v>289</v>
      </c>
      <c r="O600" s="325">
        <f t="shared" si="161"/>
        <v>0</v>
      </c>
      <c r="P600" s="325">
        <f t="shared" si="162"/>
        <v>0</v>
      </c>
      <c r="Q600" s="325">
        <f t="shared" si="163"/>
        <v>0</v>
      </c>
      <c r="R600" s="325">
        <f t="shared" si="164"/>
        <v>39</v>
      </c>
      <c r="S600" s="325">
        <f t="shared" si="165"/>
        <v>0</v>
      </c>
      <c r="T600" s="325">
        <f t="shared" si="170"/>
        <v>39</v>
      </c>
      <c r="U600" s="325">
        <f t="shared" si="167"/>
        <v>119.16999999999996</v>
      </c>
      <c r="V600" s="325">
        <f t="shared" si="168"/>
        <v>0</v>
      </c>
      <c r="W600" s="449" cm="1">
        <f t="array" ref="W600">+IF(U600&lt;0,error,0)</f>
        <v>0</v>
      </c>
    </row>
    <row r="601" spans="1:23" ht="18" customHeight="1" x14ac:dyDescent="0.2">
      <c r="A601" s="402" t="s">
        <v>1365</v>
      </c>
      <c r="B601" s="403"/>
      <c r="C601" s="404" t="s">
        <v>1366</v>
      </c>
      <c r="D601" s="405">
        <v>41731</v>
      </c>
      <c r="E601" s="406"/>
      <c r="F601" s="325"/>
      <c r="G601" s="324"/>
      <c r="H601" s="324">
        <v>7526.52</v>
      </c>
      <c r="I601" s="325">
        <v>99.519999999999982</v>
      </c>
      <c r="J601" s="325"/>
      <c r="K601" s="325">
        <f t="shared" si="159"/>
        <v>0</v>
      </c>
      <c r="L601" s="325">
        <f t="shared" si="160"/>
        <v>0</v>
      </c>
      <c r="M601" s="407">
        <v>50</v>
      </c>
      <c r="N601" s="408" t="s">
        <v>289</v>
      </c>
      <c r="O601" s="325">
        <f t="shared" si="161"/>
        <v>0</v>
      </c>
      <c r="P601" s="325">
        <f t="shared" si="162"/>
        <v>0</v>
      </c>
      <c r="Q601" s="325">
        <f t="shared" si="163"/>
        <v>0</v>
      </c>
      <c r="R601" s="325">
        <f t="shared" si="164"/>
        <v>24</v>
      </c>
      <c r="S601" s="325">
        <f t="shared" si="165"/>
        <v>0</v>
      </c>
      <c r="T601" s="325">
        <f t="shared" si="170"/>
        <v>24</v>
      </c>
      <c r="U601" s="325">
        <f t="shared" si="167"/>
        <v>75.519999999999982</v>
      </c>
      <c r="V601" s="325">
        <f t="shared" si="168"/>
        <v>0</v>
      </c>
      <c r="W601" s="449" cm="1">
        <f t="array" ref="W601">+IF(U601&lt;0,error,0)</f>
        <v>0</v>
      </c>
    </row>
    <row r="602" spans="1:23" ht="18" customHeight="1" x14ac:dyDescent="0.2">
      <c r="A602" s="402" t="s">
        <v>1369</v>
      </c>
      <c r="B602" s="403"/>
      <c r="C602" s="404" t="s">
        <v>1370</v>
      </c>
      <c r="D602" s="405">
        <v>41942</v>
      </c>
      <c r="E602" s="406"/>
      <c r="F602" s="325"/>
      <c r="G602" s="324"/>
      <c r="H602" s="324">
        <v>5250</v>
      </c>
      <c r="I602" s="325">
        <v>104</v>
      </c>
      <c r="J602" s="325"/>
      <c r="K602" s="325">
        <f t="shared" si="159"/>
        <v>0</v>
      </c>
      <c r="L602" s="325">
        <f t="shared" si="160"/>
        <v>0</v>
      </c>
      <c r="M602" s="407">
        <v>50</v>
      </c>
      <c r="N602" s="408" t="s">
        <v>289</v>
      </c>
      <c r="O602" s="325">
        <f t="shared" si="161"/>
        <v>0</v>
      </c>
      <c r="P602" s="325">
        <f t="shared" si="162"/>
        <v>0</v>
      </c>
      <c r="Q602" s="325">
        <f t="shared" si="163"/>
        <v>0</v>
      </c>
      <c r="R602" s="325">
        <f t="shared" si="164"/>
        <v>26</v>
      </c>
      <c r="S602" s="325">
        <f t="shared" si="165"/>
        <v>0</v>
      </c>
      <c r="T602" s="325">
        <f t="shared" si="170"/>
        <v>26</v>
      </c>
      <c r="U602" s="325">
        <f t="shared" si="167"/>
        <v>78</v>
      </c>
      <c r="V602" s="325">
        <f t="shared" si="168"/>
        <v>0</v>
      </c>
      <c r="W602" s="449" cm="1">
        <f t="array" ref="W602">+IF(U602&lt;0,error,0)</f>
        <v>0</v>
      </c>
    </row>
    <row r="603" spans="1:23" ht="18" customHeight="1" x14ac:dyDescent="0.2">
      <c r="A603" s="402" t="s">
        <v>1371</v>
      </c>
      <c r="B603" s="403"/>
      <c r="C603" s="404" t="s">
        <v>1372</v>
      </c>
      <c r="D603" s="405">
        <v>41961</v>
      </c>
      <c r="E603" s="406"/>
      <c r="F603" s="325"/>
      <c r="G603" s="324"/>
      <c r="H603" s="324">
        <v>3600</v>
      </c>
      <c r="I603" s="325">
        <v>75</v>
      </c>
      <c r="J603" s="325"/>
      <c r="K603" s="325">
        <f t="shared" si="159"/>
        <v>0</v>
      </c>
      <c r="L603" s="325">
        <f t="shared" si="160"/>
        <v>0</v>
      </c>
      <c r="M603" s="407">
        <v>50</v>
      </c>
      <c r="N603" s="408" t="s">
        <v>289</v>
      </c>
      <c r="O603" s="325">
        <f t="shared" si="161"/>
        <v>0</v>
      </c>
      <c r="P603" s="325">
        <f t="shared" si="162"/>
        <v>0</v>
      </c>
      <c r="Q603" s="325">
        <f t="shared" si="163"/>
        <v>0</v>
      </c>
      <c r="R603" s="325">
        <f t="shared" si="164"/>
        <v>18</v>
      </c>
      <c r="S603" s="325">
        <f t="shared" si="165"/>
        <v>0</v>
      </c>
      <c r="T603" s="325">
        <f t="shared" si="170"/>
        <v>18</v>
      </c>
      <c r="U603" s="325">
        <f t="shared" si="167"/>
        <v>57</v>
      </c>
      <c r="V603" s="325">
        <f t="shared" si="168"/>
        <v>0</v>
      </c>
      <c r="W603" s="449" cm="1">
        <f t="array" ref="W603">+IF(U603&lt;0,error,0)</f>
        <v>0</v>
      </c>
    </row>
    <row r="604" spans="1:23" ht="18" customHeight="1" x14ac:dyDescent="0.2">
      <c r="A604" s="402" t="s">
        <v>1373</v>
      </c>
      <c r="B604" s="403"/>
      <c r="C604" s="404" t="s">
        <v>1374</v>
      </c>
      <c r="D604" s="405">
        <v>41961</v>
      </c>
      <c r="E604" s="406"/>
      <c r="F604" s="325"/>
      <c r="G604" s="324"/>
      <c r="H604" s="324">
        <v>3200</v>
      </c>
      <c r="I604" s="325">
        <v>66</v>
      </c>
      <c r="J604" s="325"/>
      <c r="K604" s="325">
        <f t="shared" si="159"/>
        <v>0</v>
      </c>
      <c r="L604" s="325">
        <f t="shared" si="160"/>
        <v>0</v>
      </c>
      <c r="M604" s="407">
        <v>50</v>
      </c>
      <c r="N604" s="408" t="s">
        <v>289</v>
      </c>
      <c r="O604" s="325">
        <f t="shared" si="161"/>
        <v>0</v>
      </c>
      <c r="P604" s="325">
        <f t="shared" si="162"/>
        <v>0</v>
      </c>
      <c r="Q604" s="325">
        <f t="shared" si="163"/>
        <v>0</v>
      </c>
      <c r="R604" s="325">
        <f t="shared" si="164"/>
        <v>16</v>
      </c>
      <c r="S604" s="325">
        <f t="shared" si="165"/>
        <v>0</v>
      </c>
      <c r="T604" s="325">
        <f t="shared" si="170"/>
        <v>16</v>
      </c>
      <c r="U604" s="325">
        <f t="shared" si="167"/>
        <v>50</v>
      </c>
      <c r="V604" s="325">
        <f t="shared" si="168"/>
        <v>0</v>
      </c>
      <c r="W604" s="449" cm="1">
        <f t="array" ref="W604">+IF(U604&lt;0,error,0)</f>
        <v>0</v>
      </c>
    </row>
    <row r="605" spans="1:23" ht="18" customHeight="1" x14ac:dyDescent="0.2">
      <c r="A605" s="402" t="s">
        <v>1375</v>
      </c>
      <c r="B605" s="403"/>
      <c r="C605" s="404" t="s">
        <v>1376</v>
      </c>
      <c r="D605" s="405">
        <v>41961</v>
      </c>
      <c r="E605" s="406"/>
      <c r="F605" s="325"/>
      <c r="G605" s="324"/>
      <c r="H605" s="324">
        <v>3600</v>
      </c>
      <c r="I605" s="325">
        <v>75</v>
      </c>
      <c r="J605" s="325"/>
      <c r="K605" s="325">
        <f t="shared" si="159"/>
        <v>0</v>
      </c>
      <c r="L605" s="325">
        <f t="shared" si="160"/>
        <v>0</v>
      </c>
      <c r="M605" s="407">
        <v>50</v>
      </c>
      <c r="N605" s="408" t="s">
        <v>289</v>
      </c>
      <c r="O605" s="325">
        <f t="shared" si="161"/>
        <v>0</v>
      </c>
      <c r="P605" s="325">
        <f t="shared" si="162"/>
        <v>0</v>
      </c>
      <c r="Q605" s="325">
        <f t="shared" si="163"/>
        <v>0</v>
      </c>
      <c r="R605" s="325">
        <f t="shared" si="164"/>
        <v>18</v>
      </c>
      <c r="S605" s="325">
        <f t="shared" si="165"/>
        <v>0</v>
      </c>
      <c r="T605" s="325">
        <f t="shared" si="170"/>
        <v>18</v>
      </c>
      <c r="U605" s="325">
        <f t="shared" si="167"/>
        <v>57</v>
      </c>
      <c r="V605" s="325">
        <f t="shared" si="168"/>
        <v>0</v>
      </c>
      <c r="W605" s="449" cm="1">
        <f t="array" ref="W605">+IF(U605&lt;0,error,0)</f>
        <v>0</v>
      </c>
    </row>
    <row r="606" spans="1:23" ht="18" customHeight="1" x14ac:dyDescent="0.2">
      <c r="A606" s="402" t="s">
        <v>1377</v>
      </c>
      <c r="B606" s="403"/>
      <c r="C606" s="404" t="s">
        <v>1378</v>
      </c>
      <c r="D606" s="405">
        <v>41971</v>
      </c>
      <c r="E606" s="406"/>
      <c r="F606" s="325"/>
      <c r="G606" s="324"/>
      <c r="H606" s="324">
        <v>2728</v>
      </c>
      <c r="I606" s="325">
        <v>58</v>
      </c>
      <c r="J606" s="325"/>
      <c r="K606" s="325">
        <f t="shared" si="159"/>
        <v>0</v>
      </c>
      <c r="L606" s="325">
        <f t="shared" si="160"/>
        <v>0</v>
      </c>
      <c r="M606" s="407">
        <v>50</v>
      </c>
      <c r="N606" s="408" t="s">
        <v>289</v>
      </c>
      <c r="O606" s="325">
        <f t="shared" si="161"/>
        <v>0</v>
      </c>
      <c r="P606" s="325">
        <f t="shared" si="162"/>
        <v>0</v>
      </c>
      <c r="Q606" s="325">
        <f t="shared" si="163"/>
        <v>0</v>
      </c>
      <c r="R606" s="325">
        <f t="shared" si="164"/>
        <v>14</v>
      </c>
      <c r="S606" s="325">
        <f t="shared" si="165"/>
        <v>0</v>
      </c>
      <c r="T606" s="325">
        <f t="shared" si="170"/>
        <v>14</v>
      </c>
      <c r="U606" s="325">
        <f t="shared" si="167"/>
        <v>44</v>
      </c>
      <c r="V606" s="325">
        <f t="shared" si="168"/>
        <v>0</v>
      </c>
      <c r="W606" s="449" cm="1">
        <f t="array" ref="W606">+IF(U606&lt;0,error,0)</f>
        <v>0</v>
      </c>
    </row>
    <row r="607" spans="1:23" ht="18" customHeight="1" x14ac:dyDescent="0.2">
      <c r="A607" s="402" t="s">
        <v>1379</v>
      </c>
      <c r="B607" s="403"/>
      <c r="C607" s="404" t="s">
        <v>1380</v>
      </c>
      <c r="D607" s="405">
        <v>42072</v>
      </c>
      <c r="E607" s="406"/>
      <c r="F607" s="325"/>
      <c r="G607" s="324"/>
      <c r="H607" s="324">
        <v>5320</v>
      </c>
      <c r="I607" s="325">
        <v>133</v>
      </c>
      <c r="J607" s="325"/>
      <c r="K607" s="325">
        <f t="shared" si="159"/>
        <v>0</v>
      </c>
      <c r="L607" s="325">
        <f t="shared" si="160"/>
        <v>0</v>
      </c>
      <c r="M607" s="407">
        <v>50</v>
      </c>
      <c r="N607" s="408" t="s">
        <v>289</v>
      </c>
      <c r="O607" s="325">
        <f t="shared" si="161"/>
        <v>0</v>
      </c>
      <c r="P607" s="325">
        <f t="shared" si="162"/>
        <v>0</v>
      </c>
      <c r="Q607" s="325">
        <f t="shared" si="163"/>
        <v>0</v>
      </c>
      <c r="R607" s="325">
        <f t="shared" si="164"/>
        <v>33</v>
      </c>
      <c r="S607" s="325">
        <f t="shared" si="165"/>
        <v>0</v>
      </c>
      <c r="T607" s="325">
        <f t="shared" si="170"/>
        <v>33</v>
      </c>
      <c r="U607" s="325">
        <f t="shared" si="167"/>
        <v>100</v>
      </c>
      <c r="V607" s="325">
        <f t="shared" si="168"/>
        <v>0</v>
      </c>
      <c r="W607" s="449" cm="1">
        <f t="array" ref="W607">+IF(U607&lt;0,error,0)</f>
        <v>0</v>
      </c>
    </row>
    <row r="608" spans="1:23" ht="18" customHeight="1" x14ac:dyDescent="0.2">
      <c r="A608" s="402" t="s">
        <v>1381</v>
      </c>
      <c r="B608" s="403"/>
      <c r="C608" s="404" t="s">
        <v>1382</v>
      </c>
      <c r="D608" s="405">
        <v>42075</v>
      </c>
      <c r="E608" s="406"/>
      <c r="F608" s="325"/>
      <c r="G608" s="324"/>
      <c r="H608" s="324">
        <v>12312</v>
      </c>
      <c r="I608" s="325">
        <v>309</v>
      </c>
      <c r="J608" s="325"/>
      <c r="K608" s="325">
        <f t="shared" si="159"/>
        <v>0</v>
      </c>
      <c r="L608" s="325">
        <f t="shared" si="160"/>
        <v>0</v>
      </c>
      <c r="M608" s="407">
        <v>50</v>
      </c>
      <c r="N608" s="408" t="s">
        <v>289</v>
      </c>
      <c r="O608" s="325">
        <f t="shared" si="161"/>
        <v>0</v>
      </c>
      <c r="P608" s="325">
        <f t="shared" si="162"/>
        <v>0</v>
      </c>
      <c r="Q608" s="325">
        <f t="shared" si="163"/>
        <v>0</v>
      </c>
      <c r="R608" s="325">
        <f t="shared" si="164"/>
        <v>77</v>
      </c>
      <c r="S608" s="325">
        <f t="shared" si="165"/>
        <v>0</v>
      </c>
      <c r="T608" s="325">
        <f t="shared" si="170"/>
        <v>77</v>
      </c>
      <c r="U608" s="325">
        <f t="shared" si="167"/>
        <v>232</v>
      </c>
      <c r="V608" s="325">
        <f t="shared" si="168"/>
        <v>0</v>
      </c>
      <c r="W608" s="449" cm="1">
        <f t="array" ref="W608">+IF(U608&lt;0,error,0)</f>
        <v>0</v>
      </c>
    </row>
    <row r="609" spans="1:23" ht="18" customHeight="1" x14ac:dyDescent="0.2">
      <c r="A609" s="402" t="s">
        <v>1383</v>
      </c>
      <c r="B609" s="403"/>
      <c r="C609" s="404" t="s">
        <v>1384</v>
      </c>
      <c r="D609" s="405">
        <v>42095</v>
      </c>
      <c r="E609" s="406"/>
      <c r="F609" s="325"/>
      <c r="G609" s="324"/>
      <c r="H609" s="324">
        <v>30322.720000000001</v>
      </c>
      <c r="I609" s="325">
        <v>785.72000000000025</v>
      </c>
      <c r="J609" s="325"/>
      <c r="K609" s="325">
        <f t="shared" si="159"/>
        <v>0</v>
      </c>
      <c r="L609" s="325">
        <f t="shared" si="160"/>
        <v>0</v>
      </c>
      <c r="M609" s="407">
        <v>50</v>
      </c>
      <c r="N609" s="408" t="s">
        <v>289</v>
      </c>
      <c r="O609" s="325">
        <f t="shared" si="161"/>
        <v>0</v>
      </c>
      <c r="P609" s="325">
        <f t="shared" si="162"/>
        <v>0</v>
      </c>
      <c r="Q609" s="325">
        <f t="shared" si="163"/>
        <v>0</v>
      </c>
      <c r="R609" s="325">
        <f t="shared" si="164"/>
        <v>196</v>
      </c>
      <c r="S609" s="325">
        <f t="shared" si="165"/>
        <v>0</v>
      </c>
      <c r="T609" s="325">
        <f t="shared" si="170"/>
        <v>196</v>
      </c>
      <c r="U609" s="325">
        <f t="shared" si="167"/>
        <v>589.72000000000025</v>
      </c>
      <c r="V609" s="325">
        <f t="shared" si="168"/>
        <v>0</v>
      </c>
      <c r="W609" s="449" cm="1">
        <f t="array" ref="W609">+IF(U609&lt;0,error,0)</f>
        <v>0</v>
      </c>
    </row>
    <row r="610" spans="1:23" ht="18" customHeight="1" x14ac:dyDescent="0.2">
      <c r="A610" s="402" t="s">
        <v>1385</v>
      </c>
      <c r="B610" s="403"/>
      <c r="C610" s="404" t="s">
        <v>1386</v>
      </c>
      <c r="D610" s="405">
        <v>42095</v>
      </c>
      <c r="E610" s="406"/>
      <c r="F610" s="325"/>
      <c r="G610" s="324"/>
      <c r="H610" s="324">
        <v>5836.36</v>
      </c>
      <c r="I610" s="325">
        <v>151.36000000000001</v>
      </c>
      <c r="J610" s="325"/>
      <c r="K610" s="325">
        <f t="shared" si="159"/>
        <v>0</v>
      </c>
      <c r="L610" s="325">
        <f t="shared" si="160"/>
        <v>0</v>
      </c>
      <c r="M610" s="407">
        <v>50</v>
      </c>
      <c r="N610" s="408" t="s">
        <v>289</v>
      </c>
      <c r="O610" s="325">
        <f t="shared" si="161"/>
        <v>0</v>
      </c>
      <c r="P610" s="325">
        <f t="shared" si="162"/>
        <v>0</v>
      </c>
      <c r="Q610" s="325">
        <f t="shared" si="163"/>
        <v>0</v>
      </c>
      <c r="R610" s="325">
        <f t="shared" si="164"/>
        <v>37</v>
      </c>
      <c r="S610" s="325">
        <f t="shared" si="165"/>
        <v>0</v>
      </c>
      <c r="T610" s="325">
        <f t="shared" si="170"/>
        <v>37</v>
      </c>
      <c r="U610" s="325">
        <f t="shared" si="167"/>
        <v>114.36000000000001</v>
      </c>
      <c r="V610" s="325">
        <f t="shared" si="168"/>
        <v>0</v>
      </c>
      <c r="W610" s="449" cm="1">
        <f t="array" ref="W610">+IF(U610&lt;0,error,0)</f>
        <v>0</v>
      </c>
    </row>
    <row r="611" spans="1:23" ht="18" customHeight="1" x14ac:dyDescent="0.2">
      <c r="A611" s="402" t="s">
        <v>1387</v>
      </c>
      <c r="B611" s="403"/>
      <c r="C611" s="404" t="s">
        <v>1388</v>
      </c>
      <c r="D611" s="405">
        <v>42095</v>
      </c>
      <c r="E611" s="406"/>
      <c r="F611" s="325"/>
      <c r="G611" s="324"/>
      <c r="H611" s="324">
        <v>10239</v>
      </c>
      <c r="I611" s="325">
        <v>266</v>
      </c>
      <c r="J611" s="325"/>
      <c r="K611" s="325">
        <f t="shared" si="159"/>
        <v>0</v>
      </c>
      <c r="L611" s="325">
        <f t="shared" si="160"/>
        <v>0</v>
      </c>
      <c r="M611" s="407">
        <v>50</v>
      </c>
      <c r="N611" s="408" t="s">
        <v>289</v>
      </c>
      <c r="O611" s="325">
        <f t="shared" si="161"/>
        <v>0</v>
      </c>
      <c r="P611" s="325">
        <f t="shared" si="162"/>
        <v>0</v>
      </c>
      <c r="Q611" s="325">
        <f t="shared" si="163"/>
        <v>0</v>
      </c>
      <c r="R611" s="325">
        <f t="shared" si="164"/>
        <v>66</v>
      </c>
      <c r="S611" s="325">
        <f t="shared" si="165"/>
        <v>0</v>
      </c>
      <c r="T611" s="325">
        <f t="shared" si="170"/>
        <v>66</v>
      </c>
      <c r="U611" s="325">
        <f t="shared" si="167"/>
        <v>200</v>
      </c>
      <c r="V611" s="325">
        <f t="shared" si="168"/>
        <v>0</v>
      </c>
      <c r="W611" s="449" cm="1">
        <f t="array" ref="W611">+IF(U611&lt;0,error,0)</f>
        <v>0</v>
      </c>
    </row>
    <row r="612" spans="1:23" ht="18" customHeight="1" x14ac:dyDescent="0.2">
      <c r="A612" s="402" t="s">
        <v>1389</v>
      </c>
      <c r="B612" s="403"/>
      <c r="C612" s="404" t="s">
        <v>1390</v>
      </c>
      <c r="D612" s="405">
        <v>42095</v>
      </c>
      <c r="E612" s="406"/>
      <c r="F612" s="325"/>
      <c r="G612" s="324"/>
      <c r="H612" s="324">
        <v>19292</v>
      </c>
      <c r="I612" s="325">
        <v>500</v>
      </c>
      <c r="J612" s="325"/>
      <c r="K612" s="325">
        <f t="shared" si="159"/>
        <v>0</v>
      </c>
      <c r="L612" s="325">
        <f t="shared" si="160"/>
        <v>0</v>
      </c>
      <c r="M612" s="407">
        <v>50</v>
      </c>
      <c r="N612" s="408" t="s">
        <v>289</v>
      </c>
      <c r="O612" s="325">
        <f t="shared" si="161"/>
        <v>0</v>
      </c>
      <c r="P612" s="325">
        <f t="shared" si="162"/>
        <v>0</v>
      </c>
      <c r="Q612" s="325">
        <f t="shared" si="163"/>
        <v>0</v>
      </c>
      <c r="R612" s="325">
        <f t="shared" si="164"/>
        <v>125</v>
      </c>
      <c r="S612" s="325">
        <f t="shared" si="165"/>
        <v>0</v>
      </c>
      <c r="T612" s="325">
        <f t="shared" si="170"/>
        <v>125</v>
      </c>
      <c r="U612" s="325">
        <f t="shared" si="167"/>
        <v>375</v>
      </c>
      <c r="V612" s="325">
        <f t="shared" si="168"/>
        <v>0</v>
      </c>
      <c r="W612" s="449" cm="1">
        <f t="array" ref="W612">+IF(U612&lt;0,error,0)</f>
        <v>0</v>
      </c>
    </row>
    <row r="613" spans="1:23" ht="18" customHeight="1" x14ac:dyDescent="0.2">
      <c r="A613" s="402" t="s">
        <v>1391</v>
      </c>
      <c r="B613" s="403"/>
      <c r="C613" s="404" t="s">
        <v>1392</v>
      </c>
      <c r="D613" s="405">
        <v>42095</v>
      </c>
      <c r="E613" s="406"/>
      <c r="F613" s="325"/>
      <c r="G613" s="324"/>
      <c r="H613" s="324">
        <v>8140</v>
      </c>
      <c r="I613" s="325">
        <v>211</v>
      </c>
      <c r="J613" s="325"/>
      <c r="K613" s="325">
        <f t="shared" si="159"/>
        <v>0</v>
      </c>
      <c r="L613" s="325">
        <f t="shared" si="160"/>
        <v>0</v>
      </c>
      <c r="M613" s="407">
        <v>50</v>
      </c>
      <c r="N613" s="408" t="s">
        <v>289</v>
      </c>
      <c r="O613" s="325">
        <f t="shared" si="161"/>
        <v>0</v>
      </c>
      <c r="P613" s="325">
        <f t="shared" si="162"/>
        <v>0</v>
      </c>
      <c r="Q613" s="325">
        <f t="shared" si="163"/>
        <v>0</v>
      </c>
      <c r="R613" s="325">
        <f t="shared" si="164"/>
        <v>52</v>
      </c>
      <c r="S613" s="325">
        <f t="shared" si="165"/>
        <v>0</v>
      </c>
      <c r="T613" s="325">
        <f t="shared" si="170"/>
        <v>52</v>
      </c>
      <c r="U613" s="325">
        <f t="shared" si="167"/>
        <v>159</v>
      </c>
      <c r="V613" s="325">
        <f t="shared" si="168"/>
        <v>0</v>
      </c>
      <c r="W613" s="449" cm="1">
        <f t="array" ref="W613">+IF(U613&lt;0,error,0)</f>
        <v>0</v>
      </c>
    </row>
    <row r="614" spans="1:23" ht="18" customHeight="1" x14ac:dyDescent="0.2">
      <c r="A614" s="402" t="s">
        <v>1393</v>
      </c>
      <c r="B614" s="403"/>
      <c r="C614" s="404" t="s">
        <v>1394</v>
      </c>
      <c r="D614" s="405">
        <v>42095</v>
      </c>
      <c r="E614" s="406"/>
      <c r="F614" s="325"/>
      <c r="G614" s="324"/>
      <c r="H614" s="324">
        <v>6503.01</v>
      </c>
      <c r="I614" s="325">
        <v>169.01</v>
      </c>
      <c r="J614" s="325"/>
      <c r="K614" s="325">
        <f t="shared" si="159"/>
        <v>0</v>
      </c>
      <c r="L614" s="325">
        <f t="shared" si="160"/>
        <v>0</v>
      </c>
      <c r="M614" s="407">
        <v>50</v>
      </c>
      <c r="N614" s="408" t="s">
        <v>289</v>
      </c>
      <c r="O614" s="325">
        <f t="shared" si="161"/>
        <v>0</v>
      </c>
      <c r="P614" s="325">
        <f t="shared" si="162"/>
        <v>0</v>
      </c>
      <c r="Q614" s="325">
        <f t="shared" si="163"/>
        <v>0</v>
      </c>
      <c r="R614" s="325">
        <f t="shared" si="164"/>
        <v>42</v>
      </c>
      <c r="S614" s="325">
        <f t="shared" si="165"/>
        <v>0</v>
      </c>
      <c r="T614" s="325">
        <f t="shared" si="170"/>
        <v>42</v>
      </c>
      <c r="U614" s="325">
        <f t="shared" si="167"/>
        <v>127.00999999999999</v>
      </c>
      <c r="V614" s="325">
        <f t="shared" si="168"/>
        <v>0</v>
      </c>
      <c r="W614" s="449" cm="1">
        <f t="array" ref="W614">+IF(U614&lt;0,error,0)</f>
        <v>0</v>
      </c>
    </row>
    <row r="615" spans="1:23" ht="18" customHeight="1" x14ac:dyDescent="0.2">
      <c r="A615" s="402" t="s">
        <v>1395</v>
      </c>
      <c r="B615" s="403"/>
      <c r="C615" s="404" t="s">
        <v>1396</v>
      </c>
      <c r="D615" s="405">
        <v>42095</v>
      </c>
      <c r="E615" s="406"/>
      <c r="F615" s="325"/>
      <c r="G615" s="324"/>
      <c r="H615" s="324">
        <v>5383.99</v>
      </c>
      <c r="I615" s="325">
        <v>140.99</v>
      </c>
      <c r="J615" s="325"/>
      <c r="K615" s="325">
        <f t="shared" si="159"/>
        <v>0</v>
      </c>
      <c r="L615" s="325">
        <f t="shared" si="160"/>
        <v>0</v>
      </c>
      <c r="M615" s="407">
        <v>50</v>
      </c>
      <c r="N615" s="408" t="s">
        <v>289</v>
      </c>
      <c r="O615" s="325">
        <f t="shared" si="161"/>
        <v>0</v>
      </c>
      <c r="P615" s="325">
        <f t="shared" si="162"/>
        <v>0</v>
      </c>
      <c r="Q615" s="325">
        <f t="shared" si="163"/>
        <v>0</v>
      </c>
      <c r="R615" s="325">
        <f t="shared" si="164"/>
        <v>35</v>
      </c>
      <c r="S615" s="325">
        <f t="shared" si="165"/>
        <v>0</v>
      </c>
      <c r="T615" s="325">
        <f t="shared" si="170"/>
        <v>35</v>
      </c>
      <c r="U615" s="325">
        <f t="shared" si="167"/>
        <v>105.99000000000001</v>
      </c>
      <c r="V615" s="325">
        <f t="shared" si="168"/>
        <v>0</v>
      </c>
      <c r="W615" s="449" cm="1">
        <f t="array" ref="W615">+IF(U615&lt;0,error,0)</f>
        <v>0</v>
      </c>
    </row>
    <row r="616" spans="1:23" ht="18" customHeight="1" x14ac:dyDescent="0.2">
      <c r="A616" s="402" t="s">
        <v>1397</v>
      </c>
      <c r="B616" s="403"/>
      <c r="C616" s="404" t="s">
        <v>1398</v>
      </c>
      <c r="D616" s="405">
        <v>42095</v>
      </c>
      <c r="E616" s="406"/>
      <c r="F616" s="325"/>
      <c r="G616" s="324"/>
      <c r="H616" s="324">
        <v>16471.439999999999</v>
      </c>
      <c r="I616" s="325">
        <v>426.48</v>
      </c>
      <c r="J616" s="325"/>
      <c r="K616" s="325">
        <f t="shared" si="159"/>
        <v>0</v>
      </c>
      <c r="L616" s="325">
        <f t="shared" si="160"/>
        <v>0</v>
      </c>
      <c r="M616" s="407">
        <v>50</v>
      </c>
      <c r="N616" s="408" t="s">
        <v>289</v>
      </c>
      <c r="O616" s="325">
        <f t="shared" si="161"/>
        <v>0</v>
      </c>
      <c r="P616" s="325">
        <f t="shared" si="162"/>
        <v>0</v>
      </c>
      <c r="Q616" s="325">
        <f t="shared" si="163"/>
        <v>0</v>
      </c>
      <c r="R616" s="325">
        <f t="shared" si="164"/>
        <v>106</v>
      </c>
      <c r="S616" s="325">
        <f t="shared" si="165"/>
        <v>0</v>
      </c>
      <c r="T616" s="325">
        <f t="shared" si="170"/>
        <v>106</v>
      </c>
      <c r="U616" s="325">
        <f t="shared" si="167"/>
        <v>320.48</v>
      </c>
      <c r="V616" s="325">
        <f t="shared" si="168"/>
        <v>0</v>
      </c>
      <c r="W616" s="449" cm="1">
        <f t="array" ref="W616">+IF(U616&lt;0,error,0)</f>
        <v>0</v>
      </c>
    </row>
    <row r="617" spans="1:23" ht="18" customHeight="1" x14ac:dyDescent="0.2">
      <c r="A617" s="402" t="s">
        <v>1403</v>
      </c>
      <c r="B617" s="403"/>
      <c r="C617" s="404" t="s">
        <v>1404</v>
      </c>
      <c r="D617" s="405">
        <v>42321</v>
      </c>
      <c r="E617" s="406"/>
      <c r="F617" s="325"/>
      <c r="G617" s="324"/>
      <c r="H617" s="324">
        <v>5700</v>
      </c>
      <c r="I617" s="325">
        <v>231</v>
      </c>
      <c r="J617" s="325"/>
      <c r="K617" s="325">
        <f t="shared" si="159"/>
        <v>0</v>
      </c>
      <c r="L617" s="325">
        <f t="shared" si="160"/>
        <v>0</v>
      </c>
      <c r="M617" s="407">
        <v>50</v>
      </c>
      <c r="N617" s="408" t="s">
        <v>289</v>
      </c>
      <c r="O617" s="325">
        <f t="shared" si="161"/>
        <v>0</v>
      </c>
      <c r="P617" s="325">
        <f t="shared" si="162"/>
        <v>0</v>
      </c>
      <c r="Q617" s="325">
        <f t="shared" si="163"/>
        <v>0</v>
      </c>
      <c r="R617" s="325">
        <f t="shared" si="164"/>
        <v>57</v>
      </c>
      <c r="S617" s="325">
        <f t="shared" si="165"/>
        <v>0</v>
      </c>
      <c r="T617" s="325">
        <f t="shared" si="170"/>
        <v>57</v>
      </c>
      <c r="U617" s="325">
        <f t="shared" si="167"/>
        <v>174</v>
      </c>
      <c r="V617" s="325">
        <f t="shared" si="168"/>
        <v>0</v>
      </c>
      <c r="W617" s="449" cm="1">
        <f t="array" ref="W617">+IF(U617&lt;0,error,0)</f>
        <v>0</v>
      </c>
    </row>
    <row r="618" spans="1:23" ht="18" customHeight="1" x14ac:dyDescent="0.2">
      <c r="A618" s="402" t="s">
        <v>1405</v>
      </c>
      <c r="B618" s="403"/>
      <c r="C618" s="412" t="s">
        <v>1406</v>
      </c>
      <c r="D618" s="405">
        <v>42332</v>
      </c>
      <c r="E618" s="406"/>
      <c r="F618" s="325"/>
      <c r="G618" s="324"/>
      <c r="H618" s="324">
        <v>1145</v>
      </c>
      <c r="I618" s="325">
        <v>48</v>
      </c>
      <c r="J618" s="325"/>
      <c r="K618" s="325">
        <f t="shared" si="159"/>
        <v>0</v>
      </c>
      <c r="L618" s="325">
        <f t="shared" si="160"/>
        <v>0</v>
      </c>
      <c r="M618" s="407">
        <v>50</v>
      </c>
      <c r="N618" s="408" t="s">
        <v>289</v>
      </c>
      <c r="O618" s="325">
        <f t="shared" si="161"/>
        <v>0</v>
      </c>
      <c r="P618" s="325">
        <f t="shared" si="162"/>
        <v>0</v>
      </c>
      <c r="Q618" s="325">
        <f t="shared" si="163"/>
        <v>0</v>
      </c>
      <c r="R618" s="325">
        <f t="shared" si="164"/>
        <v>12</v>
      </c>
      <c r="S618" s="325">
        <f t="shared" si="165"/>
        <v>0</v>
      </c>
      <c r="T618" s="325">
        <f t="shared" si="170"/>
        <v>12</v>
      </c>
      <c r="U618" s="325">
        <f t="shared" si="167"/>
        <v>36</v>
      </c>
      <c r="V618" s="325">
        <f t="shared" si="168"/>
        <v>0</v>
      </c>
      <c r="W618" s="449" cm="1">
        <f t="array" ref="W618">+IF(U618&lt;0,error,0)</f>
        <v>0</v>
      </c>
    </row>
    <row r="619" spans="1:23" ht="18" customHeight="1" x14ac:dyDescent="0.2">
      <c r="A619" s="402" t="s">
        <v>1407</v>
      </c>
      <c r="B619" s="403"/>
      <c r="C619" s="404" t="s">
        <v>1408</v>
      </c>
      <c r="D619" s="405">
        <v>42370</v>
      </c>
      <c r="E619" s="406"/>
      <c r="F619" s="325"/>
      <c r="G619" s="324"/>
      <c r="H619" s="324">
        <v>5830.83</v>
      </c>
      <c r="I619" s="325">
        <v>259.83000000000004</v>
      </c>
      <c r="J619" s="325"/>
      <c r="K619" s="325">
        <f t="shared" ref="K619:K682" si="171">INT(IF($E619&gt;0,IF(+F619-I619+Q619&lt;0,0,+F619-I619+Q619),0))</f>
        <v>0</v>
      </c>
      <c r="L619" s="325">
        <f t="shared" ref="L619:L682" si="172">INT(IF($E619&gt;0,IF(K619=0,-F619+I619-Q619,0),0))</f>
        <v>0</v>
      </c>
      <c r="M619" s="407">
        <v>50</v>
      </c>
      <c r="N619" s="408" t="s">
        <v>289</v>
      </c>
      <c r="O619" s="325">
        <f t="shared" ref="O619:O682" si="173">IF(E619&gt;0,INT(IF($N619="D",IF($D619&lt;$H$3,$I619*($M619/100)*((E619-$H$3)/365),$J619*($M619/100)*($J$3-$D619)/365),0)),0)</f>
        <v>0</v>
      </c>
      <c r="P619" s="325">
        <f t="shared" ref="P619:P682" si="174">IF(E619&gt;0,INT(IF($N619="P",IF($D619&lt;$H$3,$H619*($M619/100)*(E619-$H$3)/365,$J619*($M619/100)*($J$3-$D619)/365),0)),0)</f>
        <v>0</v>
      </c>
      <c r="Q619" s="325">
        <f t="shared" ref="Q619:Q682" si="175">+O619+P619</f>
        <v>0</v>
      </c>
      <c r="R619" s="325">
        <f t="shared" ref="R619:R682" si="176">INT(IF($E619&gt;0,0,(IF($N619="D",IF($D619&lt;$H$3,$I619*($M619/100)*$U$3/12,$J619*($M619/100)*($J$3-$D619)/365),0))))</f>
        <v>64</v>
      </c>
      <c r="S619" s="325">
        <f t="shared" ref="S619:S682" si="177">INT(IF($E619&gt;0,0,(IF($N619="P",IF($D619&lt;$H$3,$H619*($M619/100)*$U$3/12,$J619*($M619/100)*($J$3-$D619)/365),0))))</f>
        <v>0</v>
      </c>
      <c r="T619" s="325">
        <f t="shared" si="170"/>
        <v>64</v>
      </c>
      <c r="U619" s="325">
        <f t="shared" ref="U619:U682" si="178">+I619+J619-T619-F619+K619-L619</f>
        <v>195.83000000000004</v>
      </c>
      <c r="V619" s="325">
        <f t="shared" ref="V619:V682" si="179">IF(E619&gt;0,+H619+J619,0)</f>
        <v>0</v>
      </c>
      <c r="W619" s="449" cm="1">
        <f t="array" ref="W619">+IF(U619&lt;0,error,0)</f>
        <v>0</v>
      </c>
    </row>
    <row r="620" spans="1:23" ht="18" customHeight="1" x14ac:dyDescent="0.2">
      <c r="A620" s="402" t="s">
        <v>1409</v>
      </c>
      <c r="B620" s="403"/>
      <c r="C620" s="404" t="s">
        <v>1410</v>
      </c>
      <c r="D620" s="405">
        <v>42384</v>
      </c>
      <c r="E620" s="406"/>
      <c r="F620" s="325"/>
      <c r="G620" s="324"/>
      <c r="H620" s="324">
        <v>3158.7400000000002</v>
      </c>
      <c r="I620" s="325">
        <v>144.74</v>
      </c>
      <c r="J620" s="325"/>
      <c r="K620" s="325">
        <f t="shared" si="171"/>
        <v>0</v>
      </c>
      <c r="L620" s="325">
        <f t="shared" si="172"/>
        <v>0</v>
      </c>
      <c r="M620" s="407">
        <v>50</v>
      </c>
      <c r="N620" s="408" t="s">
        <v>289</v>
      </c>
      <c r="O620" s="325">
        <f t="shared" si="173"/>
        <v>0</v>
      </c>
      <c r="P620" s="325">
        <f t="shared" si="174"/>
        <v>0</v>
      </c>
      <c r="Q620" s="325">
        <f t="shared" si="175"/>
        <v>0</v>
      </c>
      <c r="R620" s="325">
        <f t="shared" si="176"/>
        <v>36</v>
      </c>
      <c r="S620" s="325">
        <f t="shared" si="177"/>
        <v>0</v>
      </c>
      <c r="T620" s="325">
        <f t="shared" si="170"/>
        <v>36</v>
      </c>
      <c r="U620" s="325">
        <f t="shared" si="178"/>
        <v>108.74000000000001</v>
      </c>
      <c r="V620" s="325">
        <f t="shared" si="179"/>
        <v>0</v>
      </c>
      <c r="W620" s="449" cm="1">
        <f t="array" ref="W620">+IF(U620&lt;0,error,0)</f>
        <v>0</v>
      </c>
    </row>
    <row r="621" spans="1:23" ht="18" customHeight="1" x14ac:dyDescent="0.2">
      <c r="A621" s="402" t="s">
        <v>1411</v>
      </c>
      <c r="B621" s="403"/>
      <c r="C621" s="404" t="s">
        <v>1412</v>
      </c>
      <c r="D621" s="405">
        <v>42384</v>
      </c>
      <c r="E621" s="406"/>
      <c r="F621" s="325"/>
      <c r="G621" s="324"/>
      <c r="H621" s="324">
        <v>2923.61</v>
      </c>
      <c r="I621" s="325">
        <v>134.61000000000001</v>
      </c>
      <c r="J621" s="325"/>
      <c r="K621" s="325">
        <f t="shared" si="171"/>
        <v>0</v>
      </c>
      <c r="L621" s="325">
        <f t="shared" si="172"/>
        <v>0</v>
      </c>
      <c r="M621" s="407">
        <v>50</v>
      </c>
      <c r="N621" s="408" t="s">
        <v>289</v>
      </c>
      <c r="O621" s="325">
        <f t="shared" si="173"/>
        <v>0</v>
      </c>
      <c r="P621" s="325">
        <f t="shared" si="174"/>
        <v>0</v>
      </c>
      <c r="Q621" s="325">
        <f t="shared" si="175"/>
        <v>0</v>
      </c>
      <c r="R621" s="325">
        <f t="shared" si="176"/>
        <v>33</v>
      </c>
      <c r="S621" s="325">
        <f t="shared" si="177"/>
        <v>0</v>
      </c>
      <c r="T621" s="325">
        <f t="shared" si="170"/>
        <v>33</v>
      </c>
      <c r="U621" s="325">
        <f t="shared" si="178"/>
        <v>101.61000000000001</v>
      </c>
      <c r="V621" s="325">
        <f t="shared" si="179"/>
        <v>0</v>
      </c>
      <c r="W621" s="449" cm="1">
        <f t="array" ref="W621">+IF(U621&lt;0,error,0)</f>
        <v>0</v>
      </c>
    </row>
    <row r="622" spans="1:23" ht="18" customHeight="1" x14ac:dyDescent="0.2">
      <c r="A622" s="402" t="s">
        <v>1413</v>
      </c>
      <c r="B622" s="403"/>
      <c r="C622" s="404" t="s">
        <v>1414</v>
      </c>
      <c r="D622" s="405">
        <v>42397</v>
      </c>
      <c r="E622" s="406"/>
      <c r="F622" s="325"/>
      <c r="G622" s="324"/>
      <c r="H622" s="324">
        <v>25404.3</v>
      </c>
      <c r="I622" s="325">
        <v>1182.3000000000002</v>
      </c>
      <c r="J622" s="325"/>
      <c r="K622" s="325">
        <f t="shared" si="171"/>
        <v>0</v>
      </c>
      <c r="L622" s="325">
        <f t="shared" si="172"/>
        <v>0</v>
      </c>
      <c r="M622" s="407">
        <v>50</v>
      </c>
      <c r="N622" s="408" t="s">
        <v>289</v>
      </c>
      <c r="O622" s="325">
        <f t="shared" si="173"/>
        <v>0</v>
      </c>
      <c r="P622" s="325">
        <f t="shared" si="174"/>
        <v>0</v>
      </c>
      <c r="Q622" s="325">
        <f t="shared" si="175"/>
        <v>0</v>
      </c>
      <c r="R622" s="325">
        <f t="shared" si="176"/>
        <v>295</v>
      </c>
      <c r="S622" s="325">
        <f t="shared" si="177"/>
        <v>0</v>
      </c>
      <c r="T622" s="325">
        <f t="shared" si="170"/>
        <v>295</v>
      </c>
      <c r="U622" s="325">
        <f t="shared" si="178"/>
        <v>887.30000000000018</v>
      </c>
      <c r="V622" s="325">
        <f t="shared" si="179"/>
        <v>0</v>
      </c>
      <c r="W622" s="449" cm="1">
        <f t="array" ref="W622">+IF(U622&lt;0,error,0)</f>
        <v>0</v>
      </c>
    </row>
    <row r="623" spans="1:23" ht="18" customHeight="1" x14ac:dyDescent="0.2">
      <c r="A623" s="402" t="s">
        <v>1415</v>
      </c>
      <c r="B623" s="403"/>
      <c r="C623" s="404" t="s">
        <v>1416</v>
      </c>
      <c r="D623" s="405">
        <v>42397</v>
      </c>
      <c r="E623" s="406"/>
      <c r="F623" s="325"/>
      <c r="G623" s="324"/>
      <c r="H623" s="324">
        <v>6241.95</v>
      </c>
      <c r="I623" s="325">
        <v>291.95000000000005</v>
      </c>
      <c r="J623" s="325"/>
      <c r="K623" s="325">
        <f t="shared" si="171"/>
        <v>0</v>
      </c>
      <c r="L623" s="325">
        <f t="shared" si="172"/>
        <v>0</v>
      </c>
      <c r="M623" s="407">
        <v>50</v>
      </c>
      <c r="N623" s="408" t="s">
        <v>289</v>
      </c>
      <c r="O623" s="325">
        <f t="shared" si="173"/>
        <v>0</v>
      </c>
      <c r="P623" s="325">
        <f t="shared" si="174"/>
        <v>0</v>
      </c>
      <c r="Q623" s="325">
        <f t="shared" si="175"/>
        <v>0</v>
      </c>
      <c r="R623" s="325">
        <f t="shared" si="176"/>
        <v>72</v>
      </c>
      <c r="S623" s="325">
        <f t="shared" si="177"/>
        <v>0</v>
      </c>
      <c r="T623" s="325">
        <f t="shared" si="170"/>
        <v>72</v>
      </c>
      <c r="U623" s="325">
        <f t="shared" si="178"/>
        <v>219.95000000000005</v>
      </c>
      <c r="V623" s="325">
        <f t="shared" si="179"/>
        <v>0</v>
      </c>
      <c r="W623" s="449" cm="1">
        <f t="array" ref="W623">+IF(U623&lt;0,error,0)</f>
        <v>0</v>
      </c>
    </row>
    <row r="624" spans="1:23" ht="18" customHeight="1" x14ac:dyDescent="0.2">
      <c r="A624" s="402" t="s">
        <v>1417</v>
      </c>
      <c r="B624" s="403"/>
      <c r="C624" s="404" t="s">
        <v>1418</v>
      </c>
      <c r="D624" s="405">
        <v>42404</v>
      </c>
      <c r="E624" s="406"/>
      <c r="F624" s="325"/>
      <c r="G624" s="324"/>
      <c r="H624" s="324">
        <v>57278.04</v>
      </c>
      <c r="I624" s="325">
        <v>2697.0400000000009</v>
      </c>
      <c r="J624" s="325"/>
      <c r="K624" s="325">
        <f t="shared" si="171"/>
        <v>0</v>
      </c>
      <c r="L624" s="325">
        <f t="shared" si="172"/>
        <v>0</v>
      </c>
      <c r="M624" s="407">
        <v>50</v>
      </c>
      <c r="N624" s="408" t="s">
        <v>289</v>
      </c>
      <c r="O624" s="325">
        <f t="shared" si="173"/>
        <v>0</v>
      </c>
      <c r="P624" s="325">
        <f t="shared" si="174"/>
        <v>0</v>
      </c>
      <c r="Q624" s="325">
        <f t="shared" si="175"/>
        <v>0</v>
      </c>
      <c r="R624" s="325">
        <f t="shared" si="176"/>
        <v>674</v>
      </c>
      <c r="S624" s="325">
        <f t="shared" si="177"/>
        <v>0</v>
      </c>
      <c r="T624" s="325">
        <f t="shared" si="170"/>
        <v>674</v>
      </c>
      <c r="U624" s="325">
        <f t="shared" si="178"/>
        <v>2023.0400000000009</v>
      </c>
      <c r="V624" s="325">
        <f t="shared" si="179"/>
        <v>0</v>
      </c>
      <c r="W624" s="449" cm="1">
        <f t="array" ref="W624">+IF(U624&lt;0,error,0)</f>
        <v>0</v>
      </c>
    </row>
    <row r="625" spans="1:23" ht="18" customHeight="1" x14ac:dyDescent="0.2">
      <c r="A625" s="402" t="s">
        <v>1419</v>
      </c>
      <c r="B625" s="403"/>
      <c r="C625" s="404" t="s">
        <v>1420</v>
      </c>
      <c r="D625" s="405">
        <v>42404</v>
      </c>
      <c r="E625" s="406"/>
      <c r="F625" s="325"/>
      <c r="G625" s="324"/>
      <c r="H625" s="324">
        <v>4363.3900000000003</v>
      </c>
      <c r="I625" s="325">
        <v>207.39</v>
      </c>
      <c r="J625" s="325"/>
      <c r="K625" s="325">
        <f t="shared" si="171"/>
        <v>0</v>
      </c>
      <c r="L625" s="325">
        <f t="shared" si="172"/>
        <v>0</v>
      </c>
      <c r="M625" s="407">
        <v>50</v>
      </c>
      <c r="N625" s="408" t="s">
        <v>289</v>
      </c>
      <c r="O625" s="325">
        <f t="shared" si="173"/>
        <v>0</v>
      </c>
      <c r="P625" s="325">
        <f t="shared" si="174"/>
        <v>0</v>
      </c>
      <c r="Q625" s="325">
        <f t="shared" si="175"/>
        <v>0</v>
      </c>
      <c r="R625" s="325">
        <f t="shared" si="176"/>
        <v>51</v>
      </c>
      <c r="S625" s="325">
        <f t="shared" si="177"/>
        <v>0</v>
      </c>
      <c r="T625" s="325">
        <f t="shared" si="170"/>
        <v>51</v>
      </c>
      <c r="U625" s="325">
        <f t="shared" si="178"/>
        <v>156.38999999999999</v>
      </c>
      <c r="V625" s="325">
        <f t="shared" si="179"/>
        <v>0</v>
      </c>
      <c r="W625" s="449" cm="1">
        <f t="array" ref="W625">+IF(U625&lt;0,error,0)</f>
        <v>0</v>
      </c>
    </row>
    <row r="626" spans="1:23" ht="18" customHeight="1" x14ac:dyDescent="0.2">
      <c r="A626" s="402" t="s">
        <v>1421</v>
      </c>
      <c r="B626" s="403"/>
      <c r="C626" s="404" t="s">
        <v>1422</v>
      </c>
      <c r="D626" s="405">
        <v>42404</v>
      </c>
      <c r="E626" s="406"/>
      <c r="F626" s="325"/>
      <c r="G626" s="324"/>
      <c r="H626" s="324">
        <v>6725</v>
      </c>
      <c r="I626" s="325">
        <v>318</v>
      </c>
      <c r="J626" s="325"/>
      <c r="K626" s="325">
        <f t="shared" si="171"/>
        <v>0</v>
      </c>
      <c r="L626" s="325">
        <f t="shared" si="172"/>
        <v>0</v>
      </c>
      <c r="M626" s="407">
        <v>50</v>
      </c>
      <c r="N626" s="408" t="s">
        <v>289</v>
      </c>
      <c r="O626" s="325">
        <f t="shared" si="173"/>
        <v>0</v>
      </c>
      <c r="P626" s="325">
        <f t="shared" si="174"/>
        <v>0</v>
      </c>
      <c r="Q626" s="325">
        <f t="shared" si="175"/>
        <v>0</v>
      </c>
      <c r="R626" s="325">
        <f t="shared" si="176"/>
        <v>79</v>
      </c>
      <c r="S626" s="325">
        <f t="shared" si="177"/>
        <v>0</v>
      </c>
      <c r="T626" s="325">
        <f t="shared" si="170"/>
        <v>79</v>
      </c>
      <c r="U626" s="325">
        <f t="shared" si="178"/>
        <v>239</v>
      </c>
      <c r="V626" s="325">
        <f t="shared" si="179"/>
        <v>0</v>
      </c>
      <c r="W626" s="449" cm="1">
        <f t="array" ref="W626">+IF(U626&lt;0,error,0)</f>
        <v>0</v>
      </c>
    </row>
    <row r="627" spans="1:23" ht="18" customHeight="1" x14ac:dyDescent="0.2">
      <c r="A627" s="402" t="s">
        <v>1423</v>
      </c>
      <c r="B627" s="403"/>
      <c r="C627" s="404" t="s">
        <v>1424</v>
      </c>
      <c r="D627" s="405">
        <v>42404</v>
      </c>
      <c r="E627" s="406"/>
      <c r="F627" s="325"/>
      <c r="G627" s="324"/>
      <c r="H627" s="324">
        <v>2327.27</v>
      </c>
      <c r="I627" s="325">
        <v>111.26999999999998</v>
      </c>
      <c r="J627" s="325"/>
      <c r="K627" s="325">
        <f t="shared" si="171"/>
        <v>0</v>
      </c>
      <c r="L627" s="325">
        <f t="shared" si="172"/>
        <v>0</v>
      </c>
      <c r="M627" s="407">
        <v>50</v>
      </c>
      <c r="N627" s="408" t="s">
        <v>289</v>
      </c>
      <c r="O627" s="325">
        <f t="shared" si="173"/>
        <v>0</v>
      </c>
      <c r="P627" s="325">
        <f t="shared" si="174"/>
        <v>0</v>
      </c>
      <c r="Q627" s="325">
        <f t="shared" si="175"/>
        <v>0</v>
      </c>
      <c r="R627" s="325">
        <f t="shared" si="176"/>
        <v>27</v>
      </c>
      <c r="S627" s="325">
        <f t="shared" si="177"/>
        <v>0</v>
      </c>
      <c r="T627" s="325">
        <f t="shared" si="170"/>
        <v>27</v>
      </c>
      <c r="U627" s="325">
        <f t="shared" si="178"/>
        <v>84.269999999999982</v>
      </c>
      <c r="V627" s="325">
        <f t="shared" si="179"/>
        <v>0</v>
      </c>
      <c r="W627" s="449" cm="1">
        <f t="array" ref="W627">+IF(U627&lt;0,error,0)</f>
        <v>0</v>
      </c>
    </row>
    <row r="628" spans="1:23" ht="18" customHeight="1" x14ac:dyDescent="0.2">
      <c r="A628" s="402" t="s">
        <v>1425</v>
      </c>
      <c r="B628" s="403"/>
      <c r="C628" s="404" t="s">
        <v>1426</v>
      </c>
      <c r="D628" s="405">
        <v>42415</v>
      </c>
      <c r="E628" s="406"/>
      <c r="F628" s="325"/>
      <c r="G628" s="324"/>
      <c r="H628" s="324">
        <v>20627.45</v>
      </c>
      <c r="I628" s="325">
        <v>990.45000000000027</v>
      </c>
      <c r="J628" s="325"/>
      <c r="K628" s="325">
        <f t="shared" si="171"/>
        <v>0</v>
      </c>
      <c r="L628" s="325">
        <f t="shared" si="172"/>
        <v>0</v>
      </c>
      <c r="M628" s="407">
        <v>50</v>
      </c>
      <c r="N628" s="408" t="s">
        <v>289</v>
      </c>
      <c r="O628" s="325">
        <f t="shared" si="173"/>
        <v>0</v>
      </c>
      <c r="P628" s="325">
        <f t="shared" si="174"/>
        <v>0</v>
      </c>
      <c r="Q628" s="325">
        <f t="shared" si="175"/>
        <v>0</v>
      </c>
      <c r="R628" s="325">
        <f t="shared" si="176"/>
        <v>247</v>
      </c>
      <c r="S628" s="325">
        <f t="shared" si="177"/>
        <v>0</v>
      </c>
      <c r="T628" s="325">
        <f t="shared" si="170"/>
        <v>247</v>
      </c>
      <c r="U628" s="325">
        <f t="shared" si="178"/>
        <v>743.45000000000027</v>
      </c>
      <c r="V628" s="325">
        <f t="shared" si="179"/>
        <v>0</v>
      </c>
      <c r="W628" s="449" cm="1">
        <f t="array" ref="W628">+IF(U628&lt;0,error,0)</f>
        <v>0</v>
      </c>
    </row>
    <row r="629" spans="1:23" ht="18" customHeight="1" x14ac:dyDescent="0.2">
      <c r="A629" s="402" t="s">
        <v>1427</v>
      </c>
      <c r="B629" s="403"/>
      <c r="C629" s="404" t="s">
        <v>1428</v>
      </c>
      <c r="D629" s="405">
        <v>42424</v>
      </c>
      <c r="E629" s="406"/>
      <c r="F629" s="325"/>
      <c r="G629" s="324"/>
      <c r="H629" s="324">
        <v>1455.5</v>
      </c>
      <c r="I629" s="325">
        <v>72.5</v>
      </c>
      <c r="J629" s="325"/>
      <c r="K629" s="325">
        <f t="shared" si="171"/>
        <v>0</v>
      </c>
      <c r="L629" s="325">
        <f t="shared" si="172"/>
        <v>0</v>
      </c>
      <c r="M629" s="407">
        <v>50</v>
      </c>
      <c r="N629" s="408" t="s">
        <v>289</v>
      </c>
      <c r="O629" s="325">
        <f t="shared" si="173"/>
        <v>0</v>
      </c>
      <c r="P629" s="325">
        <f t="shared" si="174"/>
        <v>0</v>
      </c>
      <c r="Q629" s="325">
        <f t="shared" si="175"/>
        <v>0</v>
      </c>
      <c r="R629" s="325">
        <f t="shared" si="176"/>
        <v>18</v>
      </c>
      <c r="S629" s="325">
        <f t="shared" si="177"/>
        <v>0</v>
      </c>
      <c r="T629" s="325">
        <f t="shared" si="170"/>
        <v>18</v>
      </c>
      <c r="U629" s="325">
        <f t="shared" si="178"/>
        <v>54.5</v>
      </c>
      <c r="V629" s="325">
        <f t="shared" si="179"/>
        <v>0</v>
      </c>
      <c r="W629" s="449" cm="1">
        <f t="array" ref="W629">+IF(U629&lt;0,error,0)</f>
        <v>0</v>
      </c>
    </row>
    <row r="630" spans="1:23" ht="18" customHeight="1" x14ac:dyDescent="0.2">
      <c r="A630" s="402" t="s">
        <v>1429</v>
      </c>
      <c r="B630" s="403"/>
      <c r="C630" s="404" t="s">
        <v>1408</v>
      </c>
      <c r="D630" s="405">
        <v>42426</v>
      </c>
      <c r="E630" s="406"/>
      <c r="F630" s="325"/>
      <c r="G630" s="324"/>
      <c r="H630" s="324">
        <v>5800</v>
      </c>
      <c r="I630" s="325">
        <v>284</v>
      </c>
      <c r="J630" s="325"/>
      <c r="K630" s="325">
        <f t="shared" si="171"/>
        <v>0</v>
      </c>
      <c r="L630" s="325">
        <f t="shared" si="172"/>
        <v>0</v>
      </c>
      <c r="M630" s="407">
        <v>50</v>
      </c>
      <c r="N630" s="408" t="s">
        <v>289</v>
      </c>
      <c r="O630" s="325">
        <f t="shared" si="173"/>
        <v>0</v>
      </c>
      <c r="P630" s="325">
        <f t="shared" si="174"/>
        <v>0</v>
      </c>
      <c r="Q630" s="325">
        <f t="shared" si="175"/>
        <v>0</v>
      </c>
      <c r="R630" s="325">
        <f t="shared" si="176"/>
        <v>71</v>
      </c>
      <c r="S630" s="325">
        <f t="shared" si="177"/>
        <v>0</v>
      </c>
      <c r="T630" s="325">
        <f t="shared" si="170"/>
        <v>71</v>
      </c>
      <c r="U630" s="325">
        <f t="shared" si="178"/>
        <v>213</v>
      </c>
      <c r="V630" s="325">
        <f t="shared" si="179"/>
        <v>0</v>
      </c>
      <c r="W630" s="449" cm="1">
        <f t="array" ref="W630">+IF(U630&lt;0,error,0)</f>
        <v>0</v>
      </c>
    </row>
    <row r="631" spans="1:23" ht="18" customHeight="1" x14ac:dyDescent="0.2">
      <c r="A631" s="402" t="s">
        <v>1430</v>
      </c>
      <c r="B631" s="403"/>
      <c r="C631" s="404" t="s">
        <v>1431</v>
      </c>
      <c r="D631" s="405">
        <v>42426</v>
      </c>
      <c r="E631" s="406"/>
      <c r="F631" s="325"/>
      <c r="G631" s="324"/>
      <c r="H631" s="324">
        <v>12272</v>
      </c>
      <c r="I631" s="325">
        <v>600</v>
      </c>
      <c r="J631" s="325"/>
      <c r="K631" s="325">
        <f t="shared" si="171"/>
        <v>0</v>
      </c>
      <c r="L631" s="325">
        <f t="shared" si="172"/>
        <v>0</v>
      </c>
      <c r="M631" s="407">
        <v>50</v>
      </c>
      <c r="N631" s="408" t="s">
        <v>289</v>
      </c>
      <c r="O631" s="325">
        <f t="shared" si="173"/>
        <v>0</v>
      </c>
      <c r="P631" s="325">
        <f t="shared" si="174"/>
        <v>0</v>
      </c>
      <c r="Q631" s="325">
        <f t="shared" si="175"/>
        <v>0</v>
      </c>
      <c r="R631" s="325">
        <f t="shared" si="176"/>
        <v>150</v>
      </c>
      <c r="S631" s="325">
        <f t="shared" si="177"/>
        <v>0</v>
      </c>
      <c r="T631" s="325">
        <f t="shared" si="170"/>
        <v>150</v>
      </c>
      <c r="U631" s="325">
        <f t="shared" si="178"/>
        <v>450</v>
      </c>
      <c r="V631" s="325">
        <f t="shared" si="179"/>
        <v>0</v>
      </c>
      <c r="W631" s="449" cm="1">
        <f t="array" ref="W631">+IF(U631&lt;0,error,0)</f>
        <v>0</v>
      </c>
    </row>
    <row r="632" spans="1:23" ht="18" customHeight="1" x14ac:dyDescent="0.2">
      <c r="A632" s="402" t="s">
        <v>1432</v>
      </c>
      <c r="B632" s="403"/>
      <c r="C632" s="404" t="s">
        <v>1433</v>
      </c>
      <c r="D632" s="405">
        <v>42426</v>
      </c>
      <c r="E632" s="406"/>
      <c r="F632" s="325"/>
      <c r="G632" s="324"/>
      <c r="H632" s="324">
        <v>1487.7</v>
      </c>
      <c r="I632" s="325">
        <v>73.700000000000017</v>
      </c>
      <c r="J632" s="325"/>
      <c r="K632" s="325">
        <f t="shared" si="171"/>
        <v>0</v>
      </c>
      <c r="L632" s="325">
        <f t="shared" si="172"/>
        <v>0</v>
      </c>
      <c r="M632" s="407">
        <v>50</v>
      </c>
      <c r="N632" s="408" t="s">
        <v>289</v>
      </c>
      <c r="O632" s="325">
        <f t="shared" si="173"/>
        <v>0</v>
      </c>
      <c r="P632" s="325">
        <f t="shared" si="174"/>
        <v>0</v>
      </c>
      <c r="Q632" s="325">
        <f t="shared" si="175"/>
        <v>0</v>
      </c>
      <c r="R632" s="325">
        <f t="shared" si="176"/>
        <v>18</v>
      </c>
      <c r="S632" s="325">
        <f t="shared" si="177"/>
        <v>0</v>
      </c>
      <c r="T632" s="325">
        <f t="shared" si="170"/>
        <v>18</v>
      </c>
      <c r="U632" s="325">
        <f t="shared" si="178"/>
        <v>55.700000000000017</v>
      </c>
      <c r="V632" s="325">
        <f t="shared" si="179"/>
        <v>0</v>
      </c>
      <c r="W632" s="449" cm="1">
        <f t="array" ref="W632">+IF(U632&lt;0,error,0)</f>
        <v>0</v>
      </c>
    </row>
    <row r="633" spans="1:23" ht="18" customHeight="1" x14ac:dyDescent="0.2">
      <c r="A633" s="402" t="s">
        <v>1434</v>
      </c>
      <c r="B633" s="403"/>
      <c r="C633" s="404" t="s">
        <v>1435</v>
      </c>
      <c r="D633" s="405">
        <v>42427</v>
      </c>
      <c r="E633" s="406"/>
      <c r="F633" s="325"/>
      <c r="G633" s="324"/>
      <c r="H633" s="324">
        <v>4556.4400000000005</v>
      </c>
      <c r="I633" s="325">
        <v>224.44000000000005</v>
      </c>
      <c r="J633" s="325"/>
      <c r="K633" s="325">
        <f t="shared" si="171"/>
        <v>0</v>
      </c>
      <c r="L633" s="325">
        <f t="shared" si="172"/>
        <v>0</v>
      </c>
      <c r="M633" s="407">
        <v>50</v>
      </c>
      <c r="N633" s="408" t="s">
        <v>289</v>
      </c>
      <c r="O633" s="325">
        <f t="shared" si="173"/>
        <v>0</v>
      </c>
      <c r="P633" s="325">
        <f t="shared" si="174"/>
        <v>0</v>
      </c>
      <c r="Q633" s="325">
        <f t="shared" si="175"/>
        <v>0</v>
      </c>
      <c r="R633" s="325">
        <f t="shared" si="176"/>
        <v>56</v>
      </c>
      <c r="S633" s="325">
        <f t="shared" si="177"/>
        <v>0</v>
      </c>
      <c r="T633" s="325">
        <f t="shared" si="170"/>
        <v>56</v>
      </c>
      <c r="U633" s="325">
        <f t="shared" si="178"/>
        <v>168.44000000000005</v>
      </c>
      <c r="V633" s="325">
        <f t="shared" si="179"/>
        <v>0</v>
      </c>
      <c r="W633" s="449" cm="1">
        <f t="array" ref="W633">+IF(U633&lt;0,error,0)</f>
        <v>0</v>
      </c>
    </row>
    <row r="634" spans="1:23" ht="18" customHeight="1" x14ac:dyDescent="0.2">
      <c r="A634" s="402" t="s">
        <v>1436</v>
      </c>
      <c r="B634" s="403"/>
      <c r="C634" s="404" t="s">
        <v>1437</v>
      </c>
      <c r="D634" s="405">
        <v>42427</v>
      </c>
      <c r="E634" s="406"/>
      <c r="F634" s="325"/>
      <c r="G634" s="324"/>
      <c r="H634" s="324">
        <v>1362.9</v>
      </c>
      <c r="I634" s="325">
        <v>68.900000000000006</v>
      </c>
      <c r="J634" s="325"/>
      <c r="K634" s="325">
        <f t="shared" si="171"/>
        <v>0</v>
      </c>
      <c r="L634" s="325">
        <f t="shared" si="172"/>
        <v>0</v>
      </c>
      <c r="M634" s="407">
        <v>50</v>
      </c>
      <c r="N634" s="408" t="s">
        <v>289</v>
      </c>
      <c r="O634" s="325">
        <f t="shared" si="173"/>
        <v>0</v>
      </c>
      <c r="P634" s="325">
        <f t="shared" si="174"/>
        <v>0</v>
      </c>
      <c r="Q634" s="325">
        <f t="shared" si="175"/>
        <v>0</v>
      </c>
      <c r="R634" s="325">
        <f t="shared" si="176"/>
        <v>17</v>
      </c>
      <c r="S634" s="325">
        <f t="shared" si="177"/>
        <v>0</v>
      </c>
      <c r="T634" s="325">
        <f t="shared" si="170"/>
        <v>17</v>
      </c>
      <c r="U634" s="325">
        <f t="shared" si="178"/>
        <v>51.900000000000006</v>
      </c>
      <c r="V634" s="325">
        <f t="shared" si="179"/>
        <v>0</v>
      </c>
      <c r="W634" s="449" cm="1">
        <f t="array" ref="W634">+IF(U634&lt;0,error,0)</f>
        <v>0</v>
      </c>
    </row>
    <row r="635" spans="1:23" ht="18" customHeight="1" x14ac:dyDescent="0.2">
      <c r="A635" s="402" t="s">
        <v>1438</v>
      </c>
      <c r="B635" s="403"/>
      <c r="C635" s="404" t="s">
        <v>1439</v>
      </c>
      <c r="D635" s="405">
        <v>42427</v>
      </c>
      <c r="E635" s="406"/>
      <c r="F635" s="325"/>
      <c r="G635" s="324"/>
      <c r="H635" s="324">
        <v>15967.7</v>
      </c>
      <c r="I635" s="325">
        <v>783.70000000000027</v>
      </c>
      <c r="J635" s="325"/>
      <c r="K635" s="325">
        <f t="shared" si="171"/>
        <v>0</v>
      </c>
      <c r="L635" s="325">
        <f t="shared" si="172"/>
        <v>0</v>
      </c>
      <c r="M635" s="407">
        <v>50</v>
      </c>
      <c r="N635" s="408" t="s">
        <v>289</v>
      </c>
      <c r="O635" s="325">
        <f t="shared" si="173"/>
        <v>0</v>
      </c>
      <c r="P635" s="325">
        <f t="shared" si="174"/>
        <v>0</v>
      </c>
      <c r="Q635" s="325">
        <f t="shared" si="175"/>
        <v>0</v>
      </c>
      <c r="R635" s="325">
        <f t="shared" si="176"/>
        <v>195</v>
      </c>
      <c r="S635" s="325">
        <f t="shared" si="177"/>
        <v>0</v>
      </c>
      <c r="T635" s="325">
        <f t="shared" si="170"/>
        <v>195</v>
      </c>
      <c r="U635" s="325">
        <f t="shared" si="178"/>
        <v>588.70000000000027</v>
      </c>
      <c r="V635" s="325">
        <f t="shared" si="179"/>
        <v>0</v>
      </c>
      <c r="W635" s="449" cm="1">
        <f t="array" ref="W635">+IF(U635&lt;0,error,0)</f>
        <v>0</v>
      </c>
    </row>
    <row r="636" spans="1:23" ht="18" customHeight="1" x14ac:dyDescent="0.2">
      <c r="A636" s="402" t="s">
        <v>1440</v>
      </c>
      <c r="B636" s="403"/>
      <c r="C636" s="404" t="s">
        <v>1441</v>
      </c>
      <c r="D636" s="405">
        <v>42427</v>
      </c>
      <c r="E636" s="406"/>
      <c r="F636" s="325"/>
      <c r="G636" s="324"/>
      <c r="H636" s="324">
        <v>1596.77</v>
      </c>
      <c r="I636" s="325">
        <v>79.769999999999982</v>
      </c>
      <c r="J636" s="325"/>
      <c r="K636" s="325">
        <f t="shared" si="171"/>
        <v>0</v>
      </c>
      <c r="L636" s="325">
        <f t="shared" si="172"/>
        <v>0</v>
      </c>
      <c r="M636" s="407">
        <v>50</v>
      </c>
      <c r="N636" s="408" t="s">
        <v>289</v>
      </c>
      <c r="O636" s="325">
        <f t="shared" si="173"/>
        <v>0</v>
      </c>
      <c r="P636" s="325">
        <f t="shared" si="174"/>
        <v>0</v>
      </c>
      <c r="Q636" s="325">
        <f t="shared" si="175"/>
        <v>0</v>
      </c>
      <c r="R636" s="325">
        <f t="shared" si="176"/>
        <v>19</v>
      </c>
      <c r="S636" s="325">
        <f t="shared" si="177"/>
        <v>0</v>
      </c>
      <c r="T636" s="325">
        <f t="shared" si="170"/>
        <v>19</v>
      </c>
      <c r="U636" s="325">
        <f t="shared" si="178"/>
        <v>60.769999999999982</v>
      </c>
      <c r="V636" s="325">
        <f t="shared" si="179"/>
        <v>0</v>
      </c>
      <c r="W636" s="449" cm="1">
        <f t="array" ref="W636">+IF(U636&lt;0,error,0)</f>
        <v>0</v>
      </c>
    </row>
    <row r="637" spans="1:23" ht="18" customHeight="1" x14ac:dyDescent="0.2">
      <c r="A637" s="402" t="s">
        <v>1442</v>
      </c>
      <c r="B637" s="403"/>
      <c r="C637" s="404" t="s">
        <v>1443</v>
      </c>
      <c r="D637" s="405">
        <v>42427</v>
      </c>
      <c r="E637" s="406"/>
      <c r="F637" s="325"/>
      <c r="G637" s="324"/>
      <c r="H637" s="324">
        <v>8839</v>
      </c>
      <c r="I637" s="325">
        <v>433.72</v>
      </c>
      <c r="J637" s="325"/>
      <c r="K637" s="325">
        <f t="shared" si="171"/>
        <v>0</v>
      </c>
      <c r="L637" s="325">
        <f t="shared" si="172"/>
        <v>0</v>
      </c>
      <c r="M637" s="407">
        <v>50</v>
      </c>
      <c r="N637" s="408" t="s">
        <v>289</v>
      </c>
      <c r="O637" s="325">
        <f t="shared" si="173"/>
        <v>0</v>
      </c>
      <c r="P637" s="325">
        <f t="shared" si="174"/>
        <v>0</v>
      </c>
      <c r="Q637" s="325">
        <f t="shared" si="175"/>
        <v>0</v>
      </c>
      <c r="R637" s="325">
        <f t="shared" si="176"/>
        <v>108</v>
      </c>
      <c r="S637" s="325">
        <f t="shared" si="177"/>
        <v>0</v>
      </c>
      <c r="T637" s="325">
        <f t="shared" ref="T637:T700" si="180">+R637+S637+Q637</f>
        <v>108</v>
      </c>
      <c r="U637" s="325">
        <f t="shared" si="178"/>
        <v>325.72000000000003</v>
      </c>
      <c r="V637" s="325">
        <f t="shared" si="179"/>
        <v>0</v>
      </c>
      <c r="W637" s="449" cm="1">
        <f t="array" ref="W637">+IF(U637&lt;0,error,0)</f>
        <v>0</v>
      </c>
    </row>
    <row r="638" spans="1:23" ht="18" customHeight="1" x14ac:dyDescent="0.2">
      <c r="A638" s="402" t="s">
        <v>1444</v>
      </c>
      <c r="B638" s="403"/>
      <c r="C638" s="412" t="s">
        <v>1445</v>
      </c>
      <c r="D638" s="405">
        <v>42460</v>
      </c>
      <c r="E638" s="406"/>
      <c r="F638" s="325"/>
      <c r="G638" s="324"/>
      <c r="H638" s="324">
        <v>44000</v>
      </c>
      <c r="I638" s="325">
        <v>2271</v>
      </c>
      <c r="J638" s="325"/>
      <c r="K638" s="325">
        <f t="shared" si="171"/>
        <v>0</v>
      </c>
      <c r="L638" s="325">
        <f t="shared" si="172"/>
        <v>0</v>
      </c>
      <c r="M638" s="407">
        <v>50</v>
      </c>
      <c r="N638" s="408" t="s">
        <v>289</v>
      </c>
      <c r="O638" s="325">
        <f t="shared" si="173"/>
        <v>0</v>
      </c>
      <c r="P638" s="325">
        <f t="shared" si="174"/>
        <v>0</v>
      </c>
      <c r="Q638" s="325">
        <f t="shared" si="175"/>
        <v>0</v>
      </c>
      <c r="R638" s="325">
        <f t="shared" si="176"/>
        <v>567</v>
      </c>
      <c r="S638" s="325">
        <f t="shared" si="177"/>
        <v>0</v>
      </c>
      <c r="T638" s="325">
        <f t="shared" si="180"/>
        <v>567</v>
      </c>
      <c r="U638" s="325">
        <f t="shared" si="178"/>
        <v>1704</v>
      </c>
      <c r="V638" s="325">
        <f t="shared" si="179"/>
        <v>0</v>
      </c>
      <c r="W638" s="449" cm="1">
        <f t="array" ref="W638">+IF(U638&lt;0,error,0)</f>
        <v>0</v>
      </c>
    </row>
    <row r="639" spans="1:23" ht="18" customHeight="1" x14ac:dyDescent="0.2">
      <c r="A639" s="402" t="s">
        <v>1446</v>
      </c>
      <c r="B639" s="403"/>
      <c r="C639" s="404" t="s">
        <v>1447</v>
      </c>
      <c r="D639" s="405">
        <v>42500</v>
      </c>
      <c r="E639" s="406"/>
      <c r="F639" s="325"/>
      <c r="G639" s="324"/>
      <c r="H639" s="324">
        <v>4611.78</v>
      </c>
      <c r="I639" s="325">
        <v>254.77999999999997</v>
      </c>
      <c r="J639" s="325"/>
      <c r="K639" s="325">
        <f t="shared" si="171"/>
        <v>0</v>
      </c>
      <c r="L639" s="325">
        <f t="shared" si="172"/>
        <v>0</v>
      </c>
      <c r="M639" s="407">
        <v>50</v>
      </c>
      <c r="N639" s="408" t="s">
        <v>289</v>
      </c>
      <c r="O639" s="325">
        <f t="shared" si="173"/>
        <v>0</v>
      </c>
      <c r="P639" s="325">
        <f t="shared" si="174"/>
        <v>0</v>
      </c>
      <c r="Q639" s="325">
        <f t="shared" si="175"/>
        <v>0</v>
      </c>
      <c r="R639" s="325">
        <f t="shared" si="176"/>
        <v>63</v>
      </c>
      <c r="S639" s="325">
        <f t="shared" si="177"/>
        <v>0</v>
      </c>
      <c r="T639" s="325">
        <f t="shared" si="180"/>
        <v>63</v>
      </c>
      <c r="U639" s="325">
        <f t="shared" si="178"/>
        <v>191.77999999999997</v>
      </c>
      <c r="V639" s="325">
        <f t="shared" si="179"/>
        <v>0</v>
      </c>
      <c r="W639" s="449" cm="1">
        <f t="array" ref="W639">+IF(U639&lt;0,error,0)</f>
        <v>0</v>
      </c>
    </row>
    <row r="640" spans="1:23" ht="18" customHeight="1" x14ac:dyDescent="0.2">
      <c r="A640" s="402" t="s">
        <v>1448</v>
      </c>
      <c r="B640" s="403"/>
      <c r="C640" s="412" t="s">
        <v>1449</v>
      </c>
      <c r="D640" s="405">
        <v>42520</v>
      </c>
      <c r="E640" s="406"/>
      <c r="F640" s="325"/>
      <c r="G640" s="324"/>
      <c r="H640" s="324">
        <v>14690</v>
      </c>
      <c r="I640" s="325">
        <v>831.57020000000011</v>
      </c>
      <c r="J640" s="325"/>
      <c r="K640" s="325">
        <f t="shared" si="171"/>
        <v>0</v>
      </c>
      <c r="L640" s="325">
        <f t="shared" si="172"/>
        <v>0</v>
      </c>
      <c r="M640" s="407">
        <v>50</v>
      </c>
      <c r="N640" s="408" t="s">
        <v>289</v>
      </c>
      <c r="O640" s="325">
        <f t="shared" si="173"/>
        <v>0</v>
      </c>
      <c r="P640" s="325">
        <f t="shared" si="174"/>
        <v>0</v>
      </c>
      <c r="Q640" s="325">
        <f t="shared" si="175"/>
        <v>0</v>
      </c>
      <c r="R640" s="325">
        <f t="shared" si="176"/>
        <v>207</v>
      </c>
      <c r="S640" s="325">
        <f t="shared" si="177"/>
        <v>0</v>
      </c>
      <c r="T640" s="325">
        <f t="shared" si="180"/>
        <v>207</v>
      </c>
      <c r="U640" s="325">
        <f t="shared" si="178"/>
        <v>624.57020000000011</v>
      </c>
      <c r="V640" s="325">
        <f t="shared" si="179"/>
        <v>0</v>
      </c>
      <c r="W640" s="449" cm="1">
        <f t="array" ref="W640">+IF(U640&lt;0,error,0)</f>
        <v>0</v>
      </c>
    </row>
    <row r="641" spans="1:23" ht="18" customHeight="1" x14ac:dyDescent="0.2">
      <c r="A641" s="402" t="s">
        <v>1450</v>
      </c>
      <c r="B641" s="403"/>
      <c r="C641" s="412" t="s">
        <v>1451</v>
      </c>
      <c r="D641" s="405">
        <v>42520</v>
      </c>
      <c r="E641" s="406"/>
      <c r="F641" s="325"/>
      <c r="G641" s="324"/>
      <c r="H641" s="324">
        <v>32500</v>
      </c>
      <c r="I641" s="325">
        <v>1836</v>
      </c>
      <c r="J641" s="325"/>
      <c r="K641" s="325">
        <f t="shared" si="171"/>
        <v>0</v>
      </c>
      <c r="L641" s="325">
        <f t="shared" si="172"/>
        <v>0</v>
      </c>
      <c r="M641" s="407">
        <v>50</v>
      </c>
      <c r="N641" s="408" t="s">
        <v>289</v>
      </c>
      <c r="O641" s="325">
        <f t="shared" si="173"/>
        <v>0</v>
      </c>
      <c r="P641" s="325">
        <f t="shared" si="174"/>
        <v>0</v>
      </c>
      <c r="Q641" s="325">
        <f t="shared" si="175"/>
        <v>0</v>
      </c>
      <c r="R641" s="325">
        <f t="shared" si="176"/>
        <v>459</v>
      </c>
      <c r="S641" s="325">
        <f t="shared" si="177"/>
        <v>0</v>
      </c>
      <c r="T641" s="325">
        <f t="shared" si="180"/>
        <v>459</v>
      </c>
      <c r="U641" s="325">
        <f t="shared" si="178"/>
        <v>1377</v>
      </c>
      <c r="V641" s="325">
        <f t="shared" si="179"/>
        <v>0</v>
      </c>
      <c r="W641" s="449" cm="1">
        <f t="array" ref="W641">+IF(U641&lt;0,error,0)</f>
        <v>0</v>
      </c>
    </row>
    <row r="642" spans="1:23" ht="18" customHeight="1" x14ac:dyDescent="0.2">
      <c r="A642" s="402" t="s">
        <v>1452</v>
      </c>
      <c r="B642" s="403"/>
      <c r="C642" s="404" t="s">
        <v>1453</v>
      </c>
      <c r="D642" s="405">
        <v>42780</v>
      </c>
      <c r="E642" s="406"/>
      <c r="F642" s="325"/>
      <c r="G642" s="324"/>
      <c r="H642" s="324">
        <v>2740</v>
      </c>
      <c r="I642" s="325">
        <v>264</v>
      </c>
      <c r="J642" s="325"/>
      <c r="K642" s="325">
        <f t="shared" si="171"/>
        <v>0</v>
      </c>
      <c r="L642" s="325">
        <f t="shared" si="172"/>
        <v>0</v>
      </c>
      <c r="M642" s="407">
        <v>50</v>
      </c>
      <c r="N642" s="408" t="s">
        <v>289</v>
      </c>
      <c r="O642" s="325">
        <f t="shared" si="173"/>
        <v>0</v>
      </c>
      <c r="P642" s="325">
        <f t="shared" si="174"/>
        <v>0</v>
      </c>
      <c r="Q642" s="325">
        <f t="shared" si="175"/>
        <v>0</v>
      </c>
      <c r="R642" s="325">
        <f t="shared" si="176"/>
        <v>66</v>
      </c>
      <c r="S642" s="325">
        <f t="shared" si="177"/>
        <v>0</v>
      </c>
      <c r="T642" s="325">
        <f t="shared" si="180"/>
        <v>66</v>
      </c>
      <c r="U642" s="325">
        <f t="shared" si="178"/>
        <v>198</v>
      </c>
      <c r="V642" s="325">
        <f t="shared" si="179"/>
        <v>0</v>
      </c>
      <c r="W642" s="449" cm="1">
        <f t="array" ref="W642">+IF(U642&lt;0,error,0)</f>
        <v>0</v>
      </c>
    </row>
    <row r="643" spans="1:23" ht="18" customHeight="1" x14ac:dyDescent="0.2">
      <c r="A643" s="402" t="s">
        <v>1454</v>
      </c>
      <c r="B643" s="403"/>
      <c r="C643" s="404" t="s">
        <v>1455</v>
      </c>
      <c r="D643" s="405">
        <v>42823</v>
      </c>
      <c r="E643" s="406"/>
      <c r="F643" s="325"/>
      <c r="G643" s="324"/>
      <c r="H643" s="324">
        <v>2566</v>
      </c>
      <c r="I643" s="325">
        <v>266</v>
      </c>
      <c r="J643" s="325"/>
      <c r="K643" s="325">
        <f t="shared" si="171"/>
        <v>0</v>
      </c>
      <c r="L643" s="325">
        <f t="shared" si="172"/>
        <v>0</v>
      </c>
      <c r="M643" s="407">
        <v>50</v>
      </c>
      <c r="N643" s="408" t="s">
        <v>289</v>
      </c>
      <c r="O643" s="325">
        <f t="shared" si="173"/>
        <v>0</v>
      </c>
      <c r="P643" s="325">
        <f t="shared" si="174"/>
        <v>0</v>
      </c>
      <c r="Q643" s="325">
        <f t="shared" si="175"/>
        <v>0</v>
      </c>
      <c r="R643" s="325">
        <f t="shared" si="176"/>
        <v>66</v>
      </c>
      <c r="S643" s="325">
        <f t="shared" si="177"/>
        <v>0</v>
      </c>
      <c r="T643" s="325">
        <f t="shared" si="180"/>
        <v>66</v>
      </c>
      <c r="U643" s="325">
        <f t="shared" si="178"/>
        <v>200</v>
      </c>
      <c r="V643" s="325">
        <f t="shared" si="179"/>
        <v>0</v>
      </c>
      <c r="W643" s="449" cm="1">
        <f t="array" ref="W643">+IF(U643&lt;0,error,0)</f>
        <v>0</v>
      </c>
    </row>
    <row r="644" spans="1:23" ht="18" customHeight="1" x14ac:dyDescent="0.2">
      <c r="A644" s="402" t="s">
        <v>1456</v>
      </c>
      <c r="B644" s="403"/>
      <c r="C644" s="404" t="s">
        <v>1457</v>
      </c>
      <c r="D644" s="405">
        <v>42823</v>
      </c>
      <c r="E644" s="406"/>
      <c r="F644" s="325"/>
      <c r="G644" s="324"/>
      <c r="H644" s="324">
        <v>2380</v>
      </c>
      <c r="I644" s="325">
        <v>246</v>
      </c>
      <c r="J644" s="325"/>
      <c r="K644" s="325">
        <f t="shared" si="171"/>
        <v>0</v>
      </c>
      <c r="L644" s="325">
        <f t="shared" si="172"/>
        <v>0</v>
      </c>
      <c r="M644" s="407">
        <v>50</v>
      </c>
      <c r="N644" s="408" t="s">
        <v>289</v>
      </c>
      <c r="O644" s="325">
        <f t="shared" si="173"/>
        <v>0</v>
      </c>
      <c r="P644" s="325">
        <f t="shared" si="174"/>
        <v>0</v>
      </c>
      <c r="Q644" s="325">
        <f t="shared" si="175"/>
        <v>0</v>
      </c>
      <c r="R644" s="325">
        <f t="shared" si="176"/>
        <v>61</v>
      </c>
      <c r="S644" s="325">
        <f t="shared" si="177"/>
        <v>0</v>
      </c>
      <c r="T644" s="325">
        <f t="shared" si="180"/>
        <v>61</v>
      </c>
      <c r="U644" s="325">
        <f t="shared" si="178"/>
        <v>185</v>
      </c>
      <c r="V644" s="325">
        <f t="shared" si="179"/>
        <v>0</v>
      </c>
      <c r="W644" s="449" cm="1">
        <f t="array" ref="W644">+IF(U644&lt;0,error,0)</f>
        <v>0</v>
      </c>
    </row>
    <row r="645" spans="1:23" ht="18" customHeight="1" x14ac:dyDescent="0.2">
      <c r="A645" s="402" t="s">
        <v>1458</v>
      </c>
      <c r="B645" s="403"/>
      <c r="C645" s="404" t="s">
        <v>1459</v>
      </c>
      <c r="D645" s="405">
        <v>42781</v>
      </c>
      <c r="E645" s="406"/>
      <c r="F645" s="325"/>
      <c r="G645" s="324"/>
      <c r="H645" s="324">
        <v>9732</v>
      </c>
      <c r="I645" s="325">
        <v>936.80000000000018</v>
      </c>
      <c r="J645" s="325"/>
      <c r="K645" s="325">
        <f t="shared" si="171"/>
        <v>0</v>
      </c>
      <c r="L645" s="325">
        <f t="shared" si="172"/>
        <v>0</v>
      </c>
      <c r="M645" s="407">
        <v>50</v>
      </c>
      <c r="N645" s="408" t="s">
        <v>289</v>
      </c>
      <c r="O645" s="325">
        <f t="shared" si="173"/>
        <v>0</v>
      </c>
      <c r="P645" s="325">
        <f t="shared" si="174"/>
        <v>0</v>
      </c>
      <c r="Q645" s="325">
        <f t="shared" si="175"/>
        <v>0</v>
      </c>
      <c r="R645" s="325">
        <f t="shared" si="176"/>
        <v>234</v>
      </c>
      <c r="S645" s="325">
        <f t="shared" si="177"/>
        <v>0</v>
      </c>
      <c r="T645" s="325">
        <f t="shared" si="180"/>
        <v>234</v>
      </c>
      <c r="U645" s="325">
        <f t="shared" si="178"/>
        <v>702.80000000000018</v>
      </c>
      <c r="V645" s="325">
        <f t="shared" si="179"/>
        <v>0</v>
      </c>
      <c r="W645" s="449" cm="1">
        <f t="array" ref="W645">+IF(U645&lt;0,error,0)</f>
        <v>0</v>
      </c>
    </row>
    <row r="646" spans="1:23" ht="18" customHeight="1" x14ac:dyDescent="0.2">
      <c r="A646" s="402" t="s">
        <v>1460</v>
      </c>
      <c r="B646" s="403"/>
      <c r="C646" s="404" t="s">
        <v>1461</v>
      </c>
      <c r="D646" s="405">
        <v>42791</v>
      </c>
      <c r="E646" s="406"/>
      <c r="F646" s="325"/>
      <c r="G646" s="324"/>
      <c r="H646" s="324">
        <v>5514</v>
      </c>
      <c r="I646" s="325">
        <v>540.92799999999988</v>
      </c>
      <c r="J646" s="325"/>
      <c r="K646" s="325">
        <f t="shared" si="171"/>
        <v>0</v>
      </c>
      <c r="L646" s="325">
        <f t="shared" si="172"/>
        <v>0</v>
      </c>
      <c r="M646" s="407">
        <v>50</v>
      </c>
      <c r="N646" s="408" t="s">
        <v>289</v>
      </c>
      <c r="O646" s="325">
        <f t="shared" si="173"/>
        <v>0</v>
      </c>
      <c r="P646" s="325">
        <f t="shared" si="174"/>
        <v>0</v>
      </c>
      <c r="Q646" s="325">
        <f t="shared" si="175"/>
        <v>0</v>
      </c>
      <c r="R646" s="325">
        <f t="shared" si="176"/>
        <v>135</v>
      </c>
      <c r="S646" s="325">
        <f t="shared" si="177"/>
        <v>0</v>
      </c>
      <c r="T646" s="325">
        <f t="shared" si="180"/>
        <v>135</v>
      </c>
      <c r="U646" s="325">
        <f t="shared" si="178"/>
        <v>405.92799999999988</v>
      </c>
      <c r="V646" s="325">
        <f t="shared" si="179"/>
        <v>0</v>
      </c>
      <c r="W646" s="449" cm="1">
        <f t="array" ref="W646">+IF(U646&lt;0,error,0)</f>
        <v>0</v>
      </c>
    </row>
    <row r="647" spans="1:23" ht="18" customHeight="1" x14ac:dyDescent="0.2">
      <c r="A647" s="402" t="s">
        <v>1462</v>
      </c>
      <c r="B647" s="403"/>
      <c r="C647" s="404" t="s">
        <v>1461</v>
      </c>
      <c r="D647" s="405">
        <v>42781</v>
      </c>
      <c r="E647" s="406"/>
      <c r="F647" s="325"/>
      <c r="G647" s="324"/>
      <c r="H647" s="324">
        <v>12405.33</v>
      </c>
      <c r="I647" s="325">
        <v>1193.33</v>
      </c>
      <c r="J647" s="325"/>
      <c r="K647" s="325">
        <f t="shared" si="171"/>
        <v>0</v>
      </c>
      <c r="L647" s="325">
        <f t="shared" si="172"/>
        <v>0</v>
      </c>
      <c r="M647" s="407">
        <v>50</v>
      </c>
      <c r="N647" s="408" t="s">
        <v>289</v>
      </c>
      <c r="O647" s="325">
        <f t="shared" si="173"/>
        <v>0</v>
      </c>
      <c r="P647" s="325">
        <f t="shared" si="174"/>
        <v>0</v>
      </c>
      <c r="Q647" s="325">
        <f t="shared" si="175"/>
        <v>0</v>
      </c>
      <c r="R647" s="325">
        <f t="shared" si="176"/>
        <v>298</v>
      </c>
      <c r="S647" s="325">
        <f t="shared" si="177"/>
        <v>0</v>
      </c>
      <c r="T647" s="325">
        <f t="shared" si="180"/>
        <v>298</v>
      </c>
      <c r="U647" s="325">
        <f t="shared" si="178"/>
        <v>895.32999999999993</v>
      </c>
      <c r="V647" s="325">
        <f t="shared" si="179"/>
        <v>0</v>
      </c>
      <c r="W647" s="449" cm="1">
        <f t="array" ref="W647">+IF(U647&lt;0,error,0)</f>
        <v>0</v>
      </c>
    </row>
    <row r="648" spans="1:23" ht="18" customHeight="1" x14ac:dyDescent="0.2">
      <c r="A648" s="402" t="s">
        <v>1463</v>
      </c>
      <c r="B648" s="403"/>
      <c r="C648" s="404" t="s">
        <v>1464</v>
      </c>
      <c r="D648" s="405">
        <v>42791</v>
      </c>
      <c r="E648" s="406"/>
      <c r="F648" s="325"/>
      <c r="G648" s="324"/>
      <c r="H648" s="324">
        <v>5741</v>
      </c>
      <c r="I648" s="325">
        <v>561.64280000000008</v>
      </c>
      <c r="J648" s="325"/>
      <c r="K648" s="325">
        <f t="shared" si="171"/>
        <v>0</v>
      </c>
      <c r="L648" s="325">
        <f t="shared" si="172"/>
        <v>0</v>
      </c>
      <c r="M648" s="407">
        <v>50</v>
      </c>
      <c r="N648" s="408" t="s">
        <v>289</v>
      </c>
      <c r="O648" s="325">
        <f t="shared" si="173"/>
        <v>0</v>
      </c>
      <c r="P648" s="325">
        <f t="shared" si="174"/>
        <v>0</v>
      </c>
      <c r="Q648" s="325">
        <f t="shared" si="175"/>
        <v>0</v>
      </c>
      <c r="R648" s="325">
        <f t="shared" si="176"/>
        <v>140</v>
      </c>
      <c r="S648" s="325">
        <f t="shared" si="177"/>
        <v>0</v>
      </c>
      <c r="T648" s="325">
        <f t="shared" si="180"/>
        <v>140</v>
      </c>
      <c r="U648" s="325">
        <f t="shared" si="178"/>
        <v>421.64280000000008</v>
      </c>
      <c r="V648" s="325">
        <f t="shared" si="179"/>
        <v>0</v>
      </c>
      <c r="W648" s="449" cm="1">
        <f t="array" ref="W648">+IF(U648&lt;0,error,0)</f>
        <v>0</v>
      </c>
    </row>
    <row r="649" spans="1:23" ht="18" customHeight="1" x14ac:dyDescent="0.2">
      <c r="A649" s="402" t="s">
        <v>1465</v>
      </c>
      <c r="B649" s="403"/>
      <c r="C649" s="404" t="s">
        <v>1466</v>
      </c>
      <c r="D649" s="405">
        <v>42791</v>
      </c>
      <c r="E649" s="406"/>
      <c r="F649" s="325"/>
      <c r="G649" s="324"/>
      <c r="H649" s="324">
        <v>8070</v>
      </c>
      <c r="I649" s="325">
        <v>789.15830000000005</v>
      </c>
      <c r="J649" s="325"/>
      <c r="K649" s="325">
        <f t="shared" si="171"/>
        <v>0</v>
      </c>
      <c r="L649" s="325">
        <f t="shared" si="172"/>
        <v>0</v>
      </c>
      <c r="M649" s="407">
        <v>50</v>
      </c>
      <c r="N649" s="408" t="s">
        <v>289</v>
      </c>
      <c r="O649" s="325">
        <f t="shared" si="173"/>
        <v>0</v>
      </c>
      <c r="P649" s="325">
        <f t="shared" si="174"/>
        <v>0</v>
      </c>
      <c r="Q649" s="325">
        <f t="shared" si="175"/>
        <v>0</v>
      </c>
      <c r="R649" s="325">
        <f t="shared" si="176"/>
        <v>197</v>
      </c>
      <c r="S649" s="325">
        <f t="shared" si="177"/>
        <v>0</v>
      </c>
      <c r="T649" s="325">
        <f t="shared" si="180"/>
        <v>197</v>
      </c>
      <c r="U649" s="325">
        <f t="shared" si="178"/>
        <v>592.15830000000005</v>
      </c>
      <c r="V649" s="325">
        <f t="shared" si="179"/>
        <v>0</v>
      </c>
      <c r="W649" s="449" cm="1">
        <f t="array" ref="W649">+IF(U649&lt;0,error,0)</f>
        <v>0</v>
      </c>
    </row>
    <row r="650" spans="1:23" ht="18" customHeight="1" x14ac:dyDescent="0.2">
      <c r="A650" s="402" t="s">
        <v>1467</v>
      </c>
      <c r="B650" s="403"/>
      <c r="C650" s="404" t="s">
        <v>1466</v>
      </c>
      <c r="D650" s="405">
        <v>42826</v>
      </c>
      <c r="E650" s="406"/>
      <c r="F650" s="325"/>
      <c r="G650" s="324"/>
      <c r="H650" s="324">
        <v>4842</v>
      </c>
      <c r="I650" s="325">
        <v>502.52390000000014</v>
      </c>
      <c r="J650" s="325"/>
      <c r="K650" s="325">
        <f t="shared" si="171"/>
        <v>0</v>
      </c>
      <c r="L650" s="325">
        <f t="shared" si="172"/>
        <v>0</v>
      </c>
      <c r="M650" s="407">
        <v>50</v>
      </c>
      <c r="N650" s="408" t="s">
        <v>289</v>
      </c>
      <c r="O650" s="325">
        <f t="shared" si="173"/>
        <v>0</v>
      </c>
      <c r="P650" s="325">
        <f t="shared" si="174"/>
        <v>0</v>
      </c>
      <c r="Q650" s="325">
        <f t="shared" si="175"/>
        <v>0</v>
      </c>
      <c r="R650" s="325">
        <f t="shared" si="176"/>
        <v>125</v>
      </c>
      <c r="S650" s="325">
        <f t="shared" si="177"/>
        <v>0</v>
      </c>
      <c r="T650" s="325">
        <f t="shared" si="180"/>
        <v>125</v>
      </c>
      <c r="U650" s="325">
        <f t="shared" si="178"/>
        <v>377.52390000000014</v>
      </c>
      <c r="V650" s="325">
        <f t="shared" si="179"/>
        <v>0</v>
      </c>
      <c r="W650" s="449" cm="1">
        <f t="array" ref="W650">+IF(U650&lt;0,error,0)</f>
        <v>0</v>
      </c>
    </row>
    <row r="651" spans="1:23" ht="18" customHeight="1" x14ac:dyDescent="0.2">
      <c r="A651" s="402" t="s">
        <v>1468</v>
      </c>
      <c r="B651" s="403"/>
      <c r="C651" s="404" t="s">
        <v>1466</v>
      </c>
      <c r="D651" s="405">
        <v>42826</v>
      </c>
      <c r="E651" s="406"/>
      <c r="F651" s="325"/>
      <c r="G651" s="324"/>
      <c r="H651" s="324">
        <v>16140.29</v>
      </c>
      <c r="I651" s="325">
        <v>1670.29</v>
      </c>
      <c r="J651" s="325"/>
      <c r="K651" s="325">
        <f t="shared" si="171"/>
        <v>0</v>
      </c>
      <c r="L651" s="325">
        <f t="shared" si="172"/>
        <v>0</v>
      </c>
      <c r="M651" s="407">
        <v>50</v>
      </c>
      <c r="N651" s="408" t="s">
        <v>289</v>
      </c>
      <c r="O651" s="325">
        <f t="shared" si="173"/>
        <v>0</v>
      </c>
      <c r="P651" s="325">
        <f t="shared" si="174"/>
        <v>0</v>
      </c>
      <c r="Q651" s="325">
        <f t="shared" si="175"/>
        <v>0</v>
      </c>
      <c r="R651" s="325">
        <f t="shared" si="176"/>
        <v>417</v>
      </c>
      <c r="S651" s="325">
        <f t="shared" si="177"/>
        <v>0</v>
      </c>
      <c r="T651" s="325">
        <f t="shared" si="180"/>
        <v>417</v>
      </c>
      <c r="U651" s="325">
        <f t="shared" si="178"/>
        <v>1253.29</v>
      </c>
      <c r="V651" s="325">
        <f t="shared" si="179"/>
        <v>0</v>
      </c>
      <c r="W651" s="449" cm="1">
        <f t="array" ref="W651">+IF(U651&lt;0,error,0)</f>
        <v>0</v>
      </c>
    </row>
    <row r="652" spans="1:23" ht="18" customHeight="1" x14ac:dyDescent="0.2">
      <c r="A652" s="402" t="s">
        <v>1469</v>
      </c>
      <c r="B652" s="403"/>
      <c r="C652" s="404" t="s">
        <v>1470</v>
      </c>
      <c r="D652" s="405">
        <v>42826</v>
      </c>
      <c r="E652" s="406"/>
      <c r="F652" s="325"/>
      <c r="G652" s="324"/>
      <c r="H652" s="324">
        <v>2879</v>
      </c>
      <c r="I652" s="325">
        <v>298.6563000000001</v>
      </c>
      <c r="J652" s="325"/>
      <c r="K652" s="325">
        <f t="shared" si="171"/>
        <v>0</v>
      </c>
      <c r="L652" s="325">
        <f t="shared" si="172"/>
        <v>0</v>
      </c>
      <c r="M652" s="407">
        <v>50</v>
      </c>
      <c r="N652" s="408" t="s">
        <v>289</v>
      </c>
      <c r="O652" s="325">
        <f t="shared" si="173"/>
        <v>0</v>
      </c>
      <c r="P652" s="325">
        <f t="shared" si="174"/>
        <v>0</v>
      </c>
      <c r="Q652" s="325">
        <f t="shared" si="175"/>
        <v>0</v>
      </c>
      <c r="R652" s="325">
        <f t="shared" si="176"/>
        <v>74</v>
      </c>
      <c r="S652" s="325">
        <f t="shared" si="177"/>
        <v>0</v>
      </c>
      <c r="T652" s="325">
        <f t="shared" si="180"/>
        <v>74</v>
      </c>
      <c r="U652" s="325">
        <f t="shared" si="178"/>
        <v>224.6563000000001</v>
      </c>
      <c r="V652" s="325">
        <f t="shared" si="179"/>
        <v>0</v>
      </c>
      <c r="W652" s="449" cm="1">
        <f t="array" ref="W652">+IF(U652&lt;0,error,0)</f>
        <v>0</v>
      </c>
    </row>
    <row r="653" spans="1:23" ht="18" customHeight="1" x14ac:dyDescent="0.2">
      <c r="A653" s="402" t="s">
        <v>1471</v>
      </c>
      <c r="B653" s="403"/>
      <c r="C653" s="404" t="s">
        <v>1472</v>
      </c>
      <c r="D653" s="405">
        <v>42826</v>
      </c>
      <c r="E653" s="406"/>
      <c r="F653" s="325"/>
      <c r="G653" s="324"/>
      <c r="H653" s="324">
        <v>14362.64</v>
      </c>
      <c r="I653" s="325">
        <v>1485.6400000000003</v>
      </c>
      <c r="J653" s="325"/>
      <c r="K653" s="325">
        <f t="shared" si="171"/>
        <v>0</v>
      </c>
      <c r="L653" s="325">
        <f t="shared" si="172"/>
        <v>0</v>
      </c>
      <c r="M653" s="407">
        <v>50</v>
      </c>
      <c r="N653" s="408" t="s">
        <v>289</v>
      </c>
      <c r="O653" s="325">
        <f t="shared" si="173"/>
        <v>0</v>
      </c>
      <c r="P653" s="325">
        <f t="shared" si="174"/>
        <v>0</v>
      </c>
      <c r="Q653" s="325">
        <f t="shared" si="175"/>
        <v>0</v>
      </c>
      <c r="R653" s="325">
        <f t="shared" si="176"/>
        <v>371</v>
      </c>
      <c r="S653" s="325">
        <f t="shared" si="177"/>
        <v>0</v>
      </c>
      <c r="T653" s="325">
        <f t="shared" si="180"/>
        <v>371</v>
      </c>
      <c r="U653" s="325">
        <f t="shared" si="178"/>
        <v>1114.6400000000003</v>
      </c>
      <c r="V653" s="325">
        <f t="shared" si="179"/>
        <v>0</v>
      </c>
      <c r="W653" s="449" cm="1">
        <f t="array" ref="W653">+IF(U653&lt;0,error,0)</f>
        <v>0</v>
      </c>
    </row>
    <row r="654" spans="1:23" ht="18" customHeight="1" x14ac:dyDescent="0.2">
      <c r="A654" s="402" t="s">
        <v>1473</v>
      </c>
      <c r="B654" s="403"/>
      <c r="C654" s="404" t="s">
        <v>1474</v>
      </c>
      <c r="D654" s="405">
        <v>42843</v>
      </c>
      <c r="E654" s="406"/>
      <c r="F654" s="325"/>
      <c r="G654" s="324"/>
      <c r="H654" s="324">
        <v>2141.73</v>
      </c>
      <c r="I654" s="325">
        <v>228.73000000000002</v>
      </c>
      <c r="J654" s="325"/>
      <c r="K654" s="325">
        <f t="shared" si="171"/>
        <v>0</v>
      </c>
      <c r="L654" s="325">
        <f t="shared" si="172"/>
        <v>0</v>
      </c>
      <c r="M654" s="407">
        <v>50</v>
      </c>
      <c r="N654" s="408" t="s">
        <v>289</v>
      </c>
      <c r="O654" s="325">
        <f t="shared" si="173"/>
        <v>0</v>
      </c>
      <c r="P654" s="325">
        <f t="shared" si="174"/>
        <v>0</v>
      </c>
      <c r="Q654" s="325">
        <f t="shared" si="175"/>
        <v>0</v>
      </c>
      <c r="R654" s="325">
        <f t="shared" si="176"/>
        <v>57</v>
      </c>
      <c r="S654" s="325">
        <f t="shared" si="177"/>
        <v>0</v>
      </c>
      <c r="T654" s="325">
        <f t="shared" si="180"/>
        <v>57</v>
      </c>
      <c r="U654" s="325">
        <f t="shared" si="178"/>
        <v>171.73000000000002</v>
      </c>
      <c r="V654" s="325">
        <f t="shared" si="179"/>
        <v>0</v>
      </c>
      <c r="W654" s="449" cm="1">
        <f t="array" ref="W654">+IF(U654&lt;0,error,0)</f>
        <v>0</v>
      </c>
    </row>
    <row r="655" spans="1:23" ht="18" customHeight="1" x14ac:dyDescent="0.2">
      <c r="A655" s="402" t="s">
        <v>1475</v>
      </c>
      <c r="B655" s="403"/>
      <c r="C655" s="404" t="s">
        <v>1459</v>
      </c>
      <c r="D655" s="405">
        <v>42851</v>
      </c>
      <c r="E655" s="406"/>
      <c r="F655" s="325"/>
      <c r="G655" s="324"/>
      <c r="H655" s="324">
        <v>15699</v>
      </c>
      <c r="I655" s="325">
        <v>1688</v>
      </c>
      <c r="J655" s="325"/>
      <c r="K655" s="325">
        <f t="shared" si="171"/>
        <v>0</v>
      </c>
      <c r="L655" s="325">
        <f t="shared" si="172"/>
        <v>0</v>
      </c>
      <c r="M655" s="407">
        <v>50</v>
      </c>
      <c r="N655" s="408" t="s">
        <v>289</v>
      </c>
      <c r="O655" s="325">
        <f t="shared" si="173"/>
        <v>0</v>
      </c>
      <c r="P655" s="325">
        <f t="shared" si="174"/>
        <v>0</v>
      </c>
      <c r="Q655" s="325">
        <f t="shared" si="175"/>
        <v>0</v>
      </c>
      <c r="R655" s="325">
        <f t="shared" si="176"/>
        <v>422</v>
      </c>
      <c r="S655" s="325">
        <f t="shared" si="177"/>
        <v>0</v>
      </c>
      <c r="T655" s="325">
        <f t="shared" si="180"/>
        <v>422</v>
      </c>
      <c r="U655" s="325">
        <f t="shared" si="178"/>
        <v>1266</v>
      </c>
      <c r="V655" s="325">
        <f t="shared" si="179"/>
        <v>0</v>
      </c>
      <c r="W655" s="449" cm="1">
        <f t="array" ref="W655">+IF(U655&lt;0,error,0)</f>
        <v>0</v>
      </c>
    </row>
    <row r="656" spans="1:23" ht="18" customHeight="1" x14ac:dyDescent="0.2">
      <c r="A656" s="402" t="s">
        <v>1476</v>
      </c>
      <c r="B656" s="403"/>
      <c r="C656" s="404" t="s">
        <v>1477</v>
      </c>
      <c r="D656" s="405">
        <v>42791</v>
      </c>
      <c r="E656" s="406"/>
      <c r="F656" s="325"/>
      <c r="G656" s="324"/>
      <c r="H656" s="324">
        <v>1998</v>
      </c>
      <c r="I656" s="325">
        <v>196.35000000000002</v>
      </c>
      <c r="J656" s="325"/>
      <c r="K656" s="325">
        <f t="shared" si="171"/>
        <v>0</v>
      </c>
      <c r="L656" s="325">
        <f t="shared" si="172"/>
        <v>0</v>
      </c>
      <c r="M656" s="407">
        <v>50</v>
      </c>
      <c r="N656" s="408" t="s">
        <v>289</v>
      </c>
      <c r="O656" s="325">
        <f t="shared" si="173"/>
        <v>0</v>
      </c>
      <c r="P656" s="325">
        <f t="shared" si="174"/>
        <v>0</v>
      </c>
      <c r="Q656" s="325">
        <f t="shared" si="175"/>
        <v>0</v>
      </c>
      <c r="R656" s="325">
        <f t="shared" si="176"/>
        <v>49</v>
      </c>
      <c r="S656" s="325">
        <f t="shared" si="177"/>
        <v>0</v>
      </c>
      <c r="T656" s="325">
        <f t="shared" si="180"/>
        <v>49</v>
      </c>
      <c r="U656" s="325">
        <f t="shared" si="178"/>
        <v>147.35000000000002</v>
      </c>
      <c r="V656" s="325">
        <f t="shared" si="179"/>
        <v>0</v>
      </c>
      <c r="W656" s="449" cm="1">
        <f t="array" ref="W656">+IF(U656&lt;0,error,0)</f>
        <v>0</v>
      </c>
    </row>
    <row r="657" spans="1:23" ht="18" customHeight="1" x14ac:dyDescent="0.2">
      <c r="A657" s="402" t="s">
        <v>1478</v>
      </c>
      <c r="B657" s="403"/>
      <c r="C657" s="404" t="s">
        <v>1479</v>
      </c>
      <c r="D657" s="405">
        <v>42791</v>
      </c>
      <c r="E657" s="406"/>
      <c r="F657" s="325"/>
      <c r="G657" s="324"/>
      <c r="H657" s="324">
        <v>1996.24</v>
      </c>
      <c r="I657" s="325">
        <v>196.24</v>
      </c>
      <c r="J657" s="325"/>
      <c r="K657" s="325">
        <f t="shared" si="171"/>
        <v>0</v>
      </c>
      <c r="L657" s="325">
        <f t="shared" si="172"/>
        <v>0</v>
      </c>
      <c r="M657" s="407">
        <v>50</v>
      </c>
      <c r="N657" s="408" t="s">
        <v>289</v>
      </c>
      <c r="O657" s="325">
        <f t="shared" si="173"/>
        <v>0</v>
      </c>
      <c r="P657" s="325">
        <f t="shared" si="174"/>
        <v>0</v>
      </c>
      <c r="Q657" s="325">
        <f t="shared" si="175"/>
        <v>0</v>
      </c>
      <c r="R657" s="325">
        <f t="shared" si="176"/>
        <v>49</v>
      </c>
      <c r="S657" s="325">
        <f t="shared" si="177"/>
        <v>0</v>
      </c>
      <c r="T657" s="325">
        <f t="shared" si="180"/>
        <v>49</v>
      </c>
      <c r="U657" s="325">
        <f t="shared" si="178"/>
        <v>147.24</v>
      </c>
      <c r="V657" s="325">
        <f t="shared" si="179"/>
        <v>0</v>
      </c>
      <c r="W657" s="449" cm="1">
        <f t="array" ref="W657">+IF(U657&lt;0,error,0)</f>
        <v>0</v>
      </c>
    </row>
    <row r="658" spans="1:23" ht="18" customHeight="1" x14ac:dyDescent="0.2">
      <c r="A658" s="402" t="s">
        <v>1480</v>
      </c>
      <c r="B658" s="403"/>
      <c r="C658" s="404" t="s">
        <v>1481</v>
      </c>
      <c r="D658" s="405">
        <v>42826</v>
      </c>
      <c r="E658" s="406"/>
      <c r="F658" s="325"/>
      <c r="G658" s="324"/>
      <c r="H658" s="324">
        <v>6244.63</v>
      </c>
      <c r="I658" s="325">
        <v>646.63000000000011</v>
      </c>
      <c r="J658" s="325"/>
      <c r="K658" s="325">
        <f t="shared" si="171"/>
        <v>0</v>
      </c>
      <c r="L658" s="325">
        <f t="shared" si="172"/>
        <v>0</v>
      </c>
      <c r="M658" s="407">
        <v>50</v>
      </c>
      <c r="N658" s="408" t="s">
        <v>289</v>
      </c>
      <c r="O658" s="325">
        <f t="shared" si="173"/>
        <v>0</v>
      </c>
      <c r="P658" s="325">
        <f t="shared" si="174"/>
        <v>0</v>
      </c>
      <c r="Q658" s="325">
        <f t="shared" si="175"/>
        <v>0</v>
      </c>
      <c r="R658" s="325">
        <f t="shared" si="176"/>
        <v>161</v>
      </c>
      <c r="S658" s="325">
        <f t="shared" si="177"/>
        <v>0</v>
      </c>
      <c r="T658" s="325">
        <f t="shared" si="180"/>
        <v>161</v>
      </c>
      <c r="U658" s="325">
        <f t="shared" si="178"/>
        <v>485.63000000000011</v>
      </c>
      <c r="V658" s="325">
        <f t="shared" si="179"/>
        <v>0</v>
      </c>
      <c r="W658" s="449" cm="1">
        <f t="array" ref="W658">+IF(U658&lt;0,error,0)</f>
        <v>0</v>
      </c>
    </row>
    <row r="659" spans="1:23" ht="18" customHeight="1" x14ac:dyDescent="0.2">
      <c r="A659" s="402" t="s">
        <v>1488</v>
      </c>
      <c r="B659" s="403"/>
      <c r="C659" s="404" t="s">
        <v>1489</v>
      </c>
      <c r="D659" s="405">
        <v>43157</v>
      </c>
      <c r="E659" s="406"/>
      <c r="F659" s="325"/>
      <c r="G659" s="324"/>
      <c r="H659" s="324">
        <v>2908</v>
      </c>
      <c r="I659" s="325">
        <v>294</v>
      </c>
      <c r="J659" s="325"/>
      <c r="K659" s="325">
        <f t="shared" si="171"/>
        <v>0</v>
      </c>
      <c r="L659" s="325">
        <f t="shared" si="172"/>
        <v>0</v>
      </c>
      <c r="M659" s="407">
        <v>66.67</v>
      </c>
      <c r="N659" s="408" t="s">
        <v>289</v>
      </c>
      <c r="O659" s="325">
        <f t="shared" si="173"/>
        <v>0</v>
      </c>
      <c r="P659" s="325">
        <f t="shared" si="174"/>
        <v>0</v>
      </c>
      <c r="Q659" s="325">
        <f t="shared" si="175"/>
        <v>0</v>
      </c>
      <c r="R659" s="325">
        <f t="shared" si="176"/>
        <v>98</v>
      </c>
      <c r="S659" s="325">
        <f t="shared" si="177"/>
        <v>0</v>
      </c>
      <c r="T659" s="325">
        <f t="shared" si="180"/>
        <v>98</v>
      </c>
      <c r="U659" s="325">
        <f t="shared" si="178"/>
        <v>196</v>
      </c>
      <c r="V659" s="325">
        <f t="shared" si="179"/>
        <v>0</v>
      </c>
      <c r="W659" s="449" cm="1">
        <f t="array" ref="W659">+IF(U659&lt;0,error,0)</f>
        <v>0</v>
      </c>
    </row>
    <row r="660" spans="1:23" ht="18" customHeight="1" x14ac:dyDescent="0.2">
      <c r="A660" s="402" t="s">
        <v>1490</v>
      </c>
      <c r="B660" s="403"/>
      <c r="C660" s="404" t="s">
        <v>1489</v>
      </c>
      <c r="D660" s="405">
        <v>43157</v>
      </c>
      <c r="E660" s="406"/>
      <c r="F660" s="325"/>
      <c r="G660" s="324"/>
      <c r="H660" s="324">
        <v>2668</v>
      </c>
      <c r="I660" s="325">
        <v>270</v>
      </c>
      <c r="J660" s="325"/>
      <c r="K660" s="325">
        <f t="shared" si="171"/>
        <v>0</v>
      </c>
      <c r="L660" s="325">
        <f t="shared" si="172"/>
        <v>0</v>
      </c>
      <c r="M660" s="407">
        <v>66.67</v>
      </c>
      <c r="N660" s="408" t="s">
        <v>289</v>
      </c>
      <c r="O660" s="325">
        <f t="shared" si="173"/>
        <v>0</v>
      </c>
      <c r="P660" s="325">
        <f t="shared" si="174"/>
        <v>0</v>
      </c>
      <c r="Q660" s="325">
        <f t="shared" si="175"/>
        <v>0</v>
      </c>
      <c r="R660" s="325">
        <f t="shared" si="176"/>
        <v>90</v>
      </c>
      <c r="S660" s="325">
        <f t="shared" si="177"/>
        <v>0</v>
      </c>
      <c r="T660" s="325">
        <f t="shared" si="180"/>
        <v>90</v>
      </c>
      <c r="U660" s="325">
        <f t="shared" si="178"/>
        <v>180</v>
      </c>
      <c r="V660" s="325">
        <f t="shared" si="179"/>
        <v>0</v>
      </c>
      <c r="W660" s="449" cm="1">
        <f t="array" ref="W660">+IF(U660&lt;0,error,0)</f>
        <v>0</v>
      </c>
    </row>
    <row r="661" spans="1:23" ht="18" customHeight="1" x14ac:dyDescent="0.2">
      <c r="A661" s="402" t="s">
        <v>1495</v>
      </c>
      <c r="B661" s="403"/>
      <c r="C661" s="404" t="s">
        <v>1496</v>
      </c>
      <c r="D661" s="405">
        <v>43191</v>
      </c>
      <c r="E661" s="406"/>
      <c r="F661" s="325"/>
      <c r="G661" s="324"/>
      <c r="H661" s="324">
        <v>8732</v>
      </c>
      <c r="I661" s="325">
        <v>1806.9702000000007</v>
      </c>
      <c r="J661" s="325"/>
      <c r="K661" s="325">
        <f t="shared" si="171"/>
        <v>0</v>
      </c>
      <c r="L661" s="325">
        <f t="shared" si="172"/>
        <v>0</v>
      </c>
      <c r="M661" s="407">
        <v>50</v>
      </c>
      <c r="N661" s="408" t="s">
        <v>289</v>
      </c>
      <c r="O661" s="325">
        <f t="shared" si="173"/>
        <v>0</v>
      </c>
      <c r="P661" s="325">
        <f t="shared" si="174"/>
        <v>0</v>
      </c>
      <c r="Q661" s="325">
        <f t="shared" si="175"/>
        <v>0</v>
      </c>
      <c r="R661" s="325">
        <f t="shared" si="176"/>
        <v>451</v>
      </c>
      <c r="S661" s="325">
        <f t="shared" si="177"/>
        <v>0</v>
      </c>
      <c r="T661" s="325">
        <f t="shared" si="180"/>
        <v>451</v>
      </c>
      <c r="U661" s="325">
        <f t="shared" si="178"/>
        <v>1355.9702000000007</v>
      </c>
      <c r="V661" s="325">
        <f t="shared" si="179"/>
        <v>0</v>
      </c>
      <c r="W661" s="449" cm="1">
        <f t="array" ref="W661">+IF(U661&lt;0,error,0)</f>
        <v>0</v>
      </c>
    </row>
    <row r="662" spans="1:23" ht="18" customHeight="1" x14ac:dyDescent="0.2">
      <c r="A662" s="402" t="s">
        <v>1499</v>
      </c>
      <c r="B662" s="403"/>
      <c r="C662" s="404" t="s">
        <v>1500</v>
      </c>
      <c r="D662" s="405">
        <v>42944</v>
      </c>
      <c r="E662" s="406"/>
      <c r="F662" s="325"/>
      <c r="G662" s="324"/>
      <c r="H662" s="324">
        <v>16899</v>
      </c>
      <c r="I662" s="325">
        <v>2145</v>
      </c>
      <c r="J662" s="325"/>
      <c r="K662" s="325">
        <f t="shared" si="171"/>
        <v>0</v>
      </c>
      <c r="L662" s="325">
        <f t="shared" si="172"/>
        <v>0</v>
      </c>
      <c r="M662" s="407">
        <v>50</v>
      </c>
      <c r="N662" s="408" t="s">
        <v>289</v>
      </c>
      <c r="O662" s="325">
        <f t="shared" si="173"/>
        <v>0</v>
      </c>
      <c r="P662" s="325">
        <f t="shared" si="174"/>
        <v>0</v>
      </c>
      <c r="Q662" s="325">
        <f t="shared" si="175"/>
        <v>0</v>
      </c>
      <c r="R662" s="325">
        <f t="shared" si="176"/>
        <v>536</v>
      </c>
      <c r="S662" s="325">
        <f t="shared" si="177"/>
        <v>0</v>
      </c>
      <c r="T662" s="325">
        <f t="shared" si="180"/>
        <v>536</v>
      </c>
      <c r="U662" s="325">
        <f t="shared" si="178"/>
        <v>1609</v>
      </c>
      <c r="V662" s="325">
        <f t="shared" si="179"/>
        <v>0</v>
      </c>
      <c r="W662" s="449" cm="1">
        <f t="array" ref="W662">+IF(U662&lt;0,error,0)</f>
        <v>0</v>
      </c>
    </row>
    <row r="663" spans="1:23" ht="18" customHeight="1" x14ac:dyDescent="0.2">
      <c r="A663" s="402" t="s">
        <v>1501</v>
      </c>
      <c r="B663" s="403"/>
      <c r="C663" s="404" t="s">
        <v>1502</v>
      </c>
      <c r="D663" s="405">
        <v>42976</v>
      </c>
      <c r="E663" s="406"/>
      <c r="F663" s="325"/>
      <c r="G663" s="324"/>
      <c r="H663" s="324">
        <v>1492.53</v>
      </c>
      <c r="I663" s="325">
        <v>205.52999999999997</v>
      </c>
      <c r="J663" s="325"/>
      <c r="K663" s="325">
        <f t="shared" si="171"/>
        <v>0</v>
      </c>
      <c r="L663" s="325">
        <f t="shared" si="172"/>
        <v>0</v>
      </c>
      <c r="M663" s="407">
        <v>50</v>
      </c>
      <c r="N663" s="408" t="s">
        <v>289</v>
      </c>
      <c r="O663" s="325">
        <f t="shared" si="173"/>
        <v>0</v>
      </c>
      <c r="P663" s="325">
        <f t="shared" si="174"/>
        <v>0</v>
      </c>
      <c r="Q663" s="325">
        <f t="shared" si="175"/>
        <v>0</v>
      </c>
      <c r="R663" s="325">
        <f t="shared" si="176"/>
        <v>51</v>
      </c>
      <c r="S663" s="325">
        <f t="shared" si="177"/>
        <v>0</v>
      </c>
      <c r="T663" s="325">
        <f t="shared" si="180"/>
        <v>51</v>
      </c>
      <c r="U663" s="325">
        <f t="shared" si="178"/>
        <v>154.52999999999997</v>
      </c>
      <c r="V663" s="325">
        <f t="shared" si="179"/>
        <v>0</v>
      </c>
      <c r="W663" s="449" cm="1">
        <f t="array" ref="W663">+IF(U663&lt;0,error,0)</f>
        <v>0</v>
      </c>
    </row>
    <row r="664" spans="1:23" ht="18" customHeight="1" x14ac:dyDescent="0.2">
      <c r="A664" s="402" t="s">
        <v>1503</v>
      </c>
      <c r="B664" s="403"/>
      <c r="C664" s="404" t="s">
        <v>1504</v>
      </c>
      <c r="D664" s="405">
        <v>42996</v>
      </c>
      <c r="E664" s="406"/>
      <c r="F664" s="325"/>
      <c r="G664" s="324"/>
      <c r="H664" s="324">
        <v>1551</v>
      </c>
      <c r="I664" s="325">
        <v>223</v>
      </c>
      <c r="J664" s="325"/>
      <c r="K664" s="325">
        <f t="shared" si="171"/>
        <v>0</v>
      </c>
      <c r="L664" s="325">
        <f t="shared" si="172"/>
        <v>0</v>
      </c>
      <c r="M664" s="407">
        <v>50</v>
      </c>
      <c r="N664" s="408" t="s">
        <v>289</v>
      </c>
      <c r="O664" s="325">
        <f t="shared" si="173"/>
        <v>0</v>
      </c>
      <c r="P664" s="325">
        <f t="shared" si="174"/>
        <v>0</v>
      </c>
      <c r="Q664" s="325">
        <f t="shared" si="175"/>
        <v>0</v>
      </c>
      <c r="R664" s="325">
        <f t="shared" si="176"/>
        <v>55</v>
      </c>
      <c r="S664" s="325">
        <f t="shared" si="177"/>
        <v>0</v>
      </c>
      <c r="T664" s="325">
        <f t="shared" si="180"/>
        <v>55</v>
      </c>
      <c r="U664" s="325">
        <f t="shared" si="178"/>
        <v>168</v>
      </c>
      <c r="V664" s="325">
        <f t="shared" si="179"/>
        <v>0</v>
      </c>
      <c r="W664" s="449" cm="1">
        <f t="array" ref="W664">+IF(U664&lt;0,error,0)</f>
        <v>0</v>
      </c>
    </row>
    <row r="665" spans="1:23" ht="18" customHeight="1" x14ac:dyDescent="0.2">
      <c r="A665" s="402" t="s">
        <v>1505</v>
      </c>
      <c r="B665" s="403"/>
      <c r="C665" s="404" t="s">
        <v>1506</v>
      </c>
      <c r="D665" s="405">
        <v>42996</v>
      </c>
      <c r="E665" s="406"/>
      <c r="F665" s="325"/>
      <c r="G665" s="324"/>
      <c r="H665" s="324">
        <v>1564</v>
      </c>
      <c r="I665" s="325">
        <v>225</v>
      </c>
      <c r="J665" s="325"/>
      <c r="K665" s="325">
        <f t="shared" si="171"/>
        <v>0</v>
      </c>
      <c r="L665" s="325">
        <f t="shared" si="172"/>
        <v>0</v>
      </c>
      <c r="M665" s="407">
        <v>50</v>
      </c>
      <c r="N665" s="408" t="s">
        <v>289</v>
      </c>
      <c r="O665" s="325">
        <f t="shared" si="173"/>
        <v>0</v>
      </c>
      <c r="P665" s="325">
        <f t="shared" si="174"/>
        <v>0</v>
      </c>
      <c r="Q665" s="325">
        <f t="shared" si="175"/>
        <v>0</v>
      </c>
      <c r="R665" s="325">
        <f t="shared" si="176"/>
        <v>56</v>
      </c>
      <c r="S665" s="325">
        <f t="shared" si="177"/>
        <v>0</v>
      </c>
      <c r="T665" s="325">
        <f t="shared" si="180"/>
        <v>56</v>
      </c>
      <c r="U665" s="325">
        <f t="shared" si="178"/>
        <v>169</v>
      </c>
      <c r="V665" s="325">
        <f t="shared" si="179"/>
        <v>0</v>
      </c>
      <c r="W665" s="449" cm="1">
        <f t="array" ref="W665">+IF(U665&lt;0,error,0)</f>
        <v>0</v>
      </c>
    </row>
    <row r="666" spans="1:23" ht="18" customHeight="1" x14ac:dyDescent="0.2">
      <c r="A666" s="402" t="s">
        <v>1507</v>
      </c>
      <c r="B666" s="403"/>
      <c r="C666" s="404" t="s">
        <v>1508</v>
      </c>
      <c r="D666" s="405">
        <v>43009</v>
      </c>
      <c r="E666" s="406"/>
      <c r="F666" s="325"/>
      <c r="G666" s="324"/>
      <c r="H666" s="324">
        <v>3289.9900000000002</v>
      </c>
      <c r="I666" s="325">
        <v>487.99</v>
      </c>
      <c r="J666" s="325"/>
      <c r="K666" s="325">
        <f t="shared" si="171"/>
        <v>0</v>
      </c>
      <c r="L666" s="325">
        <f t="shared" si="172"/>
        <v>0</v>
      </c>
      <c r="M666" s="407">
        <v>50</v>
      </c>
      <c r="N666" s="408" t="s">
        <v>289</v>
      </c>
      <c r="O666" s="325">
        <f t="shared" si="173"/>
        <v>0</v>
      </c>
      <c r="P666" s="325">
        <f t="shared" si="174"/>
        <v>0</v>
      </c>
      <c r="Q666" s="325">
        <f t="shared" si="175"/>
        <v>0</v>
      </c>
      <c r="R666" s="325">
        <f t="shared" si="176"/>
        <v>121</v>
      </c>
      <c r="S666" s="325">
        <f t="shared" si="177"/>
        <v>0</v>
      </c>
      <c r="T666" s="325">
        <f t="shared" si="180"/>
        <v>121</v>
      </c>
      <c r="U666" s="325">
        <f t="shared" si="178"/>
        <v>366.99</v>
      </c>
      <c r="V666" s="325">
        <f t="shared" si="179"/>
        <v>0</v>
      </c>
      <c r="W666" s="449" cm="1">
        <f t="array" ref="W666">+IF(U666&lt;0,error,0)</f>
        <v>0</v>
      </c>
    </row>
    <row r="667" spans="1:23" ht="18" customHeight="1" x14ac:dyDescent="0.2">
      <c r="A667" s="402" t="s">
        <v>1509</v>
      </c>
      <c r="B667" s="403"/>
      <c r="C667" s="404" t="s">
        <v>1510</v>
      </c>
      <c r="D667" s="405">
        <v>43009</v>
      </c>
      <c r="E667" s="406"/>
      <c r="F667" s="325"/>
      <c r="G667" s="324"/>
      <c r="H667" s="324">
        <v>3445.1</v>
      </c>
      <c r="I667" s="325">
        <v>510.10000000000014</v>
      </c>
      <c r="J667" s="325"/>
      <c r="K667" s="325">
        <f t="shared" si="171"/>
        <v>0</v>
      </c>
      <c r="L667" s="325">
        <f t="shared" si="172"/>
        <v>0</v>
      </c>
      <c r="M667" s="407">
        <v>50</v>
      </c>
      <c r="N667" s="408" t="s">
        <v>289</v>
      </c>
      <c r="O667" s="325">
        <f t="shared" si="173"/>
        <v>0</v>
      </c>
      <c r="P667" s="325">
        <f t="shared" si="174"/>
        <v>0</v>
      </c>
      <c r="Q667" s="325">
        <f t="shared" si="175"/>
        <v>0</v>
      </c>
      <c r="R667" s="325">
        <f t="shared" si="176"/>
        <v>127</v>
      </c>
      <c r="S667" s="325">
        <f t="shared" si="177"/>
        <v>0</v>
      </c>
      <c r="T667" s="325">
        <f t="shared" si="180"/>
        <v>127</v>
      </c>
      <c r="U667" s="325">
        <f t="shared" si="178"/>
        <v>383.10000000000014</v>
      </c>
      <c r="V667" s="325">
        <f t="shared" si="179"/>
        <v>0</v>
      </c>
      <c r="W667" s="449" cm="1">
        <f t="array" ref="W667">+IF(U667&lt;0,error,0)</f>
        <v>0</v>
      </c>
    </row>
    <row r="668" spans="1:23" ht="18" customHeight="1" x14ac:dyDescent="0.2">
      <c r="A668" s="402" t="s">
        <v>1511</v>
      </c>
      <c r="B668" s="403"/>
      <c r="C668" s="404" t="s">
        <v>1512</v>
      </c>
      <c r="D668" s="405">
        <v>43009</v>
      </c>
      <c r="E668" s="406"/>
      <c r="F668" s="325"/>
      <c r="G668" s="324"/>
      <c r="H668" s="324">
        <v>1645</v>
      </c>
      <c r="I668" s="325">
        <v>244</v>
      </c>
      <c r="J668" s="325"/>
      <c r="K668" s="325">
        <f t="shared" si="171"/>
        <v>0</v>
      </c>
      <c r="L668" s="325">
        <f t="shared" si="172"/>
        <v>0</v>
      </c>
      <c r="M668" s="407">
        <v>50</v>
      </c>
      <c r="N668" s="408" t="s">
        <v>289</v>
      </c>
      <c r="O668" s="325">
        <f t="shared" si="173"/>
        <v>0</v>
      </c>
      <c r="P668" s="325">
        <f t="shared" si="174"/>
        <v>0</v>
      </c>
      <c r="Q668" s="325">
        <f t="shared" si="175"/>
        <v>0</v>
      </c>
      <c r="R668" s="325">
        <f t="shared" si="176"/>
        <v>61</v>
      </c>
      <c r="S668" s="325">
        <f t="shared" si="177"/>
        <v>0</v>
      </c>
      <c r="T668" s="325">
        <f t="shared" si="180"/>
        <v>61</v>
      </c>
      <c r="U668" s="325">
        <f t="shared" si="178"/>
        <v>183</v>
      </c>
      <c r="V668" s="325">
        <f t="shared" si="179"/>
        <v>0</v>
      </c>
      <c r="W668" s="449" cm="1">
        <f t="array" ref="W668">+IF(U668&lt;0,error,0)</f>
        <v>0</v>
      </c>
    </row>
    <row r="669" spans="1:23" ht="18" customHeight="1" x14ac:dyDescent="0.2">
      <c r="A669" s="402" t="s">
        <v>1513</v>
      </c>
      <c r="B669" s="403"/>
      <c r="C669" s="411" t="s">
        <v>1514</v>
      </c>
      <c r="D669" s="405">
        <v>43009</v>
      </c>
      <c r="E669" s="406"/>
      <c r="F669" s="325"/>
      <c r="G669" s="439"/>
      <c r="H669" s="324">
        <v>3358.6</v>
      </c>
      <c r="I669" s="325">
        <v>498.60000000000014</v>
      </c>
      <c r="J669" s="325"/>
      <c r="K669" s="325">
        <f t="shared" si="171"/>
        <v>0</v>
      </c>
      <c r="L669" s="325">
        <f t="shared" si="172"/>
        <v>0</v>
      </c>
      <c r="M669" s="407">
        <v>50</v>
      </c>
      <c r="N669" s="408" t="s">
        <v>289</v>
      </c>
      <c r="O669" s="325">
        <f t="shared" si="173"/>
        <v>0</v>
      </c>
      <c r="P669" s="325">
        <f t="shared" si="174"/>
        <v>0</v>
      </c>
      <c r="Q669" s="325">
        <f t="shared" si="175"/>
        <v>0</v>
      </c>
      <c r="R669" s="325">
        <f t="shared" si="176"/>
        <v>124</v>
      </c>
      <c r="S669" s="325">
        <f t="shared" si="177"/>
        <v>0</v>
      </c>
      <c r="T669" s="325">
        <f t="shared" si="180"/>
        <v>124</v>
      </c>
      <c r="U669" s="325">
        <f t="shared" si="178"/>
        <v>374.60000000000014</v>
      </c>
      <c r="V669" s="325">
        <f t="shared" si="179"/>
        <v>0</v>
      </c>
      <c r="W669" s="449" cm="1">
        <f t="array" ref="W669">+IF(U669&lt;0,error,0)</f>
        <v>0</v>
      </c>
    </row>
    <row r="670" spans="1:23" ht="18" customHeight="1" x14ac:dyDescent="0.2">
      <c r="A670" s="402" t="s">
        <v>1515</v>
      </c>
      <c r="B670" s="403"/>
      <c r="C670" s="404" t="s">
        <v>1516</v>
      </c>
      <c r="D670" s="405">
        <v>43046</v>
      </c>
      <c r="E670" s="406"/>
      <c r="F670" s="325"/>
      <c r="G670" s="324"/>
      <c r="H670" s="324">
        <v>47895</v>
      </c>
      <c r="I670" s="325">
        <v>7657</v>
      </c>
      <c r="J670" s="325"/>
      <c r="K670" s="325">
        <f t="shared" si="171"/>
        <v>0</v>
      </c>
      <c r="L670" s="325">
        <f t="shared" si="172"/>
        <v>0</v>
      </c>
      <c r="M670" s="407">
        <v>50</v>
      </c>
      <c r="N670" s="408" t="s">
        <v>289</v>
      </c>
      <c r="O670" s="325">
        <f t="shared" si="173"/>
        <v>0</v>
      </c>
      <c r="P670" s="325">
        <f t="shared" si="174"/>
        <v>0</v>
      </c>
      <c r="Q670" s="325">
        <f t="shared" si="175"/>
        <v>0</v>
      </c>
      <c r="R670" s="325">
        <f t="shared" si="176"/>
        <v>1914</v>
      </c>
      <c r="S670" s="325">
        <f t="shared" si="177"/>
        <v>0</v>
      </c>
      <c r="T670" s="325">
        <f t="shared" si="180"/>
        <v>1914</v>
      </c>
      <c r="U670" s="325">
        <f t="shared" si="178"/>
        <v>5743</v>
      </c>
      <c r="V670" s="325">
        <f t="shared" si="179"/>
        <v>0</v>
      </c>
      <c r="W670" s="449" cm="1">
        <f t="array" ref="W670">+IF(U670&lt;0,error,0)</f>
        <v>0</v>
      </c>
    </row>
    <row r="671" spans="1:23" ht="18" customHeight="1" x14ac:dyDescent="0.2">
      <c r="A671" s="402" t="s">
        <v>1517</v>
      </c>
      <c r="B671" s="403"/>
      <c r="C671" s="411" t="s">
        <v>1518</v>
      </c>
      <c r="D671" s="405">
        <v>43146</v>
      </c>
      <c r="E671" s="406"/>
      <c r="F671" s="325"/>
      <c r="G671" s="439"/>
      <c r="H671" s="324">
        <v>3274</v>
      </c>
      <c r="I671" s="325">
        <v>322</v>
      </c>
      <c r="J671" s="325"/>
      <c r="K671" s="325">
        <f t="shared" si="171"/>
        <v>0</v>
      </c>
      <c r="L671" s="325">
        <f t="shared" si="172"/>
        <v>0</v>
      </c>
      <c r="M671" s="407">
        <v>66.67</v>
      </c>
      <c r="N671" s="408" t="s">
        <v>289</v>
      </c>
      <c r="O671" s="325">
        <f t="shared" si="173"/>
        <v>0</v>
      </c>
      <c r="P671" s="325">
        <f t="shared" si="174"/>
        <v>0</v>
      </c>
      <c r="Q671" s="325">
        <f t="shared" si="175"/>
        <v>0</v>
      </c>
      <c r="R671" s="325">
        <f t="shared" si="176"/>
        <v>107</v>
      </c>
      <c r="S671" s="325">
        <f t="shared" si="177"/>
        <v>0</v>
      </c>
      <c r="T671" s="325">
        <f t="shared" si="180"/>
        <v>107</v>
      </c>
      <c r="U671" s="325">
        <f t="shared" si="178"/>
        <v>215</v>
      </c>
      <c r="V671" s="325">
        <f t="shared" si="179"/>
        <v>0</v>
      </c>
      <c r="W671" s="449" cm="1">
        <f t="array" ref="W671">+IF(U671&lt;0,error,0)</f>
        <v>0</v>
      </c>
    </row>
    <row r="672" spans="1:23" ht="18" customHeight="1" x14ac:dyDescent="0.2">
      <c r="A672" s="402" t="s">
        <v>1519</v>
      </c>
      <c r="B672" s="403"/>
      <c r="C672" s="404" t="s">
        <v>1520</v>
      </c>
      <c r="D672" s="405">
        <v>43149</v>
      </c>
      <c r="E672" s="406"/>
      <c r="F672" s="325"/>
      <c r="G672" s="324"/>
      <c r="H672" s="324">
        <v>17500</v>
      </c>
      <c r="I672" s="325">
        <v>3381</v>
      </c>
      <c r="J672" s="325"/>
      <c r="K672" s="325">
        <f t="shared" si="171"/>
        <v>0</v>
      </c>
      <c r="L672" s="325">
        <f t="shared" si="172"/>
        <v>0</v>
      </c>
      <c r="M672" s="407">
        <v>50</v>
      </c>
      <c r="N672" s="408" t="s">
        <v>289</v>
      </c>
      <c r="O672" s="325">
        <f t="shared" si="173"/>
        <v>0</v>
      </c>
      <c r="P672" s="325">
        <f t="shared" si="174"/>
        <v>0</v>
      </c>
      <c r="Q672" s="325">
        <f t="shared" si="175"/>
        <v>0</v>
      </c>
      <c r="R672" s="325">
        <f t="shared" si="176"/>
        <v>845</v>
      </c>
      <c r="S672" s="325">
        <f t="shared" si="177"/>
        <v>0</v>
      </c>
      <c r="T672" s="325">
        <f t="shared" si="180"/>
        <v>845</v>
      </c>
      <c r="U672" s="325">
        <f t="shared" si="178"/>
        <v>2536</v>
      </c>
      <c r="V672" s="325">
        <f t="shared" si="179"/>
        <v>0</v>
      </c>
      <c r="W672" s="449" cm="1">
        <f t="array" ref="W672">+IF(U672&lt;0,error,0)</f>
        <v>0</v>
      </c>
    </row>
    <row r="673" spans="1:23" ht="18" customHeight="1" x14ac:dyDescent="0.2">
      <c r="A673" s="402" t="s">
        <v>1521</v>
      </c>
      <c r="B673" s="403"/>
      <c r="C673" s="411" t="s">
        <v>1522</v>
      </c>
      <c r="D673" s="405">
        <v>43153</v>
      </c>
      <c r="E673" s="406"/>
      <c r="F673" s="325"/>
      <c r="G673" s="324"/>
      <c r="H673" s="324">
        <v>20154</v>
      </c>
      <c r="I673" s="325">
        <v>3920</v>
      </c>
      <c r="J673" s="325"/>
      <c r="K673" s="325">
        <f t="shared" si="171"/>
        <v>0</v>
      </c>
      <c r="L673" s="325">
        <f t="shared" si="172"/>
        <v>0</v>
      </c>
      <c r="M673" s="407">
        <v>50</v>
      </c>
      <c r="N673" s="408" t="s">
        <v>289</v>
      </c>
      <c r="O673" s="325">
        <f t="shared" si="173"/>
        <v>0</v>
      </c>
      <c r="P673" s="325">
        <f t="shared" si="174"/>
        <v>0</v>
      </c>
      <c r="Q673" s="325">
        <f t="shared" si="175"/>
        <v>0</v>
      </c>
      <c r="R673" s="325">
        <f t="shared" si="176"/>
        <v>980</v>
      </c>
      <c r="S673" s="325">
        <f t="shared" si="177"/>
        <v>0</v>
      </c>
      <c r="T673" s="325">
        <f t="shared" si="180"/>
        <v>980</v>
      </c>
      <c r="U673" s="325">
        <f t="shared" si="178"/>
        <v>2940</v>
      </c>
      <c r="V673" s="325">
        <f t="shared" si="179"/>
        <v>0</v>
      </c>
      <c r="W673" s="449" cm="1">
        <f t="array" ref="W673">+IF(U673&lt;0,error,0)</f>
        <v>0</v>
      </c>
    </row>
    <row r="674" spans="1:23" ht="18" customHeight="1" x14ac:dyDescent="0.2">
      <c r="A674" s="402" t="s">
        <v>1523</v>
      </c>
      <c r="B674" s="403"/>
      <c r="C674" s="404" t="s">
        <v>1524</v>
      </c>
      <c r="D674" s="405">
        <v>43157</v>
      </c>
      <c r="E674" s="406"/>
      <c r="F674" s="325"/>
      <c r="G674" s="324"/>
      <c r="H674" s="324">
        <v>27829</v>
      </c>
      <c r="I674" s="325">
        <v>2803</v>
      </c>
      <c r="J674" s="325"/>
      <c r="K674" s="325">
        <f t="shared" si="171"/>
        <v>0</v>
      </c>
      <c r="L674" s="325">
        <f t="shared" si="172"/>
        <v>0</v>
      </c>
      <c r="M674" s="407">
        <v>66.67</v>
      </c>
      <c r="N674" s="408" t="s">
        <v>289</v>
      </c>
      <c r="O674" s="325">
        <f t="shared" si="173"/>
        <v>0</v>
      </c>
      <c r="P674" s="325">
        <f t="shared" si="174"/>
        <v>0</v>
      </c>
      <c r="Q674" s="325">
        <f t="shared" si="175"/>
        <v>0</v>
      </c>
      <c r="R674" s="325">
        <f t="shared" si="176"/>
        <v>934</v>
      </c>
      <c r="S674" s="325">
        <f t="shared" si="177"/>
        <v>0</v>
      </c>
      <c r="T674" s="325">
        <f t="shared" si="180"/>
        <v>934</v>
      </c>
      <c r="U674" s="325">
        <f t="shared" si="178"/>
        <v>1869</v>
      </c>
      <c r="V674" s="325">
        <f t="shared" si="179"/>
        <v>0</v>
      </c>
      <c r="W674" s="449" cm="1">
        <f t="array" ref="W674">+IF(U674&lt;0,error,0)</f>
        <v>0</v>
      </c>
    </row>
    <row r="675" spans="1:23" ht="18" customHeight="1" x14ac:dyDescent="0.2">
      <c r="A675" s="402" t="s">
        <v>1525</v>
      </c>
      <c r="B675" s="403"/>
      <c r="C675" s="404" t="s">
        <v>1526</v>
      </c>
      <c r="D675" s="405">
        <v>43157</v>
      </c>
      <c r="E675" s="406"/>
      <c r="F675" s="325"/>
      <c r="G675" s="324"/>
      <c r="H675" s="324">
        <v>24750</v>
      </c>
      <c r="I675" s="325">
        <v>4846</v>
      </c>
      <c r="J675" s="325"/>
      <c r="K675" s="325">
        <f t="shared" si="171"/>
        <v>0</v>
      </c>
      <c r="L675" s="325">
        <f t="shared" si="172"/>
        <v>0</v>
      </c>
      <c r="M675" s="407">
        <v>50</v>
      </c>
      <c r="N675" s="408" t="s">
        <v>289</v>
      </c>
      <c r="O675" s="325">
        <f t="shared" si="173"/>
        <v>0</v>
      </c>
      <c r="P675" s="325">
        <f t="shared" si="174"/>
        <v>0</v>
      </c>
      <c r="Q675" s="325">
        <f t="shared" si="175"/>
        <v>0</v>
      </c>
      <c r="R675" s="325">
        <f t="shared" si="176"/>
        <v>1211</v>
      </c>
      <c r="S675" s="325">
        <f t="shared" si="177"/>
        <v>0</v>
      </c>
      <c r="T675" s="325">
        <f t="shared" si="180"/>
        <v>1211</v>
      </c>
      <c r="U675" s="325">
        <f t="shared" si="178"/>
        <v>3635</v>
      </c>
      <c r="V675" s="325">
        <f t="shared" si="179"/>
        <v>0</v>
      </c>
      <c r="W675" s="449" cm="1">
        <f t="array" ref="W675">+IF(U675&lt;0,error,0)</f>
        <v>0</v>
      </c>
    </row>
    <row r="676" spans="1:23" ht="18" customHeight="1" x14ac:dyDescent="0.2">
      <c r="A676" s="402" t="s">
        <v>1527</v>
      </c>
      <c r="B676" s="403"/>
      <c r="C676" s="404" t="s">
        <v>1528</v>
      </c>
      <c r="D676" s="405">
        <v>43167</v>
      </c>
      <c r="E676" s="406"/>
      <c r="F676" s="325"/>
      <c r="G676" s="324"/>
      <c r="H676" s="324">
        <v>4576.83</v>
      </c>
      <c r="I676" s="325">
        <v>912.82999999999993</v>
      </c>
      <c r="J676" s="325"/>
      <c r="K676" s="325">
        <f t="shared" si="171"/>
        <v>0</v>
      </c>
      <c r="L676" s="325">
        <f t="shared" si="172"/>
        <v>0</v>
      </c>
      <c r="M676" s="407">
        <v>50</v>
      </c>
      <c r="N676" s="408" t="s">
        <v>289</v>
      </c>
      <c r="O676" s="325">
        <f t="shared" si="173"/>
        <v>0</v>
      </c>
      <c r="P676" s="325">
        <f t="shared" si="174"/>
        <v>0</v>
      </c>
      <c r="Q676" s="325">
        <f t="shared" si="175"/>
        <v>0</v>
      </c>
      <c r="R676" s="325">
        <f t="shared" si="176"/>
        <v>228</v>
      </c>
      <c r="S676" s="325">
        <f t="shared" si="177"/>
        <v>0</v>
      </c>
      <c r="T676" s="325">
        <f t="shared" si="180"/>
        <v>228</v>
      </c>
      <c r="U676" s="325">
        <f t="shared" si="178"/>
        <v>684.82999999999993</v>
      </c>
      <c r="V676" s="325">
        <f t="shared" si="179"/>
        <v>0</v>
      </c>
      <c r="W676" s="449" cm="1">
        <f t="array" ref="W676">+IF(U676&lt;0,error,0)</f>
        <v>0</v>
      </c>
    </row>
    <row r="677" spans="1:23" ht="18" customHeight="1" x14ac:dyDescent="0.2">
      <c r="A677" s="402" t="s">
        <v>1529</v>
      </c>
      <c r="B677" s="403"/>
      <c r="C677" s="411" t="s">
        <v>1530</v>
      </c>
      <c r="D677" s="405">
        <v>43167</v>
      </c>
      <c r="E677" s="406"/>
      <c r="F677" s="325"/>
      <c r="G677" s="439"/>
      <c r="H677" s="324">
        <v>3292.12</v>
      </c>
      <c r="I677" s="325">
        <v>656.11999999999989</v>
      </c>
      <c r="J677" s="325"/>
      <c r="K677" s="325">
        <f t="shared" si="171"/>
        <v>0</v>
      </c>
      <c r="L677" s="325">
        <f t="shared" si="172"/>
        <v>0</v>
      </c>
      <c r="M677" s="407">
        <v>50</v>
      </c>
      <c r="N677" s="408" t="s">
        <v>289</v>
      </c>
      <c r="O677" s="325">
        <f t="shared" si="173"/>
        <v>0</v>
      </c>
      <c r="P677" s="325">
        <f t="shared" si="174"/>
        <v>0</v>
      </c>
      <c r="Q677" s="325">
        <f t="shared" si="175"/>
        <v>0</v>
      </c>
      <c r="R677" s="325">
        <f t="shared" si="176"/>
        <v>164</v>
      </c>
      <c r="S677" s="325">
        <f t="shared" si="177"/>
        <v>0</v>
      </c>
      <c r="T677" s="325">
        <f t="shared" si="180"/>
        <v>164</v>
      </c>
      <c r="U677" s="325">
        <f t="shared" si="178"/>
        <v>492.11999999999989</v>
      </c>
      <c r="V677" s="325">
        <f t="shared" si="179"/>
        <v>0</v>
      </c>
      <c r="W677" s="449" cm="1">
        <f t="array" ref="W677">+IF(U677&lt;0,error,0)</f>
        <v>0</v>
      </c>
    </row>
    <row r="678" spans="1:23" ht="18" customHeight="1" x14ac:dyDescent="0.2">
      <c r="A678" s="402" t="s">
        <v>1531</v>
      </c>
      <c r="B678" s="403"/>
      <c r="C678" s="404" t="s">
        <v>1532</v>
      </c>
      <c r="D678" s="405">
        <v>43167</v>
      </c>
      <c r="E678" s="406"/>
      <c r="F678" s="325"/>
      <c r="G678" s="324"/>
      <c r="H678" s="324">
        <v>10679.26</v>
      </c>
      <c r="I678" s="325">
        <v>2126.2600000000002</v>
      </c>
      <c r="J678" s="325"/>
      <c r="K678" s="325">
        <f t="shared" si="171"/>
        <v>0</v>
      </c>
      <c r="L678" s="325">
        <f t="shared" si="172"/>
        <v>0</v>
      </c>
      <c r="M678" s="407">
        <v>50</v>
      </c>
      <c r="N678" s="408" t="s">
        <v>289</v>
      </c>
      <c r="O678" s="325">
        <f t="shared" si="173"/>
        <v>0</v>
      </c>
      <c r="P678" s="325">
        <f t="shared" si="174"/>
        <v>0</v>
      </c>
      <c r="Q678" s="325">
        <f t="shared" si="175"/>
        <v>0</v>
      </c>
      <c r="R678" s="325">
        <f t="shared" si="176"/>
        <v>531</v>
      </c>
      <c r="S678" s="325">
        <f t="shared" si="177"/>
        <v>0</v>
      </c>
      <c r="T678" s="325">
        <f t="shared" si="180"/>
        <v>531</v>
      </c>
      <c r="U678" s="325">
        <f t="shared" si="178"/>
        <v>1595.2600000000002</v>
      </c>
      <c r="V678" s="325">
        <f t="shared" si="179"/>
        <v>0</v>
      </c>
      <c r="W678" s="449" cm="1">
        <f t="array" ref="W678">+IF(U678&lt;0,error,0)</f>
        <v>0</v>
      </c>
    </row>
    <row r="679" spans="1:23" ht="18" customHeight="1" x14ac:dyDescent="0.2">
      <c r="A679" s="402" t="s">
        <v>1533</v>
      </c>
      <c r="B679" s="403"/>
      <c r="C679" s="411" t="s">
        <v>1534</v>
      </c>
      <c r="D679" s="405">
        <v>43185</v>
      </c>
      <c r="E679" s="406"/>
      <c r="F679" s="325"/>
      <c r="G679" s="324"/>
      <c r="H679" s="324">
        <v>6040</v>
      </c>
      <c r="I679" s="325">
        <v>1238</v>
      </c>
      <c r="J679" s="325"/>
      <c r="K679" s="325">
        <f t="shared" si="171"/>
        <v>0</v>
      </c>
      <c r="L679" s="325">
        <f t="shared" si="172"/>
        <v>0</v>
      </c>
      <c r="M679" s="407">
        <v>50</v>
      </c>
      <c r="N679" s="408" t="s">
        <v>289</v>
      </c>
      <c r="O679" s="325">
        <f t="shared" si="173"/>
        <v>0</v>
      </c>
      <c r="P679" s="325">
        <f t="shared" si="174"/>
        <v>0</v>
      </c>
      <c r="Q679" s="325">
        <f t="shared" si="175"/>
        <v>0</v>
      </c>
      <c r="R679" s="325">
        <f t="shared" si="176"/>
        <v>309</v>
      </c>
      <c r="S679" s="325">
        <f t="shared" si="177"/>
        <v>0</v>
      </c>
      <c r="T679" s="325">
        <f t="shared" si="180"/>
        <v>309</v>
      </c>
      <c r="U679" s="325">
        <f t="shared" si="178"/>
        <v>929</v>
      </c>
      <c r="V679" s="325">
        <f t="shared" si="179"/>
        <v>0</v>
      </c>
      <c r="W679" s="449" cm="1">
        <f t="array" ref="W679">+IF(U679&lt;0,error,0)</f>
        <v>0</v>
      </c>
    </row>
    <row r="680" spans="1:23" ht="18" customHeight="1" x14ac:dyDescent="0.2">
      <c r="A680" s="402" t="s">
        <v>1535</v>
      </c>
      <c r="B680" s="403"/>
      <c r="C680" s="404" t="s">
        <v>1536</v>
      </c>
      <c r="D680" s="405">
        <v>43187</v>
      </c>
      <c r="E680" s="406"/>
      <c r="F680" s="325"/>
      <c r="G680" s="324"/>
      <c r="H680" s="324">
        <v>7671</v>
      </c>
      <c r="I680" s="325">
        <v>1577</v>
      </c>
      <c r="J680" s="325"/>
      <c r="K680" s="325">
        <f t="shared" si="171"/>
        <v>0</v>
      </c>
      <c r="L680" s="325">
        <f t="shared" si="172"/>
        <v>0</v>
      </c>
      <c r="M680" s="407">
        <v>50</v>
      </c>
      <c r="N680" s="408" t="s">
        <v>289</v>
      </c>
      <c r="O680" s="325">
        <f t="shared" si="173"/>
        <v>0</v>
      </c>
      <c r="P680" s="325">
        <f t="shared" si="174"/>
        <v>0</v>
      </c>
      <c r="Q680" s="325">
        <f t="shared" si="175"/>
        <v>0</v>
      </c>
      <c r="R680" s="325">
        <f t="shared" si="176"/>
        <v>394</v>
      </c>
      <c r="S680" s="325">
        <f t="shared" si="177"/>
        <v>0</v>
      </c>
      <c r="T680" s="325">
        <f t="shared" si="180"/>
        <v>394</v>
      </c>
      <c r="U680" s="325">
        <f t="shared" si="178"/>
        <v>1183</v>
      </c>
      <c r="V680" s="325">
        <f t="shared" si="179"/>
        <v>0</v>
      </c>
      <c r="W680" s="449" cm="1">
        <f t="array" ref="W680">+IF(U680&lt;0,error,0)</f>
        <v>0</v>
      </c>
    </row>
    <row r="681" spans="1:23" ht="18" customHeight="1" x14ac:dyDescent="0.2">
      <c r="A681" s="402" t="s">
        <v>1537</v>
      </c>
      <c r="B681" s="403"/>
      <c r="C681" s="404" t="s">
        <v>1538</v>
      </c>
      <c r="D681" s="405">
        <v>43191</v>
      </c>
      <c r="E681" s="406"/>
      <c r="F681" s="325"/>
      <c r="G681" s="324"/>
      <c r="H681" s="324">
        <v>11149</v>
      </c>
      <c r="I681" s="325">
        <v>2307</v>
      </c>
      <c r="J681" s="325"/>
      <c r="K681" s="325">
        <f t="shared" si="171"/>
        <v>0</v>
      </c>
      <c r="L681" s="325">
        <f t="shared" si="172"/>
        <v>0</v>
      </c>
      <c r="M681" s="407">
        <v>50</v>
      </c>
      <c r="N681" s="408" t="s">
        <v>289</v>
      </c>
      <c r="O681" s="325">
        <f t="shared" si="173"/>
        <v>0</v>
      </c>
      <c r="P681" s="325">
        <f t="shared" si="174"/>
        <v>0</v>
      </c>
      <c r="Q681" s="325">
        <f t="shared" si="175"/>
        <v>0</v>
      </c>
      <c r="R681" s="325">
        <f t="shared" si="176"/>
        <v>576</v>
      </c>
      <c r="S681" s="325">
        <f t="shared" si="177"/>
        <v>0</v>
      </c>
      <c r="T681" s="325">
        <f t="shared" si="180"/>
        <v>576</v>
      </c>
      <c r="U681" s="325">
        <f t="shared" si="178"/>
        <v>1731</v>
      </c>
      <c r="V681" s="325">
        <f t="shared" si="179"/>
        <v>0</v>
      </c>
      <c r="W681" s="449" cm="1">
        <f t="array" ref="W681">+IF(U681&lt;0,error,0)</f>
        <v>0</v>
      </c>
    </row>
    <row r="682" spans="1:23" ht="18" customHeight="1" x14ac:dyDescent="0.2">
      <c r="A682" s="402" t="s">
        <v>1539</v>
      </c>
      <c r="B682" s="403"/>
      <c r="C682" s="411" t="s">
        <v>1540</v>
      </c>
      <c r="D682" s="405">
        <v>43191</v>
      </c>
      <c r="E682" s="406"/>
      <c r="F682" s="325"/>
      <c r="G682" s="324"/>
      <c r="H682" s="324">
        <v>62256</v>
      </c>
      <c r="I682" s="325">
        <v>12873</v>
      </c>
      <c r="J682" s="325"/>
      <c r="K682" s="325">
        <f t="shared" si="171"/>
        <v>0</v>
      </c>
      <c r="L682" s="325">
        <f t="shared" si="172"/>
        <v>0</v>
      </c>
      <c r="M682" s="407">
        <v>50</v>
      </c>
      <c r="N682" s="408" t="s">
        <v>289</v>
      </c>
      <c r="O682" s="325">
        <f t="shared" si="173"/>
        <v>0</v>
      </c>
      <c r="P682" s="325">
        <f t="shared" si="174"/>
        <v>0</v>
      </c>
      <c r="Q682" s="325">
        <f t="shared" si="175"/>
        <v>0</v>
      </c>
      <c r="R682" s="325">
        <f t="shared" si="176"/>
        <v>3218</v>
      </c>
      <c r="S682" s="325">
        <f t="shared" si="177"/>
        <v>0</v>
      </c>
      <c r="T682" s="325">
        <f t="shared" si="180"/>
        <v>3218</v>
      </c>
      <c r="U682" s="325">
        <f t="shared" si="178"/>
        <v>9655</v>
      </c>
      <c r="V682" s="325">
        <f t="shared" si="179"/>
        <v>0</v>
      </c>
      <c r="W682" s="449" cm="1">
        <f t="array" ref="W682">+IF(U682&lt;0,error,0)</f>
        <v>0</v>
      </c>
    </row>
    <row r="683" spans="1:23" ht="18" customHeight="1" x14ac:dyDescent="0.2">
      <c r="A683" s="402" t="s">
        <v>1541</v>
      </c>
      <c r="B683" s="403"/>
      <c r="C683" s="404" t="s">
        <v>1542</v>
      </c>
      <c r="D683" s="405">
        <v>43191</v>
      </c>
      <c r="E683" s="406"/>
      <c r="F683" s="325"/>
      <c r="G683" s="324"/>
      <c r="H683" s="324">
        <v>3087</v>
      </c>
      <c r="I683" s="325">
        <v>639</v>
      </c>
      <c r="J683" s="325"/>
      <c r="K683" s="325">
        <f t="shared" ref="K683:K700" si="181">INT(IF($E683&gt;0,IF(+F683-I683+Q683&lt;0,0,+F683-I683+Q683),0))</f>
        <v>0</v>
      </c>
      <c r="L683" s="325">
        <f t="shared" ref="L683:L700" si="182">INT(IF($E683&gt;0,IF(K683=0,-F683+I683-Q683,0),0))</f>
        <v>0</v>
      </c>
      <c r="M683" s="407">
        <v>50</v>
      </c>
      <c r="N683" s="408" t="s">
        <v>289</v>
      </c>
      <c r="O683" s="325">
        <f t="shared" ref="O683:O700" si="183">IF(E683&gt;0,INT(IF($N683="D",IF($D683&lt;$H$3,$I683*($M683/100)*((E683-$H$3)/365),$J683*($M683/100)*($J$3-$D683)/365),0)),0)</f>
        <v>0</v>
      </c>
      <c r="P683" s="325">
        <f t="shared" ref="P683:P700" si="184">IF(E683&gt;0,INT(IF($N683="P",IF($D683&lt;$H$3,$H683*($M683/100)*(E683-$H$3)/365,$J683*($M683/100)*($J$3-$D683)/365),0)),0)</f>
        <v>0</v>
      </c>
      <c r="Q683" s="325">
        <f t="shared" ref="Q683:Q700" si="185">+O683+P683</f>
        <v>0</v>
      </c>
      <c r="R683" s="325">
        <f t="shared" ref="R683:R722" si="186">INT(IF($E683&gt;0,0,(IF($N683="D",IF($D683&lt;$H$3,$I683*($M683/100)*$U$3/12,$J683*($M683/100)*($J$3-$D683)/365),0))))</f>
        <v>159</v>
      </c>
      <c r="S683" s="325">
        <f t="shared" ref="S683:S722" si="187">INT(IF($E683&gt;0,0,(IF($N683="P",IF($D683&lt;$H$3,$H683*($M683/100)*$U$3/12,$J683*($M683/100)*($J$3-$D683)/365),0))))</f>
        <v>0</v>
      </c>
      <c r="T683" s="325">
        <f t="shared" si="180"/>
        <v>159</v>
      </c>
      <c r="U683" s="325">
        <f t="shared" ref="U683:U700" si="188">+I683+J683-T683-F683+K683-L683</f>
        <v>480</v>
      </c>
      <c r="V683" s="325">
        <f t="shared" ref="V683:V721" si="189">IF(E683&gt;0,+H683+J683,0)</f>
        <v>0</v>
      </c>
      <c r="W683" s="449" cm="1">
        <f t="array" ref="W683">+IF(U683&lt;0,error,0)</f>
        <v>0</v>
      </c>
    </row>
    <row r="684" spans="1:23" ht="18" customHeight="1" x14ac:dyDescent="0.2">
      <c r="A684" s="402" t="s">
        <v>1543</v>
      </c>
      <c r="B684" s="403"/>
      <c r="C684" s="404" t="s">
        <v>1544</v>
      </c>
      <c r="D684" s="405">
        <v>43191</v>
      </c>
      <c r="E684" s="406"/>
      <c r="F684" s="325"/>
      <c r="G684" s="324"/>
      <c r="H684" s="324">
        <v>9874.76</v>
      </c>
      <c r="I684" s="325">
        <v>2043.7600000000002</v>
      </c>
      <c r="J684" s="325"/>
      <c r="K684" s="325">
        <f t="shared" si="181"/>
        <v>0</v>
      </c>
      <c r="L684" s="325">
        <f t="shared" si="182"/>
        <v>0</v>
      </c>
      <c r="M684" s="407">
        <v>50</v>
      </c>
      <c r="N684" s="408" t="s">
        <v>289</v>
      </c>
      <c r="O684" s="325">
        <f t="shared" si="183"/>
        <v>0</v>
      </c>
      <c r="P684" s="325">
        <f t="shared" si="184"/>
        <v>0</v>
      </c>
      <c r="Q684" s="325">
        <f t="shared" si="185"/>
        <v>0</v>
      </c>
      <c r="R684" s="325">
        <f t="shared" si="186"/>
        <v>510</v>
      </c>
      <c r="S684" s="325">
        <f t="shared" si="187"/>
        <v>0</v>
      </c>
      <c r="T684" s="325">
        <f t="shared" si="180"/>
        <v>510</v>
      </c>
      <c r="U684" s="325">
        <f t="shared" si="188"/>
        <v>1533.7600000000002</v>
      </c>
      <c r="V684" s="325">
        <f t="shared" si="189"/>
        <v>0</v>
      </c>
      <c r="W684" s="449" cm="1">
        <f t="array" ref="W684">+IF(U684&lt;0,error,0)</f>
        <v>0</v>
      </c>
    </row>
    <row r="685" spans="1:23" ht="18" customHeight="1" x14ac:dyDescent="0.2">
      <c r="A685" s="402" t="s">
        <v>1545</v>
      </c>
      <c r="B685" s="403"/>
      <c r="C685" s="404" t="s">
        <v>1546</v>
      </c>
      <c r="D685" s="405">
        <v>43191</v>
      </c>
      <c r="E685" s="406"/>
      <c r="F685" s="325"/>
      <c r="G685" s="324"/>
      <c r="H685" s="324">
        <v>15751.44</v>
      </c>
      <c r="I685" s="325">
        <v>3258.4400000000005</v>
      </c>
      <c r="J685" s="325"/>
      <c r="K685" s="325">
        <f t="shared" si="181"/>
        <v>0</v>
      </c>
      <c r="L685" s="325">
        <f t="shared" si="182"/>
        <v>0</v>
      </c>
      <c r="M685" s="407">
        <v>50</v>
      </c>
      <c r="N685" s="408" t="s">
        <v>289</v>
      </c>
      <c r="O685" s="325">
        <f t="shared" si="183"/>
        <v>0</v>
      </c>
      <c r="P685" s="325">
        <f t="shared" si="184"/>
        <v>0</v>
      </c>
      <c r="Q685" s="325">
        <f t="shared" si="185"/>
        <v>0</v>
      </c>
      <c r="R685" s="325">
        <f t="shared" si="186"/>
        <v>814</v>
      </c>
      <c r="S685" s="325">
        <f t="shared" si="187"/>
        <v>0</v>
      </c>
      <c r="T685" s="325">
        <f t="shared" si="180"/>
        <v>814</v>
      </c>
      <c r="U685" s="325">
        <f t="shared" si="188"/>
        <v>2444.4400000000005</v>
      </c>
      <c r="V685" s="325">
        <f t="shared" si="189"/>
        <v>0</v>
      </c>
      <c r="W685" s="449" cm="1">
        <f t="array" ref="W685">+IF(U685&lt;0,error,0)</f>
        <v>0</v>
      </c>
    </row>
    <row r="686" spans="1:23" ht="18" customHeight="1" x14ac:dyDescent="0.2">
      <c r="A686" s="402" t="s">
        <v>1547</v>
      </c>
      <c r="B686" s="403"/>
      <c r="C686" s="404" t="s">
        <v>1548</v>
      </c>
      <c r="D686" s="405">
        <v>43191</v>
      </c>
      <c r="E686" s="406"/>
      <c r="F686" s="325"/>
      <c r="G686" s="324"/>
      <c r="H686" s="324">
        <v>8228.9699999999993</v>
      </c>
      <c r="I686" s="325">
        <v>1701.9700000000003</v>
      </c>
      <c r="J686" s="325"/>
      <c r="K686" s="325">
        <f t="shared" si="181"/>
        <v>0</v>
      </c>
      <c r="L686" s="325">
        <f t="shared" si="182"/>
        <v>0</v>
      </c>
      <c r="M686" s="407">
        <v>50</v>
      </c>
      <c r="N686" s="408" t="s">
        <v>289</v>
      </c>
      <c r="O686" s="325">
        <f t="shared" si="183"/>
        <v>0</v>
      </c>
      <c r="P686" s="325">
        <f t="shared" si="184"/>
        <v>0</v>
      </c>
      <c r="Q686" s="325">
        <f t="shared" si="185"/>
        <v>0</v>
      </c>
      <c r="R686" s="325">
        <f t="shared" si="186"/>
        <v>425</v>
      </c>
      <c r="S686" s="325">
        <f t="shared" si="187"/>
        <v>0</v>
      </c>
      <c r="T686" s="325">
        <f t="shared" si="180"/>
        <v>425</v>
      </c>
      <c r="U686" s="325">
        <f t="shared" si="188"/>
        <v>1276.9700000000003</v>
      </c>
      <c r="V686" s="325">
        <f t="shared" si="189"/>
        <v>0</v>
      </c>
      <c r="W686" s="449" cm="1">
        <f t="array" ref="W686">+IF(U686&lt;0,error,0)</f>
        <v>0</v>
      </c>
    </row>
    <row r="687" spans="1:23" ht="18" customHeight="1" x14ac:dyDescent="0.2">
      <c r="A687" s="402" t="s">
        <v>1549</v>
      </c>
      <c r="B687" s="403"/>
      <c r="C687" s="404" t="s">
        <v>1550</v>
      </c>
      <c r="D687" s="405">
        <v>43206</v>
      </c>
      <c r="E687" s="406"/>
      <c r="F687" s="325"/>
      <c r="G687" s="324"/>
      <c r="H687" s="324">
        <v>3432.88</v>
      </c>
      <c r="I687" s="325">
        <v>727.88000000000011</v>
      </c>
      <c r="J687" s="325"/>
      <c r="K687" s="325">
        <f t="shared" si="181"/>
        <v>0</v>
      </c>
      <c r="L687" s="325">
        <f t="shared" si="182"/>
        <v>0</v>
      </c>
      <c r="M687" s="407">
        <v>50</v>
      </c>
      <c r="N687" s="408" t="s">
        <v>289</v>
      </c>
      <c r="O687" s="325">
        <f t="shared" si="183"/>
        <v>0</v>
      </c>
      <c r="P687" s="325">
        <f t="shared" si="184"/>
        <v>0</v>
      </c>
      <c r="Q687" s="325">
        <f t="shared" si="185"/>
        <v>0</v>
      </c>
      <c r="R687" s="325">
        <f t="shared" si="186"/>
        <v>181</v>
      </c>
      <c r="S687" s="325">
        <f t="shared" si="187"/>
        <v>0</v>
      </c>
      <c r="T687" s="325">
        <f t="shared" si="180"/>
        <v>181</v>
      </c>
      <c r="U687" s="325">
        <f t="shared" si="188"/>
        <v>546.88000000000011</v>
      </c>
      <c r="V687" s="325">
        <f t="shared" si="189"/>
        <v>0</v>
      </c>
      <c r="W687" s="449" cm="1">
        <f t="array" ref="W687">+IF(U687&lt;0,error,0)</f>
        <v>0</v>
      </c>
    </row>
    <row r="688" spans="1:23" ht="18" customHeight="1" x14ac:dyDescent="0.2">
      <c r="A688" s="402" t="s">
        <v>1551</v>
      </c>
      <c r="B688" s="403"/>
      <c r="C688" s="404" t="s">
        <v>1518</v>
      </c>
      <c r="D688" s="405">
        <v>43213</v>
      </c>
      <c r="E688" s="406"/>
      <c r="F688" s="325"/>
      <c r="G688" s="324"/>
      <c r="H688" s="324">
        <v>3148</v>
      </c>
      <c r="I688" s="325">
        <v>360</v>
      </c>
      <c r="J688" s="325"/>
      <c r="K688" s="325">
        <f t="shared" si="181"/>
        <v>0</v>
      </c>
      <c r="L688" s="325">
        <f t="shared" si="182"/>
        <v>0</v>
      </c>
      <c r="M688" s="407">
        <v>66.67</v>
      </c>
      <c r="N688" s="408" t="s">
        <v>289</v>
      </c>
      <c r="O688" s="325">
        <f t="shared" si="183"/>
        <v>0</v>
      </c>
      <c r="P688" s="325">
        <f t="shared" si="184"/>
        <v>0</v>
      </c>
      <c r="Q688" s="325">
        <f t="shared" si="185"/>
        <v>0</v>
      </c>
      <c r="R688" s="325">
        <f t="shared" si="186"/>
        <v>120</v>
      </c>
      <c r="S688" s="325">
        <f t="shared" si="187"/>
        <v>0</v>
      </c>
      <c r="T688" s="325">
        <f t="shared" si="180"/>
        <v>120</v>
      </c>
      <c r="U688" s="325">
        <f t="shared" si="188"/>
        <v>240</v>
      </c>
      <c r="V688" s="325">
        <f t="shared" si="189"/>
        <v>0</v>
      </c>
      <c r="W688" s="449" cm="1">
        <f t="array" ref="W688">+IF(U688&lt;0,error,0)</f>
        <v>0</v>
      </c>
    </row>
    <row r="689" spans="1:23" ht="18" customHeight="1" x14ac:dyDescent="0.2">
      <c r="A689" s="402" t="s">
        <v>1552</v>
      </c>
      <c r="B689" s="403"/>
      <c r="C689" s="404" t="s">
        <v>1553</v>
      </c>
      <c r="D689" s="405">
        <v>43214</v>
      </c>
      <c r="E689" s="406"/>
      <c r="F689" s="325"/>
      <c r="G689" s="324"/>
      <c r="H689" s="324">
        <v>1782.27</v>
      </c>
      <c r="I689" s="325">
        <v>383.27</v>
      </c>
      <c r="J689" s="325"/>
      <c r="K689" s="325">
        <f t="shared" si="181"/>
        <v>0</v>
      </c>
      <c r="L689" s="325">
        <f t="shared" si="182"/>
        <v>0</v>
      </c>
      <c r="M689" s="407">
        <v>50</v>
      </c>
      <c r="N689" s="408" t="s">
        <v>289</v>
      </c>
      <c r="O689" s="325">
        <f t="shared" si="183"/>
        <v>0</v>
      </c>
      <c r="P689" s="325">
        <f t="shared" si="184"/>
        <v>0</v>
      </c>
      <c r="Q689" s="325">
        <f t="shared" si="185"/>
        <v>0</v>
      </c>
      <c r="R689" s="325">
        <f t="shared" si="186"/>
        <v>95</v>
      </c>
      <c r="S689" s="325">
        <f t="shared" si="187"/>
        <v>0</v>
      </c>
      <c r="T689" s="325">
        <f t="shared" si="180"/>
        <v>95</v>
      </c>
      <c r="U689" s="325">
        <f t="shared" si="188"/>
        <v>288.27</v>
      </c>
      <c r="V689" s="325">
        <f t="shared" si="189"/>
        <v>0</v>
      </c>
      <c r="W689" s="449" cm="1">
        <f t="array" ref="W689">+IF(U689&lt;0,error,0)</f>
        <v>0</v>
      </c>
    </row>
    <row r="690" spans="1:23" ht="18" customHeight="1" x14ac:dyDescent="0.2">
      <c r="A690" s="402" t="s">
        <v>1554</v>
      </c>
      <c r="B690" s="403"/>
      <c r="C690" s="404" t="s">
        <v>1555</v>
      </c>
      <c r="D690" s="405">
        <v>43227</v>
      </c>
      <c r="E690" s="406"/>
      <c r="F690" s="325"/>
      <c r="G690" s="324"/>
      <c r="H690" s="324">
        <v>3220.94</v>
      </c>
      <c r="I690" s="325">
        <v>705.94</v>
      </c>
      <c r="J690" s="325"/>
      <c r="K690" s="325">
        <f t="shared" si="181"/>
        <v>0</v>
      </c>
      <c r="L690" s="325">
        <f t="shared" si="182"/>
        <v>0</v>
      </c>
      <c r="M690" s="407">
        <v>50</v>
      </c>
      <c r="N690" s="408" t="s">
        <v>289</v>
      </c>
      <c r="O690" s="325">
        <f t="shared" si="183"/>
        <v>0</v>
      </c>
      <c r="P690" s="325">
        <f t="shared" si="184"/>
        <v>0</v>
      </c>
      <c r="Q690" s="325">
        <f t="shared" si="185"/>
        <v>0</v>
      </c>
      <c r="R690" s="325">
        <f t="shared" si="186"/>
        <v>176</v>
      </c>
      <c r="S690" s="325">
        <f t="shared" si="187"/>
        <v>0</v>
      </c>
      <c r="T690" s="325">
        <f t="shared" si="180"/>
        <v>176</v>
      </c>
      <c r="U690" s="325">
        <f t="shared" si="188"/>
        <v>529.94000000000005</v>
      </c>
      <c r="V690" s="325">
        <f t="shared" si="189"/>
        <v>0</v>
      </c>
      <c r="W690" s="449" cm="1">
        <f t="array" ref="W690">+IF(U690&lt;0,error,0)</f>
        <v>0</v>
      </c>
    </row>
    <row r="691" spans="1:23" ht="18" customHeight="1" x14ac:dyDescent="0.2">
      <c r="A691" s="402" t="s">
        <v>1556</v>
      </c>
      <c r="B691" s="403"/>
      <c r="C691" s="404" t="s">
        <v>1557</v>
      </c>
      <c r="D691" s="405">
        <v>43227</v>
      </c>
      <c r="E691" s="406"/>
      <c r="F691" s="325"/>
      <c r="G691" s="324"/>
      <c r="H691" s="324">
        <v>1670</v>
      </c>
      <c r="I691" s="325">
        <v>366</v>
      </c>
      <c r="J691" s="325"/>
      <c r="K691" s="325">
        <f t="shared" si="181"/>
        <v>0</v>
      </c>
      <c r="L691" s="325">
        <f t="shared" si="182"/>
        <v>0</v>
      </c>
      <c r="M691" s="407">
        <v>50</v>
      </c>
      <c r="N691" s="408" t="s">
        <v>289</v>
      </c>
      <c r="O691" s="325">
        <f t="shared" si="183"/>
        <v>0</v>
      </c>
      <c r="P691" s="325">
        <f t="shared" si="184"/>
        <v>0</v>
      </c>
      <c r="Q691" s="325">
        <f t="shared" si="185"/>
        <v>0</v>
      </c>
      <c r="R691" s="325">
        <f t="shared" si="186"/>
        <v>91</v>
      </c>
      <c r="S691" s="325">
        <f t="shared" si="187"/>
        <v>0</v>
      </c>
      <c r="T691" s="325">
        <f t="shared" si="180"/>
        <v>91</v>
      </c>
      <c r="U691" s="325">
        <f t="shared" si="188"/>
        <v>275</v>
      </c>
      <c r="V691" s="325">
        <f t="shared" si="189"/>
        <v>0</v>
      </c>
      <c r="W691" s="449" cm="1">
        <f t="array" ref="W691">+IF(U691&lt;0,error,0)</f>
        <v>0</v>
      </c>
    </row>
    <row r="692" spans="1:23" ht="18" customHeight="1" x14ac:dyDescent="0.2">
      <c r="A692" s="402" t="s">
        <v>1558</v>
      </c>
      <c r="B692" s="403"/>
      <c r="C692" s="404" t="s">
        <v>1559</v>
      </c>
      <c r="D692" s="405">
        <v>43264</v>
      </c>
      <c r="E692" s="406"/>
      <c r="F692" s="325"/>
      <c r="G692" s="324"/>
      <c r="H692" s="324">
        <v>6936.3600000000006</v>
      </c>
      <c r="I692" s="325">
        <v>1599.3599999999997</v>
      </c>
      <c r="J692" s="325"/>
      <c r="K692" s="325">
        <f t="shared" si="181"/>
        <v>0</v>
      </c>
      <c r="L692" s="325">
        <f t="shared" si="182"/>
        <v>0</v>
      </c>
      <c r="M692" s="407">
        <v>50</v>
      </c>
      <c r="N692" s="408" t="s">
        <v>289</v>
      </c>
      <c r="O692" s="325">
        <f t="shared" si="183"/>
        <v>0</v>
      </c>
      <c r="P692" s="325">
        <f t="shared" si="184"/>
        <v>0</v>
      </c>
      <c r="Q692" s="325">
        <f t="shared" si="185"/>
        <v>0</v>
      </c>
      <c r="R692" s="325">
        <f t="shared" si="186"/>
        <v>399</v>
      </c>
      <c r="S692" s="325">
        <f t="shared" si="187"/>
        <v>0</v>
      </c>
      <c r="T692" s="325">
        <f t="shared" si="180"/>
        <v>399</v>
      </c>
      <c r="U692" s="325">
        <f t="shared" si="188"/>
        <v>1200.3599999999997</v>
      </c>
      <c r="V692" s="325">
        <f t="shared" si="189"/>
        <v>0</v>
      </c>
      <c r="W692" s="449" cm="1">
        <f t="array" ref="W692">+IF(U692&lt;0,error,0)</f>
        <v>0</v>
      </c>
    </row>
    <row r="693" spans="1:23" ht="18" customHeight="1" x14ac:dyDescent="0.2">
      <c r="A693" s="402" t="s">
        <v>1560</v>
      </c>
      <c r="B693" s="403"/>
      <c r="C693" s="404" t="s">
        <v>1561</v>
      </c>
      <c r="D693" s="405">
        <v>43264</v>
      </c>
      <c r="E693" s="406"/>
      <c r="F693" s="325"/>
      <c r="G693" s="324"/>
      <c r="H693" s="324">
        <v>25581</v>
      </c>
      <c r="I693" s="325">
        <v>5894.1453000000001</v>
      </c>
      <c r="J693" s="325"/>
      <c r="K693" s="325">
        <f t="shared" si="181"/>
        <v>0</v>
      </c>
      <c r="L693" s="325">
        <f t="shared" si="182"/>
        <v>0</v>
      </c>
      <c r="M693" s="407">
        <v>50</v>
      </c>
      <c r="N693" s="408" t="s">
        <v>289</v>
      </c>
      <c r="O693" s="325">
        <f t="shared" si="183"/>
        <v>0</v>
      </c>
      <c r="P693" s="325">
        <f t="shared" si="184"/>
        <v>0</v>
      </c>
      <c r="Q693" s="325">
        <f t="shared" si="185"/>
        <v>0</v>
      </c>
      <c r="R693" s="325">
        <f t="shared" si="186"/>
        <v>1473</v>
      </c>
      <c r="S693" s="325">
        <f t="shared" si="187"/>
        <v>0</v>
      </c>
      <c r="T693" s="325">
        <f t="shared" si="180"/>
        <v>1473</v>
      </c>
      <c r="U693" s="325">
        <f t="shared" si="188"/>
        <v>4421.1453000000001</v>
      </c>
      <c r="V693" s="325">
        <f t="shared" si="189"/>
        <v>0</v>
      </c>
      <c r="W693" s="449" cm="1">
        <f t="array" ref="W693">+IF(U693&lt;0,error,0)</f>
        <v>0</v>
      </c>
    </row>
    <row r="694" spans="1:23" ht="18" customHeight="1" x14ac:dyDescent="0.2">
      <c r="A694" s="402" t="s">
        <v>1564</v>
      </c>
      <c r="B694" s="403"/>
      <c r="C694" s="404" t="s">
        <v>1565</v>
      </c>
      <c r="D694" s="405">
        <v>43191</v>
      </c>
      <c r="E694" s="406"/>
      <c r="F694" s="325"/>
      <c r="G694" s="324"/>
      <c r="H694" s="324">
        <v>2219</v>
      </c>
      <c r="I694" s="325">
        <v>459</v>
      </c>
      <c r="J694" s="325"/>
      <c r="K694" s="325">
        <f t="shared" si="181"/>
        <v>0</v>
      </c>
      <c r="L694" s="325">
        <f t="shared" si="182"/>
        <v>0</v>
      </c>
      <c r="M694" s="407">
        <v>50</v>
      </c>
      <c r="N694" s="408" t="s">
        <v>289</v>
      </c>
      <c r="O694" s="325">
        <f t="shared" si="183"/>
        <v>0</v>
      </c>
      <c r="P694" s="325">
        <f t="shared" si="184"/>
        <v>0</v>
      </c>
      <c r="Q694" s="325">
        <f t="shared" si="185"/>
        <v>0</v>
      </c>
      <c r="R694" s="325">
        <f t="shared" si="186"/>
        <v>114</v>
      </c>
      <c r="S694" s="325">
        <f t="shared" si="187"/>
        <v>0</v>
      </c>
      <c r="T694" s="325">
        <f t="shared" si="180"/>
        <v>114</v>
      </c>
      <c r="U694" s="325">
        <f t="shared" si="188"/>
        <v>345</v>
      </c>
      <c r="V694" s="325">
        <f t="shared" si="189"/>
        <v>0</v>
      </c>
      <c r="W694" s="449" cm="1">
        <f t="array" ref="W694">+IF(U694&lt;0,error,0)</f>
        <v>0</v>
      </c>
    </row>
    <row r="695" spans="1:23" ht="18" customHeight="1" x14ac:dyDescent="0.2">
      <c r="A695" s="402" t="s">
        <v>1566</v>
      </c>
      <c r="B695" s="403"/>
      <c r="C695" s="404" t="s">
        <v>1567</v>
      </c>
      <c r="D695" s="405">
        <v>43191</v>
      </c>
      <c r="E695" s="406"/>
      <c r="F695" s="325"/>
      <c r="G695" s="324"/>
      <c r="H695" s="324">
        <v>2218.7000000000003</v>
      </c>
      <c r="I695" s="325">
        <v>459.70000000000005</v>
      </c>
      <c r="J695" s="325"/>
      <c r="K695" s="325">
        <f t="shared" si="181"/>
        <v>0</v>
      </c>
      <c r="L695" s="325">
        <f t="shared" si="182"/>
        <v>0</v>
      </c>
      <c r="M695" s="407">
        <v>50</v>
      </c>
      <c r="N695" s="408" t="s">
        <v>289</v>
      </c>
      <c r="O695" s="325">
        <f t="shared" si="183"/>
        <v>0</v>
      </c>
      <c r="P695" s="325">
        <f t="shared" si="184"/>
        <v>0</v>
      </c>
      <c r="Q695" s="325">
        <f t="shared" si="185"/>
        <v>0</v>
      </c>
      <c r="R695" s="325">
        <f t="shared" si="186"/>
        <v>114</v>
      </c>
      <c r="S695" s="325">
        <f t="shared" si="187"/>
        <v>0</v>
      </c>
      <c r="T695" s="325">
        <f t="shared" si="180"/>
        <v>114</v>
      </c>
      <c r="U695" s="325">
        <f t="shared" si="188"/>
        <v>345.70000000000005</v>
      </c>
      <c r="V695" s="325">
        <f t="shared" si="189"/>
        <v>0</v>
      </c>
      <c r="W695" s="449" cm="1">
        <f t="array" ref="W695">+IF(U695&lt;0,error,0)</f>
        <v>0</v>
      </c>
    </row>
    <row r="696" spans="1:23" ht="18" customHeight="1" x14ac:dyDescent="0.2">
      <c r="A696" s="402" t="s">
        <v>1568</v>
      </c>
      <c r="B696" s="403"/>
      <c r="C696" s="404" t="s">
        <v>1569</v>
      </c>
      <c r="D696" s="405">
        <v>43191</v>
      </c>
      <c r="E696" s="406"/>
      <c r="F696" s="325"/>
      <c r="G696" s="324"/>
      <c r="H696" s="324">
        <v>2329</v>
      </c>
      <c r="I696" s="325">
        <v>483</v>
      </c>
      <c r="J696" s="325"/>
      <c r="K696" s="325">
        <f t="shared" si="181"/>
        <v>0</v>
      </c>
      <c r="L696" s="325">
        <f t="shared" si="182"/>
        <v>0</v>
      </c>
      <c r="M696" s="407">
        <v>50</v>
      </c>
      <c r="N696" s="408" t="s">
        <v>289</v>
      </c>
      <c r="O696" s="325">
        <f t="shared" si="183"/>
        <v>0</v>
      </c>
      <c r="P696" s="325">
        <f t="shared" si="184"/>
        <v>0</v>
      </c>
      <c r="Q696" s="325">
        <f t="shared" si="185"/>
        <v>0</v>
      </c>
      <c r="R696" s="325">
        <f t="shared" si="186"/>
        <v>120</v>
      </c>
      <c r="S696" s="325">
        <f t="shared" si="187"/>
        <v>0</v>
      </c>
      <c r="T696" s="325">
        <f t="shared" si="180"/>
        <v>120</v>
      </c>
      <c r="U696" s="325">
        <f t="shared" si="188"/>
        <v>363</v>
      </c>
      <c r="V696" s="325">
        <f t="shared" si="189"/>
        <v>0</v>
      </c>
      <c r="W696" s="449" cm="1">
        <f t="array" ref="W696">+IF(U696&lt;0,error,0)</f>
        <v>0</v>
      </c>
    </row>
    <row r="697" spans="1:23" ht="18" customHeight="1" x14ac:dyDescent="0.2">
      <c r="A697" s="402" t="s">
        <v>1570</v>
      </c>
      <c r="B697" s="403"/>
      <c r="C697" s="404" t="s">
        <v>1571</v>
      </c>
      <c r="D697" s="405">
        <v>42948</v>
      </c>
      <c r="E697" s="406"/>
      <c r="F697" s="325"/>
      <c r="G697" s="324"/>
      <c r="H697" s="324">
        <v>1772.73</v>
      </c>
      <c r="I697" s="325">
        <v>228.73000000000002</v>
      </c>
      <c r="J697" s="325"/>
      <c r="K697" s="325">
        <f t="shared" si="181"/>
        <v>0</v>
      </c>
      <c r="L697" s="325">
        <f t="shared" si="182"/>
        <v>0</v>
      </c>
      <c r="M697" s="407">
        <v>50</v>
      </c>
      <c r="N697" s="408" t="s">
        <v>289</v>
      </c>
      <c r="O697" s="325">
        <f t="shared" si="183"/>
        <v>0</v>
      </c>
      <c r="P697" s="325">
        <f t="shared" si="184"/>
        <v>0</v>
      </c>
      <c r="Q697" s="325">
        <f t="shared" si="185"/>
        <v>0</v>
      </c>
      <c r="R697" s="325">
        <f t="shared" si="186"/>
        <v>57</v>
      </c>
      <c r="S697" s="325">
        <f t="shared" si="187"/>
        <v>0</v>
      </c>
      <c r="T697" s="325">
        <f t="shared" si="180"/>
        <v>57</v>
      </c>
      <c r="U697" s="325">
        <f t="shared" si="188"/>
        <v>171.73000000000002</v>
      </c>
      <c r="V697" s="325">
        <f t="shared" si="189"/>
        <v>0</v>
      </c>
      <c r="W697" s="449" cm="1">
        <f t="array" ref="W697">+IF(U697&lt;0,error,0)</f>
        <v>0</v>
      </c>
    </row>
    <row r="698" spans="1:23" s="448" customFormat="1" ht="18" customHeight="1" x14ac:dyDescent="0.2">
      <c r="A698" s="402" t="s">
        <v>1572</v>
      </c>
      <c r="B698" s="403"/>
      <c r="C698" s="412" t="s">
        <v>1573</v>
      </c>
      <c r="D698" s="405">
        <v>43362</v>
      </c>
      <c r="E698" s="406"/>
      <c r="F698" s="325"/>
      <c r="G698" s="324"/>
      <c r="H698" s="324">
        <v>11025</v>
      </c>
      <c r="I698" s="325">
        <v>2966</v>
      </c>
      <c r="J698" s="325"/>
      <c r="K698" s="325">
        <f t="shared" si="181"/>
        <v>0</v>
      </c>
      <c r="L698" s="325">
        <f t="shared" si="182"/>
        <v>0</v>
      </c>
      <c r="M698" s="407">
        <v>50</v>
      </c>
      <c r="N698" s="408" t="s">
        <v>289</v>
      </c>
      <c r="O698" s="325">
        <f t="shared" si="183"/>
        <v>0</v>
      </c>
      <c r="P698" s="325">
        <f t="shared" si="184"/>
        <v>0</v>
      </c>
      <c r="Q698" s="325">
        <f t="shared" si="185"/>
        <v>0</v>
      </c>
      <c r="R698" s="325">
        <f t="shared" si="186"/>
        <v>741</v>
      </c>
      <c r="S698" s="325">
        <f t="shared" si="187"/>
        <v>0</v>
      </c>
      <c r="T698" s="325">
        <f t="shared" si="180"/>
        <v>741</v>
      </c>
      <c r="U698" s="325">
        <f t="shared" si="188"/>
        <v>2225</v>
      </c>
      <c r="V698" s="325">
        <f t="shared" si="189"/>
        <v>0</v>
      </c>
      <c r="W698" s="449" cm="1">
        <f t="array" ref="W698">+IF(U698&lt;0,error,0)</f>
        <v>0</v>
      </c>
    </row>
    <row r="699" spans="1:23" s="448" customFormat="1" ht="18" customHeight="1" x14ac:dyDescent="0.2">
      <c r="A699" s="402" t="s">
        <v>1574</v>
      </c>
      <c r="B699" s="403"/>
      <c r="C699" s="412" t="s">
        <v>1575</v>
      </c>
      <c r="D699" s="405">
        <v>43402</v>
      </c>
      <c r="E699" s="406"/>
      <c r="F699" s="325"/>
      <c r="G699" s="324"/>
      <c r="H699" s="324">
        <v>13000</v>
      </c>
      <c r="I699" s="325">
        <v>3710</v>
      </c>
      <c r="J699" s="325"/>
      <c r="K699" s="325">
        <f t="shared" si="181"/>
        <v>0</v>
      </c>
      <c r="L699" s="325">
        <f t="shared" si="182"/>
        <v>0</v>
      </c>
      <c r="M699" s="407">
        <v>50</v>
      </c>
      <c r="N699" s="408" t="s">
        <v>289</v>
      </c>
      <c r="O699" s="325">
        <f t="shared" si="183"/>
        <v>0</v>
      </c>
      <c r="P699" s="325">
        <f t="shared" si="184"/>
        <v>0</v>
      </c>
      <c r="Q699" s="325">
        <f t="shared" si="185"/>
        <v>0</v>
      </c>
      <c r="R699" s="325">
        <f t="shared" si="186"/>
        <v>927</v>
      </c>
      <c r="S699" s="325">
        <f t="shared" si="187"/>
        <v>0</v>
      </c>
      <c r="T699" s="325">
        <f t="shared" si="180"/>
        <v>927</v>
      </c>
      <c r="U699" s="325">
        <f t="shared" si="188"/>
        <v>2783</v>
      </c>
      <c r="V699" s="325">
        <f t="shared" si="189"/>
        <v>0</v>
      </c>
      <c r="W699" s="449" cm="1">
        <f t="array" ref="W699">+IF(U699&lt;0,error,0)</f>
        <v>0</v>
      </c>
    </row>
    <row r="700" spans="1:23" ht="18" customHeight="1" x14ac:dyDescent="0.2">
      <c r="A700" s="402" t="s">
        <v>2075</v>
      </c>
      <c r="B700" s="403"/>
      <c r="C700" s="404" t="s">
        <v>2080</v>
      </c>
      <c r="D700" s="405">
        <v>43586</v>
      </c>
      <c r="E700" s="406"/>
      <c r="F700" s="325"/>
      <c r="G700" s="324"/>
      <c r="H700" s="324">
        <v>75509.05</v>
      </c>
      <c r="I700" s="325">
        <v>29238.050000000003</v>
      </c>
      <c r="J700" s="325"/>
      <c r="K700" s="325">
        <f t="shared" si="181"/>
        <v>0</v>
      </c>
      <c r="L700" s="325">
        <f t="shared" si="182"/>
        <v>0</v>
      </c>
      <c r="M700" s="407">
        <v>50</v>
      </c>
      <c r="N700" s="408" t="s">
        <v>289</v>
      </c>
      <c r="O700" s="325">
        <f t="shared" si="183"/>
        <v>0</v>
      </c>
      <c r="P700" s="325">
        <f t="shared" si="184"/>
        <v>0</v>
      </c>
      <c r="Q700" s="325">
        <f t="shared" si="185"/>
        <v>0</v>
      </c>
      <c r="R700" s="325">
        <f t="shared" si="186"/>
        <v>7309</v>
      </c>
      <c r="S700" s="325">
        <f t="shared" si="187"/>
        <v>0</v>
      </c>
      <c r="T700" s="325">
        <f t="shared" si="180"/>
        <v>7309</v>
      </c>
      <c r="U700" s="325">
        <f t="shared" si="188"/>
        <v>21929.050000000003</v>
      </c>
      <c r="V700" s="325">
        <f t="shared" si="189"/>
        <v>0</v>
      </c>
      <c r="W700" s="449" cm="1">
        <f t="array" ref="W700">+IF(U700&lt;0,error,0)</f>
        <v>0</v>
      </c>
    </row>
    <row r="701" spans="1:23" ht="18" customHeight="1" x14ac:dyDescent="0.2">
      <c r="A701" s="402" t="s">
        <v>2076</v>
      </c>
      <c r="B701" s="403"/>
      <c r="C701" s="404" t="s">
        <v>2398</v>
      </c>
      <c r="D701" s="405">
        <v>43586</v>
      </c>
      <c r="E701" s="406"/>
      <c r="F701" s="325"/>
      <c r="G701" s="324"/>
      <c r="H701" s="324">
        <f>246295.31*0.993006993006993</f>
        <v>244572.96517482516</v>
      </c>
      <c r="I701" s="325">
        <v>94700.112027972034</v>
      </c>
      <c r="J701" s="325"/>
      <c r="K701" s="325">
        <f>INT(IF($E701&gt;0,IF(+F701-I701+Q701&lt;0,0,+F701-I701+Q701),0))</f>
        <v>0</v>
      </c>
      <c r="L701" s="325">
        <f>INT(IF($E701&gt;0,IF(K701=0,-F701+I701-Q701,0),0))</f>
        <v>0</v>
      </c>
      <c r="M701" s="407">
        <v>50</v>
      </c>
      <c r="N701" s="408" t="s">
        <v>289</v>
      </c>
      <c r="O701" s="325">
        <f>IF(E701&gt;0,INT(IF($N701="D",IF($D701&lt;$H$3,$I701*($M701/100)*((E701-$H$3)/365),$J701*($M701/100)*($J$3-$D701)/365),0)),0)</f>
        <v>0</v>
      </c>
      <c r="P701" s="325">
        <f>IF(E701&gt;0,INT(IF($N701="P",IF($D701&lt;$H$3,$H701*($M701/100)*(E701-$H$3)/365,$J701*($M701/100)*($J$3-$D701)/365),0)),0)</f>
        <v>0</v>
      </c>
      <c r="Q701" s="325">
        <f>+O701+P701</f>
        <v>0</v>
      </c>
      <c r="R701" s="325">
        <f t="shared" si="186"/>
        <v>23675</v>
      </c>
      <c r="S701" s="325">
        <f t="shared" si="187"/>
        <v>0</v>
      </c>
      <c r="T701" s="325">
        <f>+R701+S701+Q701</f>
        <v>23675</v>
      </c>
      <c r="U701" s="325">
        <f>+I701+J701-T701-F701+K701-L701</f>
        <v>71025.112027972034</v>
      </c>
      <c r="V701" s="325">
        <f t="shared" si="189"/>
        <v>0</v>
      </c>
      <c r="W701" s="449" cm="1">
        <f t="array" ref="W701">+IF(U701&lt;0,error,0)</f>
        <v>0</v>
      </c>
    </row>
    <row r="702" spans="1:23" ht="18" customHeight="1" x14ac:dyDescent="0.2">
      <c r="A702" s="402" t="s">
        <v>2077</v>
      </c>
      <c r="B702" s="403"/>
      <c r="C702" s="404" t="s">
        <v>2082</v>
      </c>
      <c r="D702" s="405">
        <v>43586</v>
      </c>
      <c r="E702" s="406"/>
      <c r="F702" s="325"/>
      <c r="G702" s="324"/>
      <c r="H702" s="324">
        <v>26133.35</v>
      </c>
      <c r="I702" s="325">
        <v>10120.349999999999</v>
      </c>
      <c r="J702" s="325"/>
      <c r="K702" s="325">
        <f>INT(IF($E702&gt;0,IF(+F702-I702+Q702&lt;0,0,+F702-I702+Q702),0))</f>
        <v>0</v>
      </c>
      <c r="L702" s="325">
        <f>INT(IF($E702&gt;0,IF(K702=0,-F702+I702-Q702,0),0))</f>
        <v>0</v>
      </c>
      <c r="M702" s="407">
        <v>50</v>
      </c>
      <c r="N702" s="408" t="s">
        <v>289</v>
      </c>
      <c r="O702" s="325">
        <f>IF(E702&gt;0,INT(IF($N702="D",IF($D702&lt;$H$3,$I702*($M702/100)*((E702-$H$3)/365),$J702*($M702/100)*($J$3-$D702)/365),0)),0)</f>
        <v>0</v>
      </c>
      <c r="P702" s="325">
        <f>IF(E702&gt;0,INT(IF($N702="P",IF($D702&lt;$H$3,$H702*($M702/100)*(E702-$H$3)/365,$J702*($M702/100)*($J$3-$D702)/365),0)),0)</f>
        <v>0</v>
      </c>
      <c r="Q702" s="325">
        <f>+O702+P702</f>
        <v>0</v>
      </c>
      <c r="R702" s="325">
        <f t="shared" si="186"/>
        <v>2530</v>
      </c>
      <c r="S702" s="325">
        <f t="shared" si="187"/>
        <v>0</v>
      </c>
      <c r="T702" s="325">
        <f>+R702+S702+Q702</f>
        <v>2530</v>
      </c>
      <c r="U702" s="325">
        <f>+I702+J702-T702-F702+K702-L702</f>
        <v>7590.3499999999985</v>
      </c>
      <c r="V702" s="325">
        <f t="shared" si="189"/>
        <v>0</v>
      </c>
      <c r="W702" s="449" cm="1">
        <f t="array" ref="W702">+IF(U702&lt;0,error,0)</f>
        <v>0</v>
      </c>
    </row>
    <row r="703" spans="1:23" ht="18" customHeight="1" x14ac:dyDescent="0.2">
      <c r="A703" s="402" t="s">
        <v>2078</v>
      </c>
      <c r="B703" s="403"/>
      <c r="C703" s="404" t="s">
        <v>2083</v>
      </c>
      <c r="D703" s="405">
        <v>43446</v>
      </c>
      <c r="E703" s="406"/>
      <c r="F703" s="325"/>
      <c r="G703" s="324"/>
      <c r="H703" s="324">
        <v>13000</v>
      </c>
      <c r="I703" s="325">
        <v>3983</v>
      </c>
      <c r="J703" s="325"/>
      <c r="K703" s="325">
        <f t="shared" ref="K703:K721" si="190">INT(IF($E703&gt;0,IF(+F703-I703+Q703&lt;0,0,+F703-I703+Q703),0))</f>
        <v>0</v>
      </c>
      <c r="L703" s="325">
        <f t="shared" ref="L703:L721" si="191">INT(IF($E703&gt;0,IF(K703=0,-F703+I703-Q703,0),0))</f>
        <v>0</v>
      </c>
      <c r="M703" s="407">
        <v>50</v>
      </c>
      <c r="N703" s="408" t="s">
        <v>289</v>
      </c>
      <c r="O703" s="325">
        <f t="shared" ref="O703:O721" si="192">IF(E703&gt;0,INT(IF($N703="D",IF($D703&lt;$H$3,$I703*($M703/100)*((E703-$H$3)/365),$J703*($M703/100)*($J$3-$D703)/365),0)),0)</f>
        <v>0</v>
      </c>
      <c r="P703" s="325">
        <f t="shared" ref="P703:P721" si="193">IF(E703&gt;0,INT(IF($N703="P",IF($D703&lt;$H$3,$H703*($M703/100)*(E703-$H$3)/365,$J703*($M703/100)*($J$3-$D703)/365),0)),0)</f>
        <v>0</v>
      </c>
      <c r="Q703" s="325">
        <f t="shared" ref="Q703:Q721" si="194">+O703+P703</f>
        <v>0</v>
      </c>
      <c r="R703" s="325">
        <f t="shared" si="186"/>
        <v>995</v>
      </c>
      <c r="S703" s="325">
        <f t="shared" si="187"/>
        <v>0</v>
      </c>
      <c r="T703" s="325">
        <f t="shared" ref="T703:T713" si="195">+R703+S703+Q703</f>
        <v>995</v>
      </c>
      <c r="U703" s="325">
        <f t="shared" ref="U703:U713" si="196">+I703+J703-T703-F703+K703-L703</f>
        <v>2988</v>
      </c>
      <c r="V703" s="325">
        <f t="shared" si="189"/>
        <v>0</v>
      </c>
      <c r="W703" s="449" cm="1">
        <f t="array" ref="W703">+IF(U703&lt;0,error,0)</f>
        <v>0</v>
      </c>
    </row>
    <row r="704" spans="1:23" ht="18" customHeight="1" x14ac:dyDescent="0.2">
      <c r="A704" s="402" t="s">
        <v>2079</v>
      </c>
      <c r="B704" s="403"/>
      <c r="C704" s="404" t="s">
        <v>2083</v>
      </c>
      <c r="D704" s="405">
        <v>43446</v>
      </c>
      <c r="E704" s="406"/>
      <c r="F704" s="325"/>
      <c r="G704" s="324"/>
      <c r="H704" s="324">
        <v>13000</v>
      </c>
      <c r="I704" s="325">
        <v>3983</v>
      </c>
      <c r="J704" s="325"/>
      <c r="K704" s="325">
        <f t="shared" si="190"/>
        <v>0</v>
      </c>
      <c r="L704" s="325">
        <f t="shared" si="191"/>
        <v>0</v>
      </c>
      <c r="M704" s="407">
        <v>50</v>
      </c>
      <c r="N704" s="408" t="s">
        <v>289</v>
      </c>
      <c r="O704" s="325">
        <f t="shared" si="192"/>
        <v>0</v>
      </c>
      <c r="P704" s="325">
        <f t="shared" si="193"/>
        <v>0</v>
      </c>
      <c r="Q704" s="325">
        <f t="shared" si="194"/>
        <v>0</v>
      </c>
      <c r="R704" s="325">
        <f t="shared" si="186"/>
        <v>995</v>
      </c>
      <c r="S704" s="325">
        <f t="shared" si="187"/>
        <v>0</v>
      </c>
      <c r="T704" s="325">
        <f t="shared" si="195"/>
        <v>995</v>
      </c>
      <c r="U704" s="325">
        <f t="shared" si="196"/>
        <v>2988</v>
      </c>
      <c r="V704" s="325">
        <f t="shared" si="189"/>
        <v>0</v>
      </c>
      <c r="W704" s="449" cm="1">
        <f t="array" ref="W704">+IF(U704&lt;0,error,0)</f>
        <v>0</v>
      </c>
    </row>
    <row r="705" spans="1:25" ht="18" customHeight="1" x14ac:dyDescent="0.2">
      <c r="A705" s="402">
        <v>746244</v>
      </c>
      <c r="B705" s="403"/>
      <c r="C705" s="404" t="s">
        <v>2375</v>
      </c>
      <c r="D705" s="405">
        <v>43893</v>
      </c>
      <c r="E705" s="406"/>
      <c r="F705" s="325"/>
      <c r="G705" s="324"/>
      <c r="H705" s="324">
        <v>12936</v>
      </c>
      <c r="I705" s="325">
        <v>8121</v>
      </c>
      <c r="J705" s="325"/>
      <c r="K705" s="325">
        <f t="shared" si="190"/>
        <v>0</v>
      </c>
      <c r="L705" s="325">
        <f t="shared" si="191"/>
        <v>0</v>
      </c>
      <c r="M705" s="407">
        <v>50</v>
      </c>
      <c r="N705" s="408" t="s">
        <v>289</v>
      </c>
      <c r="O705" s="325">
        <f t="shared" si="192"/>
        <v>0</v>
      </c>
      <c r="P705" s="325">
        <f t="shared" si="193"/>
        <v>0</v>
      </c>
      <c r="Q705" s="325">
        <f t="shared" si="194"/>
        <v>0</v>
      </c>
      <c r="R705" s="325">
        <f t="shared" si="186"/>
        <v>2030</v>
      </c>
      <c r="S705" s="325">
        <f t="shared" si="187"/>
        <v>0</v>
      </c>
      <c r="T705" s="325">
        <f t="shared" si="195"/>
        <v>2030</v>
      </c>
      <c r="U705" s="325">
        <f t="shared" si="196"/>
        <v>6091</v>
      </c>
      <c r="V705" s="325">
        <f t="shared" si="189"/>
        <v>0</v>
      </c>
      <c r="W705" s="449" cm="1">
        <f t="array" ref="W705">+IF(U705&lt;0,error,0)</f>
        <v>0</v>
      </c>
    </row>
    <row r="706" spans="1:25" ht="18" customHeight="1" x14ac:dyDescent="0.2">
      <c r="A706" s="402">
        <v>746245</v>
      </c>
      <c r="B706" s="403"/>
      <c r="C706" s="404" t="s">
        <v>2370</v>
      </c>
      <c r="D706" s="405">
        <v>43920</v>
      </c>
      <c r="E706" s="406"/>
      <c r="F706" s="325"/>
      <c r="G706" s="324"/>
      <c r="H706" s="324">
        <v>16255.22</v>
      </c>
      <c r="I706" s="325">
        <v>10656.22</v>
      </c>
      <c r="J706" s="325"/>
      <c r="K706" s="325">
        <f t="shared" si="190"/>
        <v>0</v>
      </c>
      <c r="L706" s="325">
        <f t="shared" si="191"/>
        <v>0</v>
      </c>
      <c r="M706" s="407">
        <v>50</v>
      </c>
      <c r="N706" s="408" t="s">
        <v>289</v>
      </c>
      <c r="O706" s="325">
        <f t="shared" si="192"/>
        <v>0</v>
      </c>
      <c r="P706" s="325">
        <f t="shared" si="193"/>
        <v>0</v>
      </c>
      <c r="Q706" s="325">
        <f t="shared" si="194"/>
        <v>0</v>
      </c>
      <c r="R706" s="325">
        <f t="shared" si="186"/>
        <v>2664</v>
      </c>
      <c r="S706" s="325">
        <f t="shared" si="187"/>
        <v>0</v>
      </c>
      <c r="T706" s="325">
        <f t="shared" si="195"/>
        <v>2664</v>
      </c>
      <c r="U706" s="325">
        <f t="shared" si="196"/>
        <v>7992.2199999999993</v>
      </c>
      <c r="V706" s="325">
        <f t="shared" si="189"/>
        <v>0</v>
      </c>
      <c r="W706" s="449" cm="1">
        <f t="array" ref="W706">+IF(U706&lt;0,error,0)</f>
        <v>0</v>
      </c>
    </row>
    <row r="707" spans="1:25" ht="18" customHeight="1" x14ac:dyDescent="0.2">
      <c r="A707" s="402">
        <v>746246</v>
      </c>
      <c r="B707" s="403"/>
      <c r="C707" s="404" t="s">
        <v>2371</v>
      </c>
      <c r="D707" s="405">
        <v>43936</v>
      </c>
      <c r="E707" s="406"/>
      <c r="F707" s="325"/>
      <c r="G707" s="324"/>
      <c r="H707" s="324">
        <v>3460.71</v>
      </c>
      <c r="I707" s="325">
        <v>2325.71</v>
      </c>
      <c r="J707" s="325"/>
      <c r="K707" s="325">
        <f t="shared" si="190"/>
        <v>0</v>
      </c>
      <c r="L707" s="325">
        <f t="shared" si="191"/>
        <v>0</v>
      </c>
      <c r="M707" s="407">
        <v>50</v>
      </c>
      <c r="N707" s="408" t="s">
        <v>289</v>
      </c>
      <c r="O707" s="325">
        <f t="shared" si="192"/>
        <v>0</v>
      </c>
      <c r="P707" s="325">
        <f t="shared" si="193"/>
        <v>0</v>
      </c>
      <c r="Q707" s="325">
        <f t="shared" si="194"/>
        <v>0</v>
      </c>
      <c r="R707" s="325">
        <f t="shared" si="186"/>
        <v>581</v>
      </c>
      <c r="S707" s="325">
        <f t="shared" si="187"/>
        <v>0</v>
      </c>
      <c r="T707" s="325">
        <f t="shared" si="195"/>
        <v>581</v>
      </c>
      <c r="U707" s="325">
        <f t="shared" si="196"/>
        <v>1744.71</v>
      </c>
      <c r="V707" s="325">
        <f t="shared" si="189"/>
        <v>0</v>
      </c>
      <c r="W707" s="449" cm="1">
        <f t="array" ref="W707">+IF(U707&lt;0,error,0)</f>
        <v>0</v>
      </c>
    </row>
    <row r="708" spans="1:25" ht="18" customHeight="1" x14ac:dyDescent="0.2">
      <c r="A708" s="402">
        <v>746247</v>
      </c>
      <c r="B708" s="403"/>
      <c r="C708" s="404" t="s">
        <v>2372</v>
      </c>
      <c r="D708" s="405">
        <v>43861</v>
      </c>
      <c r="E708" s="406"/>
      <c r="F708" s="325"/>
      <c r="G708" s="324"/>
      <c r="H708" s="324">
        <v>20698</v>
      </c>
      <c r="I708" s="325">
        <v>12313</v>
      </c>
      <c r="J708" s="325"/>
      <c r="K708" s="325">
        <f t="shared" si="190"/>
        <v>0</v>
      </c>
      <c r="L708" s="325">
        <f t="shared" si="191"/>
        <v>0</v>
      </c>
      <c r="M708" s="407">
        <v>50</v>
      </c>
      <c r="N708" s="408" t="s">
        <v>289</v>
      </c>
      <c r="O708" s="325">
        <f t="shared" si="192"/>
        <v>0</v>
      </c>
      <c r="P708" s="325">
        <f t="shared" si="193"/>
        <v>0</v>
      </c>
      <c r="Q708" s="325">
        <f t="shared" si="194"/>
        <v>0</v>
      </c>
      <c r="R708" s="325">
        <f t="shared" si="186"/>
        <v>3078</v>
      </c>
      <c r="S708" s="325">
        <f t="shared" si="187"/>
        <v>0</v>
      </c>
      <c r="T708" s="325">
        <f t="shared" si="195"/>
        <v>3078</v>
      </c>
      <c r="U708" s="325">
        <f t="shared" si="196"/>
        <v>9235</v>
      </c>
      <c r="V708" s="325">
        <f t="shared" si="189"/>
        <v>0</v>
      </c>
      <c r="W708" s="449" cm="1">
        <f t="array" ref="W708">+IF(U708&lt;0,error,0)</f>
        <v>0</v>
      </c>
    </row>
    <row r="709" spans="1:25" ht="18" customHeight="1" x14ac:dyDescent="0.2">
      <c r="A709" s="402">
        <v>746248</v>
      </c>
      <c r="B709" s="403"/>
      <c r="C709" s="404" t="s">
        <v>2373</v>
      </c>
      <c r="D709" s="405">
        <v>43871</v>
      </c>
      <c r="E709" s="406"/>
      <c r="F709" s="325"/>
      <c r="G709" s="324"/>
      <c r="H709" s="324">
        <v>6704.32</v>
      </c>
      <c r="I709" s="325">
        <v>4058.3199999999997</v>
      </c>
      <c r="J709" s="325"/>
      <c r="K709" s="325">
        <f t="shared" si="190"/>
        <v>0</v>
      </c>
      <c r="L709" s="325">
        <f t="shared" si="191"/>
        <v>0</v>
      </c>
      <c r="M709" s="407">
        <v>50</v>
      </c>
      <c r="N709" s="408" t="s">
        <v>289</v>
      </c>
      <c r="O709" s="325">
        <f t="shared" si="192"/>
        <v>0</v>
      </c>
      <c r="P709" s="325">
        <f t="shared" si="193"/>
        <v>0</v>
      </c>
      <c r="Q709" s="325">
        <f t="shared" si="194"/>
        <v>0</v>
      </c>
      <c r="R709" s="325">
        <f t="shared" si="186"/>
        <v>1014</v>
      </c>
      <c r="S709" s="325">
        <f t="shared" si="187"/>
        <v>0</v>
      </c>
      <c r="T709" s="325">
        <f t="shared" si="195"/>
        <v>1014</v>
      </c>
      <c r="U709" s="325">
        <f t="shared" si="196"/>
        <v>3044.3199999999997</v>
      </c>
      <c r="V709" s="325">
        <f t="shared" si="189"/>
        <v>0</v>
      </c>
      <c r="W709" s="449" cm="1">
        <f t="array" ref="W709">+IF(U709&lt;0,error,0)</f>
        <v>0</v>
      </c>
    </row>
    <row r="710" spans="1:25" ht="18" customHeight="1" x14ac:dyDescent="0.2">
      <c r="A710" s="402">
        <v>746249</v>
      </c>
      <c r="B710" s="403"/>
      <c r="C710" s="404" t="s">
        <v>2374</v>
      </c>
      <c r="D710" s="405">
        <v>43887</v>
      </c>
      <c r="E710" s="406"/>
      <c r="F710" s="325"/>
      <c r="G710" s="324"/>
      <c r="H710" s="324">
        <v>3497.8</v>
      </c>
      <c r="I710" s="325">
        <v>2175.8000000000002</v>
      </c>
      <c r="J710" s="325"/>
      <c r="K710" s="325">
        <f t="shared" si="190"/>
        <v>0</v>
      </c>
      <c r="L710" s="325">
        <f t="shared" si="191"/>
        <v>0</v>
      </c>
      <c r="M710" s="407">
        <v>50</v>
      </c>
      <c r="N710" s="408" t="s">
        <v>289</v>
      </c>
      <c r="O710" s="325">
        <f t="shared" si="192"/>
        <v>0</v>
      </c>
      <c r="P710" s="325">
        <f t="shared" si="193"/>
        <v>0</v>
      </c>
      <c r="Q710" s="325">
        <f t="shared" si="194"/>
        <v>0</v>
      </c>
      <c r="R710" s="325">
        <f t="shared" si="186"/>
        <v>543</v>
      </c>
      <c r="S710" s="325">
        <f t="shared" si="187"/>
        <v>0</v>
      </c>
      <c r="T710" s="325">
        <f t="shared" si="195"/>
        <v>543</v>
      </c>
      <c r="U710" s="325">
        <f t="shared" si="196"/>
        <v>1632.8000000000002</v>
      </c>
      <c r="V710" s="325">
        <f t="shared" si="189"/>
        <v>0</v>
      </c>
      <c r="W710" s="449" cm="1">
        <f t="array" ref="W710">+IF(U710&lt;0,error,0)</f>
        <v>0</v>
      </c>
    </row>
    <row r="711" spans="1:25" ht="18" customHeight="1" x14ac:dyDescent="0.2">
      <c r="A711" s="402">
        <v>746250</v>
      </c>
      <c r="B711" s="403"/>
      <c r="C711" s="404" t="s">
        <v>2376</v>
      </c>
      <c r="D711" s="405">
        <v>43893</v>
      </c>
      <c r="E711" s="406"/>
      <c r="F711" s="325"/>
      <c r="G711" s="324"/>
      <c r="H711" s="324">
        <v>43850</v>
      </c>
      <c r="I711" s="325">
        <v>27526.995000000003</v>
      </c>
      <c r="J711" s="325"/>
      <c r="K711" s="325">
        <f t="shared" si="190"/>
        <v>0</v>
      </c>
      <c r="L711" s="325">
        <f t="shared" si="191"/>
        <v>0</v>
      </c>
      <c r="M711" s="407">
        <v>50</v>
      </c>
      <c r="N711" s="408" t="s">
        <v>289</v>
      </c>
      <c r="O711" s="325">
        <f t="shared" si="192"/>
        <v>0</v>
      </c>
      <c r="P711" s="325">
        <f t="shared" si="193"/>
        <v>0</v>
      </c>
      <c r="Q711" s="325">
        <f t="shared" si="194"/>
        <v>0</v>
      </c>
      <c r="R711" s="325">
        <f t="shared" si="186"/>
        <v>6881</v>
      </c>
      <c r="S711" s="325">
        <f t="shared" si="187"/>
        <v>0</v>
      </c>
      <c r="T711" s="325">
        <f t="shared" si="195"/>
        <v>6881</v>
      </c>
      <c r="U711" s="325">
        <f t="shared" si="196"/>
        <v>20645.995000000003</v>
      </c>
      <c r="V711" s="325">
        <f t="shared" si="189"/>
        <v>0</v>
      </c>
      <c r="W711" s="449" cm="1">
        <f t="array" ref="W711">+IF(U711&lt;0,error,0)</f>
        <v>0</v>
      </c>
    </row>
    <row r="712" spans="1:25" ht="18" customHeight="1" x14ac:dyDescent="0.2">
      <c r="A712" s="402">
        <v>746251</v>
      </c>
      <c r="B712" s="403"/>
      <c r="C712" s="404" t="s">
        <v>2377</v>
      </c>
      <c r="D712" s="405">
        <v>43900</v>
      </c>
      <c r="E712" s="406"/>
      <c r="F712" s="325"/>
      <c r="G712" s="324"/>
      <c r="H712" s="324">
        <f>3321.22-113.7</f>
        <v>3207.52</v>
      </c>
      <c r="I712" s="325">
        <v>1995.52</v>
      </c>
      <c r="J712" s="325"/>
      <c r="K712" s="325">
        <f t="shared" si="190"/>
        <v>0</v>
      </c>
      <c r="L712" s="325">
        <f t="shared" si="191"/>
        <v>0</v>
      </c>
      <c r="M712" s="407">
        <v>50</v>
      </c>
      <c r="N712" s="408" t="s">
        <v>289</v>
      </c>
      <c r="O712" s="325">
        <f t="shared" si="192"/>
        <v>0</v>
      </c>
      <c r="P712" s="325">
        <f t="shared" si="193"/>
        <v>0</v>
      </c>
      <c r="Q712" s="325">
        <f t="shared" si="194"/>
        <v>0</v>
      </c>
      <c r="R712" s="325">
        <f t="shared" si="186"/>
        <v>498</v>
      </c>
      <c r="S712" s="325">
        <f t="shared" si="187"/>
        <v>0</v>
      </c>
      <c r="T712" s="325">
        <f t="shared" si="195"/>
        <v>498</v>
      </c>
      <c r="U712" s="325">
        <f t="shared" si="196"/>
        <v>1497.52</v>
      </c>
      <c r="V712" s="325">
        <f t="shared" si="189"/>
        <v>0</v>
      </c>
      <c r="W712" s="449" cm="1">
        <f t="array" ref="W712">+IF(U712&lt;0,error,0)</f>
        <v>0</v>
      </c>
    </row>
    <row r="713" spans="1:25" ht="18" customHeight="1" x14ac:dyDescent="0.2">
      <c r="A713" s="402">
        <v>746252</v>
      </c>
      <c r="B713" s="403"/>
      <c r="C713" s="404" t="s">
        <v>2378</v>
      </c>
      <c r="D713" s="405">
        <v>43914</v>
      </c>
      <c r="E713" s="406"/>
      <c r="F713" s="325"/>
      <c r="G713" s="324"/>
      <c r="H713" s="324">
        <v>35769.43</v>
      </c>
      <c r="I713" s="325">
        <v>23226.43</v>
      </c>
      <c r="J713" s="325"/>
      <c r="K713" s="325">
        <f t="shared" si="190"/>
        <v>0</v>
      </c>
      <c r="L713" s="325">
        <f t="shared" si="191"/>
        <v>0</v>
      </c>
      <c r="M713" s="407">
        <v>50</v>
      </c>
      <c r="N713" s="408" t="s">
        <v>289</v>
      </c>
      <c r="O713" s="325">
        <f t="shared" si="192"/>
        <v>0</v>
      </c>
      <c r="P713" s="325">
        <f t="shared" si="193"/>
        <v>0</v>
      </c>
      <c r="Q713" s="325">
        <f t="shared" si="194"/>
        <v>0</v>
      </c>
      <c r="R713" s="325">
        <f t="shared" si="186"/>
        <v>5806</v>
      </c>
      <c r="S713" s="325">
        <f t="shared" si="187"/>
        <v>0</v>
      </c>
      <c r="T713" s="325">
        <f t="shared" si="195"/>
        <v>5806</v>
      </c>
      <c r="U713" s="325">
        <f t="shared" si="196"/>
        <v>17420.43</v>
      </c>
      <c r="V713" s="325">
        <f t="shared" si="189"/>
        <v>0</v>
      </c>
      <c r="W713" s="449" cm="1">
        <f t="array" ref="W713">+IF(U713&lt;0,error,0)</f>
        <v>0</v>
      </c>
    </row>
    <row r="714" spans="1:25" ht="18" customHeight="1" x14ac:dyDescent="0.2">
      <c r="A714" s="402">
        <v>746253</v>
      </c>
      <c r="B714" s="403"/>
      <c r="C714" s="404" t="s">
        <v>2379</v>
      </c>
      <c r="D714" s="405">
        <v>43920</v>
      </c>
      <c r="E714" s="406"/>
      <c r="F714" s="325"/>
      <c r="G714" s="324"/>
      <c r="H714" s="324">
        <f>24952.19-1295.46</f>
        <v>23656.73</v>
      </c>
      <c r="I714" s="325">
        <v>15060.73</v>
      </c>
      <c r="J714" s="325"/>
      <c r="K714" s="325">
        <f t="shared" si="190"/>
        <v>0</v>
      </c>
      <c r="L714" s="325">
        <f t="shared" si="191"/>
        <v>0</v>
      </c>
      <c r="M714" s="407">
        <v>50</v>
      </c>
      <c r="N714" s="408" t="s">
        <v>289</v>
      </c>
      <c r="O714" s="325">
        <f t="shared" si="192"/>
        <v>0</v>
      </c>
      <c r="P714" s="325">
        <f t="shared" si="193"/>
        <v>0</v>
      </c>
      <c r="Q714" s="325">
        <f t="shared" si="194"/>
        <v>0</v>
      </c>
      <c r="R714" s="325">
        <f t="shared" si="186"/>
        <v>3765</v>
      </c>
      <c r="S714" s="325">
        <f t="shared" si="187"/>
        <v>0</v>
      </c>
      <c r="T714" s="325">
        <f>+R714+S714+Q714</f>
        <v>3765</v>
      </c>
      <c r="U714" s="325">
        <f>+I714+J714-T714-F714+K714-L714</f>
        <v>11295.73</v>
      </c>
      <c r="V714" s="325">
        <f t="shared" si="189"/>
        <v>0</v>
      </c>
      <c r="W714" s="449" cm="1">
        <f t="array" ref="W714">+IF(U714&lt;0,error,0)</f>
        <v>0</v>
      </c>
    </row>
    <row r="715" spans="1:25" ht="18" customHeight="1" x14ac:dyDescent="0.2">
      <c r="A715" s="402">
        <v>746254</v>
      </c>
      <c r="B715" s="403"/>
      <c r="C715" s="404" t="s">
        <v>2380</v>
      </c>
      <c r="D715" s="405">
        <v>43922</v>
      </c>
      <c r="E715" s="406"/>
      <c r="F715" s="325"/>
      <c r="G715" s="324"/>
      <c r="H715" s="324">
        <v>101455.03999999999</v>
      </c>
      <c r="I715" s="325">
        <v>66711.039999999994</v>
      </c>
      <c r="J715" s="325"/>
      <c r="K715" s="325">
        <f t="shared" si="190"/>
        <v>0</v>
      </c>
      <c r="L715" s="325">
        <f t="shared" si="191"/>
        <v>0</v>
      </c>
      <c r="M715" s="407">
        <v>50</v>
      </c>
      <c r="N715" s="408" t="s">
        <v>289</v>
      </c>
      <c r="O715" s="325">
        <f t="shared" si="192"/>
        <v>0</v>
      </c>
      <c r="P715" s="325">
        <f t="shared" si="193"/>
        <v>0</v>
      </c>
      <c r="Q715" s="325">
        <f t="shared" si="194"/>
        <v>0</v>
      </c>
      <c r="R715" s="325">
        <f t="shared" si="186"/>
        <v>16677</v>
      </c>
      <c r="S715" s="325">
        <f t="shared" si="187"/>
        <v>0</v>
      </c>
      <c r="T715" s="325">
        <f t="shared" ref="T715:T721" si="197">+R715+S715+Q715</f>
        <v>16677</v>
      </c>
      <c r="U715" s="325">
        <f t="shared" ref="U715:U721" si="198">+I715+J715-T715-F715+K715-L715</f>
        <v>50034.039999999994</v>
      </c>
      <c r="V715" s="325">
        <f t="shared" si="189"/>
        <v>0</v>
      </c>
      <c r="W715" s="449" cm="1">
        <f t="array" ref="W715">+IF(U715&lt;0,error,0)</f>
        <v>0</v>
      </c>
    </row>
    <row r="716" spans="1:25" ht="18" customHeight="1" x14ac:dyDescent="0.2">
      <c r="A716" s="402">
        <v>746255</v>
      </c>
      <c r="B716" s="403"/>
      <c r="C716" s="404" t="s">
        <v>2381</v>
      </c>
      <c r="D716" s="405">
        <v>43936</v>
      </c>
      <c r="E716" s="406"/>
      <c r="F716" s="325"/>
      <c r="G716" s="324"/>
      <c r="H716" s="324">
        <v>8528.57</v>
      </c>
      <c r="I716" s="325">
        <v>5731.57</v>
      </c>
      <c r="J716" s="325"/>
      <c r="K716" s="325">
        <f t="shared" si="190"/>
        <v>0</v>
      </c>
      <c r="L716" s="325">
        <f t="shared" si="191"/>
        <v>0</v>
      </c>
      <c r="M716" s="407">
        <v>50</v>
      </c>
      <c r="N716" s="408" t="s">
        <v>289</v>
      </c>
      <c r="O716" s="325">
        <f t="shared" si="192"/>
        <v>0</v>
      </c>
      <c r="P716" s="325">
        <f t="shared" si="193"/>
        <v>0</v>
      </c>
      <c r="Q716" s="325">
        <f t="shared" si="194"/>
        <v>0</v>
      </c>
      <c r="R716" s="325">
        <f t="shared" si="186"/>
        <v>1432</v>
      </c>
      <c r="S716" s="325">
        <f t="shared" si="187"/>
        <v>0</v>
      </c>
      <c r="T716" s="325">
        <f t="shared" si="197"/>
        <v>1432</v>
      </c>
      <c r="U716" s="325">
        <f t="shared" si="198"/>
        <v>4299.57</v>
      </c>
      <c r="V716" s="325">
        <f t="shared" si="189"/>
        <v>0</v>
      </c>
      <c r="W716" s="449" cm="1">
        <f t="array" ref="W716">+IF(U716&lt;0,error,0)</f>
        <v>0</v>
      </c>
    </row>
    <row r="717" spans="1:25" ht="18" customHeight="1" x14ac:dyDescent="0.2">
      <c r="A717" s="402">
        <v>746256</v>
      </c>
      <c r="B717" s="403"/>
      <c r="C717" s="404" t="s">
        <v>2382</v>
      </c>
      <c r="D717" s="405">
        <v>43969</v>
      </c>
      <c r="E717" s="406"/>
      <c r="F717" s="325"/>
      <c r="G717" s="324"/>
      <c r="H717" s="324">
        <v>19835</v>
      </c>
      <c r="I717" s="325">
        <v>14001</v>
      </c>
      <c r="J717" s="325"/>
      <c r="K717" s="325">
        <f t="shared" si="190"/>
        <v>0</v>
      </c>
      <c r="L717" s="325">
        <f t="shared" si="191"/>
        <v>0</v>
      </c>
      <c r="M717" s="407">
        <v>50</v>
      </c>
      <c r="N717" s="408" t="s">
        <v>289</v>
      </c>
      <c r="O717" s="325">
        <f t="shared" si="192"/>
        <v>0</v>
      </c>
      <c r="P717" s="325">
        <f t="shared" si="193"/>
        <v>0</v>
      </c>
      <c r="Q717" s="325">
        <f t="shared" si="194"/>
        <v>0</v>
      </c>
      <c r="R717" s="325">
        <f t="shared" si="186"/>
        <v>3500</v>
      </c>
      <c r="S717" s="325">
        <f t="shared" si="187"/>
        <v>0</v>
      </c>
      <c r="T717" s="325">
        <f t="shared" si="197"/>
        <v>3500</v>
      </c>
      <c r="U717" s="325">
        <f t="shared" si="198"/>
        <v>10501</v>
      </c>
      <c r="V717" s="325">
        <f t="shared" si="189"/>
        <v>0</v>
      </c>
      <c r="W717" s="449" cm="1">
        <f t="array" ref="W717">+IF(U717&lt;0,error,0)</f>
        <v>0</v>
      </c>
    </row>
    <row r="718" spans="1:25" ht="18" customHeight="1" x14ac:dyDescent="0.2">
      <c r="A718" s="402">
        <v>746257</v>
      </c>
      <c r="B718" s="403"/>
      <c r="C718" s="404" t="s">
        <v>2419</v>
      </c>
      <c r="D718" s="405">
        <v>44265</v>
      </c>
      <c r="E718" s="406"/>
      <c r="F718" s="325"/>
      <c r="G718" s="324"/>
      <c r="H718" s="324"/>
      <c r="I718" s="325"/>
      <c r="J718" s="325">
        <f>24447</f>
        <v>24447</v>
      </c>
      <c r="K718" s="325">
        <f t="shared" si="190"/>
        <v>0</v>
      </c>
      <c r="L718" s="325">
        <f t="shared" si="191"/>
        <v>0</v>
      </c>
      <c r="M718" s="407">
        <v>50</v>
      </c>
      <c r="N718" s="408" t="s">
        <v>289</v>
      </c>
      <c r="O718" s="325">
        <f t="shared" si="192"/>
        <v>0</v>
      </c>
      <c r="P718" s="325">
        <f t="shared" si="193"/>
        <v>0</v>
      </c>
      <c r="Q718" s="325">
        <f t="shared" si="194"/>
        <v>0</v>
      </c>
      <c r="R718" s="325">
        <f t="shared" si="186"/>
        <v>3750</v>
      </c>
      <c r="S718" s="325">
        <f t="shared" si="187"/>
        <v>0</v>
      </c>
      <c r="T718" s="325">
        <f t="shared" si="197"/>
        <v>3750</v>
      </c>
      <c r="U718" s="325">
        <f t="shared" si="198"/>
        <v>20697</v>
      </c>
      <c r="V718" s="325">
        <f t="shared" si="189"/>
        <v>0</v>
      </c>
      <c r="W718" s="449" cm="1">
        <f t="array" ref="W718">+IF(U718&lt;0,error,0)</f>
        <v>0</v>
      </c>
    </row>
    <row r="719" spans="1:25" ht="18" customHeight="1" x14ac:dyDescent="0.2">
      <c r="A719" s="402">
        <v>746258</v>
      </c>
      <c r="B719" s="403"/>
      <c r="C719" s="404" t="s">
        <v>2418</v>
      </c>
      <c r="D719" s="405">
        <v>44271</v>
      </c>
      <c r="E719" s="406"/>
      <c r="F719" s="325"/>
      <c r="G719" s="324"/>
      <c r="H719" s="324"/>
      <c r="I719" s="325"/>
      <c r="J719" s="325">
        <v>14626</v>
      </c>
      <c r="K719" s="325">
        <f t="shared" si="190"/>
        <v>0</v>
      </c>
      <c r="L719" s="325">
        <f t="shared" si="191"/>
        <v>0</v>
      </c>
      <c r="M719" s="407">
        <v>50</v>
      </c>
      <c r="N719" s="408" t="s">
        <v>289</v>
      </c>
      <c r="O719" s="325">
        <f t="shared" si="192"/>
        <v>0</v>
      </c>
      <c r="P719" s="325">
        <f t="shared" si="193"/>
        <v>0</v>
      </c>
      <c r="Q719" s="325">
        <f t="shared" si="194"/>
        <v>0</v>
      </c>
      <c r="R719" s="325">
        <f t="shared" si="186"/>
        <v>2123</v>
      </c>
      <c r="S719" s="325">
        <f t="shared" si="187"/>
        <v>0</v>
      </c>
      <c r="T719" s="325">
        <f t="shared" si="197"/>
        <v>2123</v>
      </c>
      <c r="U719" s="325">
        <f t="shared" si="198"/>
        <v>12503</v>
      </c>
      <c r="V719" s="325">
        <f t="shared" si="189"/>
        <v>0</v>
      </c>
      <c r="W719" s="449" cm="1">
        <f t="array" ref="W719">+IF(U719&lt;0,error,0)</f>
        <v>0</v>
      </c>
    </row>
    <row r="720" spans="1:25" ht="18" customHeight="1" x14ac:dyDescent="0.2">
      <c r="A720" s="402">
        <v>746259</v>
      </c>
      <c r="B720" s="403"/>
      <c r="C720" s="404" t="s">
        <v>2420</v>
      </c>
      <c r="D720" s="405">
        <v>44274</v>
      </c>
      <c r="E720" s="406"/>
      <c r="F720" s="325"/>
      <c r="G720" s="324"/>
      <c r="H720" s="324"/>
      <c r="I720" s="325"/>
      <c r="J720" s="325">
        <v>18581.25</v>
      </c>
      <c r="K720" s="325">
        <f t="shared" si="190"/>
        <v>0</v>
      </c>
      <c r="L720" s="325">
        <f t="shared" si="191"/>
        <v>0</v>
      </c>
      <c r="M720" s="407">
        <v>50</v>
      </c>
      <c r="N720" s="408" t="s">
        <v>289</v>
      </c>
      <c r="O720" s="325">
        <f t="shared" si="192"/>
        <v>0</v>
      </c>
      <c r="P720" s="325">
        <f t="shared" si="193"/>
        <v>0</v>
      </c>
      <c r="Q720" s="325">
        <f t="shared" si="194"/>
        <v>0</v>
      </c>
      <c r="R720" s="325">
        <f t="shared" si="186"/>
        <v>2621</v>
      </c>
      <c r="S720" s="325">
        <f t="shared" si="187"/>
        <v>0</v>
      </c>
      <c r="T720" s="325">
        <f t="shared" si="197"/>
        <v>2621</v>
      </c>
      <c r="U720" s="325">
        <f t="shared" si="198"/>
        <v>15960.25</v>
      </c>
      <c r="V720" s="325">
        <f t="shared" si="189"/>
        <v>0</v>
      </c>
      <c r="W720" s="449" cm="1">
        <f t="array" ref="W720">+IF(U720&lt;0,error,0)</f>
        <v>0</v>
      </c>
      <c r="Y720" s="494"/>
    </row>
    <row r="721" spans="1:27" ht="18" customHeight="1" x14ac:dyDescent="0.2">
      <c r="A721" s="402">
        <v>746260</v>
      </c>
      <c r="B721" s="403"/>
      <c r="C721" s="404" t="s">
        <v>2421</v>
      </c>
      <c r="D721" s="405">
        <v>44274</v>
      </c>
      <c r="E721" s="406"/>
      <c r="F721" s="325"/>
      <c r="G721" s="324"/>
      <c r="H721" s="324"/>
      <c r="I721" s="325"/>
      <c r="J721" s="325">
        <v>23880</v>
      </c>
      <c r="K721" s="325">
        <f t="shared" si="190"/>
        <v>0</v>
      </c>
      <c r="L721" s="325">
        <f t="shared" si="191"/>
        <v>0</v>
      </c>
      <c r="M721" s="407">
        <v>50</v>
      </c>
      <c r="N721" s="408" t="s">
        <v>289</v>
      </c>
      <c r="O721" s="325">
        <f t="shared" si="192"/>
        <v>0</v>
      </c>
      <c r="P721" s="325">
        <f t="shared" si="193"/>
        <v>0</v>
      </c>
      <c r="Q721" s="325">
        <f t="shared" si="194"/>
        <v>0</v>
      </c>
      <c r="R721" s="325">
        <f t="shared" si="186"/>
        <v>3369</v>
      </c>
      <c r="S721" s="325">
        <f t="shared" si="187"/>
        <v>0</v>
      </c>
      <c r="T721" s="325">
        <f t="shared" si="197"/>
        <v>3369</v>
      </c>
      <c r="U721" s="325">
        <f t="shared" si="198"/>
        <v>20511</v>
      </c>
      <c r="V721" s="325">
        <f t="shared" si="189"/>
        <v>0</v>
      </c>
      <c r="W721" s="449" cm="1">
        <f t="array" ref="W721">+IF(U721&lt;0,error,0)</f>
        <v>0</v>
      </c>
    </row>
    <row r="722" spans="1:27" ht="18" customHeight="1" x14ac:dyDescent="0.2">
      <c r="A722" s="402">
        <v>746261</v>
      </c>
      <c r="B722" s="403"/>
      <c r="C722" s="404" t="s">
        <v>2422</v>
      </c>
      <c r="D722" s="405">
        <v>44287</v>
      </c>
      <c r="E722" s="406"/>
      <c r="F722" s="325"/>
      <c r="G722" s="324"/>
      <c r="H722" s="324"/>
      <c r="I722" s="325"/>
      <c r="J722" s="325">
        <v>67578.14</v>
      </c>
      <c r="K722" s="325">
        <f t="shared" ref="K722" si="199">INT(IF($E722&gt;0,IF(+F722-I722+Q722&lt;0,0,+F722-I722+Q722),0))</f>
        <v>0</v>
      </c>
      <c r="L722" s="325">
        <f t="shared" ref="L722" si="200">INT(IF($E722&gt;0,IF(K722=0,-F722+I722-Q722,0),0))</f>
        <v>0</v>
      </c>
      <c r="M722" s="407">
        <v>50</v>
      </c>
      <c r="N722" s="408" t="s">
        <v>289</v>
      </c>
      <c r="O722" s="325">
        <f t="shared" ref="O722" si="201">IF(E722&gt;0,INT(IF($N722="D",IF($D722&lt;$H$3,$I722*($M722/100)*((E722-$H$3)/365),$J722*($M722/100)*($J$3-$D722)/365),0)),0)</f>
        <v>0</v>
      </c>
      <c r="P722" s="325">
        <f t="shared" ref="P722" si="202">IF(E722&gt;0,INT(IF($N722="P",IF($D722&lt;$H$3,$H722*($M722/100)*(E722-$H$3)/365,$J722*($M722/100)*($J$3-$D722)/365),0)),0)</f>
        <v>0</v>
      </c>
      <c r="Q722" s="325">
        <f t="shared" ref="Q722" si="203">+O722+P722</f>
        <v>0</v>
      </c>
      <c r="R722" s="325">
        <f t="shared" si="186"/>
        <v>8331</v>
      </c>
      <c r="S722" s="325">
        <f t="shared" si="187"/>
        <v>0</v>
      </c>
      <c r="T722" s="325">
        <f t="shared" ref="T722" si="204">+R722+S722+Q722</f>
        <v>8331</v>
      </c>
      <c r="U722" s="325">
        <f t="shared" ref="U722" si="205">+I722+J722-T722-F722+K722-L722</f>
        <v>59247.14</v>
      </c>
      <c r="V722" s="325">
        <f t="shared" ref="V722" si="206">IF(E722&gt;0,+H722+J722,0)</f>
        <v>0</v>
      </c>
      <c r="W722" s="449" cm="1">
        <f t="array" ref="W722">+IF(U722&lt;0,error,0)</f>
        <v>0</v>
      </c>
    </row>
    <row r="723" spans="1:27" ht="18" customHeight="1" x14ac:dyDescent="0.2">
      <c r="A723" s="413"/>
      <c r="B723" s="414"/>
      <c r="C723" s="416"/>
      <c r="D723" s="416"/>
      <c r="E723" s="406"/>
      <c r="F723" s="325"/>
      <c r="G723" s="324"/>
      <c r="H723" s="324"/>
      <c r="I723" s="333"/>
      <c r="J723" s="333"/>
      <c r="K723" s="333"/>
      <c r="L723" s="333"/>
      <c r="M723" s="418"/>
      <c r="N723" s="408"/>
      <c r="O723" s="408"/>
      <c r="P723" s="333"/>
      <c r="Q723" s="333"/>
      <c r="R723" s="408"/>
      <c r="S723" s="333"/>
      <c r="T723" s="333"/>
      <c r="U723" s="333"/>
      <c r="V723" s="333"/>
      <c r="W723" s="449" cm="1">
        <f t="array" ref="W723">+IF(U723&lt;0,error,0)</f>
        <v>0</v>
      </c>
    </row>
    <row r="724" spans="1:27" ht="18" customHeight="1" x14ac:dyDescent="0.2">
      <c r="A724" s="413"/>
      <c r="B724" s="414"/>
      <c r="C724" s="415" t="s">
        <v>2043</v>
      </c>
      <c r="D724" s="416"/>
      <c r="E724" s="406"/>
      <c r="F724" s="325"/>
      <c r="G724" s="324"/>
      <c r="H724" s="417">
        <f>+J725-V725</f>
        <v>82364.050000000017</v>
      </c>
      <c r="I724" s="333"/>
      <c r="J724" s="333"/>
      <c r="K724" s="333"/>
      <c r="L724" s="333"/>
      <c r="M724" s="418"/>
      <c r="N724" s="408"/>
      <c r="O724" s="408"/>
      <c r="P724" s="333"/>
      <c r="Q724" s="333"/>
      <c r="R724" s="408"/>
      <c r="S724" s="333"/>
      <c r="T724" s="333"/>
      <c r="U724" s="333"/>
      <c r="V724" s="333"/>
      <c r="W724" s="449" cm="1">
        <f t="array" ref="W724">+IF(U724&lt;0,error,0)</f>
        <v>0</v>
      </c>
    </row>
    <row r="725" spans="1:27" s="347" customFormat="1" ht="18" customHeight="1" x14ac:dyDescent="0.2">
      <c r="A725" s="420"/>
      <c r="B725" s="421"/>
      <c r="C725" s="415" t="s">
        <v>1656</v>
      </c>
      <c r="D725" s="415"/>
      <c r="E725" s="429"/>
      <c r="F725" s="417">
        <f>SUM(F558:F723)</f>
        <v>3077.2799999999997</v>
      </c>
      <c r="G725" s="417">
        <f>SUM(G558:G723)</f>
        <v>66748.34</v>
      </c>
      <c r="H725" s="417">
        <f>SUM(H558:H724)</f>
        <v>1953369.7251748252</v>
      </c>
      <c r="I725" s="417">
        <f>SUM(I558:I723)</f>
        <v>445651.18202797201</v>
      </c>
      <c r="J725" s="334">
        <f>SUM(J558:J723)</f>
        <v>149112.39000000001</v>
      </c>
      <c r="K725" s="417">
        <f>SUM(K558:K723)</f>
        <v>2979.2799999999997</v>
      </c>
      <c r="L725" s="334">
        <f>SUM(L558:L723)</f>
        <v>0</v>
      </c>
      <c r="M725" s="450"/>
      <c r="N725" s="426"/>
      <c r="O725" s="334">
        <f>SUM(O558:O723)</f>
        <v>19</v>
      </c>
      <c r="P725" s="334">
        <f>SUM(P558:P723)</f>
        <v>0</v>
      </c>
      <c r="Q725" s="334"/>
      <c r="R725" s="334">
        <f>SUM(R558:R723)</f>
        <v>131846</v>
      </c>
      <c r="S725" s="334">
        <f>SUM(S558:S723)</f>
        <v>0</v>
      </c>
      <c r="T725" s="417">
        <f>SUM(T558:T723)</f>
        <v>131865</v>
      </c>
      <c r="U725" s="417">
        <f>SUM(U558:U723)</f>
        <v>462800.57202797203</v>
      </c>
      <c r="V725" s="417">
        <f>SUM(V558:V723)</f>
        <v>66748.34</v>
      </c>
      <c r="W725" s="449" cm="1">
        <f t="array" ref="W725">+IF(U725&lt;0,error,0)</f>
        <v>0</v>
      </c>
      <c r="X725" s="427"/>
      <c r="Y725" s="445">
        <f>1953369.73-1490569.16</f>
        <v>462800.57000000007</v>
      </c>
      <c r="Z725" s="445">
        <f>+U725-Y725</f>
        <v>2.0279719610698521E-3</v>
      </c>
      <c r="AA725" s="445"/>
    </row>
    <row r="726" spans="1:27" ht="18" customHeight="1" x14ac:dyDescent="0.2">
      <c r="A726" s="413"/>
      <c r="B726" s="414"/>
      <c r="C726" s="416"/>
      <c r="D726" s="416"/>
      <c r="E726" s="406"/>
      <c r="F726" s="325"/>
      <c r="G726" s="324"/>
      <c r="H726" s="324"/>
      <c r="I726" s="325"/>
      <c r="J726" s="325"/>
      <c r="K726" s="325"/>
      <c r="L726" s="325"/>
      <c r="M726" s="451"/>
      <c r="N726" s="452"/>
      <c r="O726" s="334">
        <v>7157</v>
      </c>
      <c r="P726" s="334">
        <v>0</v>
      </c>
      <c r="Q726" s="334"/>
      <c r="R726" s="334">
        <v>102573</v>
      </c>
      <c r="S726" s="334">
        <v>0</v>
      </c>
      <c r="T726" s="334"/>
      <c r="U726" s="325"/>
      <c r="V726" s="325"/>
      <c r="W726" s="449" cm="1">
        <f t="array" ref="W726">+IF(U726&lt;0,error,0)</f>
        <v>0</v>
      </c>
    </row>
    <row r="727" spans="1:27" ht="18" customHeight="1" x14ac:dyDescent="0.2">
      <c r="A727" s="432" t="s">
        <v>1576</v>
      </c>
      <c r="B727" s="433"/>
      <c r="C727" s="416"/>
      <c r="D727" s="415"/>
      <c r="E727" s="429"/>
      <c r="F727" s="334"/>
      <c r="G727" s="417"/>
      <c r="H727" s="417"/>
      <c r="I727" s="334"/>
      <c r="J727" s="334"/>
      <c r="K727" s="334"/>
      <c r="L727" s="334"/>
      <c r="M727" s="415"/>
      <c r="N727" s="446"/>
      <c r="O727" s="446"/>
      <c r="P727" s="334"/>
      <c r="Q727" s="334"/>
      <c r="R727" s="446"/>
      <c r="S727" s="334"/>
      <c r="T727" s="334"/>
      <c r="U727" s="333"/>
      <c r="V727" s="333"/>
      <c r="W727" s="449" cm="1">
        <f t="array" ref="W727">+IF(U727&lt;0,error,0)</f>
        <v>0</v>
      </c>
      <c r="Y727" s="447"/>
      <c r="Z727" s="447"/>
    </row>
    <row r="728" spans="1:27" ht="18" customHeight="1" x14ac:dyDescent="0.2">
      <c r="A728" s="437" t="s">
        <v>1577</v>
      </c>
      <c r="B728" s="453"/>
      <c r="C728" s="416"/>
      <c r="D728" s="428"/>
      <c r="E728" s="434"/>
      <c r="F728" s="336"/>
      <c r="G728" s="435"/>
      <c r="H728" s="435"/>
      <c r="I728" s="337"/>
      <c r="J728" s="337"/>
      <c r="K728" s="337"/>
      <c r="L728" s="337"/>
      <c r="M728" s="422"/>
      <c r="N728" s="436"/>
      <c r="O728" s="436"/>
      <c r="P728" s="337"/>
      <c r="Q728" s="337"/>
      <c r="R728" s="436"/>
      <c r="S728" s="337"/>
      <c r="T728" s="337"/>
      <c r="U728" s="333"/>
      <c r="V728" s="333"/>
      <c r="W728" s="449" cm="1">
        <f t="array" ref="W728">+IF(U728&lt;0,error,0)</f>
        <v>0</v>
      </c>
      <c r="Y728" s="494"/>
    </row>
    <row r="729" spans="1:27" ht="18" customHeight="1" x14ac:dyDescent="0.2">
      <c r="A729" s="402" t="s">
        <v>1578</v>
      </c>
      <c r="B729" s="403"/>
      <c r="C729" s="404" t="s">
        <v>1579</v>
      </c>
      <c r="D729" s="405">
        <v>41281</v>
      </c>
      <c r="E729" s="406"/>
      <c r="F729" s="325"/>
      <c r="G729" s="324"/>
      <c r="H729" s="324">
        <v>6450</v>
      </c>
      <c r="I729" s="325">
        <v>1692</v>
      </c>
      <c r="J729" s="325"/>
      <c r="K729" s="325">
        <f t="shared" ref="K729:K758" si="207">INT(IF($E729&gt;0,IF(+F729-I729+Q729&lt;0,0,+F729-I729+Q729),0))</f>
        <v>0</v>
      </c>
      <c r="L729" s="325">
        <f t="shared" ref="L729:L758" si="208">INT(IF($E729&gt;0,IF(K729=0,-F729+I729-Q729,0),0))</f>
        <v>0</v>
      </c>
      <c r="M729" s="407">
        <v>20</v>
      </c>
      <c r="N729" s="408" t="s">
        <v>289</v>
      </c>
      <c r="O729" s="325">
        <f t="shared" ref="O729:O758" si="209">IF(E729&gt;0,INT(IF($N729="D",IF($D729&lt;$H$3,$I729*($M729/100)*((E729-$H$3)/365),$J729*($M729/100)*($J$3-$D729)/365),0)),0)</f>
        <v>0</v>
      </c>
      <c r="P729" s="325">
        <f t="shared" ref="P729:P758" si="210">IF(E729&gt;0,INT(IF($N729="P",IF($D729&lt;$H$3,$H729*($M729/100)*(E729-$H$3)/365,$J729*($M729/100)*($J$3-$D729)/365),0)),0)</f>
        <v>0</v>
      </c>
      <c r="Q729" s="325">
        <f t="shared" ref="Q729:Q758" si="211">+O729+P729</f>
        <v>0</v>
      </c>
      <c r="R729" s="325">
        <f t="shared" ref="R729:R758" si="212">INT(IF($E729&gt;0,0,(IF($N729="D",IF($D729&lt;$H$3,$I729*($M729/100)*$U$3/12,$J729*($M729/100)*($J$3-$D729)/365),0))))</f>
        <v>169</v>
      </c>
      <c r="S729" s="325">
        <f t="shared" ref="S729:S758" si="213">INT(IF($E729&gt;0,0,(IF($N729="P",IF($D729&lt;$H$3,$H729*($M729/100)*$U$3/12,$J729*($M729/100)*($J$3-$D729)/365),0))))</f>
        <v>0</v>
      </c>
      <c r="T729" s="325">
        <f t="shared" ref="T729" si="214">+R729+S729+Q729</f>
        <v>169</v>
      </c>
      <c r="U729" s="325">
        <f t="shared" ref="U729:U754" si="215">+I729+J729-T729-F729+K729-L729</f>
        <v>1523</v>
      </c>
      <c r="V729" s="325">
        <f t="shared" ref="V729:V758" si="216">IF(E729&gt;0,+H729+J729,0)</f>
        <v>0</v>
      </c>
      <c r="W729" s="449" cm="1">
        <f t="array" ref="W729">+IF(U729&lt;0,error,0)</f>
        <v>0</v>
      </c>
    </row>
    <row r="730" spans="1:27" ht="18" customHeight="1" x14ac:dyDescent="0.2">
      <c r="A730" s="402" t="s">
        <v>1580</v>
      </c>
      <c r="B730" s="403"/>
      <c r="C730" s="404" t="s">
        <v>1581</v>
      </c>
      <c r="D730" s="405">
        <v>41478</v>
      </c>
      <c r="E730" s="406"/>
      <c r="F730" s="325"/>
      <c r="G730" s="324"/>
      <c r="H730" s="324">
        <v>679.09</v>
      </c>
      <c r="I730" s="325">
        <v>0</v>
      </c>
      <c r="J730" s="325"/>
      <c r="K730" s="325">
        <f t="shared" si="207"/>
        <v>0</v>
      </c>
      <c r="L730" s="325">
        <f t="shared" si="208"/>
        <v>0</v>
      </c>
      <c r="M730" s="407">
        <v>50</v>
      </c>
      <c r="N730" s="408" t="s">
        <v>289</v>
      </c>
      <c r="O730" s="325">
        <f t="shared" si="209"/>
        <v>0</v>
      </c>
      <c r="P730" s="325">
        <f t="shared" si="210"/>
        <v>0</v>
      </c>
      <c r="Q730" s="325">
        <f t="shared" si="211"/>
        <v>0</v>
      </c>
      <c r="R730" s="325">
        <f t="shared" si="212"/>
        <v>0</v>
      </c>
      <c r="S730" s="325">
        <f t="shared" si="213"/>
        <v>0</v>
      </c>
      <c r="T730" s="325">
        <v>0</v>
      </c>
      <c r="U730" s="325">
        <f t="shared" si="215"/>
        <v>0</v>
      </c>
      <c r="V730" s="325">
        <f t="shared" si="216"/>
        <v>0</v>
      </c>
      <c r="W730" s="449" cm="1">
        <f t="array" ref="W730">+IF(U730&lt;0,error,0)</f>
        <v>0</v>
      </c>
    </row>
    <row r="731" spans="1:27" ht="18" customHeight="1" x14ac:dyDescent="0.2">
      <c r="A731" s="402" t="s">
        <v>1582</v>
      </c>
      <c r="B731" s="403"/>
      <c r="C731" s="404" t="s">
        <v>1583</v>
      </c>
      <c r="D731" s="405">
        <v>41688</v>
      </c>
      <c r="E731" s="406"/>
      <c r="F731" s="325"/>
      <c r="G731" s="324"/>
      <c r="H731" s="324">
        <v>1363.64</v>
      </c>
      <c r="I731" s="325">
        <v>130.64000000000001</v>
      </c>
      <c r="J731" s="325"/>
      <c r="K731" s="325">
        <f t="shared" si="207"/>
        <v>0</v>
      </c>
      <c r="L731" s="325">
        <f t="shared" si="208"/>
        <v>0</v>
      </c>
      <c r="M731" s="407">
        <v>30</v>
      </c>
      <c r="N731" s="408" t="s">
        <v>289</v>
      </c>
      <c r="O731" s="325">
        <f t="shared" si="209"/>
        <v>0</v>
      </c>
      <c r="P731" s="325">
        <f t="shared" si="210"/>
        <v>0</v>
      </c>
      <c r="Q731" s="325">
        <f t="shared" si="211"/>
        <v>0</v>
      </c>
      <c r="R731" s="325">
        <f t="shared" si="212"/>
        <v>19</v>
      </c>
      <c r="S731" s="325">
        <f t="shared" si="213"/>
        <v>0</v>
      </c>
      <c r="T731" s="325">
        <f t="shared" ref="T731:T758" si="217">+R731+S731+Q731</f>
        <v>19</v>
      </c>
      <c r="U731" s="325">
        <f t="shared" si="215"/>
        <v>111.64000000000001</v>
      </c>
      <c r="V731" s="325">
        <f t="shared" si="216"/>
        <v>0</v>
      </c>
      <c r="W731" s="449" cm="1">
        <f t="array" ref="W731">+IF(U731&lt;0,error,0)</f>
        <v>0</v>
      </c>
    </row>
    <row r="732" spans="1:27" ht="18" customHeight="1" x14ac:dyDescent="0.2">
      <c r="A732" s="402" t="s">
        <v>1584</v>
      </c>
      <c r="B732" s="403"/>
      <c r="C732" s="404" t="s">
        <v>1585</v>
      </c>
      <c r="D732" s="405">
        <v>42149</v>
      </c>
      <c r="E732" s="406"/>
      <c r="F732" s="325"/>
      <c r="G732" s="324"/>
      <c r="H732" s="324">
        <v>1522.73</v>
      </c>
      <c r="I732" s="325">
        <v>8.730000000000004</v>
      </c>
      <c r="J732" s="325"/>
      <c r="K732" s="325">
        <f t="shared" si="207"/>
        <v>0</v>
      </c>
      <c r="L732" s="325">
        <f t="shared" si="208"/>
        <v>0</v>
      </c>
      <c r="M732" s="407">
        <v>66.67</v>
      </c>
      <c r="N732" s="408" t="s">
        <v>289</v>
      </c>
      <c r="O732" s="325">
        <f t="shared" si="209"/>
        <v>0</v>
      </c>
      <c r="P732" s="325">
        <f t="shared" si="210"/>
        <v>0</v>
      </c>
      <c r="Q732" s="325">
        <f t="shared" si="211"/>
        <v>0</v>
      </c>
      <c r="R732" s="325">
        <f t="shared" si="212"/>
        <v>2</v>
      </c>
      <c r="S732" s="325">
        <f t="shared" si="213"/>
        <v>0</v>
      </c>
      <c r="T732" s="325">
        <f t="shared" si="217"/>
        <v>2</v>
      </c>
      <c r="U732" s="325">
        <f t="shared" si="215"/>
        <v>6.730000000000004</v>
      </c>
      <c r="V732" s="325">
        <f t="shared" si="216"/>
        <v>0</v>
      </c>
      <c r="W732" s="449" cm="1">
        <f t="array" ref="W732">+IF(U732&lt;0,error,0)</f>
        <v>0</v>
      </c>
    </row>
    <row r="733" spans="1:27" ht="18" customHeight="1" x14ac:dyDescent="0.2">
      <c r="A733" s="402" t="s">
        <v>1586</v>
      </c>
      <c r="B733" s="403"/>
      <c r="C733" s="404" t="s">
        <v>1587</v>
      </c>
      <c r="D733" s="405">
        <v>42242</v>
      </c>
      <c r="E733" s="406"/>
      <c r="F733" s="325"/>
      <c r="G733" s="324"/>
      <c r="H733" s="324">
        <v>1145.4000000000001</v>
      </c>
      <c r="I733" s="325">
        <v>0</v>
      </c>
      <c r="J733" s="325"/>
      <c r="K733" s="325">
        <f t="shared" si="207"/>
        <v>0</v>
      </c>
      <c r="L733" s="325">
        <f t="shared" si="208"/>
        <v>0</v>
      </c>
      <c r="M733" s="407">
        <v>100</v>
      </c>
      <c r="N733" s="408" t="s">
        <v>289</v>
      </c>
      <c r="O733" s="325">
        <f t="shared" si="209"/>
        <v>0</v>
      </c>
      <c r="P733" s="325">
        <f t="shared" si="210"/>
        <v>0</v>
      </c>
      <c r="Q733" s="325">
        <f t="shared" si="211"/>
        <v>0</v>
      </c>
      <c r="R733" s="325">
        <f t="shared" si="212"/>
        <v>0</v>
      </c>
      <c r="S733" s="325">
        <f t="shared" si="213"/>
        <v>0</v>
      </c>
      <c r="T733" s="325">
        <f t="shared" si="217"/>
        <v>0</v>
      </c>
      <c r="U733" s="325">
        <f t="shared" si="215"/>
        <v>0</v>
      </c>
      <c r="V733" s="325">
        <f t="shared" si="216"/>
        <v>0</v>
      </c>
      <c r="W733" s="449" cm="1">
        <f t="array" ref="W733">+IF(U733&lt;0,error,0)</f>
        <v>0</v>
      </c>
    </row>
    <row r="734" spans="1:27" ht="18" customHeight="1" x14ac:dyDescent="0.2">
      <c r="A734" s="402" t="s">
        <v>1588</v>
      </c>
      <c r="B734" s="403"/>
      <c r="C734" s="404" t="s">
        <v>1589</v>
      </c>
      <c r="D734" s="405">
        <v>42392</v>
      </c>
      <c r="E734" s="406"/>
      <c r="F734" s="325"/>
      <c r="G734" s="324"/>
      <c r="H734" s="324">
        <v>2229.09</v>
      </c>
      <c r="I734" s="325">
        <v>770.08999999999992</v>
      </c>
      <c r="J734" s="325"/>
      <c r="K734" s="325">
        <f t="shared" si="207"/>
        <v>0</v>
      </c>
      <c r="L734" s="325">
        <f t="shared" si="208"/>
        <v>0</v>
      </c>
      <c r="M734" s="407">
        <v>20</v>
      </c>
      <c r="N734" s="408" t="s">
        <v>289</v>
      </c>
      <c r="O734" s="325">
        <f t="shared" si="209"/>
        <v>0</v>
      </c>
      <c r="P734" s="325">
        <f t="shared" si="210"/>
        <v>0</v>
      </c>
      <c r="Q734" s="325">
        <f t="shared" si="211"/>
        <v>0</v>
      </c>
      <c r="R734" s="325">
        <f t="shared" si="212"/>
        <v>77</v>
      </c>
      <c r="S734" s="325">
        <f t="shared" si="213"/>
        <v>0</v>
      </c>
      <c r="T734" s="325">
        <f t="shared" si="217"/>
        <v>77</v>
      </c>
      <c r="U734" s="325">
        <f t="shared" si="215"/>
        <v>693.08999999999992</v>
      </c>
      <c r="V734" s="325">
        <f t="shared" si="216"/>
        <v>0</v>
      </c>
      <c r="W734" s="449" cm="1">
        <f t="array" ref="W734">+IF(U734&lt;0,error,0)</f>
        <v>0</v>
      </c>
    </row>
    <row r="735" spans="1:27" ht="18" customHeight="1" x14ac:dyDescent="0.2">
      <c r="A735" s="402" t="s">
        <v>1590</v>
      </c>
      <c r="B735" s="403"/>
      <c r="C735" s="404" t="s">
        <v>1591</v>
      </c>
      <c r="D735" s="405">
        <v>42513</v>
      </c>
      <c r="E735" s="406"/>
      <c r="F735" s="325"/>
      <c r="G735" s="324"/>
      <c r="H735" s="324">
        <v>796.36</v>
      </c>
      <c r="I735" s="325">
        <v>0</v>
      </c>
      <c r="J735" s="325"/>
      <c r="K735" s="325">
        <f t="shared" si="207"/>
        <v>0</v>
      </c>
      <c r="L735" s="325">
        <f t="shared" si="208"/>
        <v>0</v>
      </c>
      <c r="M735" s="407">
        <v>100</v>
      </c>
      <c r="N735" s="408" t="s">
        <v>289</v>
      </c>
      <c r="O735" s="325">
        <f t="shared" si="209"/>
        <v>0</v>
      </c>
      <c r="P735" s="325">
        <f t="shared" si="210"/>
        <v>0</v>
      </c>
      <c r="Q735" s="325">
        <f t="shared" si="211"/>
        <v>0</v>
      </c>
      <c r="R735" s="325">
        <f t="shared" si="212"/>
        <v>0</v>
      </c>
      <c r="S735" s="325">
        <f t="shared" si="213"/>
        <v>0</v>
      </c>
      <c r="T735" s="325">
        <f t="shared" si="217"/>
        <v>0</v>
      </c>
      <c r="U735" s="325">
        <f t="shared" si="215"/>
        <v>0</v>
      </c>
      <c r="V735" s="325">
        <f t="shared" si="216"/>
        <v>0</v>
      </c>
      <c r="W735" s="449" cm="1">
        <f t="array" ref="W735">+IF(U735&lt;0,error,0)</f>
        <v>0</v>
      </c>
    </row>
    <row r="736" spans="1:27" ht="18" customHeight="1" x14ac:dyDescent="0.2">
      <c r="A736" s="402" t="s">
        <v>1592</v>
      </c>
      <c r="B736" s="403"/>
      <c r="C736" s="404" t="s">
        <v>1593</v>
      </c>
      <c r="D736" s="405">
        <v>42355</v>
      </c>
      <c r="E736" s="406"/>
      <c r="F736" s="325"/>
      <c r="G736" s="324"/>
      <c r="H736" s="324">
        <v>2499.0500000000002</v>
      </c>
      <c r="I736" s="325">
        <v>0</v>
      </c>
      <c r="J736" s="325"/>
      <c r="K736" s="325">
        <f t="shared" si="207"/>
        <v>0</v>
      </c>
      <c r="L736" s="325">
        <f t="shared" si="208"/>
        <v>0</v>
      </c>
      <c r="M736" s="407">
        <v>100</v>
      </c>
      <c r="N736" s="408" t="s">
        <v>289</v>
      </c>
      <c r="O736" s="325">
        <f t="shared" si="209"/>
        <v>0</v>
      </c>
      <c r="P736" s="325">
        <f t="shared" si="210"/>
        <v>0</v>
      </c>
      <c r="Q736" s="325">
        <f t="shared" si="211"/>
        <v>0</v>
      </c>
      <c r="R736" s="325">
        <f t="shared" si="212"/>
        <v>0</v>
      </c>
      <c r="S736" s="325">
        <f t="shared" si="213"/>
        <v>0</v>
      </c>
      <c r="T736" s="325">
        <f t="shared" si="217"/>
        <v>0</v>
      </c>
      <c r="U736" s="325">
        <f t="shared" si="215"/>
        <v>0</v>
      </c>
      <c r="V736" s="325">
        <f t="shared" si="216"/>
        <v>0</v>
      </c>
      <c r="W736" s="449" cm="1">
        <f t="array" ref="W736">+IF(U736&lt;0,error,0)</f>
        <v>0</v>
      </c>
    </row>
    <row r="737" spans="1:23" ht="18" customHeight="1" x14ac:dyDescent="0.2">
      <c r="A737" s="402" t="s">
        <v>1594</v>
      </c>
      <c r="B737" s="403"/>
      <c r="C737" s="404" t="s">
        <v>1595</v>
      </c>
      <c r="D737" s="405">
        <v>42772</v>
      </c>
      <c r="E737" s="406"/>
      <c r="F737" s="325"/>
      <c r="G737" s="324"/>
      <c r="H737" s="324">
        <v>1352.73</v>
      </c>
      <c r="I737" s="325">
        <v>0</v>
      </c>
      <c r="J737" s="325"/>
      <c r="K737" s="325">
        <f t="shared" si="207"/>
        <v>0</v>
      </c>
      <c r="L737" s="325">
        <f t="shared" si="208"/>
        <v>0</v>
      </c>
      <c r="M737" s="407">
        <v>100</v>
      </c>
      <c r="N737" s="408" t="s">
        <v>289</v>
      </c>
      <c r="O737" s="325">
        <f t="shared" si="209"/>
        <v>0</v>
      </c>
      <c r="P737" s="325">
        <f t="shared" si="210"/>
        <v>0</v>
      </c>
      <c r="Q737" s="325">
        <f t="shared" si="211"/>
        <v>0</v>
      </c>
      <c r="R737" s="325">
        <f t="shared" si="212"/>
        <v>0</v>
      </c>
      <c r="S737" s="325">
        <f t="shared" si="213"/>
        <v>0</v>
      </c>
      <c r="T737" s="325">
        <f t="shared" si="217"/>
        <v>0</v>
      </c>
      <c r="U737" s="325">
        <f t="shared" si="215"/>
        <v>0</v>
      </c>
      <c r="V737" s="325">
        <f t="shared" si="216"/>
        <v>0</v>
      </c>
      <c r="W737" s="449" cm="1">
        <f t="array" ref="W737">+IF(U737&lt;0,error,0)</f>
        <v>0</v>
      </c>
    </row>
    <row r="738" spans="1:23" ht="18" customHeight="1" x14ac:dyDescent="0.2">
      <c r="A738" s="402" t="s">
        <v>1596</v>
      </c>
      <c r="B738" s="403"/>
      <c r="C738" s="404" t="s">
        <v>1597</v>
      </c>
      <c r="D738" s="405">
        <v>42809</v>
      </c>
      <c r="E738" s="406"/>
      <c r="F738" s="325"/>
      <c r="G738" s="324"/>
      <c r="H738" s="324">
        <v>710.91</v>
      </c>
      <c r="I738" s="325">
        <v>0</v>
      </c>
      <c r="J738" s="325"/>
      <c r="K738" s="325">
        <f t="shared" si="207"/>
        <v>0</v>
      </c>
      <c r="L738" s="325">
        <f t="shared" si="208"/>
        <v>0</v>
      </c>
      <c r="M738" s="407">
        <v>100</v>
      </c>
      <c r="N738" s="408" t="s">
        <v>289</v>
      </c>
      <c r="O738" s="325">
        <f t="shared" si="209"/>
        <v>0</v>
      </c>
      <c r="P738" s="325">
        <f t="shared" si="210"/>
        <v>0</v>
      </c>
      <c r="Q738" s="325">
        <f t="shared" si="211"/>
        <v>0</v>
      </c>
      <c r="R738" s="325">
        <f t="shared" si="212"/>
        <v>0</v>
      </c>
      <c r="S738" s="325">
        <f t="shared" si="213"/>
        <v>0</v>
      </c>
      <c r="T738" s="325">
        <f t="shared" si="217"/>
        <v>0</v>
      </c>
      <c r="U738" s="325">
        <f t="shared" si="215"/>
        <v>0</v>
      </c>
      <c r="V738" s="325">
        <f t="shared" si="216"/>
        <v>0</v>
      </c>
      <c r="W738" s="449" cm="1">
        <f t="array" ref="W738">+IF(U738&lt;0,error,0)</f>
        <v>0</v>
      </c>
    </row>
    <row r="739" spans="1:23" ht="18" customHeight="1" x14ac:dyDescent="0.2">
      <c r="A739" s="402" t="s">
        <v>1598</v>
      </c>
      <c r="B739" s="403"/>
      <c r="C739" s="411" t="s">
        <v>1599</v>
      </c>
      <c r="D739" s="405">
        <v>42809</v>
      </c>
      <c r="E739" s="406"/>
      <c r="F739" s="325"/>
      <c r="G739" s="324"/>
      <c r="H739" s="324">
        <v>1632.73</v>
      </c>
      <c r="I739" s="325">
        <v>0</v>
      </c>
      <c r="J739" s="325"/>
      <c r="K739" s="325">
        <f t="shared" si="207"/>
        <v>0</v>
      </c>
      <c r="L739" s="325">
        <f t="shared" si="208"/>
        <v>0</v>
      </c>
      <c r="M739" s="407">
        <v>100</v>
      </c>
      <c r="N739" s="408" t="s">
        <v>289</v>
      </c>
      <c r="O739" s="325">
        <f t="shared" si="209"/>
        <v>0</v>
      </c>
      <c r="P739" s="325">
        <f t="shared" si="210"/>
        <v>0</v>
      </c>
      <c r="Q739" s="325">
        <f t="shared" si="211"/>
        <v>0</v>
      </c>
      <c r="R739" s="325">
        <f t="shared" si="212"/>
        <v>0</v>
      </c>
      <c r="S739" s="325">
        <f t="shared" si="213"/>
        <v>0</v>
      </c>
      <c r="T739" s="325">
        <f t="shared" si="217"/>
        <v>0</v>
      </c>
      <c r="U739" s="325">
        <f t="shared" si="215"/>
        <v>0</v>
      </c>
      <c r="V739" s="325">
        <f t="shared" si="216"/>
        <v>0</v>
      </c>
      <c r="W739" s="449" cm="1">
        <f t="array" ref="W739">+IF(U739&lt;0,error,0)</f>
        <v>0</v>
      </c>
    </row>
    <row r="740" spans="1:23" ht="18" customHeight="1" x14ac:dyDescent="0.2">
      <c r="A740" s="402" t="s">
        <v>1600</v>
      </c>
      <c r="B740" s="403"/>
      <c r="C740" s="404" t="s">
        <v>1601</v>
      </c>
      <c r="D740" s="405">
        <v>42873</v>
      </c>
      <c r="E740" s="406"/>
      <c r="F740" s="325"/>
      <c r="G740" s="324"/>
      <c r="H740" s="324">
        <v>526.36</v>
      </c>
      <c r="I740" s="325">
        <v>0</v>
      </c>
      <c r="J740" s="325"/>
      <c r="K740" s="325">
        <f t="shared" si="207"/>
        <v>0</v>
      </c>
      <c r="L740" s="325">
        <f t="shared" si="208"/>
        <v>0</v>
      </c>
      <c r="M740" s="407">
        <v>100</v>
      </c>
      <c r="N740" s="408" t="s">
        <v>289</v>
      </c>
      <c r="O740" s="325">
        <f t="shared" si="209"/>
        <v>0</v>
      </c>
      <c r="P740" s="325">
        <f t="shared" si="210"/>
        <v>0</v>
      </c>
      <c r="Q740" s="325">
        <f t="shared" si="211"/>
        <v>0</v>
      </c>
      <c r="R740" s="325">
        <f t="shared" si="212"/>
        <v>0</v>
      </c>
      <c r="S740" s="325">
        <f t="shared" si="213"/>
        <v>0</v>
      </c>
      <c r="T740" s="325">
        <f t="shared" si="217"/>
        <v>0</v>
      </c>
      <c r="U740" s="325">
        <f t="shared" si="215"/>
        <v>0</v>
      </c>
      <c r="V740" s="325">
        <f t="shared" si="216"/>
        <v>0</v>
      </c>
      <c r="W740" s="449" cm="1">
        <f t="array" ref="W740">+IF(U740&lt;0,error,0)</f>
        <v>0</v>
      </c>
    </row>
    <row r="741" spans="1:23" ht="18" customHeight="1" x14ac:dyDescent="0.2">
      <c r="A741" s="402" t="s">
        <v>1602</v>
      </c>
      <c r="B741" s="403"/>
      <c r="C741" s="404" t="s">
        <v>1603</v>
      </c>
      <c r="D741" s="405">
        <v>43159</v>
      </c>
      <c r="E741" s="406"/>
      <c r="F741" s="325"/>
      <c r="G741" s="324"/>
      <c r="H741" s="324">
        <v>2550</v>
      </c>
      <c r="I741" s="325">
        <v>502</v>
      </c>
      <c r="J741" s="325"/>
      <c r="K741" s="325">
        <f t="shared" si="207"/>
        <v>0</v>
      </c>
      <c r="L741" s="325">
        <f t="shared" si="208"/>
        <v>0</v>
      </c>
      <c r="M741" s="407">
        <v>50</v>
      </c>
      <c r="N741" s="408" t="s">
        <v>289</v>
      </c>
      <c r="O741" s="325">
        <f t="shared" si="209"/>
        <v>0</v>
      </c>
      <c r="P741" s="325">
        <f t="shared" si="210"/>
        <v>0</v>
      </c>
      <c r="Q741" s="325">
        <f t="shared" si="211"/>
        <v>0</v>
      </c>
      <c r="R741" s="325">
        <f t="shared" si="212"/>
        <v>125</v>
      </c>
      <c r="S741" s="325">
        <f t="shared" si="213"/>
        <v>0</v>
      </c>
      <c r="T741" s="325">
        <f t="shared" si="217"/>
        <v>125</v>
      </c>
      <c r="U741" s="325">
        <f t="shared" si="215"/>
        <v>377</v>
      </c>
      <c r="V741" s="325">
        <f t="shared" si="216"/>
        <v>0</v>
      </c>
      <c r="W741" s="449" cm="1">
        <f t="array" ref="W741">+IF(U741&lt;0,error,0)</f>
        <v>0</v>
      </c>
    </row>
    <row r="742" spans="1:23" ht="18" customHeight="1" x14ac:dyDescent="0.2">
      <c r="A742" s="402" t="s">
        <v>1604</v>
      </c>
      <c r="B742" s="403"/>
      <c r="C742" s="404" t="s">
        <v>1605</v>
      </c>
      <c r="D742" s="405">
        <v>43300</v>
      </c>
      <c r="E742" s="406"/>
      <c r="F742" s="325"/>
      <c r="G742" s="324"/>
      <c r="H742" s="324">
        <v>2195.4500000000003</v>
      </c>
      <c r="I742" s="325">
        <v>1709.4499999999998</v>
      </c>
      <c r="J742" s="325"/>
      <c r="K742" s="325">
        <f t="shared" si="207"/>
        <v>0</v>
      </c>
      <c r="L742" s="325">
        <f t="shared" si="208"/>
        <v>0</v>
      </c>
      <c r="M742" s="407">
        <v>10</v>
      </c>
      <c r="N742" s="408" t="s">
        <v>289</v>
      </c>
      <c r="O742" s="325">
        <f t="shared" si="209"/>
        <v>0</v>
      </c>
      <c r="P742" s="325">
        <f t="shared" si="210"/>
        <v>0</v>
      </c>
      <c r="Q742" s="325">
        <f t="shared" si="211"/>
        <v>0</v>
      </c>
      <c r="R742" s="325">
        <f t="shared" si="212"/>
        <v>85</v>
      </c>
      <c r="S742" s="325">
        <f t="shared" si="213"/>
        <v>0</v>
      </c>
      <c r="T742" s="325">
        <f t="shared" si="217"/>
        <v>85</v>
      </c>
      <c r="U742" s="325">
        <f t="shared" si="215"/>
        <v>1624.4499999999998</v>
      </c>
      <c r="V742" s="325">
        <f t="shared" si="216"/>
        <v>0</v>
      </c>
      <c r="W742" s="449" cm="1">
        <f t="array" ref="W742">+IF(U742&lt;0,error,0)</f>
        <v>0</v>
      </c>
    </row>
    <row r="743" spans="1:23" ht="18" customHeight="1" x14ac:dyDescent="0.2">
      <c r="A743" s="402" t="s">
        <v>1606</v>
      </c>
      <c r="B743" s="403"/>
      <c r="C743" s="404" t="s">
        <v>1607</v>
      </c>
      <c r="D743" s="405">
        <v>43300</v>
      </c>
      <c r="E743" s="406"/>
      <c r="F743" s="325"/>
      <c r="G743" s="324"/>
      <c r="H743" s="324">
        <v>1240.9100000000001</v>
      </c>
      <c r="I743" s="325">
        <v>740.91000000000008</v>
      </c>
      <c r="J743" s="325"/>
      <c r="K743" s="325">
        <f t="shared" si="207"/>
        <v>0</v>
      </c>
      <c r="L743" s="325">
        <f t="shared" si="208"/>
        <v>0</v>
      </c>
      <c r="M743" s="407">
        <v>20</v>
      </c>
      <c r="N743" s="408" t="s">
        <v>289</v>
      </c>
      <c r="O743" s="325">
        <f t="shared" si="209"/>
        <v>0</v>
      </c>
      <c r="P743" s="325">
        <f t="shared" si="210"/>
        <v>0</v>
      </c>
      <c r="Q743" s="325">
        <f t="shared" si="211"/>
        <v>0</v>
      </c>
      <c r="R743" s="325">
        <f t="shared" si="212"/>
        <v>74</v>
      </c>
      <c r="S743" s="325">
        <f t="shared" si="213"/>
        <v>0</v>
      </c>
      <c r="T743" s="325">
        <f t="shared" si="217"/>
        <v>74</v>
      </c>
      <c r="U743" s="325">
        <f t="shared" si="215"/>
        <v>666.91000000000008</v>
      </c>
      <c r="V743" s="325">
        <f t="shared" si="216"/>
        <v>0</v>
      </c>
      <c r="W743" s="449" cm="1">
        <f t="array" ref="W743">+IF(U743&lt;0,error,0)</f>
        <v>0</v>
      </c>
    </row>
    <row r="744" spans="1:23" ht="18" customHeight="1" x14ac:dyDescent="0.2">
      <c r="A744" s="402" t="s">
        <v>1608</v>
      </c>
      <c r="B744" s="403"/>
      <c r="C744" s="404" t="s">
        <v>1609</v>
      </c>
      <c r="D744" s="405">
        <v>43300</v>
      </c>
      <c r="E744" s="406"/>
      <c r="F744" s="325"/>
      <c r="G744" s="324"/>
      <c r="H744" s="324">
        <v>95.460000000000008</v>
      </c>
      <c r="I744" s="325">
        <v>58.460000000000008</v>
      </c>
      <c r="J744" s="325"/>
      <c r="K744" s="325">
        <f t="shared" si="207"/>
        <v>0</v>
      </c>
      <c r="L744" s="325">
        <f t="shared" si="208"/>
        <v>0</v>
      </c>
      <c r="M744" s="407">
        <v>20</v>
      </c>
      <c r="N744" s="408" t="s">
        <v>289</v>
      </c>
      <c r="O744" s="325">
        <f t="shared" si="209"/>
        <v>0</v>
      </c>
      <c r="P744" s="325">
        <f t="shared" si="210"/>
        <v>0</v>
      </c>
      <c r="Q744" s="325">
        <f t="shared" si="211"/>
        <v>0</v>
      </c>
      <c r="R744" s="325">
        <f t="shared" si="212"/>
        <v>5</v>
      </c>
      <c r="S744" s="325">
        <f t="shared" si="213"/>
        <v>0</v>
      </c>
      <c r="T744" s="325">
        <f t="shared" si="217"/>
        <v>5</v>
      </c>
      <c r="U744" s="325">
        <f t="shared" si="215"/>
        <v>53.460000000000008</v>
      </c>
      <c r="V744" s="325">
        <f t="shared" si="216"/>
        <v>0</v>
      </c>
      <c r="W744" s="449" cm="1">
        <f t="array" ref="W744">+IF(U744&lt;0,error,0)</f>
        <v>0</v>
      </c>
    </row>
    <row r="745" spans="1:23" ht="18" customHeight="1" x14ac:dyDescent="0.2">
      <c r="A745" s="402" t="s">
        <v>1610</v>
      </c>
      <c r="B745" s="403"/>
      <c r="C745" s="411" t="s">
        <v>1611</v>
      </c>
      <c r="D745" s="405">
        <v>43300</v>
      </c>
      <c r="E745" s="406"/>
      <c r="F745" s="325"/>
      <c r="G745" s="324"/>
      <c r="H745" s="324">
        <v>663.63</v>
      </c>
      <c r="I745" s="325">
        <v>474.63</v>
      </c>
      <c r="J745" s="325"/>
      <c r="K745" s="325">
        <f t="shared" si="207"/>
        <v>0</v>
      </c>
      <c r="L745" s="325">
        <f t="shared" si="208"/>
        <v>0</v>
      </c>
      <c r="M745" s="407">
        <v>13.33</v>
      </c>
      <c r="N745" s="408" t="s">
        <v>289</v>
      </c>
      <c r="O745" s="325">
        <f t="shared" si="209"/>
        <v>0</v>
      </c>
      <c r="P745" s="325">
        <f t="shared" si="210"/>
        <v>0</v>
      </c>
      <c r="Q745" s="325">
        <f t="shared" si="211"/>
        <v>0</v>
      </c>
      <c r="R745" s="325">
        <f t="shared" si="212"/>
        <v>31</v>
      </c>
      <c r="S745" s="325">
        <f t="shared" si="213"/>
        <v>0</v>
      </c>
      <c r="T745" s="325">
        <f t="shared" si="217"/>
        <v>31</v>
      </c>
      <c r="U745" s="325">
        <f t="shared" si="215"/>
        <v>443.63</v>
      </c>
      <c r="V745" s="325">
        <f t="shared" si="216"/>
        <v>0</v>
      </c>
      <c r="W745" s="449" cm="1">
        <f t="array" ref="W745">+IF(U745&lt;0,error,0)</f>
        <v>0</v>
      </c>
    </row>
    <row r="746" spans="1:23" ht="18" customHeight="1" x14ac:dyDescent="0.2">
      <c r="A746" s="402" t="s">
        <v>1612</v>
      </c>
      <c r="B746" s="403"/>
      <c r="C746" s="411" t="s">
        <v>1613</v>
      </c>
      <c r="D746" s="405">
        <v>43300</v>
      </c>
      <c r="E746" s="406"/>
      <c r="F746" s="325"/>
      <c r="G746" s="324"/>
      <c r="H746" s="324">
        <v>777.28</v>
      </c>
      <c r="I746" s="325">
        <v>556.28</v>
      </c>
      <c r="J746" s="325"/>
      <c r="K746" s="325">
        <f t="shared" si="207"/>
        <v>0</v>
      </c>
      <c r="L746" s="325">
        <f t="shared" si="208"/>
        <v>0</v>
      </c>
      <c r="M746" s="407">
        <v>13.33</v>
      </c>
      <c r="N746" s="408" t="s">
        <v>289</v>
      </c>
      <c r="O746" s="325">
        <f t="shared" si="209"/>
        <v>0</v>
      </c>
      <c r="P746" s="325">
        <f t="shared" si="210"/>
        <v>0</v>
      </c>
      <c r="Q746" s="325">
        <f t="shared" si="211"/>
        <v>0</v>
      </c>
      <c r="R746" s="325">
        <f t="shared" si="212"/>
        <v>37</v>
      </c>
      <c r="S746" s="325">
        <f t="shared" si="213"/>
        <v>0</v>
      </c>
      <c r="T746" s="325">
        <f t="shared" si="217"/>
        <v>37</v>
      </c>
      <c r="U746" s="325">
        <f t="shared" si="215"/>
        <v>519.28</v>
      </c>
      <c r="V746" s="325">
        <f t="shared" si="216"/>
        <v>0</v>
      </c>
      <c r="W746" s="449" cm="1">
        <f t="array" ref="W746">+IF(U746&lt;0,error,0)</f>
        <v>0</v>
      </c>
    </row>
    <row r="747" spans="1:23" ht="18" customHeight="1" x14ac:dyDescent="0.2">
      <c r="A747" s="402" t="s">
        <v>1614</v>
      </c>
      <c r="B747" s="403"/>
      <c r="C747" s="411" t="s">
        <v>1615</v>
      </c>
      <c r="D747" s="405">
        <v>43300</v>
      </c>
      <c r="E747" s="406"/>
      <c r="F747" s="325"/>
      <c r="G747" s="324"/>
      <c r="H747" s="324">
        <v>960</v>
      </c>
      <c r="I747" s="325">
        <v>687</v>
      </c>
      <c r="J747" s="325"/>
      <c r="K747" s="325">
        <f t="shared" si="207"/>
        <v>0</v>
      </c>
      <c r="L747" s="325">
        <f t="shared" si="208"/>
        <v>0</v>
      </c>
      <c r="M747" s="407">
        <v>13.33</v>
      </c>
      <c r="N747" s="408" t="s">
        <v>289</v>
      </c>
      <c r="O747" s="325">
        <f t="shared" si="209"/>
        <v>0</v>
      </c>
      <c r="P747" s="325">
        <f t="shared" si="210"/>
        <v>0</v>
      </c>
      <c r="Q747" s="325">
        <f t="shared" si="211"/>
        <v>0</v>
      </c>
      <c r="R747" s="325">
        <f t="shared" si="212"/>
        <v>45</v>
      </c>
      <c r="S747" s="325">
        <f t="shared" si="213"/>
        <v>0</v>
      </c>
      <c r="T747" s="325">
        <f t="shared" si="217"/>
        <v>45</v>
      </c>
      <c r="U747" s="325">
        <f t="shared" si="215"/>
        <v>642</v>
      </c>
      <c r="V747" s="325">
        <f t="shared" si="216"/>
        <v>0</v>
      </c>
      <c r="W747" s="449" cm="1">
        <f t="array" ref="W747">+IF(U747&lt;0,error,0)</f>
        <v>0</v>
      </c>
    </row>
    <row r="748" spans="1:23" ht="18" customHeight="1" x14ac:dyDescent="0.2">
      <c r="A748" s="402" t="s">
        <v>1616</v>
      </c>
      <c r="B748" s="403"/>
      <c r="C748" s="411" t="s">
        <v>1617</v>
      </c>
      <c r="D748" s="405">
        <v>43300</v>
      </c>
      <c r="E748" s="406"/>
      <c r="F748" s="325"/>
      <c r="G748" s="439"/>
      <c r="H748" s="324">
        <v>1089.0899999999999</v>
      </c>
      <c r="I748" s="325">
        <v>778.08999999999992</v>
      </c>
      <c r="J748" s="325"/>
      <c r="K748" s="325">
        <f t="shared" si="207"/>
        <v>0</v>
      </c>
      <c r="L748" s="325">
        <f t="shared" si="208"/>
        <v>0</v>
      </c>
      <c r="M748" s="407">
        <v>13.33</v>
      </c>
      <c r="N748" s="408" t="s">
        <v>289</v>
      </c>
      <c r="O748" s="325">
        <f t="shared" si="209"/>
        <v>0</v>
      </c>
      <c r="P748" s="325">
        <f t="shared" si="210"/>
        <v>0</v>
      </c>
      <c r="Q748" s="325">
        <f t="shared" si="211"/>
        <v>0</v>
      </c>
      <c r="R748" s="325">
        <f t="shared" si="212"/>
        <v>51</v>
      </c>
      <c r="S748" s="325">
        <f t="shared" si="213"/>
        <v>0</v>
      </c>
      <c r="T748" s="325">
        <f t="shared" si="217"/>
        <v>51</v>
      </c>
      <c r="U748" s="325">
        <f t="shared" si="215"/>
        <v>727.08999999999992</v>
      </c>
      <c r="V748" s="325">
        <f t="shared" si="216"/>
        <v>0</v>
      </c>
      <c r="W748" s="449" cm="1">
        <f t="array" ref="W748">+IF(U748&lt;0,error,0)</f>
        <v>0</v>
      </c>
    </row>
    <row r="749" spans="1:23" ht="18" customHeight="1" x14ac:dyDescent="0.2">
      <c r="A749" s="402" t="s">
        <v>1618</v>
      </c>
      <c r="B749" s="403"/>
      <c r="C749" s="411" t="s">
        <v>1619</v>
      </c>
      <c r="D749" s="405">
        <v>43300</v>
      </c>
      <c r="E749" s="406"/>
      <c r="F749" s="325"/>
      <c r="G749" s="439"/>
      <c r="H749" s="324">
        <v>654.54</v>
      </c>
      <c r="I749" s="325">
        <v>392.53999999999996</v>
      </c>
      <c r="J749" s="325"/>
      <c r="K749" s="325">
        <f t="shared" si="207"/>
        <v>0</v>
      </c>
      <c r="L749" s="325">
        <f t="shared" si="208"/>
        <v>0</v>
      </c>
      <c r="M749" s="407">
        <v>20</v>
      </c>
      <c r="N749" s="408" t="s">
        <v>289</v>
      </c>
      <c r="O749" s="325">
        <f t="shared" si="209"/>
        <v>0</v>
      </c>
      <c r="P749" s="325">
        <f t="shared" si="210"/>
        <v>0</v>
      </c>
      <c r="Q749" s="325">
        <f t="shared" si="211"/>
        <v>0</v>
      </c>
      <c r="R749" s="325">
        <f t="shared" si="212"/>
        <v>39</v>
      </c>
      <c r="S749" s="325">
        <f t="shared" si="213"/>
        <v>0</v>
      </c>
      <c r="T749" s="325">
        <f t="shared" si="217"/>
        <v>39</v>
      </c>
      <c r="U749" s="325">
        <f t="shared" si="215"/>
        <v>353.53999999999996</v>
      </c>
      <c r="V749" s="325">
        <f t="shared" si="216"/>
        <v>0</v>
      </c>
      <c r="W749" s="449" cm="1">
        <f t="array" ref="W749">+IF(U749&lt;0,error,0)</f>
        <v>0</v>
      </c>
    </row>
    <row r="750" spans="1:23" ht="18" customHeight="1" x14ac:dyDescent="0.2">
      <c r="A750" s="402" t="s">
        <v>1620</v>
      </c>
      <c r="B750" s="403"/>
      <c r="C750" s="411" t="s">
        <v>1621</v>
      </c>
      <c r="D750" s="405">
        <v>43300</v>
      </c>
      <c r="E750" s="406"/>
      <c r="F750" s="325"/>
      <c r="G750" s="324"/>
      <c r="H750" s="324">
        <v>5727.28</v>
      </c>
      <c r="I750" s="325">
        <v>3417.2799999999997</v>
      </c>
      <c r="J750" s="325"/>
      <c r="K750" s="325">
        <f t="shared" si="207"/>
        <v>0</v>
      </c>
      <c r="L750" s="325">
        <f t="shared" si="208"/>
        <v>0</v>
      </c>
      <c r="M750" s="407">
        <v>20</v>
      </c>
      <c r="N750" s="408" t="s">
        <v>289</v>
      </c>
      <c r="O750" s="325">
        <f t="shared" si="209"/>
        <v>0</v>
      </c>
      <c r="P750" s="325">
        <f t="shared" si="210"/>
        <v>0</v>
      </c>
      <c r="Q750" s="325">
        <f t="shared" si="211"/>
        <v>0</v>
      </c>
      <c r="R750" s="325">
        <f t="shared" si="212"/>
        <v>341</v>
      </c>
      <c r="S750" s="325">
        <f t="shared" si="213"/>
        <v>0</v>
      </c>
      <c r="T750" s="325">
        <f t="shared" si="217"/>
        <v>341</v>
      </c>
      <c r="U750" s="325">
        <f t="shared" si="215"/>
        <v>3076.2799999999997</v>
      </c>
      <c r="V750" s="325">
        <f t="shared" si="216"/>
        <v>0</v>
      </c>
      <c r="W750" s="449" cm="1">
        <f t="array" ref="W750">+IF(U750&lt;0,error,0)</f>
        <v>0</v>
      </c>
    </row>
    <row r="751" spans="1:23" ht="18" customHeight="1" x14ac:dyDescent="0.2">
      <c r="A751" s="402" t="s">
        <v>1622</v>
      </c>
      <c r="B751" s="403"/>
      <c r="C751" s="411" t="s">
        <v>1623</v>
      </c>
      <c r="D751" s="405">
        <v>43357</v>
      </c>
      <c r="E751" s="406"/>
      <c r="F751" s="325"/>
      <c r="G751" s="324"/>
      <c r="H751" s="324">
        <v>3300</v>
      </c>
      <c r="I751" s="325">
        <v>2608</v>
      </c>
      <c r="J751" s="325"/>
      <c r="K751" s="325">
        <f t="shared" si="207"/>
        <v>0</v>
      </c>
      <c r="L751" s="325">
        <f t="shared" si="208"/>
        <v>0</v>
      </c>
      <c r="M751" s="407">
        <v>10</v>
      </c>
      <c r="N751" s="408" t="s">
        <v>289</v>
      </c>
      <c r="O751" s="325">
        <f t="shared" si="209"/>
        <v>0</v>
      </c>
      <c r="P751" s="325">
        <f t="shared" si="210"/>
        <v>0</v>
      </c>
      <c r="Q751" s="325">
        <f t="shared" si="211"/>
        <v>0</v>
      </c>
      <c r="R751" s="325">
        <f t="shared" si="212"/>
        <v>130</v>
      </c>
      <c r="S751" s="325">
        <f t="shared" si="213"/>
        <v>0</v>
      </c>
      <c r="T751" s="325">
        <f t="shared" si="217"/>
        <v>130</v>
      </c>
      <c r="U751" s="325">
        <f t="shared" si="215"/>
        <v>2478</v>
      </c>
      <c r="V751" s="325">
        <f t="shared" si="216"/>
        <v>0</v>
      </c>
      <c r="W751" s="449" cm="1">
        <f t="array" ref="W751">+IF(U751&lt;0,error,0)</f>
        <v>0</v>
      </c>
    </row>
    <row r="752" spans="1:23" ht="18" customHeight="1" x14ac:dyDescent="0.2">
      <c r="A752" s="402" t="s">
        <v>1624</v>
      </c>
      <c r="B752" s="403"/>
      <c r="C752" s="411" t="s">
        <v>1625</v>
      </c>
      <c r="D752" s="405">
        <v>43357</v>
      </c>
      <c r="E752" s="406"/>
      <c r="F752" s="325"/>
      <c r="G752" s="439"/>
      <c r="H752" s="324">
        <v>8000</v>
      </c>
      <c r="I752" s="325">
        <v>6323</v>
      </c>
      <c r="J752" s="325"/>
      <c r="K752" s="325">
        <f t="shared" si="207"/>
        <v>0</v>
      </c>
      <c r="L752" s="325">
        <f t="shared" si="208"/>
        <v>0</v>
      </c>
      <c r="M752" s="407">
        <v>10</v>
      </c>
      <c r="N752" s="408" t="s">
        <v>289</v>
      </c>
      <c r="O752" s="325">
        <f t="shared" si="209"/>
        <v>0</v>
      </c>
      <c r="P752" s="325">
        <f t="shared" si="210"/>
        <v>0</v>
      </c>
      <c r="Q752" s="325">
        <f t="shared" si="211"/>
        <v>0</v>
      </c>
      <c r="R752" s="325">
        <f t="shared" si="212"/>
        <v>316</v>
      </c>
      <c r="S752" s="325">
        <f t="shared" si="213"/>
        <v>0</v>
      </c>
      <c r="T752" s="325">
        <f t="shared" si="217"/>
        <v>316</v>
      </c>
      <c r="U752" s="325">
        <f t="shared" si="215"/>
        <v>6007</v>
      </c>
      <c r="V752" s="325">
        <f t="shared" si="216"/>
        <v>0</v>
      </c>
      <c r="W752" s="449" cm="1">
        <f t="array" ref="W752">+IF(U752&lt;0,error,0)</f>
        <v>0</v>
      </c>
    </row>
    <row r="753" spans="1:25" ht="18" customHeight="1" x14ac:dyDescent="0.2">
      <c r="A753" s="402" t="s">
        <v>1626</v>
      </c>
      <c r="B753" s="403"/>
      <c r="C753" s="411" t="s">
        <v>1627</v>
      </c>
      <c r="D753" s="405">
        <v>43381</v>
      </c>
      <c r="E753" s="406"/>
      <c r="F753" s="325"/>
      <c r="G753" s="439"/>
      <c r="H753" s="324">
        <v>2461.77</v>
      </c>
      <c r="I753" s="325">
        <v>1539.77</v>
      </c>
      <c r="J753" s="325"/>
      <c r="K753" s="325">
        <f t="shared" si="207"/>
        <v>0</v>
      </c>
      <c r="L753" s="325">
        <f t="shared" si="208"/>
        <v>0</v>
      </c>
      <c r="M753" s="407">
        <v>20</v>
      </c>
      <c r="N753" s="408" t="s">
        <v>289</v>
      </c>
      <c r="O753" s="325">
        <f t="shared" si="209"/>
        <v>0</v>
      </c>
      <c r="P753" s="325">
        <f t="shared" si="210"/>
        <v>0</v>
      </c>
      <c r="Q753" s="325">
        <f t="shared" si="211"/>
        <v>0</v>
      </c>
      <c r="R753" s="325">
        <f t="shared" si="212"/>
        <v>153</v>
      </c>
      <c r="S753" s="325">
        <f t="shared" si="213"/>
        <v>0</v>
      </c>
      <c r="T753" s="325">
        <f t="shared" si="217"/>
        <v>153</v>
      </c>
      <c r="U753" s="325">
        <f t="shared" si="215"/>
        <v>1386.77</v>
      </c>
      <c r="V753" s="325">
        <f t="shared" si="216"/>
        <v>0</v>
      </c>
      <c r="W753" s="449" cm="1">
        <f t="array" ref="W753">+IF(U753&lt;0,error,0)</f>
        <v>0</v>
      </c>
    </row>
    <row r="754" spans="1:25" ht="18" customHeight="1" x14ac:dyDescent="0.2">
      <c r="A754" s="402" t="s">
        <v>1628</v>
      </c>
      <c r="B754" s="403"/>
      <c r="C754" s="411" t="s">
        <v>1629</v>
      </c>
      <c r="D754" s="405">
        <v>43374</v>
      </c>
      <c r="E754" s="406"/>
      <c r="F754" s="325"/>
      <c r="G754" s="324"/>
      <c r="H754" s="324">
        <v>825.45</v>
      </c>
      <c r="I754" s="325">
        <v>414.45000000000005</v>
      </c>
      <c r="J754" s="325"/>
      <c r="K754" s="325">
        <f t="shared" si="207"/>
        <v>0</v>
      </c>
      <c r="L754" s="325">
        <f t="shared" si="208"/>
        <v>0</v>
      </c>
      <c r="M754" s="407">
        <v>28.57</v>
      </c>
      <c r="N754" s="408" t="s">
        <v>289</v>
      </c>
      <c r="O754" s="325">
        <f t="shared" si="209"/>
        <v>0</v>
      </c>
      <c r="P754" s="325">
        <f t="shared" si="210"/>
        <v>0</v>
      </c>
      <c r="Q754" s="325">
        <f t="shared" si="211"/>
        <v>0</v>
      </c>
      <c r="R754" s="325">
        <f t="shared" si="212"/>
        <v>59</v>
      </c>
      <c r="S754" s="325">
        <f t="shared" si="213"/>
        <v>0</v>
      </c>
      <c r="T754" s="325">
        <f t="shared" si="217"/>
        <v>59</v>
      </c>
      <c r="U754" s="325">
        <f t="shared" si="215"/>
        <v>355.45000000000005</v>
      </c>
      <c r="V754" s="325">
        <f t="shared" si="216"/>
        <v>0</v>
      </c>
      <c r="W754" s="449" cm="1">
        <f t="array" ref="W754">+IF(U754&lt;0,error,0)</f>
        <v>0</v>
      </c>
    </row>
    <row r="755" spans="1:25" ht="18" customHeight="1" x14ac:dyDescent="0.2">
      <c r="A755" s="402" t="s">
        <v>1630</v>
      </c>
      <c r="B755" s="403"/>
      <c r="C755" s="411" t="s">
        <v>1631</v>
      </c>
      <c r="D755" s="405">
        <v>43374</v>
      </c>
      <c r="E755" s="406"/>
      <c r="F755" s="325"/>
      <c r="G755" s="324"/>
      <c r="H755" s="324">
        <v>516.28</v>
      </c>
      <c r="I755" s="325">
        <v>142.28000000000003</v>
      </c>
      <c r="J755" s="325"/>
      <c r="K755" s="325">
        <f t="shared" si="207"/>
        <v>0</v>
      </c>
      <c r="L755" s="325">
        <f t="shared" si="208"/>
        <v>0</v>
      </c>
      <c r="M755" s="407">
        <v>50</v>
      </c>
      <c r="N755" s="408" t="s">
        <v>289</v>
      </c>
      <c r="O755" s="325">
        <f t="shared" si="209"/>
        <v>0</v>
      </c>
      <c r="P755" s="325">
        <f t="shared" si="210"/>
        <v>0</v>
      </c>
      <c r="Q755" s="325">
        <f t="shared" si="211"/>
        <v>0</v>
      </c>
      <c r="R755" s="325">
        <f t="shared" si="212"/>
        <v>35</v>
      </c>
      <c r="S755" s="325">
        <f t="shared" si="213"/>
        <v>0</v>
      </c>
      <c r="T755" s="325">
        <f t="shared" si="217"/>
        <v>35</v>
      </c>
      <c r="U755" s="325">
        <f>+I755+J755-T755-F755+K755-L755</f>
        <v>107.28000000000003</v>
      </c>
      <c r="V755" s="325">
        <f t="shared" si="216"/>
        <v>0</v>
      </c>
      <c r="W755" s="449" cm="1">
        <f t="array" ref="W755">+IF(U755&lt;0,error,0)</f>
        <v>0</v>
      </c>
    </row>
    <row r="756" spans="1:25" ht="18" customHeight="1" x14ac:dyDescent="0.2">
      <c r="A756" s="402" t="s">
        <v>2085</v>
      </c>
      <c r="B756" s="403"/>
      <c r="C756" s="404" t="s">
        <v>1996</v>
      </c>
      <c r="D756" s="405">
        <v>43536</v>
      </c>
      <c r="E756" s="406"/>
      <c r="F756" s="325"/>
      <c r="G756" s="324"/>
      <c r="H756" s="324">
        <v>2025</v>
      </c>
      <c r="I756" s="325">
        <v>726.45</v>
      </c>
      <c r="J756" s="325"/>
      <c r="K756" s="325">
        <f t="shared" si="207"/>
        <v>0</v>
      </c>
      <c r="L756" s="325">
        <f t="shared" si="208"/>
        <v>0</v>
      </c>
      <c r="M756" s="407">
        <v>50</v>
      </c>
      <c r="N756" s="408" t="s">
        <v>289</v>
      </c>
      <c r="O756" s="325">
        <f t="shared" si="209"/>
        <v>0</v>
      </c>
      <c r="P756" s="325">
        <f t="shared" si="210"/>
        <v>0</v>
      </c>
      <c r="Q756" s="325">
        <f t="shared" si="211"/>
        <v>0</v>
      </c>
      <c r="R756" s="325">
        <f t="shared" si="212"/>
        <v>181</v>
      </c>
      <c r="S756" s="325">
        <f t="shared" si="213"/>
        <v>0</v>
      </c>
      <c r="T756" s="325">
        <f t="shared" si="217"/>
        <v>181</v>
      </c>
      <c r="U756" s="325">
        <f>+I756+J756-T756-F756+K756-L756</f>
        <v>545.45000000000005</v>
      </c>
      <c r="V756" s="325">
        <f t="shared" si="216"/>
        <v>0</v>
      </c>
      <c r="W756" s="449" cm="1">
        <f t="array" ref="W756">+IF(U756&lt;0,error,0)</f>
        <v>0</v>
      </c>
    </row>
    <row r="757" spans="1:25" ht="18" customHeight="1" x14ac:dyDescent="0.2">
      <c r="A757" s="402">
        <v>748033</v>
      </c>
      <c r="B757" s="403"/>
      <c r="C757" s="404" t="s">
        <v>2153</v>
      </c>
      <c r="D757" s="405">
        <v>43724</v>
      </c>
      <c r="E757" s="406"/>
      <c r="F757" s="325"/>
      <c r="G757" s="324"/>
      <c r="H757" s="324">
        <v>1828.75</v>
      </c>
      <c r="I757" s="325">
        <v>880.75</v>
      </c>
      <c r="J757" s="325"/>
      <c r="K757" s="325">
        <f t="shared" si="207"/>
        <v>0</v>
      </c>
      <c r="L757" s="325">
        <f t="shared" si="208"/>
        <v>0</v>
      </c>
      <c r="M757" s="407">
        <v>50</v>
      </c>
      <c r="N757" s="408" t="s">
        <v>289</v>
      </c>
      <c r="O757" s="325">
        <f t="shared" si="209"/>
        <v>0</v>
      </c>
      <c r="P757" s="325">
        <f t="shared" si="210"/>
        <v>0</v>
      </c>
      <c r="Q757" s="325">
        <f t="shared" si="211"/>
        <v>0</v>
      </c>
      <c r="R757" s="325">
        <f t="shared" si="212"/>
        <v>220</v>
      </c>
      <c r="S757" s="325">
        <f t="shared" si="213"/>
        <v>0</v>
      </c>
      <c r="T757" s="325">
        <f t="shared" si="217"/>
        <v>220</v>
      </c>
      <c r="U757" s="325">
        <f>+I757+J757-T757-F757+K757-L757</f>
        <v>660.75</v>
      </c>
      <c r="V757" s="325">
        <f t="shared" si="216"/>
        <v>0</v>
      </c>
      <c r="W757" s="449" cm="1">
        <f t="array" ref="W757">+IF(U757&lt;0,error,0)</f>
        <v>0</v>
      </c>
    </row>
    <row r="758" spans="1:25" ht="18" customHeight="1" x14ac:dyDescent="0.2">
      <c r="A758" s="402">
        <v>748033</v>
      </c>
      <c r="B758" s="403"/>
      <c r="C758" s="404" t="s">
        <v>2383</v>
      </c>
      <c r="D758" s="405">
        <v>44011</v>
      </c>
      <c r="E758" s="406"/>
      <c r="F758" s="325"/>
      <c r="G758" s="324"/>
      <c r="H758" s="324">
        <v>1235.45</v>
      </c>
      <c r="I758" s="325">
        <v>926.45</v>
      </c>
      <c r="J758" s="491"/>
      <c r="K758" s="325">
        <f t="shared" si="207"/>
        <v>0</v>
      </c>
      <c r="L758" s="325">
        <f t="shared" si="208"/>
        <v>0</v>
      </c>
      <c r="M758" s="407">
        <v>50</v>
      </c>
      <c r="N758" s="408" t="s">
        <v>289</v>
      </c>
      <c r="O758" s="325">
        <f t="shared" si="209"/>
        <v>0</v>
      </c>
      <c r="P758" s="325">
        <f t="shared" si="210"/>
        <v>0</v>
      </c>
      <c r="Q758" s="325">
        <f t="shared" si="211"/>
        <v>0</v>
      </c>
      <c r="R758" s="325">
        <f t="shared" si="212"/>
        <v>231</v>
      </c>
      <c r="S758" s="325">
        <f t="shared" si="213"/>
        <v>0</v>
      </c>
      <c r="T758" s="325">
        <f t="shared" si="217"/>
        <v>231</v>
      </c>
      <c r="U758" s="325">
        <f>+I758+J758-T758-F758+K758-L758</f>
        <v>695.45</v>
      </c>
      <c r="V758" s="325">
        <f t="shared" si="216"/>
        <v>0</v>
      </c>
      <c r="W758" s="449" cm="1">
        <f t="array" ref="W758">+IF(U758&lt;0,error,0)</f>
        <v>0</v>
      </c>
    </row>
    <row r="759" spans="1:25" ht="18" customHeight="1" x14ac:dyDescent="0.2">
      <c r="A759" s="413"/>
      <c r="B759" s="414"/>
      <c r="C759" s="416"/>
      <c r="D759" s="416"/>
      <c r="E759" s="406"/>
      <c r="F759" s="325"/>
      <c r="G759" s="324"/>
      <c r="H759" s="324"/>
      <c r="I759" s="333"/>
      <c r="J759" s="333"/>
      <c r="K759" s="333"/>
      <c r="L759" s="333"/>
      <c r="M759" s="418"/>
      <c r="N759" s="408"/>
      <c r="O759" s="408"/>
      <c r="P759" s="333"/>
      <c r="Q759" s="333"/>
      <c r="R759" s="408"/>
      <c r="S759" s="333"/>
      <c r="T759" s="333"/>
      <c r="U759" s="333"/>
      <c r="V759" s="333"/>
      <c r="W759" s="449" cm="1">
        <f t="array" ref="W759">+IF(U759&lt;0,error,0)</f>
        <v>0</v>
      </c>
    </row>
    <row r="760" spans="1:25" ht="18" customHeight="1" x14ac:dyDescent="0.2">
      <c r="A760" s="413"/>
      <c r="B760" s="414"/>
      <c r="C760" s="415" t="s">
        <v>2043</v>
      </c>
      <c r="D760" s="416"/>
      <c r="E760" s="406"/>
      <c r="F760" s="325"/>
      <c r="G760" s="324"/>
      <c r="H760" s="417">
        <f>+J761-V761</f>
        <v>0</v>
      </c>
      <c r="I760" s="333"/>
      <c r="J760" s="333"/>
      <c r="K760" s="333"/>
      <c r="L760" s="333"/>
      <c r="M760" s="418"/>
      <c r="N760" s="408"/>
      <c r="O760" s="408"/>
      <c r="P760" s="333"/>
      <c r="Q760" s="333"/>
      <c r="R760" s="408"/>
      <c r="S760" s="333"/>
      <c r="T760" s="333"/>
      <c r="U760" s="333"/>
      <c r="V760" s="333"/>
      <c r="W760" s="449" cm="1">
        <f t="array" ref="W760">+IF(U760&lt;0,error,0)</f>
        <v>0</v>
      </c>
    </row>
    <row r="761" spans="1:25" s="347" customFormat="1" ht="18" customHeight="1" x14ac:dyDescent="0.2">
      <c r="A761" s="420"/>
      <c r="B761" s="421"/>
      <c r="C761" s="415" t="s">
        <v>1657</v>
      </c>
      <c r="D761" s="415"/>
      <c r="E761" s="429"/>
      <c r="F761" s="334">
        <f t="shared" ref="F761:L761" si="218">SUM(F729:F759)</f>
        <v>0</v>
      </c>
      <c r="G761" s="417">
        <f t="shared" si="218"/>
        <v>0</v>
      </c>
      <c r="H761" s="417">
        <f>SUM(H729:H760)</f>
        <v>57054.429999999993</v>
      </c>
      <c r="I761" s="417">
        <f t="shared" si="218"/>
        <v>25479.25</v>
      </c>
      <c r="J761" s="334">
        <f t="shared" si="218"/>
        <v>0</v>
      </c>
      <c r="K761" s="334">
        <f t="shared" si="218"/>
        <v>0</v>
      </c>
      <c r="L761" s="334">
        <f t="shared" si="218"/>
        <v>0</v>
      </c>
      <c r="M761" s="423"/>
      <c r="N761" s="446"/>
      <c r="O761" s="334">
        <f>SUM(O729:O759)</f>
        <v>0</v>
      </c>
      <c r="P761" s="334">
        <f>SUM(P729:P759)</f>
        <v>0</v>
      </c>
      <c r="Q761" s="334"/>
      <c r="R761" s="334">
        <f>SUM(R729:R759)</f>
        <v>2425</v>
      </c>
      <c r="S761" s="334">
        <f>SUM(S729:S759)</f>
        <v>0</v>
      </c>
      <c r="T761" s="417">
        <f>SUM(T729:T759)</f>
        <v>2425</v>
      </c>
      <c r="U761" s="417">
        <f>SUM(U729:U759)</f>
        <v>23054.25</v>
      </c>
      <c r="V761" s="334">
        <f>SUM(V729:V759)</f>
        <v>0</v>
      </c>
      <c r="W761" s="449" cm="1">
        <f t="array" ref="W761">+IF(U761&lt;0,error,0)</f>
        <v>0</v>
      </c>
      <c r="Y761" s="347">
        <f>57054.51-34000.26</f>
        <v>23054.25</v>
      </c>
    </row>
    <row r="762" spans="1:25" s="347" customFormat="1" ht="18" customHeight="1" x14ac:dyDescent="0.2">
      <c r="A762" s="420"/>
      <c r="B762" s="421"/>
      <c r="C762" s="415"/>
      <c r="D762" s="415"/>
      <c r="E762" s="429"/>
      <c r="F762" s="334"/>
      <c r="G762" s="417"/>
      <c r="H762" s="417"/>
      <c r="I762" s="334"/>
      <c r="J762" s="334"/>
      <c r="K762" s="334"/>
      <c r="L762" s="334"/>
      <c r="M762" s="423"/>
      <c r="N762" s="446"/>
      <c r="O762" s="334"/>
      <c r="P762" s="334"/>
      <c r="Q762" s="334"/>
      <c r="R762" s="334"/>
      <c r="S762" s="334"/>
      <c r="T762" s="334"/>
      <c r="U762" s="334"/>
      <c r="V762" s="334"/>
      <c r="W762" s="449" cm="1">
        <f t="array" ref="W762">+IF(U762&lt;0,error,0)</f>
        <v>0</v>
      </c>
    </row>
    <row r="763" spans="1:25" s="347" customFormat="1" ht="18" customHeight="1" x14ac:dyDescent="0.2">
      <c r="A763" s="420"/>
      <c r="B763" s="421"/>
      <c r="C763" s="415" t="s">
        <v>2044</v>
      </c>
      <c r="D763" s="415"/>
      <c r="E763" s="429"/>
      <c r="F763" s="334"/>
      <c r="G763" s="417"/>
      <c r="H763" s="417"/>
      <c r="I763" s="334"/>
      <c r="J763" s="334"/>
      <c r="K763" s="334"/>
      <c r="L763" s="334"/>
      <c r="M763" s="423"/>
      <c r="N763" s="446"/>
      <c r="O763" s="334"/>
      <c r="P763" s="334"/>
      <c r="Q763" s="334"/>
      <c r="R763" s="334"/>
      <c r="S763" s="334"/>
      <c r="T763" s="334"/>
      <c r="U763" s="334"/>
      <c r="V763" s="334"/>
      <c r="W763" s="449" cm="1">
        <f t="array" ref="W763">+IF(U763&lt;0,error,0)</f>
        <v>0</v>
      </c>
    </row>
    <row r="764" spans="1:25" ht="18" customHeight="1" x14ac:dyDescent="0.2">
      <c r="A764" s="413"/>
      <c r="B764" s="414"/>
      <c r="C764" s="416" t="s">
        <v>2088</v>
      </c>
      <c r="D764" s="416"/>
      <c r="E764" s="406"/>
      <c r="F764" s="325"/>
      <c r="G764" s="324"/>
      <c r="H764" s="324"/>
      <c r="I764" s="325">
        <v>20793.169999999998</v>
      </c>
      <c r="J764" s="325"/>
      <c r="K764" s="325">
        <f>INT(IF($E764&gt;0,IF(+F764-I764+Q764&lt;0,0,+F764-I764+Q764),0))</f>
        <v>0</v>
      </c>
      <c r="L764" s="325">
        <f>INT(IF($E764&gt;0,IF(K764=0,-F764+I764-Q764,0),0))</f>
        <v>0</v>
      </c>
      <c r="M764" s="407">
        <v>37.5</v>
      </c>
      <c r="N764" s="408" t="s">
        <v>289</v>
      </c>
      <c r="O764" s="325">
        <f>IF(E764&gt;0,INT(IF($N764="D",IF($D764&lt;$H$3,$I764*($M764/100)*((E764-$H$3)/365),$J764*($M764/100)*($J$3-$D764)/365),0)),0)</f>
        <v>0</v>
      </c>
      <c r="P764" s="325">
        <f>IF(E764&gt;0,INT(IF($N764="P",IF($D764&lt;$H$3,$H764*($M764/100)*(E764-$H$3)/365,$J764*($M764/100)*($J$3-$D764)/365),0)),0)</f>
        <v>0</v>
      </c>
      <c r="Q764" s="325">
        <f>+O764+P764</f>
        <v>0</v>
      </c>
      <c r="R764" s="325">
        <f>INT(IF($E764&gt;0,0,(IF($N764="D",IF($D764&lt;$H$3,$I764*($M764/100)*$U$3/12,$J764*($M764/100)*($J$3-$D764)/365),0))))</f>
        <v>3898</v>
      </c>
      <c r="S764" s="325">
        <f>INT(IF($E764&gt;0,0,(IF($N764="P",IF($D764&lt;$H$3,$H764*($M764/100)*$U$3/12,$J764*($M764/100)*($J$3-$D764)/365),0))))</f>
        <v>0</v>
      </c>
      <c r="T764" s="325">
        <f>+R764+S764+Q764</f>
        <v>3898</v>
      </c>
      <c r="U764" s="325">
        <f>+I764+J764-T764-F764+K764-L764</f>
        <v>16895.169999999998</v>
      </c>
      <c r="V764" s="325">
        <f>IF(E764&gt;0,+H764+J764,0)</f>
        <v>0</v>
      </c>
      <c r="W764" s="449" cm="1">
        <f t="array" ref="W764">+IF(U764&lt;0,error,0)</f>
        <v>0</v>
      </c>
    </row>
    <row r="765" spans="1:25" ht="35.25" customHeight="1" x14ac:dyDescent="0.2">
      <c r="A765" s="413"/>
      <c r="B765" s="414"/>
      <c r="C765" s="404" t="s">
        <v>2429</v>
      </c>
      <c r="D765" s="455">
        <v>44197</v>
      </c>
      <c r="E765" s="406"/>
      <c r="F765" s="325"/>
      <c r="G765" s="324"/>
      <c r="H765" s="324"/>
      <c r="I765" s="325">
        <v>0</v>
      </c>
      <c r="J765" s="325">
        <v>1612.84</v>
      </c>
      <c r="K765" s="325">
        <f>INT(IF($E765&gt;0,IF(+F765-I765+Q765&lt;0,0,+F765-I765+Q765),0))</f>
        <v>0</v>
      </c>
      <c r="L765" s="325">
        <f>INT(IF($E765&gt;0,IF(K765=0,-F765+I765-Q765,0),0))</f>
        <v>0</v>
      </c>
      <c r="M765" s="407">
        <v>18.75</v>
      </c>
      <c r="N765" s="408" t="s">
        <v>289</v>
      </c>
      <c r="O765" s="325">
        <f>IF(E765&gt;0,INT(IF($N765="D",IF($D765&lt;$H$3,$I765*($M765/100)*((E765-$H$3)/365),$J765*($M765/100)*($J$3-$D765)/365),0)),0)</f>
        <v>0</v>
      </c>
      <c r="P765" s="325">
        <f>IF(E765&gt;0,INT(IF($N765="P",IF($D765&lt;$H$3,$H765*($M765/100)*(E765-$H$3)/365,$J765*($M765/100)*($J$3-$D765)/365),0)),0)</f>
        <v>0</v>
      </c>
      <c r="Q765" s="325">
        <f>+O765+P765</f>
        <v>0</v>
      </c>
      <c r="R765" s="325">
        <f>INT(IF($E765&gt;0,0,(IF($N765="D",IF($D765&lt;$H$3,$I765*($M765/100)*$U$3/12,$J765*($M765/100)*($J$3-$D765)/365),0))))</f>
        <v>149</v>
      </c>
      <c r="S765" s="325">
        <f>INT(IF($E765&gt;0,0,(IF($N765="P",IF($D765&lt;$H$3,$H765*($M765/100)*$U$3/12,$J765*($M765/100)*($J$3-$D765)/365),0))))</f>
        <v>0</v>
      </c>
      <c r="T765" s="325">
        <f>+R765+S765+Q765</f>
        <v>149</v>
      </c>
      <c r="U765" s="325">
        <f>+I765+J765-T765-F765+K765-L765</f>
        <v>1463.84</v>
      </c>
      <c r="V765" s="325">
        <f>IF(E765&gt;0,+H765+J765,0)</f>
        <v>0</v>
      </c>
      <c r="W765" s="449" cm="1">
        <f t="array" ref="W765">+IF(U765&lt;0,error,0)</f>
        <v>0</v>
      </c>
    </row>
    <row r="766" spans="1:25" ht="18" customHeight="1" x14ac:dyDescent="0.2">
      <c r="A766" s="413"/>
      <c r="B766" s="414"/>
      <c r="C766" s="416"/>
      <c r="D766" s="416"/>
      <c r="E766" s="406"/>
      <c r="F766" s="325"/>
      <c r="G766" s="324"/>
      <c r="H766" s="324"/>
      <c r="I766" s="333"/>
      <c r="J766" s="333"/>
      <c r="K766" s="333"/>
      <c r="L766" s="333"/>
      <c r="M766" s="418"/>
      <c r="N766" s="408"/>
      <c r="O766" s="408"/>
      <c r="P766" s="333"/>
      <c r="Q766" s="333"/>
      <c r="R766" s="408"/>
      <c r="S766" s="333"/>
      <c r="T766" s="333"/>
      <c r="U766" s="333"/>
      <c r="V766" s="333"/>
      <c r="W766" s="449" cm="1">
        <f t="array" ref="W766">+IF(U766&lt;0,error,0)</f>
        <v>0</v>
      </c>
    </row>
    <row r="767" spans="1:25" ht="18" customHeight="1" x14ac:dyDescent="0.2">
      <c r="A767" s="413"/>
      <c r="B767" s="414"/>
      <c r="C767" s="415" t="s">
        <v>2043</v>
      </c>
      <c r="D767" s="416"/>
      <c r="E767" s="406"/>
      <c r="F767" s="325"/>
      <c r="G767" s="324"/>
      <c r="H767" s="417">
        <f>+J768-V768</f>
        <v>1612.84</v>
      </c>
      <c r="I767" s="333"/>
      <c r="J767" s="333"/>
      <c r="K767" s="333"/>
      <c r="L767" s="333"/>
      <c r="M767" s="418"/>
      <c r="N767" s="408"/>
      <c r="O767" s="408"/>
      <c r="P767" s="333"/>
      <c r="Q767" s="333"/>
      <c r="R767" s="408"/>
      <c r="S767" s="333"/>
      <c r="T767" s="333"/>
      <c r="U767" s="333"/>
      <c r="V767" s="333"/>
      <c r="W767" s="449" cm="1">
        <f t="array" ref="W767">+IF(U767&lt;0,error,0)</f>
        <v>0</v>
      </c>
    </row>
    <row r="768" spans="1:25" s="347" customFormat="1" ht="18" customHeight="1" x14ac:dyDescent="0.2">
      <c r="A768" s="420"/>
      <c r="B768" s="421"/>
      <c r="C768" s="415" t="s">
        <v>2090</v>
      </c>
      <c r="D768" s="415"/>
      <c r="E768" s="429"/>
      <c r="F768" s="334">
        <f t="shared" ref="F768:L768" si="219">SUM(F764:F766)</f>
        <v>0</v>
      </c>
      <c r="G768" s="417">
        <f t="shared" si="219"/>
        <v>0</v>
      </c>
      <c r="H768" s="417">
        <f t="shared" si="219"/>
        <v>0</v>
      </c>
      <c r="I768" s="417">
        <f t="shared" si="219"/>
        <v>20793.169999999998</v>
      </c>
      <c r="J768" s="334">
        <f t="shared" si="219"/>
        <v>1612.84</v>
      </c>
      <c r="K768" s="334">
        <f t="shared" si="219"/>
        <v>0</v>
      </c>
      <c r="L768" s="334">
        <f t="shared" si="219"/>
        <v>0</v>
      </c>
      <c r="M768" s="423"/>
      <c r="N768" s="446"/>
      <c r="O768" s="334">
        <f>SUM(O736:O766)</f>
        <v>0</v>
      </c>
      <c r="P768" s="334">
        <f>SUM(P736:P766)</f>
        <v>0</v>
      </c>
      <c r="Q768" s="334"/>
      <c r="R768" s="334">
        <f>SUM(R736:R766)</f>
        <v>8630</v>
      </c>
      <c r="S768" s="334">
        <f>SUM(S736:S766)</f>
        <v>0</v>
      </c>
      <c r="T768" s="417">
        <f>SUM(T764:T766)</f>
        <v>4047</v>
      </c>
      <c r="U768" s="334">
        <f>SUM(U764:U766)</f>
        <v>18359.009999999998</v>
      </c>
      <c r="V768" s="334">
        <f>SUM(V764:V766)</f>
        <v>0</v>
      </c>
      <c r="W768" s="449" cm="1">
        <f t="array" ref="W768">+IF(U768&lt;0,error,0)</f>
        <v>0</v>
      </c>
    </row>
    <row r="769" spans="1:23" ht="18" customHeight="1" x14ac:dyDescent="0.2">
      <c r="A769" s="413"/>
      <c r="B769" s="414"/>
      <c r="C769" s="416"/>
      <c r="D769" s="416"/>
      <c r="E769" s="406"/>
      <c r="F769" s="325"/>
      <c r="G769" s="324"/>
      <c r="H769" s="324"/>
      <c r="I769" s="333"/>
      <c r="J769" s="333"/>
      <c r="K769" s="333"/>
      <c r="L769" s="333"/>
      <c r="M769" s="418"/>
      <c r="N769" s="408"/>
      <c r="O769" s="408"/>
      <c r="P769" s="333"/>
      <c r="Q769" s="333"/>
      <c r="R769" s="408"/>
      <c r="S769" s="333"/>
      <c r="T769" s="333"/>
      <c r="U769" s="333"/>
      <c r="V769" s="333"/>
      <c r="W769" s="449" cm="1">
        <f t="array" ref="W769">+IF(U769&lt;0,error,0)</f>
        <v>0</v>
      </c>
    </row>
    <row r="770" spans="1:23" s="347" customFormat="1" ht="18" customHeight="1" x14ac:dyDescent="0.2">
      <c r="A770" s="457"/>
      <c r="B770" s="458"/>
      <c r="C770" s="459" t="s">
        <v>1658</v>
      </c>
      <c r="D770" s="459"/>
      <c r="E770" s="460"/>
      <c r="F770" s="338">
        <f t="shared" ref="F770:L770" si="220">+F172+F537+F554+F725+F761+F768</f>
        <v>3777.2799999999997</v>
      </c>
      <c r="G770" s="461">
        <f t="shared" si="220"/>
        <v>67848.34</v>
      </c>
      <c r="H770" s="461">
        <f t="shared" si="220"/>
        <v>9490886.0467748214</v>
      </c>
      <c r="I770" s="461">
        <f t="shared" si="220"/>
        <v>5595093.5620279722</v>
      </c>
      <c r="J770" s="338">
        <f t="shared" si="220"/>
        <v>155335.87000000002</v>
      </c>
      <c r="K770" s="461">
        <f t="shared" si="220"/>
        <v>3679.2799999999997</v>
      </c>
      <c r="L770" s="338">
        <f t="shared" si="220"/>
        <v>0</v>
      </c>
      <c r="M770" s="462"/>
      <c r="N770" s="463"/>
      <c r="O770" s="338">
        <f>+O172+O537+O554+O725+O761</f>
        <v>19</v>
      </c>
      <c r="P770" s="338">
        <f>+P172+P537+P554+P725+P761</f>
        <v>0</v>
      </c>
      <c r="Q770" s="338"/>
      <c r="R770" s="338">
        <f>+R172+R537+R554+R725+R761</f>
        <v>297177</v>
      </c>
      <c r="S770" s="338">
        <f>+S172+S537+S554+S725+S761</f>
        <v>27473</v>
      </c>
      <c r="T770" s="338">
        <f>+T172+T537+T554+T725+T761+T768</f>
        <v>358311</v>
      </c>
      <c r="U770" s="461">
        <f>+U172+U537+U554+U725+U761+U768</f>
        <v>5392020.4320279714</v>
      </c>
      <c r="V770" s="338">
        <f>+V172+V537+V554+V725+V761+V768</f>
        <v>67848.34</v>
      </c>
      <c r="W770" s="449" cm="1">
        <f t="array" ref="W770">+IF(U770&lt;0,error,0)</f>
        <v>0</v>
      </c>
    </row>
    <row r="771" spans="1:23" ht="18" customHeight="1" x14ac:dyDescent="0.2">
      <c r="A771" s="464"/>
      <c r="B771" s="464"/>
      <c r="C771" s="464" t="s">
        <v>1659</v>
      </c>
      <c r="D771" s="465"/>
      <c r="E771" s="466"/>
      <c r="F771" s="467"/>
      <c r="G771" s="468"/>
      <c r="H771" s="469"/>
      <c r="I771" s="492"/>
      <c r="J771" s="467"/>
      <c r="K771" s="467"/>
      <c r="L771" s="467"/>
      <c r="N771" s="470"/>
      <c r="O771" s="470"/>
      <c r="P771" s="467"/>
      <c r="Q771" s="467"/>
      <c r="R771" s="470"/>
      <c r="S771" s="467"/>
      <c r="T771" s="467"/>
      <c r="U771" s="469"/>
      <c r="V771" s="467"/>
    </row>
    <row r="772" spans="1:23" ht="18" hidden="1" customHeight="1" x14ac:dyDescent="0.2">
      <c r="C772" s="465"/>
      <c r="D772" s="465"/>
      <c r="E772" s="466"/>
      <c r="F772" s="467"/>
      <c r="G772" s="468"/>
      <c r="H772" s="467"/>
      <c r="I772" s="449"/>
      <c r="J772" s="472"/>
      <c r="K772" s="472"/>
      <c r="L772" s="472">
        <f>+K770-L770</f>
        <v>3679.2799999999997</v>
      </c>
      <c r="P772" s="472"/>
      <c r="Q772" s="472"/>
      <c r="S772" s="472"/>
      <c r="V772" s="472"/>
    </row>
    <row r="773" spans="1:23" ht="18" customHeight="1" x14ac:dyDescent="0.2">
      <c r="A773" s="464"/>
      <c r="B773" s="464"/>
      <c r="C773" s="464"/>
      <c r="D773" s="464"/>
      <c r="E773" s="475"/>
      <c r="F773" s="476"/>
      <c r="G773" s="477" t="s">
        <v>1648</v>
      </c>
      <c r="H773" s="341"/>
      <c r="I773" s="341" t="s">
        <v>2387</v>
      </c>
      <c r="J773" s="478"/>
      <c r="K773" s="472"/>
      <c r="L773" s="472"/>
      <c r="P773" s="472"/>
      <c r="Q773" s="472"/>
      <c r="S773" s="472"/>
      <c r="U773" s="341" t="s">
        <v>2412</v>
      </c>
      <c r="V773" s="472"/>
    </row>
    <row r="774" spans="1:23" ht="18" customHeight="1" x14ac:dyDescent="0.2">
      <c r="C774" s="465"/>
      <c r="D774" s="465"/>
      <c r="E774" s="479"/>
      <c r="F774" s="468"/>
      <c r="G774" s="468"/>
      <c r="H774" s="342"/>
      <c r="I774" s="341" t="s">
        <v>1669</v>
      </c>
      <c r="P774" s="472"/>
      <c r="Q774" s="472"/>
      <c r="S774" s="472"/>
      <c r="U774" s="341" t="s">
        <v>1669</v>
      </c>
      <c r="V774" s="481"/>
    </row>
    <row r="775" spans="1:23" ht="18" customHeight="1" x14ac:dyDescent="0.2">
      <c r="C775" s="482" t="s">
        <v>1663</v>
      </c>
      <c r="D775" s="465"/>
      <c r="E775" s="479"/>
      <c r="F775" s="468"/>
      <c r="G775" s="468"/>
      <c r="H775" s="342"/>
      <c r="I775" s="342">
        <v>44196</v>
      </c>
      <c r="P775" s="472"/>
      <c r="Q775" s="472"/>
      <c r="S775" s="472"/>
      <c r="U775" s="342">
        <v>44377</v>
      </c>
      <c r="V775" s="472"/>
    </row>
    <row r="776" spans="1:23" ht="18" customHeight="1" x14ac:dyDescent="0.2">
      <c r="C776" s="465"/>
      <c r="D776" s="465"/>
      <c r="E776" s="479"/>
      <c r="F776" s="468"/>
      <c r="G776" s="468"/>
      <c r="H776" s="465"/>
      <c r="I776" s="507">
        <v>5595093.5599999996</v>
      </c>
      <c r="P776" s="472"/>
      <c r="Q776" s="472"/>
      <c r="S776" s="472"/>
      <c r="U776" s="507">
        <v>5392020.4299999997</v>
      </c>
      <c r="V776" s="472"/>
    </row>
    <row r="777" spans="1:23" x14ac:dyDescent="0.2">
      <c r="C777" s="465"/>
      <c r="D777" s="465"/>
      <c r="E777" s="479"/>
      <c r="F777" s="468"/>
      <c r="G777" s="468"/>
      <c r="H777" s="506"/>
      <c r="I777" s="449">
        <f>+I770-I776</f>
        <v>2.0279726013541222E-3</v>
      </c>
      <c r="P777" s="472"/>
      <c r="Q777" s="472"/>
      <c r="S777" s="472"/>
      <c r="V777" s="472"/>
    </row>
    <row r="778" spans="1:23" x14ac:dyDescent="0.2">
      <c r="C778" s="465"/>
      <c r="D778" s="465"/>
      <c r="E778" s="479"/>
      <c r="F778" s="468"/>
      <c r="G778" s="468"/>
      <c r="H778" s="465"/>
      <c r="I778" s="449"/>
      <c r="P778" s="472"/>
      <c r="Q778" s="472"/>
      <c r="S778" s="472"/>
      <c r="T778" s="488"/>
      <c r="U778" s="449">
        <f>+U776-U770</f>
        <v>-2.0279716700315475E-3</v>
      </c>
      <c r="V778" s="472"/>
    </row>
    <row r="779" spans="1:23" x14ac:dyDescent="0.2">
      <c r="C779" s="465"/>
      <c r="D779" s="465"/>
      <c r="E779" s="479"/>
      <c r="F779" s="468"/>
      <c r="G779" s="468"/>
      <c r="H779" s="465"/>
      <c r="I779" s="449"/>
      <c r="P779" s="472"/>
      <c r="Q779" s="472"/>
      <c r="S779" s="472"/>
      <c r="V779" s="472"/>
    </row>
    <row r="780" spans="1:23" x14ac:dyDescent="0.2">
      <c r="C780" s="465"/>
      <c r="D780" s="465"/>
      <c r="E780" s="479"/>
      <c r="F780" s="468"/>
      <c r="G780" s="468"/>
      <c r="H780" s="465"/>
      <c r="I780" s="447"/>
      <c r="P780" s="472"/>
      <c r="Q780" s="472"/>
      <c r="S780" s="472"/>
      <c r="V780" s="472"/>
    </row>
    <row r="781" spans="1:23" x14ac:dyDescent="0.2">
      <c r="C781" s="465"/>
      <c r="D781" s="465"/>
      <c r="E781" s="479"/>
      <c r="F781" s="468"/>
      <c r="G781" s="468"/>
      <c r="H781" s="465"/>
      <c r="P781" s="472"/>
      <c r="Q781" s="472"/>
      <c r="S781" s="472"/>
      <c r="V781" s="472"/>
    </row>
    <row r="782" spans="1:23" x14ac:dyDescent="0.2">
      <c r="C782" s="465"/>
      <c r="D782" s="465"/>
      <c r="E782" s="479"/>
      <c r="F782" s="468"/>
      <c r="G782" s="510"/>
      <c r="H782" s="465"/>
      <c r="I782" s="494"/>
      <c r="N782" s="512"/>
      <c r="P782" s="472"/>
      <c r="Q782" s="472"/>
      <c r="S782" s="472"/>
      <c r="V782" s="472"/>
    </row>
    <row r="783" spans="1:23" x14ac:dyDescent="0.2">
      <c r="C783" s="465"/>
      <c r="D783" s="465"/>
      <c r="E783" s="479"/>
      <c r="F783" s="468"/>
      <c r="G783" s="468"/>
      <c r="H783" s="465"/>
      <c r="N783" s="512"/>
      <c r="P783" s="472"/>
      <c r="Q783" s="472"/>
      <c r="S783" s="472"/>
      <c r="V783" s="472"/>
    </row>
    <row r="784" spans="1:23" x14ac:dyDescent="0.2">
      <c r="C784" s="465"/>
      <c r="D784" s="465"/>
      <c r="E784" s="479"/>
      <c r="F784" s="468"/>
      <c r="G784" s="468"/>
      <c r="H784" s="465"/>
      <c r="P784" s="472"/>
      <c r="Q784" s="472"/>
      <c r="S784" s="472"/>
      <c r="V784" s="472"/>
    </row>
    <row r="785" spans="3:22" x14ac:dyDescent="0.2">
      <c r="C785" s="465"/>
      <c r="D785" s="465"/>
      <c r="E785" s="479"/>
      <c r="F785" s="468"/>
      <c r="G785" s="468"/>
      <c r="H785" s="465"/>
      <c r="P785" s="472"/>
      <c r="Q785" s="472"/>
      <c r="S785" s="472"/>
      <c r="V785" s="472"/>
    </row>
    <row r="786" spans="3:22" x14ac:dyDescent="0.2">
      <c r="C786" s="465"/>
      <c r="D786" s="465"/>
      <c r="E786" s="479"/>
      <c r="F786" s="468"/>
      <c r="G786" s="468"/>
      <c r="H786" s="465"/>
      <c r="P786" s="472"/>
      <c r="Q786" s="472"/>
      <c r="S786" s="472"/>
      <c r="V786" s="472"/>
    </row>
    <row r="787" spans="3:22" x14ac:dyDescent="0.2">
      <c r="C787" s="465"/>
      <c r="D787" s="465"/>
      <c r="E787" s="479"/>
      <c r="F787" s="468"/>
      <c r="G787" s="468"/>
      <c r="H787" s="465"/>
      <c r="P787" s="472"/>
      <c r="Q787" s="472"/>
      <c r="S787" s="472"/>
      <c r="V787" s="472"/>
    </row>
    <row r="788" spans="3:22" x14ac:dyDescent="0.2">
      <c r="C788" s="465"/>
      <c r="D788" s="465"/>
      <c r="E788" s="479"/>
      <c r="F788" s="468"/>
      <c r="G788" s="468"/>
      <c r="H788" s="465"/>
      <c r="P788" s="472"/>
      <c r="Q788" s="472"/>
      <c r="S788" s="472"/>
      <c r="V788" s="472"/>
    </row>
    <row r="789" spans="3:22" x14ac:dyDescent="0.2">
      <c r="C789" s="465"/>
      <c r="D789" s="465"/>
      <c r="E789" s="479"/>
      <c r="F789" s="468"/>
      <c r="G789" s="468"/>
      <c r="H789" s="465"/>
      <c r="P789" s="472"/>
      <c r="Q789" s="472"/>
      <c r="S789" s="472"/>
      <c r="V789" s="472"/>
    </row>
    <row r="790" spans="3:22" x14ac:dyDescent="0.2">
      <c r="C790" s="465"/>
      <c r="D790" s="465"/>
      <c r="E790" s="479"/>
      <c r="F790" s="468"/>
      <c r="G790" s="468"/>
      <c r="P790" s="472"/>
      <c r="Q790" s="472"/>
      <c r="S790" s="472"/>
      <c r="V790" s="472"/>
    </row>
    <row r="791" spans="3:22" x14ac:dyDescent="0.2">
      <c r="C791" s="465"/>
      <c r="D791" s="465"/>
      <c r="E791" s="479"/>
      <c r="F791" s="468"/>
      <c r="G791" s="468"/>
      <c r="H791" s="465"/>
      <c r="P791" s="472"/>
      <c r="Q791" s="472"/>
      <c r="S791" s="472"/>
      <c r="V791" s="472"/>
    </row>
    <row r="792" spans="3:22" x14ac:dyDescent="0.2">
      <c r="P792" s="472"/>
      <c r="Q792" s="472"/>
      <c r="S792" s="472"/>
      <c r="V792" s="472"/>
    </row>
    <row r="793" spans="3:22" x14ac:dyDescent="0.2">
      <c r="P793" s="472"/>
      <c r="Q793" s="472"/>
      <c r="S793" s="472"/>
      <c r="V793" s="472"/>
    </row>
    <row r="794" spans="3:22" x14ac:dyDescent="0.2">
      <c r="F794" s="468"/>
      <c r="G794" s="468"/>
      <c r="H794" s="465"/>
      <c r="P794" s="472"/>
      <c r="Q794" s="472"/>
      <c r="S794" s="472"/>
      <c r="V794" s="472"/>
    </row>
    <row r="795" spans="3:22" x14ac:dyDescent="0.2">
      <c r="P795" s="472"/>
      <c r="Q795" s="472"/>
      <c r="S795" s="472"/>
      <c r="V795" s="472"/>
    </row>
    <row r="796" spans="3:22" x14ac:dyDescent="0.2">
      <c r="P796" s="472"/>
      <c r="Q796" s="472"/>
      <c r="S796" s="472"/>
      <c r="V796" s="472"/>
    </row>
    <row r="797" spans="3:22" x14ac:dyDescent="0.2">
      <c r="P797" s="472"/>
      <c r="Q797" s="472"/>
      <c r="S797" s="472"/>
      <c r="V797" s="472"/>
    </row>
    <row r="798" spans="3:22" x14ac:dyDescent="0.2">
      <c r="P798" s="472"/>
      <c r="Q798" s="472"/>
      <c r="S798" s="472"/>
      <c r="V798" s="472"/>
    </row>
    <row r="799" spans="3:22" x14ac:dyDescent="0.2">
      <c r="P799" s="472"/>
      <c r="Q799" s="472"/>
      <c r="S799" s="472"/>
      <c r="V799" s="472"/>
    </row>
    <row r="800" spans="3:22" x14ac:dyDescent="0.2">
      <c r="P800" s="472"/>
      <c r="Q800" s="472"/>
      <c r="S800" s="472"/>
      <c r="V800" s="472"/>
    </row>
    <row r="801" spans="16:22" x14ac:dyDescent="0.2">
      <c r="P801" s="472"/>
      <c r="Q801" s="472"/>
      <c r="S801" s="472"/>
      <c r="V801" s="472"/>
    </row>
    <row r="802" spans="16:22" x14ac:dyDescent="0.2">
      <c r="P802" s="472"/>
      <c r="Q802" s="472"/>
      <c r="S802" s="472"/>
      <c r="V802" s="472"/>
    </row>
    <row r="803" spans="16:22" x14ac:dyDescent="0.2">
      <c r="P803" s="472"/>
      <c r="Q803" s="472"/>
      <c r="S803" s="472"/>
      <c r="V803" s="472"/>
    </row>
    <row r="804" spans="16:22" x14ac:dyDescent="0.2">
      <c r="P804" s="472"/>
      <c r="Q804" s="472"/>
      <c r="S804" s="472"/>
      <c r="V804" s="472"/>
    </row>
    <row r="805" spans="16:22" x14ac:dyDescent="0.2">
      <c r="P805" s="472"/>
      <c r="Q805" s="472"/>
      <c r="S805" s="472"/>
      <c r="V805" s="472"/>
    </row>
    <row r="806" spans="16:22" x14ac:dyDescent="0.2">
      <c r="P806" s="472"/>
      <c r="Q806" s="472"/>
      <c r="S806" s="472"/>
      <c r="V806" s="472"/>
    </row>
    <row r="807" spans="16:22" x14ac:dyDescent="0.2">
      <c r="P807" s="472"/>
      <c r="Q807" s="472"/>
      <c r="S807" s="472"/>
      <c r="V807" s="472"/>
    </row>
    <row r="808" spans="16:22" x14ac:dyDescent="0.2">
      <c r="P808" s="472"/>
      <c r="Q808" s="472"/>
      <c r="S808" s="472"/>
      <c r="V808" s="472"/>
    </row>
    <row r="809" spans="16:22" x14ac:dyDescent="0.2">
      <c r="P809" s="472"/>
      <c r="Q809" s="472"/>
      <c r="S809" s="472"/>
      <c r="V809" s="472"/>
    </row>
    <row r="810" spans="16:22" x14ac:dyDescent="0.2">
      <c r="P810" s="472"/>
      <c r="Q810" s="472"/>
      <c r="S810" s="472"/>
      <c r="V810" s="472"/>
    </row>
    <row r="811" spans="16:22" x14ac:dyDescent="0.2">
      <c r="P811" s="472"/>
      <c r="Q811" s="472"/>
      <c r="S811" s="472"/>
      <c r="V811" s="472"/>
    </row>
    <row r="812" spans="16:22" x14ac:dyDescent="0.2">
      <c r="P812" s="472"/>
      <c r="Q812" s="472"/>
      <c r="S812" s="472"/>
      <c r="V812" s="472"/>
    </row>
    <row r="813" spans="16:22" x14ac:dyDescent="0.2">
      <c r="P813" s="472"/>
      <c r="Q813" s="472"/>
      <c r="S813" s="472"/>
      <c r="V813" s="472"/>
    </row>
    <row r="814" spans="16:22" x14ac:dyDescent="0.2">
      <c r="P814" s="472"/>
      <c r="Q814" s="472"/>
      <c r="S814" s="472"/>
      <c r="V814" s="472"/>
    </row>
    <row r="815" spans="16:22" x14ac:dyDescent="0.2">
      <c r="P815" s="472"/>
      <c r="Q815" s="472"/>
      <c r="S815" s="472"/>
      <c r="V815" s="472"/>
    </row>
    <row r="816" spans="16:22" x14ac:dyDescent="0.2">
      <c r="P816" s="472"/>
      <c r="Q816" s="472"/>
      <c r="S816" s="472"/>
      <c r="V816" s="472"/>
    </row>
    <row r="817" spans="16:22" x14ac:dyDescent="0.2">
      <c r="P817" s="472"/>
      <c r="Q817" s="472"/>
      <c r="S817" s="472"/>
      <c r="V817" s="472"/>
    </row>
    <row r="818" spans="16:22" x14ac:dyDescent="0.2">
      <c r="P818" s="472"/>
      <c r="Q818" s="472"/>
      <c r="S818" s="472"/>
      <c r="V818" s="472"/>
    </row>
    <row r="819" spans="16:22" x14ac:dyDescent="0.2">
      <c r="P819" s="472"/>
      <c r="Q819" s="472"/>
      <c r="S819" s="472"/>
      <c r="V819" s="472"/>
    </row>
    <row r="820" spans="16:22" x14ac:dyDescent="0.2">
      <c r="P820" s="472"/>
      <c r="Q820" s="472"/>
      <c r="S820" s="472"/>
      <c r="V820" s="472"/>
    </row>
    <row r="821" spans="16:22" x14ac:dyDescent="0.2">
      <c r="P821" s="472"/>
      <c r="Q821" s="472"/>
      <c r="S821" s="472"/>
      <c r="V821" s="472"/>
    </row>
    <row r="822" spans="16:22" x14ac:dyDescent="0.2">
      <c r="P822" s="472"/>
      <c r="Q822" s="472"/>
      <c r="S822" s="472"/>
      <c r="V822" s="472"/>
    </row>
    <row r="823" spans="16:22" x14ac:dyDescent="0.2">
      <c r="P823" s="472"/>
      <c r="Q823" s="472"/>
      <c r="S823" s="472"/>
      <c r="V823" s="472"/>
    </row>
    <row r="824" spans="16:22" x14ac:dyDescent="0.2">
      <c r="P824" s="472"/>
      <c r="Q824" s="472"/>
      <c r="S824" s="472"/>
      <c r="V824" s="472"/>
    </row>
  </sheetData>
  <mergeCells count="2">
    <mergeCell ref="D1:U1"/>
    <mergeCell ref="D2:U2"/>
  </mergeCells>
  <pageMargins left="0.23622047244094491" right="0.23622047244094491" top="0.74803149606299213" bottom="0.74803149606299213" header="0.31496062992125984" footer="0.31496062992125984"/>
  <pageSetup paperSize="9" scale="65" fitToHeight="21" orientation="landscape" horizontalDpi="0" verticalDpi="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0353C-AD09-4A56-9C88-98F6EF7D1301}">
  <sheetPr>
    <pageSetUpPr fitToPage="1"/>
  </sheetPr>
  <dimension ref="A1:Y178"/>
  <sheetViews>
    <sheetView topLeftCell="A108" workbookViewId="0">
      <selection activeCell="U125" sqref="U125"/>
    </sheetView>
  </sheetViews>
  <sheetFormatPr defaultColWidth="6.85546875" defaultRowHeight="12.75" x14ac:dyDescent="0.2"/>
  <cols>
    <col min="1" max="2" width="6.85546875" style="11"/>
    <col min="3" max="3" width="59.7109375" style="11" bestFit="1" customWidth="1"/>
    <col min="4" max="4" width="10.28515625" style="11" bestFit="1" customWidth="1"/>
    <col min="5" max="5" width="10.140625" style="18" bestFit="1" customWidth="1"/>
    <col min="6" max="6" width="10" style="19" bestFit="1" customWidth="1"/>
    <col min="7" max="7" width="8.42578125" style="19" bestFit="1" customWidth="1"/>
    <col min="8" max="10" width="12.85546875" style="11" bestFit="1" customWidth="1"/>
    <col min="11" max="12" width="7.7109375" style="11" bestFit="1" customWidth="1"/>
    <col min="13" max="13" width="7" style="11" bestFit="1" customWidth="1"/>
    <col min="14" max="14" width="6.85546875" style="44"/>
    <col min="15" max="15" width="8.7109375" style="44" hidden="1" customWidth="1"/>
    <col min="16" max="16" width="8.7109375" style="11" hidden="1" customWidth="1"/>
    <col min="17" max="17" width="9.85546875" style="11" hidden="1" customWidth="1"/>
    <col min="18" max="18" width="8.7109375" style="44" hidden="1" customWidth="1"/>
    <col min="19" max="19" width="8.7109375" style="11" hidden="1" customWidth="1"/>
    <col min="20" max="20" width="10.28515625" style="11" bestFit="1" customWidth="1"/>
    <col min="21" max="21" width="12.85546875" style="258" bestFit="1" customWidth="1"/>
    <col min="22" max="22" width="12.85546875" style="11" bestFit="1" customWidth="1"/>
    <col min="23" max="23" width="6.85546875" style="11"/>
    <col min="24" max="24" width="9.7109375" style="11" bestFit="1" customWidth="1"/>
    <col min="25" max="16384" width="6.85546875" style="11"/>
  </cols>
  <sheetData>
    <row r="1" spans="1:24" ht="13.5" customHeight="1" x14ac:dyDescent="0.2">
      <c r="A1" s="14"/>
      <c r="B1" s="15"/>
      <c r="C1" s="15"/>
      <c r="D1" s="519" t="s">
        <v>1824</v>
      </c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161"/>
    </row>
    <row r="2" spans="1:24" ht="15.75" customHeight="1" x14ac:dyDescent="0.2">
      <c r="A2" s="14"/>
      <c r="B2" s="16"/>
      <c r="C2" s="16"/>
      <c r="D2" s="520" t="s">
        <v>1</v>
      </c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161"/>
    </row>
    <row r="3" spans="1:24" ht="13.5" customHeight="1" x14ac:dyDescent="0.2">
      <c r="A3" s="14"/>
      <c r="B3" s="17"/>
      <c r="C3" s="17"/>
      <c r="D3" s="17"/>
      <c r="H3" s="20">
        <v>43647</v>
      </c>
      <c r="I3" s="21" t="s">
        <v>1637</v>
      </c>
      <c r="J3" s="20">
        <v>43830</v>
      </c>
      <c r="K3" s="17"/>
      <c r="L3" s="17"/>
      <c r="M3" s="17"/>
      <c r="N3" s="22"/>
      <c r="O3" s="22"/>
      <c r="P3" s="17"/>
      <c r="Q3" s="17"/>
      <c r="R3" s="22"/>
      <c r="S3" s="17"/>
      <c r="T3" s="17" t="s">
        <v>1639</v>
      </c>
      <c r="U3" s="260">
        <f>ROUND((+J3-H3)/365*12,0)</f>
        <v>6</v>
      </c>
      <c r="V3" s="172"/>
    </row>
    <row r="4" spans="1:24" ht="3" customHeight="1" x14ac:dyDescent="0.2">
      <c r="A4" s="14"/>
      <c r="B4" s="14"/>
      <c r="C4" s="14"/>
      <c r="D4" s="14"/>
      <c r="E4" s="24"/>
      <c r="F4" s="23"/>
      <c r="G4" s="23"/>
      <c r="H4" s="14"/>
      <c r="I4" s="14"/>
      <c r="J4" s="14"/>
      <c r="K4" s="14"/>
      <c r="L4" s="14"/>
      <c r="M4" s="14"/>
      <c r="N4" s="290"/>
      <c r="O4" s="290"/>
      <c r="P4" s="14"/>
      <c r="Q4" s="14"/>
      <c r="R4" s="290"/>
      <c r="S4" s="14"/>
      <c r="T4" s="14"/>
      <c r="U4" s="261"/>
      <c r="V4" s="164"/>
    </row>
    <row r="5" spans="1:24" ht="15" customHeight="1" x14ac:dyDescent="0.2">
      <c r="A5" s="54"/>
      <c r="B5" s="55"/>
      <c r="C5" s="55"/>
      <c r="D5" s="26" t="s">
        <v>4</v>
      </c>
      <c r="E5" s="27" t="s">
        <v>1641</v>
      </c>
      <c r="F5" s="28"/>
      <c r="G5" s="29"/>
      <c r="H5" s="30" t="s">
        <v>1643</v>
      </c>
      <c r="I5" s="31" t="s">
        <v>1646</v>
      </c>
      <c r="J5" s="32" t="s">
        <v>1647</v>
      </c>
      <c r="K5" s="31" t="s">
        <v>1649</v>
      </c>
      <c r="L5" s="31" t="s">
        <v>1650</v>
      </c>
      <c r="M5" s="31" t="s">
        <v>1634</v>
      </c>
      <c r="N5" s="33" t="s">
        <v>1634</v>
      </c>
      <c r="O5" s="33" t="s">
        <v>1664</v>
      </c>
      <c r="P5" s="31" t="s">
        <v>1665</v>
      </c>
      <c r="Q5" s="31" t="s">
        <v>1666</v>
      </c>
      <c r="R5" s="33" t="s">
        <v>1661</v>
      </c>
      <c r="S5" s="31" t="s">
        <v>1660</v>
      </c>
      <c r="T5" s="31" t="s">
        <v>1662</v>
      </c>
      <c r="U5" s="262" t="s">
        <v>1653</v>
      </c>
      <c r="V5" s="184" t="s">
        <v>2086</v>
      </c>
    </row>
    <row r="6" spans="1:24" ht="15" customHeight="1" x14ac:dyDescent="0.2">
      <c r="A6" s="56" t="s">
        <v>1636</v>
      </c>
      <c r="B6" s="57"/>
      <c r="C6" s="57" t="s">
        <v>12</v>
      </c>
      <c r="D6" s="34" t="s">
        <v>1640</v>
      </c>
      <c r="E6" s="35" t="s">
        <v>1640</v>
      </c>
      <c r="F6" s="36" t="s">
        <v>1642</v>
      </c>
      <c r="G6" s="37" t="s">
        <v>1644</v>
      </c>
      <c r="H6" s="38" t="s">
        <v>1644</v>
      </c>
      <c r="I6" s="39" t="s">
        <v>1645</v>
      </c>
      <c r="J6" s="34"/>
      <c r="K6" s="34"/>
      <c r="L6" s="34"/>
      <c r="M6" s="39" t="s">
        <v>1651</v>
      </c>
      <c r="N6" s="40" t="s">
        <v>1633</v>
      </c>
      <c r="O6" s="40" t="s">
        <v>1634</v>
      </c>
      <c r="P6" s="40" t="s">
        <v>1634</v>
      </c>
      <c r="Q6" s="40" t="s">
        <v>1667</v>
      </c>
      <c r="R6" s="40" t="s">
        <v>1634</v>
      </c>
      <c r="S6" s="40" t="s">
        <v>1634</v>
      </c>
      <c r="T6" s="40" t="s">
        <v>1634</v>
      </c>
      <c r="U6" s="263" t="s">
        <v>1652</v>
      </c>
      <c r="V6" s="193" t="s">
        <v>2087</v>
      </c>
    </row>
    <row r="7" spans="1:24" ht="15.75" customHeight="1" x14ac:dyDescent="0.2">
      <c r="A7" s="278"/>
      <c r="B7" s="279"/>
      <c r="C7" s="58"/>
      <c r="D7" s="59"/>
      <c r="E7" s="60"/>
      <c r="F7" s="61"/>
      <c r="G7" s="61"/>
      <c r="H7" s="61"/>
      <c r="I7" s="61"/>
      <c r="J7" s="61"/>
      <c r="K7" s="61"/>
      <c r="L7" s="61"/>
      <c r="M7" s="59"/>
      <c r="N7" s="62"/>
      <c r="O7" s="62"/>
      <c r="P7" s="59"/>
      <c r="Q7" s="59"/>
      <c r="R7" s="62"/>
      <c r="S7" s="59"/>
      <c r="T7" s="59"/>
      <c r="U7" s="264"/>
      <c r="V7" s="200"/>
    </row>
    <row r="8" spans="1:24" ht="15.75" customHeight="1" x14ac:dyDescent="0.2">
      <c r="A8" s="269" t="s">
        <v>2102</v>
      </c>
      <c r="B8" s="270"/>
      <c r="C8" s="271"/>
      <c r="D8" s="272"/>
      <c r="E8" s="273"/>
      <c r="F8" s="274"/>
      <c r="G8" s="274"/>
      <c r="H8" s="274"/>
      <c r="I8" s="274"/>
      <c r="J8" s="274"/>
      <c r="K8" s="274"/>
      <c r="L8" s="274"/>
      <c r="M8" s="272"/>
      <c r="N8" s="275"/>
      <c r="O8" s="275"/>
      <c r="P8" s="272"/>
      <c r="Q8" s="272"/>
      <c r="R8" s="275"/>
      <c r="S8" s="272"/>
      <c r="T8" s="272"/>
      <c r="U8" s="276"/>
      <c r="V8" s="277"/>
    </row>
    <row r="9" spans="1:24" ht="15.75" customHeight="1" x14ac:dyDescent="0.2">
      <c r="A9" s="280"/>
      <c r="B9" s="270"/>
      <c r="C9" s="271" t="s">
        <v>2103</v>
      </c>
      <c r="D9" s="286">
        <v>41761</v>
      </c>
      <c r="E9" s="282"/>
      <c r="F9" s="283"/>
      <c r="G9" s="283"/>
      <c r="H9" s="283">
        <v>1764225.9</v>
      </c>
      <c r="I9" s="283">
        <f>+H9</f>
        <v>1764225.9</v>
      </c>
      <c r="J9" s="283"/>
      <c r="K9" s="283"/>
      <c r="L9" s="283"/>
      <c r="M9" s="284"/>
      <c r="N9" s="285"/>
      <c r="O9" s="285"/>
      <c r="P9" s="284"/>
      <c r="Q9" s="284"/>
      <c r="R9" s="285"/>
      <c r="S9" s="284"/>
      <c r="T9" s="284"/>
      <c r="U9" s="276">
        <f>+I9</f>
        <v>1764225.9</v>
      </c>
      <c r="V9" s="277"/>
    </row>
    <row r="10" spans="1:24" ht="15.75" customHeight="1" x14ac:dyDescent="0.2">
      <c r="A10" s="280"/>
      <c r="B10" s="270"/>
      <c r="C10" s="271" t="s">
        <v>2104</v>
      </c>
      <c r="D10" s="281">
        <v>42171</v>
      </c>
      <c r="E10" s="282"/>
      <c r="F10" s="283"/>
      <c r="G10" s="283"/>
      <c r="H10" s="283">
        <v>159527.31</v>
      </c>
      <c r="I10" s="283">
        <f>+H10</f>
        <v>159527.31</v>
      </c>
      <c r="J10" s="283"/>
      <c r="K10" s="283"/>
      <c r="L10" s="283"/>
      <c r="M10" s="284"/>
      <c r="N10" s="285"/>
      <c r="O10" s="285"/>
      <c r="P10" s="284"/>
      <c r="Q10" s="284"/>
      <c r="R10" s="285"/>
      <c r="S10" s="284"/>
      <c r="T10" s="284"/>
      <c r="U10" s="276">
        <f>+I10</f>
        <v>159527.31</v>
      </c>
      <c r="V10" s="277"/>
      <c r="X10" s="258"/>
    </row>
    <row r="11" spans="1:24" ht="15.75" customHeight="1" x14ac:dyDescent="0.2">
      <c r="A11" s="280"/>
      <c r="B11" s="270"/>
      <c r="C11" s="271" t="s">
        <v>2105</v>
      </c>
      <c r="D11" s="281">
        <v>42186</v>
      </c>
      <c r="E11" s="282"/>
      <c r="F11" s="283"/>
      <c r="G11" s="283"/>
      <c r="H11" s="283">
        <v>1310</v>
      </c>
      <c r="I11" s="283">
        <f>+H11</f>
        <v>1310</v>
      </c>
      <c r="J11" s="283"/>
      <c r="K11" s="283"/>
      <c r="L11" s="283"/>
      <c r="M11" s="284"/>
      <c r="N11" s="285"/>
      <c r="O11" s="285"/>
      <c r="P11" s="284"/>
      <c r="Q11" s="284"/>
      <c r="R11" s="285"/>
      <c r="S11" s="284"/>
      <c r="T11" s="284"/>
      <c r="U11" s="276">
        <f>+I11</f>
        <v>1310</v>
      </c>
      <c r="V11" s="277"/>
      <c r="X11" s="258"/>
    </row>
    <row r="12" spans="1:24" ht="15.75" customHeight="1" x14ac:dyDescent="0.2">
      <c r="A12" s="280"/>
      <c r="B12" s="270"/>
      <c r="C12" s="271"/>
      <c r="D12" s="281"/>
      <c r="E12" s="282"/>
      <c r="F12" s="283"/>
      <c r="G12" s="283"/>
      <c r="H12" s="283"/>
      <c r="I12" s="283"/>
      <c r="J12" s="283"/>
      <c r="K12" s="283"/>
      <c r="L12" s="283"/>
      <c r="M12" s="284"/>
      <c r="N12" s="285"/>
      <c r="O12" s="285"/>
      <c r="P12" s="284"/>
      <c r="Q12" s="284"/>
      <c r="R12" s="285"/>
      <c r="S12" s="284"/>
      <c r="T12" s="284"/>
      <c r="U12" s="276"/>
      <c r="V12" s="277"/>
      <c r="X12" s="258"/>
    </row>
    <row r="13" spans="1:24" s="14" customFormat="1" ht="18" customHeight="1" x14ac:dyDescent="0.2">
      <c r="A13" s="105"/>
      <c r="B13" s="106"/>
      <c r="C13" s="77" t="s">
        <v>2106</v>
      </c>
      <c r="D13" s="76"/>
      <c r="E13" s="78"/>
      <c r="F13" s="79">
        <f t="shared" ref="F13:L13" si="0">SUM(F8:F12)</f>
        <v>0</v>
      </c>
      <c r="G13" s="79">
        <f t="shared" si="0"/>
        <v>0</v>
      </c>
      <c r="H13" s="268">
        <f t="shared" si="0"/>
        <v>1925063.21</v>
      </c>
      <c r="I13" s="79">
        <f t="shared" si="0"/>
        <v>1925063.21</v>
      </c>
      <c r="J13" s="79">
        <f t="shared" si="0"/>
        <v>0</v>
      </c>
      <c r="K13" s="79">
        <f t="shared" si="0"/>
        <v>0</v>
      </c>
      <c r="L13" s="79">
        <f t="shared" si="0"/>
        <v>0</v>
      </c>
      <c r="M13" s="80"/>
      <c r="N13" s="81"/>
      <c r="O13" s="79" t="e">
        <f>SUM(#REF!)</f>
        <v>#REF!</v>
      </c>
      <c r="P13" s="79" t="e">
        <f>SUM(#REF!)</f>
        <v>#REF!</v>
      </c>
      <c r="Q13" s="79"/>
      <c r="R13" s="79" t="e">
        <f>SUM(#REF!)</f>
        <v>#REF!</v>
      </c>
      <c r="S13" s="79" t="e">
        <f>SUM(#REF!)</f>
        <v>#REF!</v>
      </c>
      <c r="T13" s="79">
        <f>SUM(T8:T12)</f>
        <v>0</v>
      </c>
      <c r="U13" s="267">
        <f>SUM(U8:U12)</f>
        <v>1925063.21</v>
      </c>
      <c r="V13" s="79">
        <f>SUM(V8:V12)</f>
        <v>0</v>
      </c>
    </row>
    <row r="14" spans="1:24" ht="15.75" customHeight="1" x14ac:dyDescent="0.2">
      <c r="A14" s="269"/>
      <c r="B14" s="270"/>
      <c r="C14" s="271"/>
      <c r="D14" s="272"/>
      <c r="E14" s="273"/>
      <c r="F14" s="274"/>
      <c r="G14" s="274"/>
      <c r="H14" s="274"/>
      <c r="I14" s="274"/>
      <c r="J14" s="274"/>
      <c r="K14" s="274"/>
      <c r="L14" s="274"/>
      <c r="M14" s="272"/>
      <c r="N14" s="275"/>
      <c r="O14" s="275"/>
      <c r="P14" s="272"/>
      <c r="Q14" s="272"/>
      <c r="R14" s="275"/>
      <c r="S14" s="272"/>
      <c r="T14" s="272"/>
      <c r="U14" s="276"/>
      <c r="V14" s="277"/>
    </row>
    <row r="15" spans="1:24" ht="15.75" customHeight="1" x14ac:dyDescent="0.2">
      <c r="A15" s="269" t="s">
        <v>2101</v>
      </c>
      <c r="B15" s="270"/>
      <c r="C15" s="271"/>
      <c r="D15" s="272"/>
      <c r="E15" s="273"/>
      <c r="F15" s="274"/>
      <c r="G15" s="274"/>
      <c r="H15" s="274"/>
      <c r="I15" s="274"/>
      <c r="J15" s="274"/>
      <c r="K15" s="274"/>
      <c r="L15" s="274"/>
      <c r="M15" s="272"/>
      <c r="N15" s="275"/>
      <c r="O15" s="275"/>
      <c r="P15" s="272"/>
      <c r="Q15" s="272"/>
      <c r="R15" s="275"/>
      <c r="S15" s="272"/>
      <c r="T15" s="272"/>
      <c r="U15" s="276"/>
      <c r="V15" s="277"/>
    </row>
    <row r="16" spans="1:24" ht="15.75" customHeight="1" x14ac:dyDescent="0.2">
      <c r="A16" s="101" t="s">
        <v>1675</v>
      </c>
      <c r="B16" s="102"/>
      <c r="C16" s="64" t="s">
        <v>1676</v>
      </c>
      <c r="D16" s="65">
        <v>41780</v>
      </c>
      <c r="E16" s="66"/>
      <c r="F16" s="67"/>
      <c r="G16" s="67"/>
      <c r="H16" s="67">
        <v>3730</v>
      </c>
      <c r="I16" s="67">
        <v>3255</v>
      </c>
      <c r="J16" s="67">
        <v>0</v>
      </c>
      <c r="K16" s="68">
        <f t="shared" ref="K16:K79" si="1">INT(IF($E16&gt;0,IF(+F16-I16+Q16&lt;0,0,+F16-I16+Q16),0))</f>
        <v>0</v>
      </c>
      <c r="L16" s="68">
        <f t="shared" ref="L16:L79" si="2">INT(IF($E16&gt;0,IF(K16=0,-F16+I16-Q16,0),0))</f>
        <v>0</v>
      </c>
      <c r="M16" s="69">
        <v>2.5</v>
      </c>
      <c r="N16" s="70" t="s">
        <v>17</v>
      </c>
      <c r="O16" s="68">
        <f>IF(E16&gt;0,INT(IF($N16="D",IF($D16&lt;$H$3,$I16*($M16/100)*((E16-$H$3)/365),$J16*($M16/100)*($J$3-$D16)/365),0)),0)</f>
        <v>0</v>
      </c>
      <c r="P16" s="68">
        <f>IF(E16&gt;0,INT(IF($N16="P",IF($D16&lt;$H$3,$H16*($M16/100)*(E16-$H$3)/365,$J16*($M16/100)*($J$3-$D16)/365),0)),0)</f>
        <v>0</v>
      </c>
      <c r="Q16" s="68">
        <f>+O16+P16</f>
        <v>0</v>
      </c>
      <c r="R16" s="68">
        <f t="shared" ref="R16:R79" si="3">INT(IF($E16&gt;0,0,(IF($N16="D",IF($D16&lt;$H$3,$I16*($M16/100)*$U$3/12,$J16*($M16/100)*($J$3-$D16)/365),0))))</f>
        <v>0</v>
      </c>
      <c r="S16" s="68">
        <f t="shared" ref="S16:S79" si="4">INT(IF($E16&gt;0,0,(IF($N16="P",IF($D16&lt;$H$3,$H16*($M16/100)*$U$3/12,$J16*($M16/100)*($J$3-$D16)/365),0))))</f>
        <v>46</v>
      </c>
      <c r="T16" s="68">
        <f>+R16+S16+Q16</f>
        <v>46</v>
      </c>
      <c r="U16" s="265">
        <f>+I16+J16-T16</f>
        <v>3209</v>
      </c>
      <c r="V16" s="93">
        <f>IF(E16&gt;0,+H16+J16,0)</f>
        <v>0</v>
      </c>
    </row>
    <row r="17" spans="1:25" ht="18" customHeight="1" x14ac:dyDescent="0.2">
      <c r="A17" s="101" t="s">
        <v>1677</v>
      </c>
      <c r="B17" s="102"/>
      <c r="C17" s="71" t="s">
        <v>1678</v>
      </c>
      <c r="D17" s="65">
        <v>41780</v>
      </c>
      <c r="E17" s="66"/>
      <c r="F17" s="67"/>
      <c r="G17" s="67"/>
      <c r="H17" s="67">
        <v>15123.76</v>
      </c>
      <c r="I17" s="67">
        <v>13191.76</v>
      </c>
      <c r="J17" s="67">
        <v>0</v>
      </c>
      <c r="K17" s="68">
        <f t="shared" si="1"/>
        <v>0</v>
      </c>
      <c r="L17" s="68">
        <f t="shared" si="2"/>
        <v>0</v>
      </c>
      <c r="M17" s="69">
        <v>2.5</v>
      </c>
      <c r="N17" s="70" t="s">
        <v>17</v>
      </c>
      <c r="O17" s="68">
        <f t="shared" ref="O17:O80" si="5">IF(E17&gt;0,INT(IF($N17="D",IF($D17&lt;$H$3,$I17*($M17/100)*((E17-$H$3)/365),$J17*($M17/100)*($J$3-$D17)/365),0)),0)</f>
        <v>0</v>
      </c>
      <c r="P17" s="68">
        <f t="shared" ref="P17:P80" si="6">IF(E17&gt;0,INT(IF($N17="P",IF($D17&lt;$H$3,$H17*($M17/100)*(E17-$H$3)/365,$J17*($M17/100)*($J$3-$D17)/365),0)),0)</f>
        <v>0</v>
      </c>
      <c r="Q17" s="68">
        <f t="shared" ref="Q17:Q80" si="7">+O17+P17</f>
        <v>0</v>
      </c>
      <c r="R17" s="68">
        <f t="shared" si="3"/>
        <v>0</v>
      </c>
      <c r="S17" s="68">
        <f t="shared" si="4"/>
        <v>189</v>
      </c>
      <c r="T17" s="68">
        <f t="shared" ref="T17:T80" si="8">+R17+S17+Q17</f>
        <v>189</v>
      </c>
      <c r="U17" s="265">
        <f t="shared" ref="U17:U80" si="9">+I17+J17-T17</f>
        <v>13002.76</v>
      </c>
      <c r="V17" s="93">
        <f t="shared" ref="V17:V80" si="10">IF(E17&gt;0,+H17+J17,0)</f>
        <v>0</v>
      </c>
    </row>
    <row r="18" spans="1:25" ht="18" customHeight="1" x14ac:dyDescent="0.2">
      <c r="A18" s="101" t="s">
        <v>1679</v>
      </c>
      <c r="B18" s="102"/>
      <c r="C18" s="71" t="s">
        <v>1676</v>
      </c>
      <c r="D18" s="65">
        <v>41820</v>
      </c>
      <c r="E18" s="66"/>
      <c r="F18" s="67"/>
      <c r="G18" s="67"/>
      <c r="H18" s="67">
        <v>8798.5500000000011</v>
      </c>
      <c r="I18" s="67">
        <v>7697.55</v>
      </c>
      <c r="J18" s="67">
        <v>0</v>
      </c>
      <c r="K18" s="68">
        <f t="shared" si="1"/>
        <v>0</v>
      </c>
      <c r="L18" s="68">
        <f t="shared" si="2"/>
        <v>0</v>
      </c>
      <c r="M18" s="69">
        <v>2.5</v>
      </c>
      <c r="N18" s="70" t="s">
        <v>17</v>
      </c>
      <c r="O18" s="68">
        <f t="shared" si="5"/>
        <v>0</v>
      </c>
      <c r="P18" s="68">
        <f t="shared" si="6"/>
        <v>0</v>
      </c>
      <c r="Q18" s="68">
        <f t="shared" si="7"/>
        <v>0</v>
      </c>
      <c r="R18" s="68">
        <f t="shared" si="3"/>
        <v>0</v>
      </c>
      <c r="S18" s="68">
        <f t="shared" si="4"/>
        <v>109</v>
      </c>
      <c r="T18" s="68">
        <f t="shared" si="8"/>
        <v>109</v>
      </c>
      <c r="U18" s="265">
        <f t="shared" si="9"/>
        <v>7588.55</v>
      </c>
      <c r="V18" s="93">
        <f t="shared" si="10"/>
        <v>0</v>
      </c>
    </row>
    <row r="19" spans="1:25" ht="18" customHeight="1" x14ac:dyDescent="0.2">
      <c r="A19" s="101" t="s">
        <v>1680</v>
      </c>
      <c r="B19" s="102"/>
      <c r="C19" s="71" t="s">
        <v>1681</v>
      </c>
      <c r="D19" s="65">
        <v>41863</v>
      </c>
      <c r="E19" s="66"/>
      <c r="F19" s="67"/>
      <c r="G19" s="67"/>
      <c r="H19" s="67">
        <v>6110</v>
      </c>
      <c r="I19" s="67">
        <v>5363</v>
      </c>
      <c r="J19" s="67">
        <v>0</v>
      </c>
      <c r="K19" s="68">
        <f t="shared" si="1"/>
        <v>0</v>
      </c>
      <c r="L19" s="68">
        <f t="shared" si="2"/>
        <v>0</v>
      </c>
      <c r="M19" s="69">
        <v>2.5</v>
      </c>
      <c r="N19" s="70" t="s">
        <v>17</v>
      </c>
      <c r="O19" s="68">
        <f t="shared" si="5"/>
        <v>0</v>
      </c>
      <c r="P19" s="68">
        <f t="shared" si="6"/>
        <v>0</v>
      </c>
      <c r="Q19" s="68">
        <f t="shared" si="7"/>
        <v>0</v>
      </c>
      <c r="R19" s="68">
        <f t="shared" si="3"/>
        <v>0</v>
      </c>
      <c r="S19" s="68">
        <f t="shared" si="4"/>
        <v>76</v>
      </c>
      <c r="T19" s="68">
        <f t="shared" si="8"/>
        <v>76</v>
      </c>
      <c r="U19" s="265">
        <f t="shared" si="9"/>
        <v>5287</v>
      </c>
      <c r="V19" s="93">
        <f t="shared" si="10"/>
        <v>0</v>
      </c>
    </row>
    <row r="20" spans="1:25" ht="18" customHeight="1" x14ac:dyDescent="0.2">
      <c r="A20" s="101" t="s">
        <v>1682</v>
      </c>
      <c r="B20" s="102"/>
      <c r="C20" s="71" t="s">
        <v>1683</v>
      </c>
      <c r="D20" s="65">
        <v>41891</v>
      </c>
      <c r="E20" s="66"/>
      <c r="F20" s="67"/>
      <c r="G20" s="67"/>
      <c r="H20" s="67">
        <v>1128.6400000000001</v>
      </c>
      <c r="I20" s="67">
        <v>993.64</v>
      </c>
      <c r="J20" s="67">
        <v>0</v>
      </c>
      <c r="K20" s="68">
        <f t="shared" si="1"/>
        <v>0</v>
      </c>
      <c r="L20" s="68">
        <f t="shared" si="2"/>
        <v>0</v>
      </c>
      <c r="M20" s="69">
        <v>2.5</v>
      </c>
      <c r="N20" s="70" t="s">
        <v>17</v>
      </c>
      <c r="O20" s="68">
        <f t="shared" si="5"/>
        <v>0</v>
      </c>
      <c r="P20" s="68">
        <f t="shared" si="6"/>
        <v>0</v>
      </c>
      <c r="Q20" s="68">
        <f t="shared" si="7"/>
        <v>0</v>
      </c>
      <c r="R20" s="68">
        <f t="shared" si="3"/>
        <v>0</v>
      </c>
      <c r="S20" s="68">
        <f t="shared" si="4"/>
        <v>14</v>
      </c>
      <c r="T20" s="68">
        <f t="shared" si="8"/>
        <v>14</v>
      </c>
      <c r="U20" s="265">
        <f t="shared" si="9"/>
        <v>979.64</v>
      </c>
      <c r="V20" s="93">
        <f t="shared" si="10"/>
        <v>0</v>
      </c>
    </row>
    <row r="21" spans="1:25" ht="18" customHeight="1" x14ac:dyDescent="0.2">
      <c r="A21" s="101" t="s">
        <v>1684</v>
      </c>
      <c r="B21" s="102"/>
      <c r="C21" s="72" t="s">
        <v>1681</v>
      </c>
      <c r="D21" s="65">
        <v>41891</v>
      </c>
      <c r="E21" s="66"/>
      <c r="F21" s="67"/>
      <c r="G21" s="67"/>
      <c r="H21" s="67">
        <v>5296</v>
      </c>
      <c r="I21" s="67">
        <v>4661</v>
      </c>
      <c r="J21" s="67">
        <v>0</v>
      </c>
      <c r="K21" s="68">
        <f t="shared" si="1"/>
        <v>0</v>
      </c>
      <c r="L21" s="68">
        <f t="shared" si="2"/>
        <v>0</v>
      </c>
      <c r="M21" s="69">
        <v>2.5</v>
      </c>
      <c r="N21" s="70" t="s">
        <v>17</v>
      </c>
      <c r="O21" s="68">
        <f t="shared" si="5"/>
        <v>0</v>
      </c>
      <c r="P21" s="68">
        <f t="shared" si="6"/>
        <v>0</v>
      </c>
      <c r="Q21" s="68">
        <f t="shared" si="7"/>
        <v>0</v>
      </c>
      <c r="R21" s="68">
        <f t="shared" si="3"/>
        <v>0</v>
      </c>
      <c r="S21" s="68">
        <f t="shared" si="4"/>
        <v>66</v>
      </c>
      <c r="T21" s="68">
        <f t="shared" si="8"/>
        <v>66</v>
      </c>
      <c r="U21" s="265">
        <f t="shared" si="9"/>
        <v>4595</v>
      </c>
      <c r="V21" s="93">
        <f t="shared" si="10"/>
        <v>0</v>
      </c>
    </row>
    <row r="22" spans="1:25" ht="18" customHeight="1" x14ac:dyDescent="0.2">
      <c r="A22" s="101" t="s">
        <v>1685</v>
      </c>
      <c r="B22" s="102"/>
      <c r="C22" s="64" t="s">
        <v>1676</v>
      </c>
      <c r="D22" s="65">
        <v>41935</v>
      </c>
      <c r="E22" s="66"/>
      <c r="F22" s="67"/>
      <c r="G22" s="67"/>
      <c r="H22" s="67">
        <v>5708.11</v>
      </c>
      <c r="I22" s="67">
        <v>5038.1099999999997</v>
      </c>
      <c r="J22" s="67">
        <v>0</v>
      </c>
      <c r="K22" s="68">
        <f t="shared" si="1"/>
        <v>0</v>
      </c>
      <c r="L22" s="68">
        <f t="shared" si="2"/>
        <v>0</v>
      </c>
      <c r="M22" s="69">
        <v>2.5</v>
      </c>
      <c r="N22" s="70" t="s">
        <v>17</v>
      </c>
      <c r="O22" s="68">
        <f t="shared" si="5"/>
        <v>0</v>
      </c>
      <c r="P22" s="68">
        <f t="shared" si="6"/>
        <v>0</v>
      </c>
      <c r="Q22" s="68">
        <f t="shared" si="7"/>
        <v>0</v>
      </c>
      <c r="R22" s="68">
        <f t="shared" si="3"/>
        <v>0</v>
      </c>
      <c r="S22" s="68">
        <f t="shared" si="4"/>
        <v>71</v>
      </c>
      <c r="T22" s="68">
        <f t="shared" si="8"/>
        <v>71</v>
      </c>
      <c r="U22" s="265">
        <f t="shared" si="9"/>
        <v>4967.1099999999997</v>
      </c>
      <c r="V22" s="93">
        <f t="shared" si="10"/>
        <v>0</v>
      </c>
    </row>
    <row r="23" spans="1:25" ht="18" customHeight="1" x14ac:dyDescent="0.2">
      <c r="A23" s="101" t="s">
        <v>1686</v>
      </c>
      <c r="B23" s="102"/>
      <c r="C23" s="64" t="s">
        <v>1687</v>
      </c>
      <c r="D23" s="65">
        <v>42122</v>
      </c>
      <c r="E23" s="66"/>
      <c r="F23" s="67"/>
      <c r="G23" s="67"/>
      <c r="H23" s="67">
        <v>6247.2</v>
      </c>
      <c r="I23" s="67">
        <v>5596.2</v>
      </c>
      <c r="J23" s="67">
        <v>0</v>
      </c>
      <c r="K23" s="68">
        <f t="shared" si="1"/>
        <v>0</v>
      </c>
      <c r="L23" s="68">
        <f t="shared" si="2"/>
        <v>0</v>
      </c>
      <c r="M23" s="69">
        <v>2.5</v>
      </c>
      <c r="N23" s="70" t="s">
        <v>17</v>
      </c>
      <c r="O23" s="68">
        <f t="shared" si="5"/>
        <v>0</v>
      </c>
      <c r="P23" s="68">
        <f t="shared" si="6"/>
        <v>0</v>
      </c>
      <c r="Q23" s="68">
        <f t="shared" si="7"/>
        <v>0</v>
      </c>
      <c r="R23" s="68">
        <f t="shared" si="3"/>
        <v>0</v>
      </c>
      <c r="S23" s="68">
        <f t="shared" si="4"/>
        <v>78</v>
      </c>
      <c r="T23" s="68">
        <f t="shared" si="8"/>
        <v>78</v>
      </c>
      <c r="U23" s="265">
        <f t="shared" si="9"/>
        <v>5518.2</v>
      </c>
      <c r="V23" s="93">
        <f t="shared" si="10"/>
        <v>0</v>
      </c>
    </row>
    <row r="24" spans="1:25" ht="18" customHeight="1" x14ac:dyDescent="0.2">
      <c r="A24" s="101" t="s">
        <v>1688</v>
      </c>
      <c r="B24" s="102"/>
      <c r="C24" s="71" t="s">
        <v>1689</v>
      </c>
      <c r="D24" s="65">
        <v>41935</v>
      </c>
      <c r="E24" s="66"/>
      <c r="F24" s="67"/>
      <c r="G24" s="67"/>
      <c r="H24" s="67">
        <v>1900.75</v>
      </c>
      <c r="I24" s="67">
        <v>1676.75</v>
      </c>
      <c r="J24" s="67">
        <v>0</v>
      </c>
      <c r="K24" s="68">
        <f t="shared" si="1"/>
        <v>0</v>
      </c>
      <c r="L24" s="68">
        <f t="shared" si="2"/>
        <v>0</v>
      </c>
      <c r="M24" s="69">
        <v>2.5</v>
      </c>
      <c r="N24" s="70" t="s">
        <v>17</v>
      </c>
      <c r="O24" s="68">
        <f t="shared" si="5"/>
        <v>0</v>
      </c>
      <c r="P24" s="68">
        <f t="shared" si="6"/>
        <v>0</v>
      </c>
      <c r="Q24" s="68">
        <f t="shared" si="7"/>
        <v>0</v>
      </c>
      <c r="R24" s="68">
        <f t="shared" si="3"/>
        <v>0</v>
      </c>
      <c r="S24" s="68">
        <f t="shared" si="4"/>
        <v>23</v>
      </c>
      <c r="T24" s="68">
        <f t="shared" si="8"/>
        <v>23</v>
      </c>
      <c r="U24" s="265">
        <f t="shared" si="9"/>
        <v>1653.75</v>
      </c>
      <c r="V24" s="93">
        <f t="shared" si="10"/>
        <v>0</v>
      </c>
    </row>
    <row r="25" spans="1:25" ht="18" customHeight="1" x14ac:dyDescent="0.2">
      <c r="A25" s="101" t="s">
        <v>1690</v>
      </c>
      <c r="B25" s="102"/>
      <c r="C25" s="72" t="s">
        <v>1689</v>
      </c>
      <c r="D25" s="65">
        <v>42095</v>
      </c>
      <c r="E25" s="66"/>
      <c r="F25" s="67"/>
      <c r="G25" s="67"/>
      <c r="H25" s="67">
        <v>4463.6500000000005</v>
      </c>
      <c r="I25" s="67">
        <v>3987.65</v>
      </c>
      <c r="J25" s="67">
        <v>0</v>
      </c>
      <c r="K25" s="68">
        <f t="shared" si="1"/>
        <v>0</v>
      </c>
      <c r="L25" s="68">
        <f t="shared" si="2"/>
        <v>0</v>
      </c>
      <c r="M25" s="69">
        <v>2.5</v>
      </c>
      <c r="N25" s="70" t="s">
        <v>17</v>
      </c>
      <c r="O25" s="68">
        <f t="shared" si="5"/>
        <v>0</v>
      </c>
      <c r="P25" s="68">
        <f t="shared" si="6"/>
        <v>0</v>
      </c>
      <c r="Q25" s="68">
        <f t="shared" si="7"/>
        <v>0</v>
      </c>
      <c r="R25" s="68">
        <f t="shared" si="3"/>
        <v>0</v>
      </c>
      <c r="S25" s="68">
        <f t="shared" si="4"/>
        <v>55</v>
      </c>
      <c r="T25" s="68">
        <f t="shared" si="8"/>
        <v>55</v>
      </c>
      <c r="U25" s="265">
        <f t="shared" si="9"/>
        <v>3932.65</v>
      </c>
      <c r="V25" s="93">
        <f t="shared" si="10"/>
        <v>0</v>
      </c>
    </row>
    <row r="26" spans="1:25" ht="18" customHeight="1" x14ac:dyDescent="0.2">
      <c r="A26" s="101" t="s">
        <v>1691</v>
      </c>
      <c r="B26" s="102"/>
      <c r="C26" s="71" t="s">
        <v>1689</v>
      </c>
      <c r="D26" s="65">
        <v>42170</v>
      </c>
      <c r="E26" s="66"/>
      <c r="F26" s="67"/>
      <c r="G26" s="67"/>
      <c r="H26" s="67">
        <v>2366.9299999999998</v>
      </c>
      <c r="I26" s="67">
        <v>2127.9299999999998</v>
      </c>
      <c r="J26" s="67">
        <v>0</v>
      </c>
      <c r="K26" s="68">
        <f t="shared" si="1"/>
        <v>0</v>
      </c>
      <c r="L26" s="68">
        <f t="shared" si="2"/>
        <v>0</v>
      </c>
      <c r="M26" s="69">
        <v>2.5</v>
      </c>
      <c r="N26" s="70" t="s">
        <v>17</v>
      </c>
      <c r="O26" s="68">
        <f t="shared" si="5"/>
        <v>0</v>
      </c>
      <c r="P26" s="68">
        <f t="shared" si="6"/>
        <v>0</v>
      </c>
      <c r="Q26" s="68">
        <f t="shared" si="7"/>
        <v>0</v>
      </c>
      <c r="R26" s="68">
        <f t="shared" si="3"/>
        <v>0</v>
      </c>
      <c r="S26" s="68">
        <f t="shared" si="4"/>
        <v>29</v>
      </c>
      <c r="T26" s="68">
        <f t="shared" si="8"/>
        <v>29</v>
      </c>
      <c r="U26" s="265">
        <f t="shared" si="9"/>
        <v>2098.9299999999998</v>
      </c>
      <c r="V26" s="93">
        <f t="shared" si="10"/>
        <v>0</v>
      </c>
    </row>
    <row r="27" spans="1:25" ht="18" customHeight="1" x14ac:dyDescent="0.2">
      <c r="A27" s="101" t="s">
        <v>1692</v>
      </c>
      <c r="B27" s="102"/>
      <c r="C27" s="71" t="s">
        <v>1693</v>
      </c>
      <c r="D27" s="65">
        <v>41960</v>
      </c>
      <c r="E27" s="66"/>
      <c r="F27" s="67"/>
      <c r="G27" s="67"/>
      <c r="H27" s="67">
        <v>20320</v>
      </c>
      <c r="I27" s="67">
        <v>1538</v>
      </c>
      <c r="J27" s="67">
        <v>0</v>
      </c>
      <c r="K27" s="68">
        <f t="shared" si="1"/>
        <v>0</v>
      </c>
      <c r="L27" s="68">
        <f t="shared" si="2"/>
        <v>0</v>
      </c>
      <c r="M27" s="69">
        <v>20</v>
      </c>
      <c r="N27" s="70" t="s">
        <v>17</v>
      </c>
      <c r="O27" s="68">
        <f t="shared" si="5"/>
        <v>0</v>
      </c>
      <c r="P27" s="68">
        <f t="shared" si="6"/>
        <v>0</v>
      </c>
      <c r="Q27" s="68">
        <f t="shared" si="7"/>
        <v>0</v>
      </c>
      <c r="R27" s="68">
        <f t="shared" si="3"/>
        <v>0</v>
      </c>
      <c r="S27" s="68">
        <f t="shared" si="4"/>
        <v>2032</v>
      </c>
      <c r="T27" s="68">
        <v>1538</v>
      </c>
      <c r="U27" s="265">
        <f t="shared" si="9"/>
        <v>0</v>
      </c>
      <c r="V27" s="93">
        <f t="shared" si="10"/>
        <v>0</v>
      </c>
      <c r="Y27" s="258"/>
    </row>
    <row r="28" spans="1:25" ht="18" customHeight="1" x14ac:dyDescent="0.2">
      <c r="A28" s="101" t="s">
        <v>1694</v>
      </c>
      <c r="B28" s="102"/>
      <c r="C28" s="73" t="s">
        <v>1695</v>
      </c>
      <c r="D28" s="65">
        <v>41971</v>
      </c>
      <c r="E28" s="66"/>
      <c r="F28" s="67"/>
      <c r="G28" s="67"/>
      <c r="H28" s="67">
        <v>6712</v>
      </c>
      <c r="I28" s="67">
        <v>5942</v>
      </c>
      <c r="J28" s="67">
        <v>0</v>
      </c>
      <c r="K28" s="68">
        <f t="shared" si="1"/>
        <v>0</v>
      </c>
      <c r="L28" s="68">
        <f t="shared" si="2"/>
        <v>0</v>
      </c>
      <c r="M28" s="69">
        <v>2.5</v>
      </c>
      <c r="N28" s="70" t="s">
        <v>17</v>
      </c>
      <c r="O28" s="68">
        <f t="shared" si="5"/>
        <v>0</v>
      </c>
      <c r="P28" s="68">
        <f t="shared" si="6"/>
        <v>0</v>
      </c>
      <c r="Q28" s="68">
        <f t="shared" si="7"/>
        <v>0</v>
      </c>
      <c r="R28" s="68">
        <f t="shared" si="3"/>
        <v>0</v>
      </c>
      <c r="S28" s="68">
        <f t="shared" si="4"/>
        <v>83</v>
      </c>
      <c r="T28" s="68">
        <f t="shared" si="8"/>
        <v>83</v>
      </c>
      <c r="U28" s="265">
        <f t="shared" si="9"/>
        <v>5859</v>
      </c>
      <c r="V28" s="93">
        <f t="shared" si="10"/>
        <v>0</v>
      </c>
    </row>
    <row r="29" spans="1:25" ht="18" customHeight="1" x14ac:dyDescent="0.2">
      <c r="A29" s="101" t="s">
        <v>1696</v>
      </c>
      <c r="B29" s="102"/>
      <c r="C29" s="72" t="s">
        <v>1695</v>
      </c>
      <c r="D29" s="65">
        <v>42082</v>
      </c>
      <c r="E29" s="66"/>
      <c r="F29" s="67"/>
      <c r="G29" s="67"/>
      <c r="H29" s="67">
        <v>1425</v>
      </c>
      <c r="I29" s="67">
        <v>1272</v>
      </c>
      <c r="J29" s="67">
        <v>0</v>
      </c>
      <c r="K29" s="68">
        <f t="shared" si="1"/>
        <v>0</v>
      </c>
      <c r="L29" s="68">
        <f t="shared" si="2"/>
        <v>0</v>
      </c>
      <c r="M29" s="69">
        <v>2.5</v>
      </c>
      <c r="N29" s="70" t="s">
        <v>17</v>
      </c>
      <c r="O29" s="68">
        <f t="shared" si="5"/>
        <v>0</v>
      </c>
      <c r="P29" s="68">
        <f t="shared" si="6"/>
        <v>0</v>
      </c>
      <c r="Q29" s="68">
        <f t="shared" si="7"/>
        <v>0</v>
      </c>
      <c r="R29" s="68">
        <f t="shared" si="3"/>
        <v>0</v>
      </c>
      <c r="S29" s="68">
        <f t="shared" si="4"/>
        <v>17</v>
      </c>
      <c r="T29" s="68">
        <f t="shared" si="8"/>
        <v>17</v>
      </c>
      <c r="U29" s="265">
        <f t="shared" si="9"/>
        <v>1255</v>
      </c>
      <c r="V29" s="93">
        <f t="shared" si="10"/>
        <v>0</v>
      </c>
    </row>
    <row r="30" spans="1:25" ht="18" customHeight="1" x14ac:dyDescent="0.2">
      <c r="A30" s="101" t="s">
        <v>1697</v>
      </c>
      <c r="B30" s="102"/>
      <c r="C30" s="73" t="s">
        <v>1698</v>
      </c>
      <c r="D30" s="65">
        <v>42018</v>
      </c>
      <c r="E30" s="66"/>
      <c r="F30" s="67"/>
      <c r="G30" s="67"/>
      <c r="H30" s="67">
        <v>35118.58</v>
      </c>
      <c r="I30" s="67">
        <v>31200.58</v>
      </c>
      <c r="J30" s="67">
        <v>0</v>
      </c>
      <c r="K30" s="68">
        <f t="shared" si="1"/>
        <v>0</v>
      </c>
      <c r="L30" s="68">
        <f t="shared" si="2"/>
        <v>0</v>
      </c>
      <c r="M30" s="69">
        <v>2.5</v>
      </c>
      <c r="N30" s="70" t="s">
        <v>17</v>
      </c>
      <c r="O30" s="68">
        <f t="shared" si="5"/>
        <v>0</v>
      </c>
      <c r="P30" s="68">
        <f t="shared" si="6"/>
        <v>0</v>
      </c>
      <c r="Q30" s="68">
        <f t="shared" si="7"/>
        <v>0</v>
      </c>
      <c r="R30" s="68">
        <f t="shared" si="3"/>
        <v>0</v>
      </c>
      <c r="S30" s="68">
        <f t="shared" si="4"/>
        <v>438</v>
      </c>
      <c r="T30" s="68">
        <f t="shared" si="8"/>
        <v>438</v>
      </c>
      <c r="U30" s="265">
        <f t="shared" si="9"/>
        <v>30762.58</v>
      </c>
      <c r="V30" s="93">
        <f t="shared" si="10"/>
        <v>0</v>
      </c>
    </row>
    <row r="31" spans="1:25" ht="18" customHeight="1" x14ac:dyDescent="0.2">
      <c r="A31" s="101" t="s">
        <v>1699</v>
      </c>
      <c r="B31" s="102"/>
      <c r="C31" s="72" t="s">
        <v>1695</v>
      </c>
      <c r="D31" s="65">
        <v>42096</v>
      </c>
      <c r="E31" s="66"/>
      <c r="F31" s="67"/>
      <c r="G31" s="67"/>
      <c r="H31" s="67">
        <v>763</v>
      </c>
      <c r="I31" s="67">
        <v>682</v>
      </c>
      <c r="J31" s="67">
        <v>0</v>
      </c>
      <c r="K31" s="68">
        <f t="shared" si="1"/>
        <v>0</v>
      </c>
      <c r="L31" s="68">
        <f t="shared" si="2"/>
        <v>0</v>
      </c>
      <c r="M31" s="69">
        <v>2.5</v>
      </c>
      <c r="N31" s="70" t="s">
        <v>17</v>
      </c>
      <c r="O31" s="68">
        <f t="shared" si="5"/>
        <v>0</v>
      </c>
      <c r="P31" s="68">
        <f t="shared" si="6"/>
        <v>0</v>
      </c>
      <c r="Q31" s="68">
        <f t="shared" si="7"/>
        <v>0</v>
      </c>
      <c r="R31" s="68">
        <f t="shared" si="3"/>
        <v>0</v>
      </c>
      <c r="S31" s="68">
        <f t="shared" si="4"/>
        <v>9</v>
      </c>
      <c r="T31" s="68">
        <f t="shared" si="8"/>
        <v>9</v>
      </c>
      <c r="U31" s="265">
        <f t="shared" si="9"/>
        <v>673</v>
      </c>
      <c r="V31" s="93">
        <f t="shared" si="10"/>
        <v>0</v>
      </c>
    </row>
    <row r="32" spans="1:25" ht="18" customHeight="1" x14ac:dyDescent="0.2">
      <c r="A32" s="101" t="s">
        <v>1700</v>
      </c>
      <c r="B32" s="102"/>
      <c r="C32" s="64" t="s">
        <v>1698</v>
      </c>
      <c r="D32" s="65">
        <v>42130</v>
      </c>
      <c r="E32" s="66"/>
      <c r="F32" s="67"/>
      <c r="G32" s="67"/>
      <c r="H32" s="67">
        <v>5339.55</v>
      </c>
      <c r="I32" s="67">
        <v>4787.55</v>
      </c>
      <c r="J32" s="67">
        <v>0</v>
      </c>
      <c r="K32" s="68">
        <f t="shared" si="1"/>
        <v>0</v>
      </c>
      <c r="L32" s="68">
        <f t="shared" si="2"/>
        <v>0</v>
      </c>
      <c r="M32" s="69">
        <v>2.5</v>
      </c>
      <c r="N32" s="70" t="s">
        <v>17</v>
      </c>
      <c r="O32" s="68">
        <f t="shared" si="5"/>
        <v>0</v>
      </c>
      <c r="P32" s="68">
        <f t="shared" si="6"/>
        <v>0</v>
      </c>
      <c r="Q32" s="68">
        <f t="shared" si="7"/>
        <v>0</v>
      </c>
      <c r="R32" s="68">
        <f t="shared" si="3"/>
        <v>0</v>
      </c>
      <c r="S32" s="68">
        <f t="shared" si="4"/>
        <v>66</v>
      </c>
      <c r="T32" s="68">
        <f t="shared" si="8"/>
        <v>66</v>
      </c>
      <c r="U32" s="265">
        <f t="shared" si="9"/>
        <v>4721.55</v>
      </c>
      <c r="V32" s="93">
        <f t="shared" si="10"/>
        <v>0</v>
      </c>
    </row>
    <row r="33" spans="1:22" ht="18" customHeight="1" x14ac:dyDescent="0.2">
      <c r="A33" s="101" t="s">
        <v>1701</v>
      </c>
      <c r="B33" s="102"/>
      <c r="C33" s="64" t="s">
        <v>1702</v>
      </c>
      <c r="D33" s="65">
        <v>42175</v>
      </c>
      <c r="E33" s="66"/>
      <c r="F33" s="67"/>
      <c r="G33" s="67"/>
      <c r="H33" s="67">
        <v>196.81</v>
      </c>
      <c r="I33" s="67">
        <v>176.81</v>
      </c>
      <c r="J33" s="67">
        <v>0</v>
      </c>
      <c r="K33" s="68">
        <f t="shared" si="1"/>
        <v>0</v>
      </c>
      <c r="L33" s="68">
        <f t="shared" si="2"/>
        <v>0</v>
      </c>
      <c r="M33" s="69">
        <v>2.5</v>
      </c>
      <c r="N33" s="70" t="s">
        <v>17</v>
      </c>
      <c r="O33" s="68">
        <f t="shared" si="5"/>
        <v>0</v>
      </c>
      <c r="P33" s="68">
        <f t="shared" si="6"/>
        <v>0</v>
      </c>
      <c r="Q33" s="68">
        <f t="shared" si="7"/>
        <v>0</v>
      </c>
      <c r="R33" s="68">
        <f t="shared" si="3"/>
        <v>0</v>
      </c>
      <c r="S33" s="68">
        <f t="shared" si="4"/>
        <v>2</v>
      </c>
      <c r="T33" s="68">
        <f t="shared" si="8"/>
        <v>2</v>
      </c>
      <c r="U33" s="265">
        <f t="shared" si="9"/>
        <v>174.81</v>
      </c>
      <c r="V33" s="93">
        <f t="shared" si="10"/>
        <v>0</v>
      </c>
    </row>
    <row r="34" spans="1:22" ht="18" customHeight="1" x14ac:dyDescent="0.2">
      <c r="A34" s="101" t="s">
        <v>1703</v>
      </c>
      <c r="B34" s="102"/>
      <c r="C34" s="64" t="s">
        <v>1704</v>
      </c>
      <c r="D34" s="65">
        <v>42186</v>
      </c>
      <c r="E34" s="66"/>
      <c r="F34" s="67"/>
      <c r="G34" s="67"/>
      <c r="H34" s="67">
        <v>33936.89</v>
      </c>
      <c r="I34" s="67">
        <v>30542.89</v>
      </c>
      <c r="J34" s="67">
        <v>0</v>
      </c>
      <c r="K34" s="68">
        <f t="shared" si="1"/>
        <v>0</v>
      </c>
      <c r="L34" s="68">
        <f t="shared" si="2"/>
        <v>0</v>
      </c>
      <c r="M34" s="69">
        <v>2.5</v>
      </c>
      <c r="N34" s="70" t="s">
        <v>17</v>
      </c>
      <c r="O34" s="68">
        <f t="shared" si="5"/>
        <v>0</v>
      </c>
      <c r="P34" s="68">
        <f t="shared" si="6"/>
        <v>0</v>
      </c>
      <c r="Q34" s="68">
        <f t="shared" si="7"/>
        <v>0</v>
      </c>
      <c r="R34" s="68">
        <f t="shared" si="3"/>
        <v>0</v>
      </c>
      <c r="S34" s="68">
        <f t="shared" si="4"/>
        <v>424</v>
      </c>
      <c r="T34" s="68">
        <f t="shared" si="8"/>
        <v>424</v>
      </c>
      <c r="U34" s="265">
        <f t="shared" si="9"/>
        <v>30118.89</v>
      </c>
      <c r="V34" s="93">
        <f t="shared" si="10"/>
        <v>0</v>
      </c>
    </row>
    <row r="35" spans="1:22" ht="18" customHeight="1" x14ac:dyDescent="0.2">
      <c r="A35" s="101" t="s">
        <v>1705</v>
      </c>
      <c r="B35" s="102"/>
      <c r="C35" s="64" t="s">
        <v>1706</v>
      </c>
      <c r="D35" s="65">
        <v>42514</v>
      </c>
      <c r="E35" s="66"/>
      <c r="F35" s="67"/>
      <c r="G35" s="67"/>
      <c r="H35" s="67">
        <v>1746.3600000000001</v>
      </c>
      <c r="I35" s="67">
        <v>1002.3600000000001</v>
      </c>
      <c r="J35" s="67">
        <v>0</v>
      </c>
      <c r="K35" s="68">
        <f t="shared" si="1"/>
        <v>0</v>
      </c>
      <c r="L35" s="68">
        <f t="shared" si="2"/>
        <v>0</v>
      </c>
      <c r="M35" s="69">
        <v>16.669999999999998</v>
      </c>
      <c r="N35" s="70" t="s">
        <v>289</v>
      </c>
      <c r="O35" s="68">
        <f t="shared" si="5"/>
        <v>0</v>
      </c>
      <c r="P35" s="68">
        <f t="shared" si="6"/>
        <v>0</v>
      </c>
      <c r="Q35" s="68">
        <f t="shared" si="7"/>
        <v>0</v>
      </c>
      <c r="R35" s="68">
        <f t="shared" si="3"/>
        <v>83</v>
      </c>
      <c r="S35" s="68">
        <f t="shared" si="4"/>
        <v>0</v>
      </c>
      <c r="T35" s="68">
        <f t="shared" si="8"/>
        <v>83</v>
      </c>
      <c r="U35" s="265">
        <f t="shared" si="9"/>
        <v>919.36000000000013</v>
      </c>
      <c r="V35" s="93">
        <f t="shared" si="10"/>
        <v>0</v>
      </c>
    </row>
    <row r="36" spans="1:22" ht="18" customHeight="1" x14ac:dyDescent="0.2">
      <c r="A36" s="101" t="s">
        <v>1707</v>
      </c>
      <c r="B36" s="102"/>
      <c r="C36" s="64" t="s">
        <v>1708</v>
      </c>
      <c r="D36" s="65">
        <v>42514</v>
      </c>
      <c r="E36" s="66"/>
      <c r="F36" s="67"/>
      <c r="G36" s="67"/>
      <c r="H36" s="67">
        <v>4398.41</v>
      </c>
      <c r="I36" s="67">
        <v>4057.41</v>
      </c>
      <c r="J36" s="67">
        <v>0</v>
      </c>
      <c r="K36" s="68">
        <f t="shared" si="1"/>
        <v>0</v>
      </c>
      <c r="L36" s="68">
        <f t="shared" si="2"/>
        <v>0</v>
      </c>
      <c r="M36" s="69">
        <v>2.5</v>
      </c>
      <c r="N36" s="70" t="s">
        <v>17</v>
      </c>
      <c r="O36" s="68">
        <f t="shared" si="5"/>
        <v>0</v>
      </c>
      <c r="P36" s="68">
        <f t="shared" si="6"/>
        <v>0</v>
      </c>
      <c r="Q36" s="68">
        <f t="shared" si="7"/>
        <v>0</v>
      </c>
      <c r="R36" s="68">
        <f t="shared" si="3"/>
        <v>0</v>
      </c>
      <c r="S36" s="68">
        <f t="shared" si="4"/>
        <v>54</v>
      </c>
      <c r="T36" s="68">
        <f t="shared" si="8"/>
        <v>54</v>
      </c>
      <c r="U36" s="265">
        <f t="shared" si="9"/>
        <v>4003.41</v>
      </c>
      <c r="V36" s="93">
        <f t="shared" si="10"/>
        <v>0</v>
      </c>
    </row>
    <row r="37" spans="1:22" ht="18" customHeight="1" x14ac:dyDescent="0.2">
      <c r="A37" s="101" t="s">
        <v>1709</v>
      </c>
      <c r="B37" s="102"/>
      <c r="C37" s="64" t="s">
        <v>1710</v>
      </c>
      <c r="D37" s="65">
        <v>42514</v>
      </c>
      <c r="E37" s="66"/>
      <c r="F37" s="67"/>
      <c r="G37" s="67"/>
      <c r="H37" s="67">
        <v>3646.48</v>
      </c>
      <c r="I37" s="67">
        <v>3364.48</v>
      </c>
      <c r="J37" s="67">
        <v>0</v>
      </c>
      <c r="K37" s="68">
        <f t="shared" si="1"/>
        <v>0</v>
      </c>
      <c r="L37" s="68">
        <f t="shared" si="2"/>
        <v>0</v>
      </c>
      <c r="M37" s="69">
        <v>2.5</v>
      </c>
      <c r="N37" s="70" t="s">
        <v>17</v>
      </c>
      <c r="O37" s="68">
        <f t="shared" si="5"/>
        <v>0</v>
      </c>
      <c r="P37" s="68">
        <f t="shared" si="6"/>
        <v>0</v>
      </c>
      <c r="Q37" s="68">
        <f t="shared" si="7"/>
        <v>0</v>
      </c>
      <c r="R37" s="68">
        <f t="shared" si="3"/>
        <v>0</v>
      </c>
      <c r="S37" s="68">
        <f t="shared" si="4"/>
        <v>45</v>
      </c>
      <c r="T37" s="68">
        <f t="shared" si="8"/>
        <v>45</v>
      </c>
      <c r="U37" s="265">
        <f t="shared" si="9"/>
        <v>3319.48</v>
      </c>
      <c r="V37" s="93">
        <f t="shared" si="10"/>
        <v>0</v>
      </c>
    </row>
    <row r="38" spans="1:22" ht="18" customHeight="1" x14ac:dyDescent="0.2">
      <c r="A38" s="101" t="s">
        <v>1711</v>
      </c>
      <c r="B38" s="102"/>
      <c r="C38" s="64" t="s">
        <v>1096</v>
      </c>
      <c r="D38" s="65">
        <v>42514</v>
      </c>
      <c r="E38" s="66"/>
      <c r="F38" s="67"/>
      <c r="G38" s="67"/>
      <c r="H38" s="67">
        <v>445</v>
      </c>
      <c r="I38" s="67">
        <v>227</v>
      </c>
      <c r="J38" s="67">
        <v>0</v>
      </c>
      <c r="K38" s="68">
        <f t="shared" si="1"/>
        <v>0</v>
      </c>
      <c r="L38" s="68">
        <f t="shared" si="2"/>
        <v>0</v>
      </c>
      <c r="M38" s="69">
        <v>20</v>
      </c>
      <c r="N38" s="70" t="s">
        <v>289</v>
      </c>
      <c r="O38" s="68">
        <f t="shared" si="5"/>
        <v>0</v>
      </c>
      <c r="P38" s="68">
        <f t="shared" si="6"/>
        <v>0</v>
      </c>
      <c r="Q38" s="68">
        <f t="shared" si="7"/>
        <v>0</v>
      </c>
      <c r="R38" s="68">
        <f t="shared" si="3"/>
        <v>22</v>
      </c>
      <c r="S38" s="68">
        <f t="shared" si="4"/>
        <v>0</v>
      </c>
      <c r="T38" s="68">
        <f t="shared" si="8"/>
        <v>22</v>
      </c>
      <c r="U38" s="265">
        <f t="shared" si="9"/>
        <v>205</v>
      </c>
      <c r="V38" s="93">
        <f t="shared" si="10"/>
        <v>0</v>
      </c>
    </row>
    <row r="39" spans="1:22" ht="18" customHeight="1" x14ac:dyDescent="0.2">
      <c r="A39" s="101" t="s">
        <v>1712</v>
      </c>
      <c r="B39" s="102"/>
      <c r="C39" s="73" t="s">
        <v>1713</v>
      </c>
      <c r="D39" s="65">
        <v>42514</v>
      </c>
      <c r="E39" s="66"/>
      <c r="F39" s="67"/>
      <c r="G39" s="67"/>
      <c r="H39" s="67">
        <v>434.09000000000003</v>
      </c>
      <c r="I39" s="67">
        <v>400.09000000000003</v>
      </c>
      <c r="J39" s="67">
        <v>0</v>
      </c>
      <c r="K39" s="68">
        <f t="shared" si="1"/>
        <v>0</v>
      </c>
      <c r="L39" s="68">
        <f t="shared" si="2"/>
        <v>0</v>
      </c>
      <c r="M39" s="69">
        <v>2.5</v>
      </c>
      <c r="N39" s="70" t="s">
        <v>17</v>
      </c>
      <c r="O39" s="68">
        <f t="shared" si="5"/>
        <v>0</v>
      </c>
      <c r="P39" s="68">
        <f t="shared" si="6"/>
        <v>0</v>
      </c>
      <c r="Q39" s="68">
        <f t="shared" si="7"/>
        <v>0</v>
      </c>
      <c r="R39" s="68">
        <f t="shared" si="3"/>
        <v>0</v>
      </c>
      <c r="S39" s="68">
        <f t="shared" si="4"/>
        <v>5</v>
      </c>
      <c r="T39" s="68">
        <f t="shared" si="8"/>
        <v>5</v>
      </c>
      <c r="U39" s="265">
        <f t="shared" si="9"/>
        <v>395.09000000000003</v>
      </c>
      <c r="V39" s="93">
        <f t="shared" si="10"/>
        <v>0</v>
      </c>
    </row>
    <row r="40" spans="1:22" ht="18" customHeight="1" x14ac:dyDescent="0.2">
      <c r="A40" s="101" t="s">
        <v>1714</v>
      </c>
      <c r="B40" s="102"/>
      <c r="C40" s="72" t="s">
        <v>1715</v>
      </c>
      <c r="D40" s="65">
        <v>42514</v>
      </c>
      <c r="E40" s="66"/>
      <c r="F40" s="67"/>
      <c r="G40" s="67"/>
      <c r="H40" s="67">
        <v>118.18</v>
      </c>
      <c r="I40" s="67">
        <v>109.18</v>
      </c>
      <c r="J40" s="67">
        <v>0</v>
      </c>
      <c r="K40" s="68">
        <f t="shared" si="1"/>
        <v>0</v>
      </c>
      <c r="L40" s="68">
        <f t="shared" si="2"/>
        <v>0</v>
      </c>
      <c r="M40" s="69">
        <v>2.5</v>
      </c>
      <c r="N40" s="70" t="s">
        <v>17</v>
      </c>
      <c r="O40" s="68">
        <f t="shared" si="5"/>
        <v>0</v>
      </c>
      <c r="P40" s="68">
        <f t="shared" si="6"/>
        <v>0</v>
      </c>
      <c r="Q40" s="68">
        <f t="shared" si="7"/>
        <v>0</v>
      </c>
      <c r="R40" s="68">
        <f t="shared" si="3"/>
        <v>0</v>
      </c>
      <c r="S40" s="68">
        <f t="shared" si="4"/>
        <v>1</v>
      </c>
      <c r="T40" s="68">
        <f t="shared" si="8"/>
        <v>1</v>
      </c>
      <c r="U40" s="265">
        <f t="shared" si="9"/>
        <v>108.18</v>
      </c>
      <c r="V40" s="93">
        <f t="shared" si="10"/>
        <v>0</v>
      </c>
    </row>
    <row r="41" spans="1:22" ht="18" customHeight="1" x14ac:dyDescent="0.2">
      <c r="A41" s="101" t="s">
        <v>1716</v>
      </c>
      <c r="B41" s="102"/>
      <c r="C41" s="73" t="s">
        <v>1717</v>
      </c>
      <c r="D41" s="65">
        <v>42514</v>
      </c>
      <c r="E41" s="66"/>
      <c r="F41" s="67"/>
      <c r="G41" s="67"/>
      <c r="H41" s="67">
        <v>4480</v>
      </c>
      <c r="I41" s="67">
        <v>987</v>
      </c>
      <c r="J41" s="67">
        <v>0</v>
      </c>
      <c r="K41" s="68">
        <f t="shared" si="1"/>
        <v>0</v>
      </c>
      <c r="L41" s="68">
        <f t="shared" si="2"/>
        <v>0</v>
      </c>
      <c r="M41" s="69">
        <v>40</v>
      </c>
      <c r="N41" s="70" t="s">
        <v>289</v>
      </c>
      <c r="O41" s="68">
        <f t="shared" si="5"/>
        <v>0</v>
      </c>
      <c r="P41" s="68">
        <f t="shared" si="6"/>
        <v>0</v>
      </c>
      <c r="Q41" s="68">
        <f t="shared" si="7"/>
        <v>0</v>
      </c>
      <c r="R41" s="68">
        <f t="shared" si="3"/>
        <v>197</v>
      </c>
      <c r="S41" s="68">
        <f t="shared" si="4"/>
        <v>0</v>
      </c>
      <c r="T41" s="68">
        <f t="shared" si="8"/>
        <v>197</v>
      </c>
      <c r="U41" s="265">
        <f t="shared" si="9"/>
        <v>790</v>
      </c>
      <c r="V41" s="93">
        <f t="shared" si="10"/>
        <v>0</v>
      </c>
    </row>
    <row r="42" spans="1:22" ht="18" customHeight="1" x14ac:dyDescent="0.2">
      <c r="A42" s="101" t="s">
        <v>1718</v>
      </c>
      <c r="B42" s="102"/>
      <c r="C42" s="73" t="s">
        <v>1719</v>
      </c>
      <c r="D42" s="65">
        <v>42514</v>
      </c>
      <c r="E42" s="66"/>
      <c r="F42" s="67"/>
      <c r="G42" s="67"/>
      <c r="H42" s="67">
        <v>945.45</v>
      </c>
      <c r="I42" s="67">
        <v>479.45000000000005</v>
      </c>
      <c r="J42" s="67">
        <v>0</v>
      </c>
      <c r="K42" s="68">
        <f t="shared" si="1"/>
        <v>0</v>
      </c>
      <c r="L42" s="68">
        <f t="shared" si="2"/>
        <v>0</v>
      </c>
      <c r="M42" s="69">
        <v>20</v>
      </c>
      <c r="N42" s="70" t="s">
        <v>289</v>
      </c>
      <c r="O42" s="68">
        <f t="shared" si="5"/>
        <v>0</v>
      </c>
      <c r="P42" s="68">
        <f t="shared" si="6"/>
        <v>0</v>
      </c>
      <c r="Q42" s="68">
        <f t="shared" si="7"/>
        <v>0</v>
      </c>
      <c r="R42" s="68">
        <f t="shared" si="3"/>
        <v>47</v>
      </c>
      <c r="S42" s="68">
        <f t="shared" si="4"/>
        <v>0</v>
      </c>
      <c r="T42" s="68">
        <f t="shared" si="8"/>
        <v>47</v>
      </c>
      <c r="U42" s="265">
        <f t="shared" si="9"/>
        <v>432.45000000000005</v>
      </c>
      <c r="V42" s="93">
        <f t="shared" si="10"/>
        <v>0</v>
      </c>
    </row>
    <row r="43" spans="1:22" ht="18" customHeight="1" x14ac:dyDescent="0.2">
      <c r="A43" s="101" t="s">
        <v>1720</v>
      </c>
      <c r="B43" s="102"/>
      <c r="C43" s="72" t="s">
        <v>1721</v>
      </c>
      <c r="D43" s="65">
        <v>42514</v>
      </c>
      <c r="E43" s="66"/>
      <c r="F43" s="67"/>
      <c r="G43" s="67"/>
      <c r="H43" s="67">
        <v>7439</v>
      </c>
      <c r="I43" s="67">
        <v>6862</v>
      </c>
      <c r="J43" s="67">
        <v>0</v>
      </c>
      <c r="K43" s="68">
        <f t="shared" si="1"/>
        <v>0</v>
      </c>
      <c r="L43" s="68">
        <f t="shared" si="2"/>
        <v>0</v>
      </c>
      <c r="M43" s="69">
        <v>2.5</v>
      </c>
      <c r="N43" s="70" t="s">
        <v>17</v>
      </c>
      <c r="O43" s="68">
        <f t="shared" si="5"/>
        <v>0</v>
      </c>
      <c r="P43" s="68">
        <f t="shared" si="6"/>
        <v>0</v>
      </c>
      <c r="Q43" s="68">
        <f t="shared" si="7"/>
        <v>0</v>
      </c>
      <c r="R43" s="68">
        <f t="shared" si="3"/>
        <v>0</v>
      </c>
      <c r="S43" s="68">
        <f t="shared" si="4"/>
        <v>92</v>
      </c>
      <c r="T43" s="68">
        <f t="shared" si="8"/>
        <v>92</v>
      </c>
      <c r="U43" s="265">
        <f t="shared" si="9"/>
        <v>6770</v>
      </c>
      <c r="V43" s="93">
        <f t="shared" si="10"/>
        <v>0</v>
      </c>
    </row>
    <row r="44" spans="1:22" ht="18" customHeight="1" x14ac:dyDescent="0.2">
      <c r="A44" s="101" t="s">
        <v>1722</v>
      </c>
      <c r="B44" s="102"/>
      <c r="C44" s="73" t="s">
        <v>1723</v>
      </c>
      <c r="D44" s="65">
        <v>42551</v>
      </c>
      <c r="E44" s="66"/>
      <c r="F44" s="67"/>
      <c r="G44" s="67"/>
      <c r="H44" s="67">
        <v>5339.55</v>
      </c>
      <c r="I44" s="67">
        <v>4939.55</v>
      </c>
      <c r="J44" s="67">
        <v>0</v>
      </c>
      <c r="K44" s="68">
        <f t="shared" si="1"/>
        <v>0</v>
      </c>
      <c r="L44" s="68">
        <f t="shared" si="2"/>
        <v>0</v>
      </c>
      <c r="M44" s="69">
        <v>2.5</v>
      </c>
      <c r="N44" s="70" t="s">
        <v>17</v>
      </c>
      <c r="O44" s="68">
        <f t="shared" si="5"/>
        <v>0</v>
      </c>
      <c r="P44" s="68">
        <f t="shared" si="6"/>
        <v>0</v>
      </c>
      <c r="Q44" s="68">
        <f t="shared" si="7"/>
        <v>0</v>
      </c>
      <c r="R44" s="68">
        <f t="shared" si="3"/>
        <v>0</v>
      </c>
      <c r="S44" s="68">
        <f t="shared" si="4"/>
        <v>66</v>
      </c>
      <c r="T44" s="68">
        <f t="shared" si="8"/>
        <v>66</v>
      </c>
      <c r="U44" s="265">
        <f t="shared" si="9"/>
        <v>4873.55</v>
      </c>
      <c r="V44" s="93">
        <f t="shared" si="10"/>
        <v>0</v>
      </c>
    </row>
    <row r="45" spans="1:22" ht="18" customHeight="1" x14ac:dyDescent="0.2">
      <c r="A45" s="101" t="s">
        <v>1724</v>
      </c>
      <c r="B45" s="102"/>
      <c r="C45" s="73" t="s">
        <v>1725</v>
      </c>
      <c r="D45" s="65">
        <v>42592</v>
      </c>
      <c r="E45" s="66"/>
      <c r="F45" s="67"/>
      <c r="G45" s="67"/>
      <c r="H45" s="67">
        <v>1027.25</v>
      </c>
      <c r="I45" s="67">
        <v>953.25</v>
      </c>
      <c r="J45" s="67">
        <v>0</v>
      </c>
      <c r="K45" s="68">
        <f t="shared" si="1"/>
        <v>0</v>
      </c>
      <c r="L45" s="68">
        <f t="shared" si="2"/>
        <v>0</v>
      </c>
      <c r="M45" s="69">
        <v>2.5</v>
      </c>
      <c r="N45" s="70" t="s">
        <v>17</v>
      </c>
      <c r="O45" s="68">
        <f t="shared" si="5"/>
        <v>0</v>
      </c>
      <c r="P45" s="68">
        <f t="shared" si="6"/>
        <v>0</v>
      </c>
      <c r="Q45" s="68">
        <f t="shared" si="7"/>
        <v>0</v>
      </c>
      <c r="R45" s="68">
        <f t="shared" si="3"/>
        <v>0</v>
      </c>
      <c r="S45" s="68">
        <f t="shared" si="4"/>
        <v>12</v>
      </c>
      <c r="T45" s="68">
        <f t="shared" si="8"/>
        <v>12</v>
      </c>
      <c r="U45" s="265">
        <f t="shared" si="9"/>
        <v>941.25</v>
      </c>
      <c r="V45" s="93">
        <f t="shared" si="10"/>
        <v>0</v>
      </c>
    </row>
    <row r="46" spans="1:22" ht="18" customHeight="1" x14ac:dyDescent="0.2">
      <c r="A46" s="101" t="s">
        <v>1726</v>
      </c>
      <c r="B46" s="102"/>
      <c r="C46" s="73" t="s">
        <v>1727</v>
      </c>
      <c r="D46" s="65">
        <v>42690</v>
      </c>
      <c r="E46" s="66"/>
      <c r="F46" s="67"/>
      <c r="G46" s="67"/>
      <c r="H46" s="67">
        <v>58590</v>
      </c>
      <c r="I46" s="67">
        <v>44615</v>
      </c>
      <c r="J46" s="67">
        <v>0</v>
      </c>
      <c r="K46" s="68">
        <f t="shared" si="1"/>
        <v>0</v>
      </c>
      <c r="L46" s="68">
        <f t="shared" si="2"/>
        <v>0</v>
      </c>
      <c r="M46" s="69">
        <v>10</v>
      </c>
      <c r="N46" s="70" t="s">
        <v>289</v>
      </c>
      <c r="O46" s="68">
        <f t="shared" si="5"/>
        <v>0</v>
      </c>
      <c r="P46" s="68">
        <f t="shared" si="6"/>
        <v>0</v>
      </c>
      <c r="Q46" s="68">
        <f t="shared" si="7"/>
        <v>0</v>
      </c>
      <c r="R46" s="68">
        <f t="shared" si="3"/>
        <v>2230</v>
      </c>
      <c r="S46" s="68">
        <f t="shared" si="4"/>
        <v>0</v>
      </c>
      <c r="T46" s="68">
        <f t="shared" si="8"/>
        <v>2230</v>
      </c>
      <c r="U46" s="265">
        <f t="shared" si="9"/>
        <v>42385</v>
      </c>
      <c r="V46" s="93">
        <f t="shared" si="10"/>
        <v>0</v>
      </c>
    </row>
    <row r="47" spans="1:22" ht="18" customHeight="1" x14ac:dyDescent="0.2">
      <c r="A47" s="101" t="s">
        <v>1728</v>
      </c>
      <c r="B47" s="102"/>
      <c r="C47" s="72" t="s">
        <v>1729</v>
      </c>
      <c r="D47" s="65">
        <v>42704</v>
      </c>
      <c r="E47" s="66"/>
      <c r="F47" s="67"/>
      <c r="G47" s="67"/>
      <c r="H47" s="67">
        <v>2700</v>
      </c>
      <c r="I47" s="67">
        <v>2526</v>
      </c>
      <c r="J47" s="67">
        <v>0</v>
      </c>
      <c r="K47" s="68">
        <f t="shared" si="1"/>
        <v>0</v>
      </c>
      <c r="L47" s="68">
        <f t="shared" si="2"/>
        <v>0</v>
      </c>
      <c r="M47" s="69">
        <v>2.5</v>
      </c>
      <c r="N47" s="70" t="s">
        <v>17</v>
      </c>
      <c r="O47" s="68">
        <f t="shared" si="5"/>
        <v>0</v>
      </c>
      <c r="P47" s="68">
        <f t="shared" si="6"/>
        <v>0</v>
      </c>
      <c r="Q47" s="68">
        <f t="shared" si="7"/>
        <v>0</v>
      </c>
      <c r="R47" s="68">
        <f t="shared" si="3"/>
        <v>0</v>
      </c>
      <c r="S47" s="68">
        <f t="shared" si="4"/>
        <v>33</v>
      </c>
      <c r="T47" s="68">
        <f t="shared" si="8"/>
        <v>33</v>
      </c>
      <c r="U47" s="265">
        <f t="shared" si="9"/>
        <v>2493</v>
      </c>
      <c r="V47" s="93">
        <f t="shared" si="10"/>
        <v>0</v>
      </c>
    </row>
    <row r="48" spans="1:22" ht="18" customHeight="1" x14ac:dyDescent="0.2">
      <c r="A48" s="101" t="s">
        <v>1730</v>
      </c>
      <c r="B48" s="102"/>
      <c r="C48" s="64" t="s">
        <v>1731</v>
      </c>
      <c r="D48" s="65">
        <v>42781</v>
      </c>
      <c r="E48" s="66"/>
      <c r="F48" s="67"/>
      <c r="G48" s="67"/>
      <c r="H48" s="67">
        <v>4582</v>
      </c>
      <c r="I48" s="67">
        <v>4310</v>
      </c>
      <c r="J48" s="67">
        <v>0</v>
      </c>
      <c r="K48" s="68">
        <f t="shared" si="1"/>
        <v>0</v>
      </c>
      <c r="L48" s="68">
        <f t="shared" si="2"/>
        <v>0</v>
      </c>
      <c r="M48" s="69">
        <v>2.5</v>
      </c>
      <c r="N48" s="70" t="s">
        <v>17</v>
      </c>
      <c r="O48" s="68">
        <f t="shared" si="5"/>
        <v>0</v>
      </c>
      <c r="P48" s="68">
        <f t="shared" si="6"/>
        <v>0</v>
      </c>
      <c r="Q48" s="68">
        <f t="shared" si="7"/>
        <v>0</v>
      </c>
      <c r="R48" s="68">
        <f t="shared" si="3"/>
        <v>0</v>
      </c>
      <c r="S48" s="68">
        <f t="shared" si="4"/>
        <v>57</v>
      </c>
      <c r="T48" s="68">
        <f t="shared" si="8"/>
        <v>57</v>
      </c>
      <c r="U48" s="265">
        <f t="shared" si="9"/>
        <v>4253</v>
      </c>
      <c r="V48" s="93">
        <f t="shared" si="10"/>
        <v>0</v>
      </c>
    </row>
    <row r="49" spans="1:22" ht="18" customHeight="1" x14ac:dyDescent="0.2">
      <c r="A49" s="101" t="s">
        <v>1732</v>
      </c>
      <c r="B49" s="102"/>
      <c r="C49" s="64" t="s">
        <v>1733</v>
      </c>
      <c r="D49" s="65">
        <v>42794</v>
      </c>
      <c r="E49" s="66"/>
      <c r="F49" s="67"/>
      <c r="G49" s="67"/>
      <c r="H49" s="67">
        <v>4900</v>
      </c>
      <c r="I49" s="67">
        <v>4614</v>
      </c>
      <c r="J49" s="67">
        <v>0</v>
      </c>
      <c r="K49" s="68">
        <f t="shared" si="1"/>
        <v>0</v>
      </c>
      <c r="L49" s="68">
        <f t="shared" si="2"/>
        <v>0</v>
      </c>
      <c r="M49" s="69">
        <v>2.5</v>
      </c>
      <c r="N49" s="70" t="s">
        <v>17</v>
      </c>
      <c r="O49" s="68">
        <f t="shared" si="5"/>
        <v>0</v>
      </c>
      <c r="P49" s="68">
        <f t="shared" si="6"/>
        <v>0</v>
      </c>
      <c r="Q49" s="68">
        <f t="shared" si="7"/>
        <v>0</v>
      </c>
      <c r="R49" s="68">
        <f t="shared" si="3"/>
        <v>0</v>
      </c>
      <c r="S49" s="68">
        <f t="shared" si="4"/>
        <v>61</v>
      </c>
      <c r="T49" s="68">
        <f t="shared" si="8"/>
        <v>61</v>
      </c>
      <c r="U49" s="265">
        <f t="shared" si="9"/>
        <v>4553</v>
      </c>
      <c r="V49" s="93">
        <f t="shared" si="10"/>
        <v>0</v>
      </c>
    </row>
    <row r="50" spans="1:22" ht="18" customHeight="1" x14ac:dyDescent="0.2">
      <c r="A50" s="101" t="s">
        <v>1734</v>
      </c>
      <c r="B50" s="102"/>
      <c r="C50" s="64" t="s">
        <v>1735</v>
      </c>
      <c r="D50" s="65">
        <v>42794</v>
      </c>
      <c r="E50" s="66"/>
      <c r="F50" s="67"/>
      <c r="G50" s="67"/>
      <c r="H50" s="67">
        <v>53058.36</v>
      </c>
      <c r="I50" s="67">
        <v>49956.36</v>
      </c>
      <c r="J50" s="67">
        <v>0</v>
      </c>
      <c r="K50" s="68">
        <f t="shared" si="1"/>
        <v>0</v>
      </c>
      <c r="L50" s="68">
        <f t="shared" si="2"/>
        <v>0</v>
      </c>
      <c r="M50" s="69">
        <v>2.5</v>
      </c>
      <c r="N50" s="70" t="s">
        <v>17</v>
      </c>
      <c r="O50" s="68">
        <f t="shared" si="5"/>
        <v>0</v>
      </c>
      <c r="P50" s="68">
        <f t="shared" si="6"/>
        <v>0</v>
      </c>
      <c r="Q50" s="68">
        <f t="shared" si="7"/>
        <v>0</v>
      </c>
      <c r="R50" s="68">
        <f t="shared" si="3"/>
        <v>0</v>
      </c>
      <c r="S50" s="68">
        <f t="shared" si="4"/>
        <v>663</v>
      </c>
      <c r="T50" s="68">
        <f t="shared" si="8"/>
        <v>663</v>
      </c>
      <c r="U50" s="265">
        <f t="shared" si="9"/>
        <v>49293.36</v>
      </c>
      <c r="V50" s="93">
        <f t="shared" si="10"/>
        <v>0</v>
      </c>
    </row>
    <row r="51" spans="1:22" ht="18" customHeight="1" x14ac:dyDescent="0.2">
      <c r="A51" s="101" t="s">
        <v>1736</v>
      </c>
      <c r="B51" s="102"/>
      <c r="C51" s="64" t="s">
        <v>1737</v>
      </c>
      <c r="D51" s="65">
        <v>42821</v>
      </c>
      <c r="E51" s="66"/>
      <c r="F51" s="67"/>
      <c r="G51" s="67"/>
      <c r="H51" s="67">
        <v>363</v>
      </c>
      <c r="I51" s="67">
        <v>343</v>
      </c>
      <c r="J51" s="67">
        <v>0</v>
      </c>
      <c r="K51" s="68">
        <f t="shared" si="1"/>
        <v>0</v>
      </c>
      <c r="L51" s="68">
        <f t="shared" si="2"/>
        <v>0</v>
      </c>
      <c r="M51" s="69">
        <v>2.5</v>
      </c>
      <c r="N51" s="70" t="s">
        <v>17</v>
      </c>
      <c r="O51" s="68">
        <f t="shared" si="5"/>
        <v>0</v>
      </c>
      <c r="P51" s="68">
        <f t="shared" si="6"/>
        <v>0</v>
      </c>
      <c r="Q51" s="68">
        <f t="shared" si="7"/>
        <v>0</v>
      </c>
      <c r="R51" s="68">
        <f t="shared" si="3"/>
        <v>0</v>
      </c>
      <c r="S51" s="68">
        <f t="shared" si="4"/>
        <v>4</v>
      </c>
      <c r="T51" s="68">
        <f t="shared" si="8"/>
        <v>4</v>
      </c>
      <c r="U51" s="265">
        <f t="shared" si="9"/>
        <v>339</v>
      </c>
      <c r="V51" s="93">
        <f t="shared" si="10"/>
        <v>0</v>
      </c>
    </row>
    <row r="52" spans="1:22" ht="18" customHeight="1" x14ac:dyDescent="0.2">
      <c r="A52" s="101" t="s">
        <v>1738</v>
      </c>
      <c r="B52" s="102"/>
      <c r="C52" s="64" t="s">
        <v>1735</v>
      </c>
      <c r="D52" s="65">
        <v>42826</v>
      </c>
      <c r="E52" s="66"/>
      <c r="F52" s="67"/>
      <c r="G52" s="67"/>
      <c r="H52" s="67">
        <v>30767.5</v>
      </c>
      <c r="I52" s="67">
        <v>29036.5</v>
      </c>
      <c r="J52" s="67">
        <v>0</v>
      </c>
      <c r="K52" s="68">
        <f t="shared" si="1"/>
        <v>0</v>
      </c>
      <c r="L52" s="68">
        <f t="shared" si="2"/>
        <v>0</v>
      </c>
      <c r="M52" s="69">
        <v>2.5</v>
      </c>
      <c r="N52" s="70" t="s">
        <v>17</v>
      </c>
      <c r="O52" s="68">
        <f t="shared" si="5"/>
        <v>0</v>
      </c>
      <c r="P52" s="68">
        <f t="shared" si="6"/>
        <v>0</v>
      </c>
      <c r="Q52" s="68">
        <f t="shared" si="7"/>
        <v>0</v>
      </c>
      <c r="R52" s="68">
        <f t="shared" si="3"/>
        <v>0</v>
      </c>
      <c r="S52" s="68">
        <f t="shared" si="4"/>
        <v>384</v>
      </c>
      <c r="T52" s="68">
        <f t="shared" si="8"/>
        <v>384</v>
      </c>
      <c r="U52" s="265">
        <f t="shared" si="9"/>
        <v>28652.5</v>
      </c>
      <c r="V52" s="93">
        <f t="shared" si="10"/>
        <v>0</v>
      </c>
    </row>
    <row r="53" spans="1:22" ht="18" customHeight="1" x14ac:dyDescent="0.2">
      <c r="A53" s="101" t="s">
        <v>1739</v>
      </c>
      <c r="B53" s="102"/>
      <c r="C53" s="64" t="s">
        <v>1735</v>
      </c>
      <c r="D53" s="65">
        <v>42828</v>
      </c>
      <c r="E53" s="66"/>
      <c r="F53" s="67"/>
      <c r="G53" s="67"/>
      <c r="H53" s="67">
        <v>3377.5</v>
      </c>
      <c r="I53" s="67">
        <v>3188.5</v>
      </c>
      <c r="J53" s="67">
        <v>0</v>
      </c>
      <c r="K53" s="68">
        <f t="shared" si="1"/>
        <v>0</v>
      </c>
      <c r="L53" s="68">
        <f t="shared" si="2"/>
        <v>0</v>
      </c>
      <c r="M53" s="69">
        <v>2.5</v>
      </c>
      <c r="N53" s="70" t="s">
        <v>17</v>
      </c>
      <c r="O53" s="68">
        <f t="shared" si="5"/>
        <v>0</v>
      </c>
      <c r="P53" s="68">
        <f t="shared" si="6"/>
        <v>0</v>
      </c>
      <c r="Q53" s="68">
        <f t="shared" si="7"/>
        <v>0</v>
      </c>
      <c r="R53" s="68">
        <f t="shared" si="3"/>
        <v>0</v>
      </c>
      <c r="S53" s="68">
        <f t="shared" si="4"/>
        <v>42</v>
      </c>
      <c r="T53" s="68">
        <f t="shared" si="8"/>
        <v>42</v>
      </c>
      <c r="U53" s="265">
        <f t="shared" si="9"/>
        <v>3146.5</v>
      </c>
      <c r="V53" s="93">
        <f t="shared" si="10"/>
        <v>0</v>
      </c>
    </row>
    <row r="54" spans="1:22" ht="18" customHeight="1" x14ac:dyDescent="0.2">
      <c r="A54" s="101" t="s">
        <v>1740</v>
      </c>
      <c r="B54" s="102"/>
      <c r="C54" s="64" t="s">
        <v>1735</v>
      </c>
      <c r="D54" s="65">
        <v>42855</v>
      </c>
      <c r="E54" s="66"/>
      <c r="F54" s="67"/>
      <c r="G54" s="67"/>
      <c r="H54" s="67">
        <v>10177</v>
      </c>
      <c r="I54" s="67">
        <v>9625</v>
      </c>
      <c r="J54" s="67">
        <v>0</v>
      </c>
      <c r="K54" s="68">
        <f t="shared" si="1"/>
        <v>0</v>
      </c>
      <c r="L54" s="68">
        <f t="shared" si="2"/>
        <v>0</v>
      </c>
      <c r="M54" s="69">
        <v>2.5</v>
      </c>
      <c r="N54" s="70" t="s">
        <v>17</v>
      </c>
      <c r="O54" s="68">
        <f t="shared" si="5"/>
        <v>0</v>
      </c>
      <c r="P54" s="68">
        <f t="shared" si="6"/>
        <v>0</v>
      </c>
      <c r="Q54" s="68">
        <f t="shared" si="7"/>
        <v>0</v>
      </c>
      <c r="R54" s="68">
        <f t="shared" si="3"/>
        <v>0</v>
      </c>
      <c r="S54" s="68">
        <f t="shared" si="4"/>
        <v>127</v>
      </c>
      <c r="T54" s="68">
        <f t="shared" si="8"/>
        <v>127</v>
      </c>
      <c r="U54" s="265">
        <f t="shared" si="9"/>
        <v>9498</v>
      </c>
      <c r="V54" s="93">
        <f t="shared" si="10"/>
        <v>0</v>
      </c>
    </row>
    <row r="55" spans="1:22" ht="18" customHeight="1" x14ac:dyDescent="0.2">
      <c r="A55" s="101" t="s">
        <v>1741</v>
      </c>
      <c r="B55" s="102"/>
      <c r="C55" s="73" t="s">
        <v>1742</v>
      </c>
      <c r="D55" s="65">
        <v>42884</v>
      </c>
      <c r="E55" s="66"/>
      <c r="F55" s="67"/>
      <c r="G55" s="67"/>
      <c r="H55" s="67">
        <v>1260</v>
      </c>
      <c r="I55" s="67">
        <v>1194</v>
      </c>
      <c r="J55" s="67">
        <v>0</v>
      </c>
      <c r="K55" s="68">
        <f t="shared" si="1"/>
        <v>0</v>
      </c>
      <c r="L55" s="68">
        <f t="shared" si="2"/>
        <v>0</v>
      </c>
      <c r="M55" s="69">
        <v>2.5</v>
      </c>
      <c r="N55" s="70" t="s">
        <v>17</v>
      </c>
      <c r="O55" s="68">
        <f t="shared" si="5"/>
        <v>0</v>
      </c>
      <c r="P55" s="68">
        <f t="shared" si="6"/>
        <v>0</v>
      </c>
      <c r="Q55" s="68">
        <f t="shared" si="7"/>
        <v>0</v>
      </c>
      <c r="R55" s="68">
        <f t="shared" si="3"/>
        <v>0</v>
      </c>
      <c r="S55" s="68">
        <f t="shared" si="4"/>
        <v>15</v>
      </c>
      <c r="T55" s="68">
        <f t="shared" si="8"/>
        <v>15</v>
      </c>
      <c r="U55" s="265">
        <f t="shared" si="9"/>
        <v>1179</v>
      </c>
      <c r="V55" s="93">
        <f t="shared" si="10"/>
        <v>0</v>
      </c>
    </row>
    <row r="56" spans="1:22" ht="18" customHeight="1" x14ac:dyDescent="0.2">
      <c r="A56" s="101" t="s">
        <v>1743</v>
      </c>
      <c r="B56" s="102"/>
      <c r="C56" s="64" t="s">
        <v>1735</v>
      </c>
      <c r="D56" s="65">
        <v>42886</v>
      </c>
      <c r="E56" s="66"/>
      <c r="F56" s="67"/>
      <c r="G56" s="67"/>
      <c r="H56" s="67">
        <v>10975</v>
      </c>
      <c r="I56" s="67">
        <v>10403</v>
      </c>
      <c r="J56" s="67">
        <v>0</v>
      </c>
      <c r="K56" s="68">
        <f t="shared" si="1"/>
        <v>0</v>
      </c>
      <c r="L56" s="68">
        <f t="shared" si="2"/>
        <v>0</v>
      </c>
      <c r="M56" s="69">
        <v>2.5</v>
      </c>
      <c r="N56" s="70" t="s">
        <v>17</v>
      </c>
      <c r="O56" s="68">
        <f t="shared" si="5"/>
        <v>0</v>
      </c>
      <c r="P56" s="68">
        <f t="shared" si="6"/>
        <v>0</v>
      </c>
      <c r="Q56" s="68">
        <f t="shared" si="7"/>
        <v>0</v>
      </c>
      <c r="R56" s="68">
        <f t="shared" si="3"/>
        <v>0</v>
      </c>
      <c r="S56" s="68">
        <f t="shared" si="4"/>
        <v>137</v>
      </c>
      <c r="T56" s="68">
        <f t="shared" si="8"/>
        <v>137</v>
      </c>
      <c r="U56" s="265">
        <f t="shared" si="9"/>
        <v>10266</v>
      </c>
      <c r="V56" s="93">
        <f t="shared" si="10"/>
        <v>0</v>
      </c>
    </row>
    <row r="57" spans="1:22" ht="18" customHeight="1" x14ac:dyDescent="0.2">
      <c r="A57" s="101" t="s">
        <v>1744</v>
      </c>
      <c r="B57" s="102"/>
      <c r="C57" s="64" t="s">
        <v>1735</v>
      </c>
      <c r="D57" s="65">
        <v>42886</v>
      </c>
      <c r="E57" s="66"/>
      <c r="F57" s="67"/>
      <c r="G57" s="67"/>
      <c r="H57" s="67">
        <v>15437.5</v>
      </c>
      <c r="I57" s="67">
        <v>14631.5</v>
      </c>
      <c r="J57" s="67">
        <v>0</v>
      </c>
      <c r="K57" s="68">
        <f t="shared" si="1"/>
        <v>0</v>
      </c>
      <c r="L57" s="68">
        <f t="shared" si="2"/>
        <v>0</v>
      </c>
      <c r="M57" s="69">
        <v>2.5</v>
      </c>
      <c r="N57" s="70" t="s">
        <v>17</v>
      </c>
      <c r="O57" s="68">
        <f t="shared" si="5"/>
        <v>0</v>
      </c>
      <c r="P57" s="68">
        <f t="shared" si="6"/>
        <v>0</v>
      </c>
      <c r="Q57" s="68">
        <f t="shared" si="7"/>
        <v>0</v>
      </c>
      <c r="R57" s="68">
        <f t="shared" si="3"/>
        <v>0</v>
      </c>
      <c r="S57" s="68">
        <f t="shared" si="4"/>
        <v>192</v>
      </c>
      <c r="T57" s="68">
        <f t="shared" si="8"/>
        <v>192</v>
      </c>
      <c r="U57" s="265">
        <f t="shared" si="9"/>
        <v>14439.5</v>
      </c>
      <c r="V57" s="93">
        <f t="shared" si="10"/>
        <v>0</v>
      </c>
    </row>
    <row r="58" spans="1:22" ht="18" customHeight="1" x14ac:dyDescent="0.2">
      <c r="A58" s="101" t="s">
        <v>1745</v>
      </c>
      <c r="B58" s="102"/>
      <c r="C58" s="64" t="s">
        <v>1746</v>
      </c>
      <c r="D58" s="65">
        <v>42886</v>
      </c>
      <c r="E58" s="66"/>
      <c r="F58" s="67"/>
      <c r="G58" s="67"/>
      <c r="H58" s="67">
        <v>10656.25</v>
      </c>
      <c r="I58" s="67">
        <v>10100.25</v>
      </c>
      <c r="J58" s="67">
        <v>0</v>
      </c>
      <c r="K58" s="68">
        <f t="shared" si="1"/>
        <v>0</v>
      </c>
      <c r="L58" s="68">
        <f t="shared" si="2"/>
        <v>0</v>
      </c>
      <c r="M58" s="69">
        <v>2.5</v>
      </c>
      <c r="N58" s="70" t="s">
        <v>17</v>
      </c>
      <c r="O58" s="68">
        <f t="shared" si="5"/>
        <v>0</v>
      </c>
      <c r="P58" s="68">
        <f t="shared" si="6"/>
        <v>0</v>
      </c>
      <c r="Q58" s="68">
        <f t="shared" si="7"/>
        <v>0</v>
      </c>
      <c r="R58" s="68">
        <f t="shared" si="3"/>
        <v>0</v>
      </c>
      <c r="S58" s="68">
        <f t="shared" si="4"/>
        <v>133</v>
      </c>
      <c r="T58" s="68">
        <f t="shared" si="8"/>
        <v>133</v>
      </c>
      <c r="U58" s="265">
        <f t="shared" si="9"/>
        <v>9967.25</v>
      </c>
      <c r="V58" s="93">
        <f t="shared" si="10"/>
        <v>0</v>
      </c>
    </row>
    <row r="59" spans="1:22" ht="18" customHeight="1" x14ac:dyDescent="0.2">
      <c r="A59" s="101" t="s">
        <v>1747</v>
      </c>
      <c r="B59" s="102"/>
      <c r="C59" s="64" t="s">
        <v>1748</v>
      </c>
      <c r="D59" s="65">
        <v>42887</v>
      </c>
      <c r="E59" s="66"/>
      <c r="F59" s="67"/>
      <c r="G59" s="67"/>
      <c r="H59" s="67">
        <v>437.5</v>
      </c>
      <c r="I59" s="67">
        <v>414.5</v>
      </c>
      <c r="J59" s="67">
        <v>0</v>
      </c>
      <c r="K59" s="68">
        <f t="shared" si="1"/>
        <v>0</v>
      </c>
      <c r="L59" s="68">
        <f t="shared" si="2"/>
        <v>0</v>
      </c>
      <c r="M59" s="69">
        <v>2.5</v>
      </c>
      <c r="N59" s="70" t="s">
        <v>17</v>
      </c>
      <c r="O59" s="68">
        <f t="shared" si="5"/>
        <v>0</v>
      </c>
      <c r="P59" s="68">
        <f t="shared" si="6"/>
        <v>0</v>
      </c>
      <c r="Q59" s="68">
        <f t="shared" si="7"/>
        <v>0</v>
      </c>
      <c r="R59" s="68">
        <f t="shared" si="3"/>
        <v>0</v>
      </c>
      <c r="S59" s="68">
        <f t="shared" si="4"/>
        <v>5</v>
      </c>
      <c r="T59" s="68">
        <f t="shared" si="8"/>
        <v>5</v>
      </c>
      <c r="U59" s="265">
        <f t="shared" si="9"/>
        <v>409.5</v>
      </c>
      <c r="V59" s="93">
        <f t="shared" si="10"/>
        <v>0</v>
      </c>
    </row>
    <row r="60" spans="1:22" ht="18" customHeight="1" x14ac:dyDescent="0.2">
      <c r="A60" s="101" t="s">
        <v>1749</v>
      </c>
      <c r="B60" s="102"/>
      <c r="C60" s="64" t="s">
        <v>1750</v>
      </c>
      <c r="D60" s="65">
        <v>42894</v>
      </c>
      <c r="E60" s="66"/>
      <c r="F60" s="67"/>
      <c r="G60" s="67"/>
      <c r="H60" s="67">
        <v>16875</v>
      </c>
      <c r="I60" s="67">
        <v>16003</v>
      </c>
      <c r="J60" s="67">
        <v>0</v>
      </c>
      <c r="K60" s="68">
        <f t="shared" si="1"/>
        <v>0</v>
      </c>
      <c r="L60" s="68">
        <f t="shared" si="2"/>
        <v>0</v>
      </c>
      <c r="M60" s="69">
        <v>2.5</v>
      </c>
      <c r="N60" s="70" t="s">
        <v>17</v>
      </c>
      <c r="O60" s="68">
        <f t="shared" si="5"/>
        <v>0</v>
      </c>
      <c r="P60" s="68">
        <f t="shared" si="6"/>
        <v>0</v>
      </c>
      <c r="Q60" s="68">
        <f t="shared" si="7"/>
        <v>0</v>
      </c>
      <c r="R60" s="68">
        <f t="shared" si="3"/>
        <v>0</v>
      </c>
      <c r="S60" s="68">
        <f t="shared" si="4"/>
        <v>210</v>
      </c>
      <c r="T60" s="68">
        <f t="shared" si="8"/>
        <v>210</v>
      </c>
      <c r="U60" s="265">
        <f t="shared" si="9"/>
        <v>15793</v>
      </c>
      <c r="V60" s="93">
        <f t="shared" si="10"/>
        <v>0</v>
      </c>
    </row>
    <row r="61" spans="1:22" ht="18" customHeight="1" x14ac:dyDescent="0.2">
      <c r="A61" s="101" t="s">
        <v>1751</v>
      </c>
      <c r="B61" s="102"/>
      <c r="C61" s="64" t="s">
        <v>1752</v>
      </c>
      <c r="D61" s="65">
        <v>42744</v>
      </c>
      <c r="E61" s="66"/>
      <c r="F61" s="67"/>
      <c r="G61" s="67"/>
      <c r="H61" s="67">
        <v>4150</v>
      </c>
      <c r="I61" s="67">
        <v>2433</v>
      </c>
      <c r="J61" s="67">
        <v>0</v>
      </c>
      <c r="K61" s="68">
        <f t="shared" si="1"/>
        <v>0</v>
      </c>
      <c r="L61" s="68">
        <f t="shared" si="2"/>
        <v>0</v>
      </c>
      <c r="M61" s="69">
        <v>20</v>
      </c>
      <c r="N61" s="70" t="s">
        <v>289</v>
      </c>
      <c r="O61" s="68">
        <f t="shared" si="5"/>
        <v>0</v>
      </c>
      <c r="P61" s="68">
        <f t="shared" si="6"/>
        <v>0</v>
      </c>
      <c r="Q61" s="68">
        <f t="shared" si="7"/>
        <v>0</v>
      </c>
      <c r="R61" s="68">
        <f t="shared" si="3"/>
        <v>243</v>
      </c>
      <c r="S61" s="68">
        <f t="shared" si="4"/>
        <v>0</v>
      </c>
      <c r="T61" s="68">
        <f t="shared" si="8"/>
        <v>243</v>
      </c>
      <c r="U61" s="265">
        <f t="shared" si="9"/>
        <v>2190</v>
      </c>
      <c r="V61" s="93">
        <f t="shared" si="10"/>
        <v>0</v>
      </c>
    </row>
    <row r="62" spans="1:22" ht="18" customHeight="1" x14ac:dyDescent="0.2">
      <c r="A62" s="101" t="s">
        <v>1753</v>
      </c>
      <c r="B62" s="102"/>
      <c r="C62" s="64" t="s">
        <v>1754</v>
      </c>
      <c r="D62" s="65">
        <v>42754</v>
      </c>
      <c r="E62" s="66"/>
      <c r="F62" s="67"/>
      <c r="G62" s="67"/>
      <c r="H62" s="67">
        <v>90.91</v>
      </c>
      <c r="I62" s="67">
        <v>85.91</v>
      </c>
      <c r="J62" s="67">
        <v>0</v>
      </c>
      <c r="K62" s="68">
        <f t="shared" si="1"/>
        <v>0</v>
      </c>
      <c r="L62" s="68">
        <f t="shared" si="2"/>
        <v>0</v>
      </c>
      <c r="M62" s="69">
        <v>2.5</v>
      </c>
      <c r="N62" s="70" t="s">
        <v>17</v>
      </c>
      <c r="O62" s="68">
        <f t="shared" si="5"/>
        <v>0</v>
      </c>
      <c r="P62" s="68">
        <f t="shared" si="6"/>
        <v>0</v>
      </c>
      <c r="Q62" s="68">
        <f t="shared" si="7"/>
        <v>0</v>
      </c>
      <c r="R62" s="68">
        <f t="shared" si="3"/>
        <v>0</v>
      </c>
      <c r="S62" s="68">
        <f t="shared" si="4"/>
        <v>1</v>
      </c>
      <c r="T62" s="68">
        <f t="shared" si="8"/>
        <v>1</v>
      </c>
      <c r="U62" s="265">
        <f t="shared" si="9"/>
        <v>84.91</v>
      </c>
      <c r="V62" s="93">
        <f t="shared" si="10"/>
        <v>0</v>
      </c>
    </row>
    <row r="63" spans="1:22" ht="18" customHeight="1" x14ac:dyDescent="0.2">
      <c r="A63" s="101" t="s">
        <v>1755</v>
      </c>
      <c r="B63" s="102"/>
      <c r="C63" s="64" t="s">
        <v>1756</v>
      </c>
      <c r="D63" s="65">
        <v>42552</v>
      </c>
      <c r="E63" s="66"/>
      <c r="F63" s="67"/>
      <c r="G63" s="67"/>
      <c r="H63" s="67">
        <v>19603</v>
      </c>
      <c r="I63" s="67">
        <v>18133</v>
      </c>
      <c r="J63" s="67">
        <v>0</v>
      </c>
      <c r="K63" s="68">
        <f t="shared" si="1"/>
        <v>0</v>
      </c>
      <c r="L63" s="68">
        <f t="shared" si="2"/>
        <v>0</v>
      </c>
      <c r="M63" s="69">
        <v>2.5</v>
      </c>
      <c r="N63" s="70" t="s">
        <v>17</v>
      </c>
      <c r="O63" s="68">
        <f t="shared" si="5"/>
        <v>0</v>
      </c>
      <c r="P63" s="68">
        <f t="shared" si="6"/>
        <v>0</v>
      </c>
      <c r="Q63" s="68">
        <f t="shared" si="7"/>
        <v>0</v>
      </c>
      <c r="R63" s="68">
        <f t="shared" si="3"/>
        <v>0</v>
      </c>
      <c r="S63" s="68">
        <f t="shared" si="4"/>
        <v>245</v>
      </c>
      <c r="T63" s="68">
        <f t="shared" si="8"/>
        <v>245</v>
      </c>
      <c r="U63" s="265">
        <f t="shared" si="9"/>
        <v>17888</v>
      </c>
      <c r="V63" s="93">
        <f t="shared" si="10"/>
        <v>0</v>
      </c>
    </row>
    <row r="64" spans="1:22" ht="18" customHeight="1" x14ac:dyDescent="0.2">
      <c r="A64" s="101" t="s">
        <v>1757</v>
      </c>
      <c r="B64" s="102"/>
      <c r="C64" s="64" t="s">
        <v>1758</v>
      </c>
      <c r="D64" s="65">
        <v>42670</v>
      </c>
      <c r="E64" s="66"/>
      <c r="F64" s="67"/>
      <c r="G64" s="67"/>
      <c r="H64" s="67">
        <v>713</v>
      </c>
      <c r="I64" s="67">
        <v>666</v>
      </c>
      <c r="J64" s="67">
        <v>0</v>
      </c>
      <c r="K64" s="68">
        <f t="shared" si="1"/>
        <v>0</v>
      </c>
      <c r="L64" s="68">
        <f t="shared" si="2"/>
        <v>0</v>
      </c>
      <c r="M64" s="69">
        <v>2.5</v>
      </c>
      <c r="N64" s="70" t="s">
        <v>17</v>
      </c>
      <c r="O64" s="68">
        <f t="shared" si="5"/>
        <v>0</v>
      </c>
      <c r="P64" s="68">
        <f t="shared" si="6"/>
        <v>0</v>
      </c>
      <c r="Q64" s="68">
        <f t="shared" si="7"/>
        <v>0</v>
      </c>
      <c r="R64" s="68">
        <f t="shared" si="3"/>
        <v>0</v>
      </c>
      <c r="S64" s="68">
        <f t="shared" si="4"/>
        <v>8</v>
      </c>
      <c r="T64" s="68">
        <f t="shared" si="8"/>
        <v>8</v>
      </c>
      <c r="U64" s="265">
        <f t="shared" si="9"/>
        <v>658</v>
      </c>
      <c r="V64" s="93">
        <f t="shared" si="10"/>
        <v>0</v>
      </c>
    </row>
    <row r="65" spans="1:22" ht="18" customHeight="1" x14ac:dyDescent="0.2">
      <c r="A65" s="101" t="s">
        <v>1759</v>
      </c>
      <c r="B65" s="102"/>
      <c r="C65" s="64" t="s">
        <v>1760</v>
      </c>
      <c r="D65" s="65">
        <v>42772</v>
      </c>
      <c r="E65" s="66"/>
      <c r="F65" s="67"/>
      <c r="G65" s="67"/>
      <c r="H65" s="67">
        <v>15000</v>
      </c>
      <c r="I65" s="67">
        <v>14101</v>
      </c>
      <c r="J65" s="67">
        <v>0</v>
      </c>
      <c r="K65" s="68">
        <f t="shared" si="1"/>
        <v>0</v>
      </c>
      <c r="L65" s="68">
        <f t="shared" si="2"/>
        <v>0</v>
      </c>
      <c r="M65" s="69">
        <v>2.5</v>
      </c>
      <c r="N65" s="70" t="s">
        <v>17</v>
      </c>
      <c r="O65" s="68">
        <f t="shared" si="5"/>
        <v>0</v>
      </c>
      <c r="P65" s="68">
        <f t="shared" si="6"/>
        <v>0</v>
      </c>
      <c r="Q65" s="68">
        <f t="shared" si="7"/>
        <v>0</v>
      </c>
      <c r="R65" s="68">
        <f t="shared" si="3"/>
        <v>0</v>
      </c>
      <c r="S65" s="68">
        <f t="shared" si="4"/>
        <v>187</v>
      </c>
      <c r="T65" s="68">
        <f t="shared" si="8"/>
        <v>187</v>
      </c>
      <c r="U65" s="265">
        <f t="shared" si="9"/>
        <v>13914</v>
      </c>
      <c r="V65" s="93">
        <f t="shared" si="10"/>
        <v>0</v>
      </c>
    </row>
    <row r="66" spans="1:22" ht="18" customHeight="1" x14ac:dyDescent="0.2">
      <c r="A66" s="101" t="s">
        <v>1761</v>
      </c>
      <c r="B66" s="102"/>
      <c r="C66" s="64" t="s">
        <v>1762</v>
      </c>
      <c r="D66" s="65">
        <v>42801</v>
      </c>
      <c r="E66" s="66"/>
      <c r="F66" s="67"/>
      <c r="G66" s="67"/>
      <c r="H66" s="67">
        <v>102416.55</v>
      </c>
      <c r="I66" s="67">
        <v>80517.55</v>
      </c>
      <c r="J66" s="67">
        <v>0</v>
      </c>
      <c r="K66" s="68">
        <f t="shared" si="1"/>
        <v>0</v>
      </c>
      <c r="L66" s="68">
        <f t="shared" si="2"/>
        <v>0</v>
      </c>
      <c r="M66" s="69">
        <v>10</v>
      </c>
      <c r="N66" s="70" t="s">
        <v>289</v>
      </c>
      <c r="O66" s="68">
        <f t="shared" si="5"/>
        <v>0</v>
      </c>
      <c r="P66" s="68">
        <f t="shared" si="6"/>
        <v>0</v>
      </c>
      <c r="Q66" s="68">
        <f t="shared" si="7"/>
        <v>0</v>
      </c>
      <c r="R66" s="68">
        <f t="shared" si="3"/>
        <v>4025</v>
      </c>
      <c r="S66" s="68">
        <f t="shared" si="4"/>
        <v>0</v>
      </c>
      <c r="T66" s="68">
        <f t="shared" si="8"/>
        <v>4025</v>
      </c>
      <c r="U66" s="265">
        <f t="shared" si="9"/>
        <v>76492.55</v>
      </c>
      <c r="V66" s="93">
        <f t="shared" si="10"/>
        <v>0</v>
      </c>
    </row>
    <row r="67" spans="1:22" ht="18" customHeight="1" x14ac:dyDescent="0.2">
      <c r="A67" s="101" t="s">
        <v>1763</v>
      </c>
      <c r="B67" s="102"/>
      <c r="C67" s="64" t="s">
        <v>1764</v>
      </c>
      <c r="D67" s="65">
        <v>42915</v>
      </c>
      <c r="E67" s="66"/>
      <c r="F67" s="67"/>
      <c r="G67" s="67"/>
      <c r="H67" s="67">
        <v>11342</v>
      </c>
      <c r="I67" s="67">
        <v>7336</v>
      </c>
      <c r="J67" s="67">
        <v>0</v>
      </c>
      <c r="K67" s="68">
        <f t="shared" si="1"/>
        <v>0</v>
      </c>
      <c r="L67" s="68">
        <f t="shared" si="2"/>
        <v>0</v>
      </c>
      <c r="M67" s="69">
        <v>20</v>
      </c>
      <c r="N67" s="70" t="s">
        <v>289</v>
      </c>
      <c r="O67" s="68">
        <f t="shared" si="5"/>
        <v>0</v>
      </c>
      <c r="P67" s="68">
        <f t="shared" si="6"/>
        <v>0</v>
      </c>
      <c r="Q67" s="68">
        <f t="shared" si="7"/>
        <v>0</v>
      </c>
      <c r="R67" s="68">
        <f t="shared" si="3"/>
        <v>733</v>
      </c>
      <c r="S67" s="68">
        <f t="shared" si="4"/>
        <v>0</v>
      </c>
      <c r="T67" s="68">
        <f t="shared" si="8"/>
        <v>733</v>
      </c>
      <c r="U67" s="265">
        <f t="shared" si="9"/>
        <v>6603</v>
      </c>
      <c r="V67" s="93">
        <f t="shared" si="10"/>
        <v>0</v>
      </c>
    </row>
    <row r="68" spans="1:22" ht="18" customHeight="1" x14ac:dyDescent="0.2">
      <c r="A68" s="101" t="s">
        <v>1765</v>
      </c>
      <c r="B68" s="102"/>
      <c r="C68" s="73" t="s">
        <v>1766</v>
      </c>
      <c r="D68" s="65">
        <v>42947</v>
      </c>
      <c r="E68" s="66"/>
      <c r="F68" s="67"/>
      <c r="G68" s="67"/>
      <c r="H68" s="67">
        <v>180000</v>
      </c>
      <c r="I68" s="67">
        <v>171359</v>
      </c>
      <c r="J68" s="67">
        <v>0</v>
      </c>
      <c r="K68" s="68">
        <f t="shared" si="1"/>
        <v>0</v>
      </c>
      <c r="L68" s="68">
        <f t="shared" si="2"/>
        <v>0</v>
      </c>
      <c r="M68" s="69">
        <v>2.5</v>
      </c>
      <c r="N68" s="70" t="s">
        <v>17</v>
      </c>
      <c r="O68" s="68">
        <f t="shared" si="5"/>
        <v>0</v>
      </c>
      <c r="P68" s="68">
        <f t="shared" si="6"/>
        <v>0</v>
      </c>
      <c r="Q68" s="68">
        <f t="shared" si="7"/>
        <v>0</v>
      </c>
      <c r="R68" s="68">
        <f t="shared" si="3"/>
        <v>0</v>
      </c>
      <c r="S68" s="68">
        <f t="shared" si="4"/>
        <v>2250</v>
      </c>
      <c r="T68" s="68">
        <f t="shared" si="8"/>
        <v>2250</v>
      </c>
      <c r="U68" s="265">
        <f t="shared" si="9"/>
        <v>169109</v>
      </c>
      <c r="V68" s="93">
        <f t="shared" si="10"/>
        <v>0</v>
      </c>
    </row>
    <row r="69" spans="1:22" ht="18" customHeight="1" x14ac:dyDescent="0.2">
      <c r="A69" s="101" t="s">
        <v>1767</v>
      </c>
      <c r="B69" s="102"/>
      <c r="C69" s="72" t="s">
        <v>1768</v>
      </c>
      <c r="D69" s="65">
        <v>43074</v>
      </c>
      <c r="E69" s="66"/>
      <c r="F69" s="67"/>
      <c r="G69" s="67"/>
      <c r="H69" s="67">
        <v>6596.1</v>
      </c>
      <c r="I69" s="67">
        <v>6337.1</v>
      </c>
      <c r="J69" s="67">
        <v>0</v>
      </c>
      <c r="K69" s="68">
        <f t="shared" si="1"/>
        <v>0</v>
      </c>
      <c r="L69" s="68">
        <f t="shared" si="2"/>
        <v>0</v>
      </c>
      <c r="M69" s="69">
        <v>2.5</v>
      </c>
      <c r="N69" s="70" t="s">
        <v>17</v>
      </c>
      <c r="O69" s="68">
        <f t="shared" si="5"/>
        <v>0</v>
      </c>
      <c r="P69" s="68">
        <f t="shared" si="6"/>
        <v>0</v>
      </c>
      <c r="Q69" s="68">
        <f t="shared" si="7"/>
        <v>0</v>
      </c>
      <c r="R69" s="68">
        <f t="shared" si="3"/>
        <v>0</v>
      </c>
      <c r="S69" s="68">
        <f t="shared" si="4"/>
        <v>82</v>
      </c>
      <c r="T69" s="68">
        <f t="shared" si="8"/>
        <v>82</v>
      </c>
      <c r="U69" s="265">
        <f t="shared" si="9"/>
        <v>6255.1</v>
      </c>
      <c r="V69" s="93">
        <f t="shared" si="10"/>
        <v>0</v>
      </c>
    </row>
    <row r="70" spans="1:22" ht="18" customHeight="1" x14ac:dyDescent="0.2">
      <c r="A70" s="101" t="s">
        <v>1769</v>
      </c>
      <c r="B70" s="102"/>
      <c r="C70" s="73" t="s">
        <v>1770</v>
      </c>
      <c r="D70" s="65">
        <v>43009</v>
      </c>
      <c r="E70" s="66"/>
      <c r="F70" s="67"/>
      <c r="G70" s="67"/>
      <c r="H70" s="67">
        <v>5520</v>
      </c>
      <c r="I70" s="67">
        <v>5279</v>
      </c>
      <c r="J70" s="67">
        <v>0</v>
      </c>
      <c r="K70" s="68">
        <f t="shared" si="1"/>
        <v>0</v>
      </c>
      <c r="L70" s="68">
        <f t="shared" si="2"/>
        <v>0</v>
      </c>
      <c r="M70" s="69">
        <v>2.5</v>
      </c>
      <c r="N70" s="70" t="s">
        <v>17</v>
      </c>
      <c r="O70" s="68">
        <f t="shared" si="5"/>
        <v>0</v>
      </c>
      <c r="P70" s="68">
        <f t="shared" si="6"/>
        <v>0</v>
      </c>
      <c r="Q70" s="68">
        <f t="shared" si="7"/>
        <v>0</v>
      </c>
      <c r="R70" s="68">
        <f t="shared" si="3"/>
        <v>0</v>
      </c>
      <c r="S70" s="68">
        <f t="shared" si="4"/>
        <v>69</v>
      </c>
      <c r="T70" s="68">
        <f t="shared" si="8"/>
        <v>69</v>
      </c>
      <c r="U70" s="265">
        <f t="shared" si="9"/>
        <v>5210</v>
      </c>
      <c r="V70" s="93">
        <f t="shared" si="10"/>
        <v>0</v>
      </c>
    </row>
    <row r="71" spans="1:22" ht="18" customHeight="1" x14ac:dyDescent="0.2">
      <c r="A71" s="101" t="s">
        <v>1771</v>
      </c>
      <c r="B71" s="102"/>
      <c r="C71" s="72" t="s">
        <v>1770</v>
      </c>
      <c r="D71" s="65">
        <v>43101</v>
      </c>
      <c r="E71" s="66"/>
      <c r="F71" s="67"/>
      <c r="G71" s="67"/>
      <c r="H71" s="67">
        <v>15432.130000000001</v>
      </c>
      <c r="I71" s="67">
        <v>14854.130000000001</v>
      </c>
      <c r="J71" s="67">
        <v>0</v>
      </c>
      <c r="K71" s="68">
        <f t="shared" si="1"/>
        <v>0</v>
      </c>
      <c r="L71" s="68">
        <f t="shared" si="2"/>
        <v>0</v>
      </c>
      <c r="M71" s="69">
        <v>2.5</v>
      </c>
      <c r="N71" s="70" t="s">
        <v>17</v>
      </c>
      <c r="O71" s="68">
        <f t="shared" si="5"/>
        <v>0</v>
      </c>
      <c r="P71" s="68">
        <f t="shared" si="6"/>
        <v>0</v>
      </c>
      <c r="Q71" s="68">
        <f t="shared" si="7"/>
        <v>0</v>
      </c>
      <c r="R71" s="68">
        <f t="shared" si="3"/>
        <v>0</v>
      </c>
      <c r="S71" s="68">
        <f t="shared" si="4"/>
        <v>192</v>
      </c>
      <c r="T71" s="68">
        <f t="shared" si="8"/>
        <v>192</v>
      </c>
      <c r="U71" s="265">
        <f t="shared" si="9"/>
        <v>14662.130000000001</v>
      </c>
      <c r="V71" s="93">
        <f t="shared" si="10"/>
        <v>0</v>
      </c>
    </row>
    <row r="72" spans="1:22" ht="18" customHeight="1" x14ac:dyDescent="0.2">
      <c r="A72" s="101" t="s">
        <v>1772</v>
      </c>
      <c r="B72" s="102"/>
      <c r="C72" s="64" t="s">
        <v>1770</v>
      </c>
      <c r="D72" s="65">
        <v>43165</v>
      </c>
      <c r="E72" s="66"/>
      <c r="F72" s="67"/>
      <c r="G72" s="67"/>
      <c r="H72" s="67">
        <v>1125</v>
      </c>
      <c r="I72" s="67">
        <v>1088</v>
      </c>
      <c r="J72" s="67">
        <v>0</v>
      </c>
      <c r="K72" s="68">
        <f t="shared" si="1"/>
        <v>0</v>
      </c>
      <c r="L72" s="68">
        <f t="shared" si="2"/>
        <v>0</v>
      </c>
      <c r="M72" s="69">
        <v>2.5</v>
      </c>
      <c r="N72" s="70" t="s">
        <v>17</v>
      </c>
      <c r="O72" s="68">
        <f t="shared" si="5"/>
        <v>0</v>
      </c>
      <c r="P72" s="68">
        <f t="shared" si="6"/>
        <v>0</v>
      </c>
      <c r="Q72" s="68">
        <f t="shared" si="7"/>
        <v>0</v>
      </c>
      <c r="R72" s="68">
        <f t="shared" si="3"/>
        <v>0</v>
      </c>
      <c r="S72" s="68">
        <f t="shared" si="4"/>
        <v>14</v>
      </c>
      <c r="T72" s="68">
        <f t="shared" si="8"/>
        <v>14</v>
      </c>
      <c r="U72" s="265">
        <f t="shared" si="9"/>
        <v>1074</v>
      </c>
      <c r="V72" s="93">
        <f t="shared" si="10"/>
        <v>0</v>
      </c>
    </row>
    <row r="73" spans="1:22" ht="18" customHeight="1" x14ac:dyDescent="0.2">
      <c r="A73" s="101" t="s">
        <v>1773</v>
      </c>
      <c r="B73" s="102"/>
      <c r="C73" s="64" t="s">
        <v>1770</v>
      </c>
      <c r="D73" s="65">
        <v>43168</v>
      </c>
      <c r="E73" s="66"/>
      <c r="F73" s="67"/>
      <c r="G73" s="67"/>
      <c r="H73" s="67">
        <v>10016.25</v>
      </c>
      <c r="I73" s="67">
        <v>9687.25</v>
      </c>
      <c r="J73" s="67">
        <v>0</v>
      </c>
      <c r="K73" s="68">
        <f t="shared" si="1"/>
        <v>0</v>
      </c>
      <c r="L73" s="68">
        <f t="shared" si="2"/>
        <v>0</v>
      </c>
      <c r="M73" s="69">
        <v>2.5</v>
      </c>
      <c r="N73" s="70" t="s">
        <v>17</v>
      </c>
      <c r="O73" s="68">
        <f t="shared" si="5"/>
        <v>0</v>
      </c>
      <c r="P73" s="68">
        <f t="shared" si="6"/>
        <v>0</v>
      </c>
      <c r="Q73" s="68">
        <f t="shared" si="7"/>
        <v>0</v>
      </c>
      <c r="R73" s="68">
        <f t="shared" si="3"/>
        <v>0</v>
      </c>
      <c r="S73" s="68">
        <f t="shared" si="4"/>
        <v>125</v>
      </c>
      <c r="T73" s="68">
        <f t="shared" si="8"/>
        <v>125</v>
      </c>
      <c r="U73" s="265">
        <f t="shared" si="9"/>
        <v>9562.25</v>
      </c>
      <c r="V73" s="93">
        <f t="shared" si="10"/>
        <v>0</v>
      </c>
    </row>
    <row r="74" spans="1:22" ht="18" customHeight="1" x14ac:dyDescent="0.2">
      <c r="A74" s="101" t="s">
        <v>1774</v>
      </c>
      <c r="B74" s="102"/>
      <c r="C74" s="64" t="s">
        <v>1770</v>
      </c>
      <c r="D74" s="65">
        <v>43175</v>
      </c>
      <c r="E74" s="66"/>
      <c r="F74" s="67"/>
      <c r="G74" s="67"/>
      <c r="H74" s="67">
        <v>10222.5</v>
      </c>
      <c r="I74" s="67">
        <v>9891.5</v>
      </c>
      <c r="J74" s="67">
        <v>0</v>
      </c>
      <c r="K74" s="68">
        <f t="shared" si="1"/>
        <v>0</v>
      </c>
      <c r="L74" s="68">
        <f t="shared" si="2"/>
        <v>0</v>
      </c>
      <c r="M74" s="69">
        <v>2.5</v>
      </c>
      <c r="N74" s="70" t="s">
        <v>17</v>
      </c>
      <c r="O74" s="68">
        <f t="shared" si="5"/>
        <v>0</v>
      </c>
      <c r="P74" s="68">
        <f t="shared" si="6"/>
        <v>0</v>
      </c>
      <c r="Q74" s="68">
        <f t="shared" si="7"/>
        <v>0</v>
      </c>
      <c r="R74" s="68">
        <f t="shared" si="3"/>
        <v>0</v>
      </c>
      <c r="S74" s="68">
        <f t="shared" si="4"/>
        <v>127</v>
      </c>
      <c r="T74" s="68">
        <f t="shared" si="8"/>
        <v>127</v>
      </c>
      <c r="U74" s="265">
        <f t="shared" si="9"/>
        <v>9764.5</v>
      </c>
      <c r="V74" s="93">
        <f t="shared" si="10"/>
        <v>0</v>
      </c>
    </row>
    <row r="75" spans="1:22" ht="18" customHeight="1" x14ac:dyDescent="0.2">
      <c r="A75" s="101" t="s">
        <v>1775</v>
      </c>
      <c r="B75" s="102"/>
      <c r="C75" s="64" t="s">
        <v>1770</v>
      </c>
      <c r="D75" s="65">
        <v>43178</v>
      </c>
      <c r="E75" s="66"/>
      <c r="F75" s="67"/>
      <c r="G75" s="67"/>
      <c r="H75" s="67">
        <v>12062.5</v>
      </c>
      <c r="I75" s="67">
        <v>11675.5</v>
      </c>
      <c r="J75" s="67">
        <v>0</v>
      </c>
      <c r="K75" s="68">
        <f t="shared" si="1"/>
        <v>0</v>
      </c>
      <c r="L75" s="68">
        <f t="shared" si="2"/>
        <v>0</v>
      </c>
      <c r="M75" s="69">
        <v>2.5</v>
      </c>
      <c r="N75" s="70" t="s">
        <v>17</v>
      </c>
      <c r="O75" s="68">
        <f t="shared" si="5"/>
        <v>0</v>
      </c>
      <c r="P75" s="68">
        <f t="shared" si="6"/>
        <v>0</v>
      </c>
      <c r="Q75" s="68">
        <f t="shared" si="7"/>
        <v>0</v>
      </c>
      <c r="R75" s="68">
        <f t="shared" si="3"/>
        <v>0</v>
      </c>
      <c r="S75" s="68">
        <f t="shared" si="4"/>
        <v>150</v>
      </c>
      <c r="T75" s="68">
        <f t="shared" si="8"/>
        <v>150</v>
      </c>
      <c r="U75" s="265">
        <f t="shared" si="9"/>
        <v>11525.5</v>
      </c>
      <c r="V75" s="93">
        <f t="shared" si="10"/>
        <v>0</v>
      </c>
    </row>
    <row r="76" spans="1:22" ht="18" customHeight="1" x14ac:dyDescent="0.2">
      <c r="A76" s="101" t="s">
        <v>1776</v>
      </c>
      <c r="B76" s="102"/>
      <c r="C76" s="64" t="s">
        <v>1770</v>
      </c>
      <c r="D76" s="65">
        <v>43223</v>
      </c>
      <c r="E76" s="66"/>
      <c r="F76" s="67"/>
      <c r="G76" s="67"/>
      <c r="H76" s="67">
        <v>42609.42</v>
      </c>
      <c r="I76" s="67">
        <v>41369.42</v>
      </c>
      <c r="J76" s="67">
        <v>0</v>
      </c>
      <c r="K76" s="68">
        <f t="shared" si="1"/>
        <v>0</v>
      </c>
      <c r="L76" s="68">
        <f t="shared" si="2"/>
        <v>0</v>
      </c>
      <c r="M76" s="69">
        <v>2.5</v>
      </c>
      <c r="N76" s="70" t="s">
        <v>17</v>
      </c>
      <c r="O76" s="68">
        <f t="shared" si="5"/>
        <v>0</v>
      </c>
      <c r="P76" s="68">
        <f t="shared" si="6"/>
        <v>0</v>
      </c>
      <c r="Q76" s="68">
        <f t="shared" si="7"/>
        <v>0</v>
      </c>
      <c r="R76" s="68">
        <f t="shared" si="3"/>
        <v>0</v>
      </c>
      <c r="S76" s="68">
        <f t="shared" si="4"/>
        <v>532</v>
      </c>
      <c r="T76" s="68">
        <f t="shared" si="8"/>
        <v>532</v>
      </c>
      <c r="U76" s="265">
        <f t="shared" si="9"/>
        <v>40837.42</v>
      </c>
      <c r="V76" s="93">
        <f t="shared" si="10"/>
        <v>0</v>
      </c>
    </row>
    <row r="77" spans="1:22" ht="18" customHeight="1" x14ac:dyDescent="0.2">
      <c r="A77" s="101" t="s">
        <v>1777</v>
      </c>
      <c r="B77" s="102"/>
      <c r="C77" s="64" t="s">
        <v>1770</v>
      </c>
      <c r="D77" s="65">
        <v>43229</v>
      </c>
      <c r="E77" s="66"/>
      <c r="F77" s="67"/>
      <c r="G77" s="67"/>
      <c r="H77" s="67">
        <v>51124.42</v>
      </c>
      <c r="I77" s="67">
        <v>49657.42</v>
      </c>
      <c r="J77" s="67">
        <v>0</v>
      </c>
      <c r="K77" s="68">
        <f t="shared" si="1"/>
        <v>0</v>
      </c>
      <c r="L77" s="68">
        <f t="shared" si="2"/>
        <v>0</v>
      </c>
      <c r="M77" s="69">
        <v>2.5</v>
      </c>
      <c r="N77" s="70" t="s">
        <v>17</v>
      </c>
      <c r="O77" s="68">
        <f t="shared" si="5"/>
        <v>0</v>
      </c>
      <c r="P77" s="68">
        <f t="shared" si="6"/>
        <v>0</v>
      </c>
      <c r="Q77" s="68">
        <f t="shared" si="7"/>
        <v>0</v>
      </c>
      <c r="R77" s="68">
        <f t="shared" si="3"/>
        <v>0</v>
      </c>
      <c r="S77" s="68">
        <f t="shared" si="4"/>
        <v>639</v>
      </c>
      <c r="T77" s="68">
        <f t="shared" si="8"/>
        <v>639</v>
      </c>
      <c r="U77" s="265">
        <f t="shared" si="9"/>
        <v>49018.42</v>
      </c>
      <c r="V77" s="93">
        <f t="shared" si="10"/>
        <v>0</v>
      </c>
    </row>
    <row r="78" spans="1:22" ht="18" customHeight="1" x14ac:dyDescent="0.2">
      <c r="A78" s="101" t="s">
        <v>1778</v>
      </c>
      <c r="B78" s="102"/>
      <c r="C78" s="64" t="s">
        <v>1770</v>
      </c>
      <c r="D78" s="65">
        <v>43265</v>
      </c>
      <c r="E78" s="66"/>
      <c r="F78" s="67"/>
      <c r="G78" s="67"/>
      <c r="H78" s="67">
        <v>625</v>
      </c>
      <c r="I78" s="67">
        <v>608</v>
      </c>
      <c r="J78" s="67">
        <v>0</v>
      </c>
      <c r="K78" s="68">
        <f t="shared" si="1"/>
        <v>0</v>
      </c>
      <c r="L78" s="68">
        <f t="shared" si="2"/>
        <v>0</v>
      </c>
      <c r="M78" s="69">
        <v>2.5</v>
      </c>
      <c r="N78" s="70" t="s">
        <v>17</v>
      </c>
      <c r="O78" s="68">
        <f t="shared" si="5"/>
        <v>0</v>
      </c>
      <c r="P78" s="68">
        <f t="shared" si="6"/>
        <v>0</v>
      </c>
      <c r="Q78" s="68">
        <f t="shared" si="7"/>
        <v>0</v>
      </c>
      <c r="R78" s="68">
        <f t="shared" si="3"/>
        <v>0</v>
      </c>
      <c r="S78" s="68">
        <f t="shared" si="4"/>
        <v>7</v>
      </c>
      <c r="T78" s="68">
        <f t="shared" si="8"/>
        <v>7</v>
      </c>
      <c r="U78" s="265">
        <f t="shared" si="9"/>
        <v>601</v>
      </c>
      <c r="V78" s="93">
        <f t="shared" si="10"/>
        <v>0</v>
      </c>
    </row>
    <row r="79" spans="1:22" ht="18" customHeight="1" x14ac:dyDescent="0.2">
      <c r="A79" s="101" t="s">
        <v>1779</v>
      </c>
      <c r="B79" s="102"/>
      <c r="C79" s="73" t="s">
        <v>1780</v>
      </c>
      <c r="D79" s="65">
        <v>43311</v>
      </c>
      <c r="E79" s="66"/>
      <c r="F79" s="67"/>
      <c r="G79" s="67"/>
      <c r="H79" s="67">
        <v>66926</v>
      </c>
      <c r="I79" s="67">
        <v>65382</v>
      </c>
      <c r="J79" s="67">
        <v>0</v>
      </c>
      <c r="K79" s="68">
        <f t="shared" si="1"/>
        <v>0</v>
      </c>
      <c r="L79" s="68">
        <f t="shared" si="2"/>
        <v>0</v>
      </c>
      <c r="M79" s="69">
        <v>2.5</v>
      </c>
      <c r="N79" s="70" t="s">
        <v>17</v>
      </c>
      <c r="O79" s="68">
        <f t="shared" si="5"/>
        <v>0</v>
      </c>
      <c r="P79" s="68">
        <f t="shared" si="6"/>
        <v>0</v>
      </c>
      <c r="Q79" s="68">
        <f t="shared" si="7"/>
        <v>0</v>
      </c>
      <c r="R79" s="68">
        <f t="shared" si="3"/>
        <v>0</v>
      </c>
      <c r="S79" s="68">
        <f t="shared" si="4"/>
        <v>836</v>
      </c>
      <c r="T79" s="68">
        <f t="shared" si="8"/>
        <v>836</v>
      </c>
      <c r="U79" s="265">
        <f t="shared" si="9"/>
        <v>64546</v>
      </c>
      <c r="V79" s="93">
        <f t="shared" si="10"/>
        <v>0</v>
      </c>
    </row>
    <row r="80" spans="1:22" ht="18" customHeight="1" x14ac:dyDescent="0.2">
      <c r="A80" s="101" t="s">
        <v>1781</v>
      </c>
      <c r="B80" s="102"/>
      <c r="C80" s="72" t="s">
        <v>1780</v>
      </c>
      <c r="D80" s="65">
        <v>43343</v>
      </c>
      <c r="E80" s="66"/>
      <c r="F80" s="67"/>
      <c r="G80" s="67"/>
      <c r="H80" s="67">
        <v>251248</v>
      </c>
      <c r="I80" s="67">
        <v>246001</v>
      </c>
      <c r="J80" s="67">
        <v>0</v>
      </c>
      <c r="K80" s="68">
        <f t="shared" ref="K80:K95" si="11">INT(IF($E80&gt;0,IF(+F80-I80+Q80&lt;0,0,+F80-I80+Q80),0))</f>
        <v>0</v>
      </c>
      <c r="L80" s="68">
        <f t="shared" ref="L80:L95" si="12">INT(IF($E80&gt;0,IF(K80=0,-F80+I80-Q80,0),0))</f>
        <v>0</v>
      </c>
      <c r="M80" s="69">
        <v>2.5</v>
      </c>
      <c r="N80" s="70" t="s">
        <v>17</v>
      </c>
      <c r="O80" s="68">
        <f t="shared" si="5"/>
        <v>0</v>
      </c>
      <c r="P80" s="68">
        <f t="shared" si="6"/>
        <v>0</v>
      </c>
      <c r="Q80" s="68">
        <f t="shared" si="7"/>
        <v>0</v>
      </c>
      <c r="R80" s="68">
        <f t="shared" ref="R80:R106" si="13">INT(IF($E80&gt;0,0,(IF($N80="D",IF($D80&lt;$H$3,$I80*($M80/100)*$U$3/12,$J80*($M80/100)*($J$3-$D80)/365),0))))</f>
        <v>0</v>
      </c>
      <c r="S80" s="68">
        <f t="shared" ref="S80:S106" si="14">INT(IF($E80&gt;0,0,(IF($N80="P",IF($D80&lt;$H$3,$H80*($M80/100)*$U$3/12,$J80*($M80/100)*($J$3-$D80)/365),0))))</f>
        <v>3140</v>
      </c>
      <c r="T80" s="68">
        <f t="shared" si="8"/>
        <v>3140</v>
      </c>
      <c r="U80" s="265">
        <f t="shared" si="9"/>
        <v>242861</v>
      </c>
      <c r="V80" s="93">
        <f t="shared" si="10"/>
        <v>0</v>
      </c>
    </row>
    <row r="81" spans="1:22" ht="18" customHeight="1" x14ac:dyDescent="0.2">
      <c r="A81" s="101" t="s">
        <v>1782</v>
      </c>
      <c r="B81" s="102"/>
      <c r="C81" s="64" t="s">
        <v>1783</v>
      </c>
      <c r="D81" s="65">
        <v>43345</v>
      </c>
      <c r="E81" s="66"/>
      <c r="F81" s="67"/>
      <c r="G81" s="67"/>
      <c r="H81" s="67">
        <v>6368</v>
      </c>
      <c r="I81" s="67">
        <v>6237</v>
      </c>
      <c r="J81" s="67">
        <v>0</v>
      </c>
      <c r="K81" s="68">
        <f t="shared" si="11"/>
        <v>0</v>
      </c>
      <c r="L81" s="68">
        <f t="shared" si="12"/>
        <v>0</v>
      </c>
      <c r="M81" s="69">
        <v>2.5</v>
      </c>
      <c r="N81" s="70" t="s">
        <v>17</v>
      </c>
      <c r="O81" s="68">
        <f t="shared" ref="O81:O95" si="15">IF(E81&gt;0,INT(IF($N81="D",IF($D81&lt;$H$3,$I81*($M81/100)*((E81-$H$3)/365),$J81*($M81/100)*($J$3-$D81)/365),0)),0)</f>
        <v>0</v>
      </c>
      <c r="P81" s="68">
        <f t="shared" ref="P81:P95" si="16">IF(E81&gt;0,INT(IF($N81="P",IF($D81&lt;$H$3,$H81*($M81/100)*(E81-$H$3)/365,$J81*($M81/100)*($J$3-$D81)/365),0)),0)</f>
        <v>0</v>
      </c>
      <c r="Q81" s="68">
        <f t="shared" ref="Q81:Q95" si="17">+O81+P81</f>
        <v>0</v>
      </c>
      <c r="R81" s="68">
        <f t="shared" si="13"/>
        <v>0</v>
      </c>
      <c r="S81" s="68">
        <f t="shared" si="14"/>
        <v>79</v>
      </c>
      <c r="T81" s="68">
        <f t="shared" ref="T81:T95" si="18">+R81+S81+Q81</f>
        <v>79</v>
      </c>
      <c r="U81" s="265">
        <f t="shared" ref="U81:U95" si="19">+I81+J81-T81</f>
        <v>6158</v>
      </c>
      <c r="V81" s="93">
        <f t="shared" ref="V81:V117" si="20">IF(E81&gt;0,+H81+J81,0)</f>
        <v>0</v>
      </c>
    </row>
    <row r="82" spans="1:22" ht="18" customHeight="1" x14ac:dyDescent="0.2">
      <c r="A82" s="101" t="s">
        <v>1784</v>
      </c>
      <c r="B82" s="102"/>
      <c r="C82" s="64" t="s">
        <v>1785</v>
      </c>
      <c r="D82" s="65">
        <v>43345</v>
      </c>
      <c r="E82" s="66"/>
      <c r="F82" s="67"/>
      <c r="G82" s="67"/>
      <c r="H82" s="67">
        <v>4524.2</v>
      </c>
      <c r="I82" s="67">
        <v>4431.2</v>
      </c>
      <c r="J82" s="67">
        <v>0</v>
      </c>
      <c r="K82" s="68">
        <f t="shared" si="11"/>
        <v>0</v>
      </c>
      <c r="L82" s="68">
        <f t="shared" si="12"/>
        <v>0</v>
      </c>
      <c r="M82" s="69">
        <v>2.5</v>
      </c>
      <c r="N82" s="70" t="s">
        <v>17</v>
      </c>
      <c r="O82" s="68">
        <f t="shared" si="15"/>
        <v>0</v>
      </c>
      <c r="P82" s="68">
        <f t="shared" si="16"/>
        <v>0</v>
      </c>
      <c r="Q82" s="68">
        <f t="shared" si="17"/>
        <v>0</v>
      </c>
      <c r="R82" s="68">
        <f t="shared" si="13"/>
        <v>0</v>
      </c>
      <c r="S82" s="68">
        <f t="shared" si="14"/>
        <v>56</v>
      </c>
      <c r="T82" s="68">
        <f t="shared" si="18"/>
        <v>56</v>
      </c>
      <c r="U82" s="265">
        <f t="shared" si="19"/>
        <v>4375.2</v>
      </c>
      <c r="V82" s="93">
        <f t="shared" si="20"/>
        <v>0</v>
      </c>
    </row>
    <row r="83" spans="1:22" ht="18" customHeight="1" x14ac:dyDescent="0.2">
      <c r="A83" s="101" t="s">
        <v>1786</v>
      </c>
      <c r="B83" s="102"/>
      <c r="C83" s="73" t="s">
        <v>1787</v>
      </c>
      <c r="D83" s="65">
        <v>43345</v>
      </c>
      <c r="E83" s="66"/>
      <c r="F83" s="67"/>
      <c r="G83" s="67"/>
      <c r="H83" s="67">
        <v>3120</v>
      </c>
      <c r="I83" s="67">
        <v>3056</v>
      </c>
      <c r="J83" s="67">
        <v>0</v>
      </c>
      <c r="K83" s="68">
        <f t="shared" si="11"/>
        <v>0</v>
      </c>
      <c r="L83" s="68">
        <f t="shared" si="12"/>
        <v>0</v>
      </c>
      <c r="M83" s="69">
        <v>2.5</v>
      </c>
      <c r="N83" s="70" t="s">
        <v>17</v>
      </c>
      <c r="O83" s="68">
        <f t="shared" si="15"/>
        <v>0</v>
      </c>
      <c r="P83" s="68">
        <f t="shared" si="16"/>
        <v>0</v>
      </c>
      <c r="Q83" s="68">
        <f t="shared" si="17"/>
        <v>0</v>
      </c>
      <c r="R83" s="68">
        <f t="shared" si="13"/>
        <v>0</v>
      </c>
      <c r="S83" s="68">
        <f t="shared" si="14"/>
        <v>39</v>
      </c>
      <c r="T83" s="68">
        <f t="shared" si="18"/>
        <v>39</v>
      </c>
      <c r="U83" s="265">
        <f t="shared" si="19"/>
        <v>3017</v>
      </c>
      <c r="V83" s="93">
        <f t="shared" si="20"/>
        <v>0</v>
      </c>
    </row>
    <row r="84" spans="1:22" ht="18" customHeight="1" x14ac:dyDescent="0.2">
      <c r="A84" s="101" t="s">
        <v>1788</v>
      </c>
      <c r="B84" s="102"/>
      <c r="C84" s="72" t="s">
        <v>1789</v>
      </c>
      <c r="D84" s="65">
        <v>43345</v>
      </c>
      <c r="E84" s="66"/>
      <c r="F84" s="67"/>
      <c r="G84" s="67"/>
      <c r="H84" s="67">
        <v>8877.8000000000011</v>
      </c>
      <c r="I84" s="67">
        <v>8693.8000000000011</v>
      </c>
      <c r="J84" s="67">
        <v>0</v>
      </c>
      <c r="K84" s="68">
        <f t="shared" si="11"/>
        <v>0</v>
      </c>
      <c r="L84" s="68">
        <f t="shared" si="12"/>
        <v>0</v>
      </c>
      <c r="M84" s="69">
        <v>2.5</v>
      </c>
      <c r="N84" s="70" t="s">
        <v>17</v>
      </c>
      <c r="O84" s="68">
        <f t="shared" si="15"/>
        <v>0</v>
      </c>
      <c r="P84" s="68">
        <f t="shared" si="16"/>
        <v>0</v>
      </c>
      <c r="Q84" s="68">
        <f t="shared" si="17"/>
        <v>0</v>
      </c>
      <c r="R84" s="68">
        <f t="shared" si="13"/>
        <v>0</v>
      </c>
      <c r="S84" s="68">
        <f t="shared" si="14"/>
        <v>110</v>
      </c>
      <c r="T84" s="68">
        <f t="shared" si="18"/>
        <v>110</v>
      </c>
      <c r="U84" s="265">
        <f t="shared" si="19"/>
        <v>8583.8000000000011</v>
      </c>
      <c r="V84" s="93">
        <f t="shared" si="20"/>
        <v>0</v>
      </c>
    </row>
    <row r="85" spans="1:22" ht="18" customHeight="1" x14ac:dyDescent="0.2">
      <c r="A85" s="101" t="s">
        <v>1790</v>
      </c>
      <c r="B85" s="102"/>
      <c r="C85" s="64" t="s">
        <v>1791</v>
      </c>
      <c r="D85" s="65">
        <v>43370</v>
      </c>
      <c r="E85" s="66"/>
      <c r="F85" s="67"/>
      <c r="G85" s="67"/>
      <c r="H85" s="67">
        <v>42733</v>
      </c>
      <c r="I85" s="67">
        <v>41920</v>
      </c>
      <c r="J85" s="67">
        <v>0</v>
      </c>
      <c r="K85" s="68">
        <f t="shared" si="11"/>
        <v>0</v>
      </c>
      <c r="L85" s="68">
        <f t="shared" si="12"/>
        <v>0</v>
      </c>
      <c r="M85" s="69">
        <v>2.5</v>
      </c>
      <c r="N85" s="70" t="s">
        <v>17</v>
      </c>
      <c r="O85" s="68">
        <f t="shared" si="15"/>
        <v>0</v>
      </c>
      <c r="P85" s="68">
        <f t="shared" si="16"/>
        <v>0</v>
      </c>
      <c r="Q85" s="68">
        <f t="shared" si="17"/>
        <v>0</v>
      </c>
      <c r="R85" s="68">
        <f t="shared" si="13"/>
        <v>0</v>
      </c>
      <c r="S85" s="68">
        <f t="shared" si="14"/>
        <v>534</v>
      </c>
      <c r="T85" s="68">
        <f t="shared" si="18"/>
        <v>534</v>
      </c>
      <c r="U85" s="265">
        <f t="shared" si="19"/>
        <v>41386</v>
      </c>
      <c r="V85" s="93">
        <f t="shared" si="20"/>
        <v>0</v>
      </c>
    </row>
    <row r="86" spans="1:22" ht="18" customHeight="1" x14ac:dyDescent="0.2">
      <c r="A86" s="101" t="s">
        <v>1792</v>
      </c>
      <c r="B86" s="102"/>
      <c r="C86" s="64" t="s">
        <v>1789</v>
      </c>
      <c r="D86" s="65">
        <v>43374</v>
      </c>
      <c r="E86" s="66"/>
      <c r="F86" s="67"/>
      <c r="G86" s="67"/>
      <c r="H86" s="67">
        <v>6718.4000000000005</v>
      </c>
      <c r="I86" s="67">
        <v>6593.4000000000005</v>
      </c>
      <c r="J86" s="67">
        <v>0</v>
      </c>
      <c r="K86" s="68">
        <f t="shared" si="11"/>
        <v>0</v>
      </c>
      <c r="L86" s="68">
        <f t="shared" si="12"/>
        <v>0</v>
      </c>
      <c r="M86" s="69">
        <v>2.5</v>
      </c>
      <c r="N86" s="70" t="s">
        <v>17</v>
      </c>
      <c r="O86" s="68">
        <f t="shared" si="15"/>
        <v>0</v>
      </c>
      <c r="P86" s="68">
        <f t="shared" si="16"/>
        <v>0</v>
      </c>
      <c r="Q86" s="68">
        <f t="shared" si="17"/>
        <v>0</v>
      </c>
      <c r="R86" s="68">
        <f t="shared" si="13"/>
        <v>0</v>
      </c>
      <c r="S86" s="68">
        <f t="shared" si="14"/>
        <v>83</v>
      </c>
      <c r="T86" s="68">
        <f t="shared" si="18"/>
        <v>83</v>
      </c>
      <c r="U86" s="265">
        <f t="shared" si="19"/>
        <v>6510.4000000000005</v>
      </c>
      <c r="V86" s="93">
        <f t="shared" si="20"/>
        <v>0</v>
      </c>
    </row>
    <row r="87" spans="1:22" ht="18" customHeight="1" x14ac:dyDescent="0.2">
      <c r="A87" s="101" t="s">
        <v>1793</v>
      </c>
      <c r="B87" s="102"/>
      <c r="C87" s="64" t="s">
        <v>1794</v>
      </c>
      <c r="D87" s="65">
        <v>43374</v>
      </c>
      <c r="E87" s="66"/>
      <c r="F87" s="67"/>
      <c r="G87" s="67"/>
      <c r="H87" s="67">
        <v>3739.9</v>
      </c>
      <c r="I87" s="67">
        <v>3669.9</v>
      </c>
      <c r="J87" s="67">
        <v>0</v>
      </c>
      <c r="K87" s="68">
        <f t="shared" si="11"/>
        <v>0</v>
      </c>
      <c r="L87" s="68">
        <f t="shared" si="12"/>
        <v>0</v>
      </c>
      <c r="M87" s="69">
        <v>2.5</v>
      </c>
      <c r="N87" s="70" t="s">
        <v>17</v>
      </c>
      <c r="O87" s="68">
        <f t="shared" si="15"/>
        <v>0</v>
      </c>
      <c r="P87" s="68">
        <f t="shared" si="16"/>
        <v>0</v>
      </c>
      <c r="Q87" s="68">
        <f t="shared" si="17"/>
        <v>0</v>
      </c>
      <c r="R87" s="68">
        <f t="shared" si="13"/>
        <v>0</v>
      </c>
      <c r="S87" s="68">
        <f t="shared" si="14"/>
        <v>46</v>
      </c>
      <c r="T87" s="68">
        <f t="shared" si="18"/>
        <v>46</v>
      </c>
      <c r="U87" s="265">
        <f t="shared" si="19"/>
        <v>3623.9</v>
      </c>
      <c r="V87" s="93">
        <f t="shared" si="20"/>
        <v>0</v>
      </c>
    </row>
    <row r="88" spans="1:22" ht="18" customHeight="1" x14ac:dyDescent="0.2">
      <c r="A88" s="101" t="s">
        <v>1795</v>
      </c>
      <c r="B88" s="102"/>
      <c r="C88" s="64" t="s">
        <v>1796</v>
      </c>
      <c r="D88" s="65">
        <v>43385</v>
      </c>
      <c r="E88" s="66"/>
      <c r="F88" s="67"/>
      <c r="G88" s="67"/>
      <c r="H88" s="67">
        <v>16314</v>
      </c>
      <c r="I88" s="67">
        <v>16021</v>
      </c>
      <c r="J88" s="67">
        <v>0</v>
      </c>
      <c r="K88" s="68">
        <f t="shared" si="11"/>
        <v>0</v>
      </c>
      <c r="L88" s="68">
        <f t="shared" si="12"/>
        <v>0</v>
      </c>
      <c r="M88" s="69">
        <v>2.5</v>
      </c>
      <c r="N88" s="70" t="s">
        <v>17</v>
      </c>
      <c r="O88" s="68">
        <f t="shared" si="15"/>
        <v>0</v>
      </c>
      <c r="P88" s="68">
        <f t="shared" si="16"/>
        <v>0</v>
      </c>
      <c r="Q88" s="68">
        <f t="shared" si="17"/>
        <v>0</v>
      </c>
      <c r="R88" s="68">
        <f t="shared" si="13"/>
        <v>0</v>
      </c>
      <c r="S88" s="68">
        <f t="shared" si="14"/>
        <v>203</v>
      </c>
      <c r="T88" s="68">
        <f t="shared" si="18"/>
        <v>203</v>
      </c>
      <c r="U88" s="265">
        <f t="shared" si="19"/>
        <v>15818</v>
      </c>
      <c r="V88" s="93">
        <f t="shared" si="20"/>
        <v>0</v>
      </c>
    </row>
    <row r="89" spans="1:22" ht="18" customHeight="1" x14ac:dyDescent="0.2">
      <c r="A89" s="101" t="s">
        <v>1797</v>
      </c>
      <c r="B89" s="102"/>
      <c r="C89" s="64" t="s">
        <v>1798</v>
      </c>
      <c r="D89" s="65">
        <v>43413</v>
      </c>
      <c r="E89" s="66"/>
      <c r="F89" s="67"/>
      <c r="G89" s="67"/>
      <c r="H89" s="67">
        <v>181818.18</v>
      </c>
      <c r="I89" s="67">
        <v>178893.18</v>
      </c>
      <c r="J89" s="67">
        <v>0</v>
      </c>
      <c r="K89" s="68">
        <f t="shared" si="11"/>
        <v>0</v>
      </c>
      <c r="L89" s="68">
        <f t="shared" si="12"/>
        <v>0</v>
      </c>
      <c r="M89" s="69">
        <v>2.5</v>
      </c>
      <c r="N89" s="70" t="s">
        <v>17</v>
      </c>
      <c r="O89" s="68">
        <f t="shared" si="15"/>
        <v>0</v>
      </c>
      <c r="P89" s="68">
        <f t="shared" si="16"/>
        <v>0</v>
      </c>
      <c r="Q89" s="68">
        <f t="shared" si="17"/>
        <v>0</v>
      </c>
      <c r="R89" s="68">
        <f t="shared" si="13"/>
        <v>0</v>
      </c>
      <c r="S89" s="68">
        <f t="shared" si="14"/>
        <v>2272</v>
      </c>
      <c r="T89" s="68">
        <f t="shared" si="18"/>
        <v>2272</v>
      </c>
      <c r="U89" s="265">
        <f t="shared" si="19"/>
        <v>176621.18</v>
      </c>
      <c r="V89" s="93">
        <f t="shared" si="20"/>
        <v>0</v>
      </c>
    </row>
    <row r="90" spans="1:22" ht="18" customHeight="1" x14ac:dyDescent="0.2">
      <c r="A90" s="101" t="s">
        <v>1799</v>
      </c>
      <c r="B90" s="102"/>
      <c r="C90" s="64" t="s">
        <v>1800</v>
      </c>
      <c r="D90" s="65">
        <v>43374</v>
      </c>
      <c r="E90" s="66"/>
      <c r="F90" s="67"/>
      <c r="G90" s="67"/>
      <c r="H90" s="67">
        <v>10259.15</v>
      </c>
      <c r="I90" s="67">
        <v>10067.15</v>
      </c>
      <c r="J90" s="67">
        <v>0</v>
      </c>
      <c r="K90" s="68">
        <f t="shared" si="11"/>
        <v>0</v>
      </c>
      <c r="L90" s="68">
        <f t="shared" si="12"/>
        <v>0</v>
      </c>
      <c r="M90" s="69">
        <v>2.5</v>
      </c>
      <c r="N90" s="70" t="s">
        <v>17</v>
      </c>
      <c r="O90" s="68">
        <f t="shared" si="15"/>
        <v>0</v>
      </c>
      <c r="P90" s="68">
        <f t="shared" si="16"/>
        <v>0</v>
      </c>
      <c r="Q90" s="68">
        <f t="shared" si="17"/>
        <v>0</v>
      </c>
      <c r="R90" s="68">
        <f t="shared" si="13"/>
        <v>0</v>
      </c>
      <c r="S90" s="68">
        <f t="shared" si="14"/>
        <v>128</v>
      </c>
      <c r="T90" s="68">
        <f t="shared" si="18"/>
        <v>128</v>
      </c>
      <c r="U90" s="265">
        <f t="shared" si="19"/>
        <v>9939.15</v>
      </c>
      <c r="V90" s="93">
        <f t="shared" si="20"/>
        <v>0</v>
      </c>
    </row>
    <row r="91" spans="1:22" ht="18" customHeight="1" x14ac:dyDescent="0.2">
      <c r="A91" s="101" t="s">
        <v>1801</v>
      </c>
      <c r="B91" s="102"/>
      <c r="C91" s="64" t="s">
        <v>1802</v>
      </c>
      <c r="D91" s="65">
        <v>43374</v>
      </c>
      <c r="E91" s="66"/>
      <c r="F91" s="67"/>
      <c r="G91" s="67"/>
      <c r="H91" s="67">
        <v>12387.5</v>
      </c>
      <c r="I91" s="67">
        <v>12155.5</v>
      </c>
      <c r="J91" s="67">
        <v>0</v>
      </c>
      <c r="K91" s="68">
        <f t="shared" si="11"/>
        <v>0</v>
      </c>
      <c r="L91" s="68">
        <f t="shared" si="12"/>
        <v>0</v>
      </c>
      <c r="M91" s="69">
        <v>2.5</v>
      </c>
      <c r="N91" s="70" t="s">
        <v>17</v>
      </c>
      <c r="O91" s="68">
        <f t="shared" si="15"/>
        <v>0</v>
      </c>
      <c r="P91" s="68">
        <f t="shared" si="16"/>
        <v>0</v>
      </c>
      <c r="Q91" s="68">
        <f t="shared" si="17"/>
        <v>0</v>
      </c>
      <c r="R91" s="68">
        <f t="shared" si="13"/>
        <v>0</v>
      </c>
      <c r="S91" s="68">
        <f t="shared" si="14"/>
        <v>154</v>
      </c>
      <c r="T91" s="68">
        <f t="shared" si="18"/>
        <v>154</v>
      </c>
      <c r="U91" s="265">
        <f t="shared" si="19"/>
        <v>12001.5</v>
      </c>
      <c r="V91" s="93">
        <f t="shared" si="20"/>
        <v>0</v>
      </c>
    </row>
    <row r="92" spans="1:22" ht="18" customHeight="1" x14ac:dyDescent="0.2">
      <c r="A92" s="101" t="s">
        <v>1803</v>
      </c>
      <c r="B92" s="102"/>
      <c r="C92" s="64" t="s">
        <v>1804</v>
      </c>
      <c r="D92" s="65">
        <v>43412</v>
      </c>
      <c r="E92" s="66"/>
      <c r="F92" s="67"/>
      <c r="G92" s="67"/>
      <c r="H92" s="67">
        <v>22391.93</v>
      </c>
      <c r="I92" s="67">
        <v>22030.93</v>
      </c>
      <c r="J92" s="67">
        <v>0</v>
      </c>
      <c r="K92" s="68">
        <f t="shared" si="11"/>
        <v>0</v>
      </c>
      <c r="L92" s="68">
        <f t="shared" si="12"/>
        <v>0</v>
      </c>
      <c r="M92" s="69">
        <v>2.5</v>
      </c>
      <c r="N92" s="70" t="s">
        <v>17</v>
      </c>
      <c r="O92" s="68">
        <f t="shared" si="15"/>
        <v>0</v>
      </c>
      <c r="P92" s="68">
        <f t="shared" si="16"/>
        <v>0</v>
      </c>
      <c r="Q92" s="68">
        <f t="shared" si="17"/>
        <v>0</v>
      </c>
      <c r="R92" s="68">
        <f t="shared" si="13"/>
        <v>0</v>
      </c>
      <c r="S92" s="68">
        <f t="shared" si="14"/>
        <v>279</v>
      </c>
      <c r="T92" s="68">
        <f t="shared" si="18"/>
        <v>279</v>
      </c>
      <c r="U92" s="265">
        <f t="shared" si="19"/>
        <v>21751.93</v>
      </c>
      <c r="V92" s="93">
        <f t="shared" si="20"/>
        <v>0</v>
      </c>
    </row>
    <row r="93" spans="1:22" ht="18" customHeight="1" x14ac:dyDescent="0.2">
      <c r="A93" s="101" t="s">
        <v>1805</v>
      </c>
      <c r="B93" s="102"/>
      <c r="C93" s="64" t="s">
        <v>1806</v>
      </c>
      <c r="D93" s="65">
        <v>43419</v>
      </c>
      <c r="E93" s="66"/>
      <c r="F93" s="67"/>
      <c r="G93" s="67"/>
      <c r="H93" s="67">
        <v>8732.85</v>
      </c>
      <c r="I93" s="67">
        <v>8595.85</v>
      </c>
      <c r="J93" s="67">
        <v>0</v>
      </c>
      <c r="K93" s="68">
        <f t="shared" si="11"/>
        <v>0</v>
      </c>
      <c r="L93" s="68">
        <f t="shared" si="12"/>
        <v>0</v>
      </c>
      <c r="M93" s="69">
        <v>2.5</v>
      </c>
      <c r="N93" s="70" t="s">
        <v>17</v>
      </c>
      <c r="O93" s="68">
        <f t="shared" si="15"/>
        <v>0</v>
      </c>
      <c r="P93" s="68">
        <f t="shared" si="16"/>
        <v>0</v>
      </c>
      <c r="Q93" s="68">
        <f t="shared" si="17"/>
        <v>0</v>
      </c>
      <c r="R93" s="68">
        <f t="shared" si="13"/>
        <v>0</v>
      </c>
      <c r="S93" s="68">
        <f t="shared" si="14"/>
        <v>109</v>
      </c>
      <c r="T93" s="68">
        <f t="shared" si="18"/>
        <v>109</v>
      </c>
      <c r="U93" s="265">
        <f t="shared" si="19"/>
        <v>8486.85</v>
      </c>
      <c r="V93" s="93">
        <f t="shared" si="20"/>
        <v>0</v>
      </c>
    </row>
    <row r="94" spans="1:22" ht="18" customHeight="1" x14ac:dyDescent="0.2">
      <c r="A94" s="101" t="s">
        <v>1807</v>
      </c>
      <c r="B94" s="102"/>
      <c r="C94" s="64" t="s">
        <v>1808</v>
      </c>
      <c r="D94" s="65">
        <v>43425</v>
      </c>
      <c r="E94" s="66"/>
      <c r="F94" s="67"/>
      <c r="G94" s="67"/>
      <c r="H94" s="67">
        <v>972.6</v>
      </c>
      <c r="I94" s="67">
        <v>957.6</v>
      </c>
      <c r="J94" s="67">
        <v>0</v>
      </c>
      <c r="K94" s="68">
        <f t="shared" si="11"/>
        <v>0</v>
      </c>
      <c r="L94" s="68">
        <f t="shared" si="12"/>
        <v>0</v>
      </c>
      <c r="M94" s="69">
        <v>2.5</v>
      </c>
      <c r="N94" s="70" t="s">
        <v>17</v>
      </c>
      <c r="O94" s="68">
        <f t="shared" si="15"/>
        <v>0</v>
      </c>
      <c r="P94" s="68">
        <f t="shared" si="16"/>
        <v>0</v>
      </c>
      <c r="Q94" s="68">
        <f t="shared" si="17"/>
        <v>0</v>
      </c>
      <c r="R94" s="68">
        <f t="shared" si="13"/>
        <v>0</v>
      </c>
      <c r="S94" s="68">
        <f t="shared" si="14"/>
        <v>12</v>
      </c>
      <c r="T94" s="68">
        <f t="shared" si="18"/>
        <v>12</v>
      </c>
      <c r="U94" s="265">
        <f t="shared" si="19"/>
        <v>945.6</v>
      </c>
      <c r="V94" s="93">
        <f t="shared" si="20"/>
        <v>0</v>
      </c>
    </row>
    <row r="95" spans="1:22" ht="18" customHeight="1" x14ac:dyDescent="0.2">
      <c r="A95" s="101" t="s">
        <v>1809</v>
      </c>
      <c r="B95" s="102"/>
      <c r="C95" s="64" t="s">
        <v>1810</v>
      </c>
      <c r="D95" s="65">
        <v>43430</v>
      </c>
      <c r="E95" s="66"/>
      <c r="F95" s="67"/>
      <c r="G95" s="67"/>
      <c r="H95" s="67">
        <v>1423</v>
      </c>
      <c r="I95" s="67">
        <v>1402</v>
      </c>
      <c r="J95" s="67">
        <v>0</v>
      </c>
      <c r="K95" s="68">
        <f t="shared" si="11"/>
        <v>0</v>
      </c>
      <c r="L95" s="68">
        <f t="shared" si="12"/>
        <v>0</v>
      </c>
      <c r="M95" s="69">
        <v>2.5</v>
      </c>
      <c r="N95" s="70" t="s">
        <v>17</v>
      </c>
      <c r="O95" s="68">
        <f t="shared" si="15"/>
        <v>0</v>
      </c>
      <c r="P95" s="68">
        <f t="shared" si="16"/>
        <v>0</v>
      </c>
      <c r="Q95" s="68">
        <f t="shared" si="17"/>
        <v>0</v>
      </c>
      <c r="R95" s="68">
        <f t="shared" si="13"/>
        <v>0</v>
      </c>
      <c r="S95" s="68">
        <f t="shared" si="14"/>
        <v>17</v>
      </c>
      <c r="T95" s="68">
        <f t="shared" si="18"/>
        <v>17</v>
      </c>
      <c r="U95" s="265">
        <f t="shared" si="19"/>
        <v>1385</v>
      </c>
      <c r="V95" s="93">
        <f t="shared" si="20"/>
        <v>0</v>
      </c>
    </row>
    <row r="96" spans="1:22" ht="18" customHeight="1" x14ac:dyDescent="0.2">
      <c r="A96" s="101" t="s">
        <v>2091</v>
      </c>
      <c r="B96" s="102"/>
      <c r="C96" s="64" t="s">
        <v>2094</v>
      </c>
      <c r="D96" s="65">
        <v>43558</v>
      </c>
      <c r="E96" s="66"/>
      <c r="F96" s="67"/>
      <c r="G96" s="67"/>
      <c r="H96" s="67">
        <v>376794.89</v>
      </c>
      <c r="I96" s="67">
        <v>374523.89</v>
      </c>
      <c r="J96" s="67"/>
      <c r="K96" s="68">
        <f>INT(IF($E96&gt;0,IF(+F96-I96+Q96&lt;0,0,+F96-I96+Q96),0))</f>
        <v>0</v>
      </c>
      <c r="L96" s="68">
        <f>INT(IF($E96&gt;0,IF(K96=0,-F96+I96-Q96,0),0))</f>
        <v>0</v>
      </c>
      <c r="M96" s="69">
        <v>2.5</v>
      </c>
      <c r="N96" s="70" t="s">
        <v>17</v>
      </c>
      <c r="O96" s="68">
        <f>IF(E96&gt;0,INT(IF($N96="D",IF($D96&lt;$H$3,$I96*($M96/100)*((E96-$H$3)/365),$J96*($M96/100)*($J$3-$D96)/365),0)),0)</f>
        <v>0</v>
      </c>
      <c r="P96" s="68">
        <f>IF(E96&gt;0,INT(IF($N96="P",IF($D96&lt;$H$3,$H96*($M96/100)*(E96-$H$3)/365,$J96*($M96/100)*($J$3-$D96)/365),0)),0)</f>
        <v>0</v>
      </c>
      <c r="Q96" s="68">
        <f>+O96+P96</f>
        <v>0</v>
      </c>
      <c r="R96" s="68">
        <f t="shared" si="13"/>
        <v>0</v>
      </c>
      <c r="S96" s="68">
        <f t="shared" si="14"/>
        <v>4709</v>
      </c>
      <c r="T96" s="68">
        <f>+R96+S96+Q96</f>
        <v>4709</v>
      </c>
      <c r="U96" s="265">
        <f>+I96+J96-T96</f>
        <v>369814.89</v>
      </c>
      <c r="V96" s="93">
        <f>IF(E96&gt;0,+H96+J96,0)</f>
        <v>0</v>
      </c>
    </row>
    <row r="97" spans="1:24" ht="18" customHeight="1" x14ac:dyDescent="0.2">
      <c r="A97" s="101" t="s">
        <v>2092</v>
      </c>
      <c r="B97" s="102"/>
      <c r="C97" s="64" t="s">
        <v>2095</v>
      </c>
      <c r="D97" s="65">
        <v>43558</v>
      </c>
      <c r="E97" s="66"/>
      <c r="F97" s="67"/>
      <c r="G97" s="67"/>
      <c r="H97" s="67">
        <v>131260.76</v>
      </c>
      <c r="I97" s="67">
        <v>130469.76000000001</v>
      </c>
      <c r="J97" s="67"/>
      <c r="K97" s="68">
        <f>INT(IF($E97&gt;0,IF(+F97-I97+Q97&lt;0,0,+F97-I97+Q97),0))</f>
        <v>0</v>
      </c>
      <c r="L97" s="68">
        <f>INT(IF($E97&gt;0,IF(K97=0,-F97+I97-Q97,0),0))</f>
        <v>0</v>
      </c>
      <c r="M97" s="69">
        <v>2.5</v>
      </c>
      <c r="N97" s="70" t="s">
        <v>17</v>
      </c>
      <c r="O97" s="68">
        <f>IF(E97&gt;0,INT(IF($N97="D",IF($D97&lt;$H$3,$I97*($M97/100)*((E97-$H$3)/365),$J97*($M97/100)*($J$3-$D97)/365),0)),0)</f>
        <v>0</v>
      </c>
      <c r="P97" s="68">
        <f>IF(E97&gt;0,INT(IF($N97="P",IF($D97&lt;$H$3,$H97*($M97/100)*(E97-$H$3)/365,$J97*($M97/100)*($J$3-$D97)/365),0)),0)</f>
        <v>0</v>
      </c>
      <c r="Q97" s="68">
        <f>+O97+P97</f>
        <v>0</v>
      </c>
      <c r="R97" s="68">
        <f t="shared" si="13"/>
        <v>0</v>
      </c>
      <c r="S97" s="68">
        <f t="shared" si="14"/>
        <v>1640</v>
      </c>
      <c r="T97" s="68">
        <f>+R97+S97+Q97</f>
        <v>1640</v>
      </c>
      <c r="U97" s="265">
        <f>+I97+J97-T97</f>
        <v>128829.76000000001</v>
      </c>
      <c r="V97" s="93">
        <f>IF(E97&gt;0,+H97+J97,0)</f>
        <v>0</v>
      </c>
    </row>
    <row r="98" spans="1:24" ht="18" customHeight="1" x14ac:dyDescent="0.2">
      <c r="A98" s="101" t="s">
        <v>2093</v>
      </c>
      <c r="B98" s="102"/>
      <c r="C98" s="64" t="s">
        <v>2096</v>
      </c>
      <c r="D98" s="65">
        <v>43451</v>
      </c>
      <c r="E98" s="66"/>
      <c r="F98" s="67"/>
      <c r="G98" s="67"/>
      <c r="H98" s="67">
        <v>12814.55</v>
      </c>
      <c r="I98" s="67">
        <v>12643.55</v>
      </c>
      <c r="J98" s="67"/>
      <c r="K98" s="68">
        <f>INT(IF($E98&gt;0,IF(+F98-I98+Q98&lt;0,0,+F98-I98+Q98),0))</f>
        <v>0</v>
      </c>
      <c r="L98" s="68">
        <f>INT(IF($E98&gt;0,IF(K98=0,-F98+I98-Q98,0),0))</f>
        <v>0</v>
      </c>
      <c r="M98" s="69">
        <v>2.5</v>
      </c>
      <c r="N98" s="70" t="s">
        <v>17</v>
      </c>
      <c r="O98" s="68">
        <f>IF(E98&gt;0,INT(IF($N98="D",IF($D98&lt;$H$3,$I98*($M98/100)*((E98-$H$3)/365),$J98*($M98/100)*($J$3-$D98)/365),0)),0)</f>
        <v>0</v>
      </c>
      <c r="P98" s="68">
        <f>IF(E98&gt;0,INT(IF($N98="P",IF($D98&lt;$H$3,$H98*($M98/100)*(E98-$H$3)/365,$J98*($M98/100)*($J$3-$D98)/365),0)),0)</f>
        <v>0</v>
      </c>
      <c r="Q98" s="68">
        <f>+O98+P98</f>
        <v>0</v>
      </c>
      <c r="R98" s="68">
        <f t="shared" si="13"/>
        <v>0</v>
      </c>
      <c r="S98" s="68">
        <f t="shared" si="14"/>
        <v>160</v>
      </c>
      <c r="T98" s="68">
        <f>+R98+S98+Q98</f>
        <v>160</v>
      </c>
      <c r="U98" s="265">
        <f>+I98+J98-T98</f>
        <v>12483.55</v>
      </c>
      <c r="V98" s="93">
        <f>IF(E98&gt;0,+H98+J98,0)</f>
        <v>0</v>
      </c>
    </row>
    <row r="99" spans="1:24" ht="18" customHeight="1" x14ac:dyDescent="0.2">
      <c r="A99" s="101" t="s">
        <v>2097</v>
      </c>
      <c r="B99" s="102"/>
      <c r="C99" s="64" t="s">
        <v>2107</v>
      </c>
      <c r="D99" s="65">
        <v>43646</v>
      </c>
      <c r="E99" s="66"/>
      <c r="F99" s="67"/>
      <c r="G99" s="67"/>
      <c r="H99" s="67">
        <f>19139.4+114836.4</f>
        <v>133975.79999999999</v>
      </c>
      <c r="I99" s="67">
        <v>133975.79999999999</v>
      </c>
      <c r="J99" s="67"/>
      <c r="K99" s="68">
        <f>INT(IF($E99&gt;0,IF(+F99-I99+Q99&lt;0,0,+F99-I99+Q99),0))</f>
        <v>0</v>
      </c>
      <c r="L99" s="68">
        <f>INT(IF($E99&gt;0,IF(K99=0,-F99+I99-Q99,0),0))</f>
        <v>0</v>
      </c>
      <c r="M99" s="69">
        <v>2.5</v>
      </c>
      <c r="N99" s="70" t="s">
        <v>17</v>
      </c>
      <c r="O99" s="68">
        <f>IF(E99&gt;0,INT(IF($N99="D",IF($D99&lt;$H$3,$I99*($M99/100)*((E99-$H$3)/365),$J99*($M99/100)*($J$3-$D99)/365),0)),0)</f>
        <v>0</v>
      </c>
      <c r="P99" s="68">
        <f>IF(E99&gt;0,INT(IF($N99="P",IF($D99&lt;$H$3,$H99*($M99/100)*(E99-$H$3)/365,$J99*($M99/100)*($J$3-$D99)/365),0)),0)</f>
        <v>0</v>
      </c>
      <c r="Q99" s="68">
        <f>+O99+P99</f>
        <v>0</v>
      </c>
      <c r="R99" s="68">
        <f t="shared" si="13"/>
        <v>0</v>
      </c>
      <c r="S99" s="68">
        <f t="shared" si="14"/>
        <v>1674</v>
      </c>
      <c r="T99" s="68">
        <f>+R99+S99+Q99</f>
        <v>1674</v>
      </c>
      <c r="U99" s="265">
        <f>+I99+J99-T99</f>
        <v>132301.79999999999</v>
      </c>
      <c r="V99" s="93">
        <f>IF(E99&gt;0,+H99+J99,0)</f>
        <v>0</v>
      </c>
    </row>
    <row r="100" spans="1:24" ht="18" customHeight="1" x14ac:dyDescent="0.2">
      <c r="A100" s="101" t="s">
        <v>2157</v>
      </c>
      <c r="B100" s="102"/>
      <c r="C100" s="64" t="s">
        <v>2165</v>
      </c>
      <c r="D100" s="65">
        <v>43733</v>
      </c>
      <c r="E100" s="66"/>
      <c r="F100" s="67"/>
      <c r="G100" s="67"/>
      <c r="H100" s="67"/>
      <c r="I100" s="67"/>
      <c r="J100" s="67">
        <v>72418.2</v>
      </c>
      <c r="K100" s="68">
        <f t="shared" ref="K100:K106" si="21">INT(IF($E100&gt;0,IF(+F100-I100+Q100&lt;0,0,+F100-I100+Q100),0))</f>
        <v>0</v>
      </c>
      <c r="L100" s="68">
        <f t="shared" ref="L100:L106" si="22">INT(IF($E100&gt;0,IF(K100=0,-F100+I100-Q100,0),0))</f>
        <v>0</v>
      </c>
      <c r="M100" s="69">
        <v>2.5</v>
      </c>
      <c r="N100" s="70" t="s">
        <v>17</v>
      </c>
      <c r="O100" s="68">
        <f t="shared" ref="O100:O106" si="23">IF(E100&gt;0,INT(IF($N100="D",IF($D100&lt;$H$3,$I100*($M100/100)*((E100-$H$3)/365),$J100*($M100/100)*($J$3-$D100)/365),0)),0)</f>
        <v>0</v>
      </c>
      <c r="P100" s="68">
        <f t="shared" ref="P100:P106" si="24">IF(E100&gt;0,INT(IF($N100="P",IF($D100&lt;$H$3,$H100*($M100/100)*(E100-$H$3)/365,$J100*($M100/100)*($J$3-$D100)/365),0)),0)</f>
        <v>0</v>
      </c>
      <c r="Q100" s="68">
        <f t="shared" ref="Q100:Q106" si="25">+O100+P100</f>
        <v>0</v>
      </c>
      <c r="R100" s="68">
        <f t="shared" si="13"/>
        <v>0</v>
      </c>
      <c r="S100" s="68">
        <f t="shared" si="14"/>
        <v>481</v>
      </c>
      <c r="T100" s="68">
        <f t="shared" ref="T100:T106" si="26">+R100+S100+Q100</f>
        <v>481</v>
      </c>
      <c r="U100" s="265">
        <f t="shared" ref="U100:U106" si="27">+I100+J100-T100</f>
        <v>71937.2</v>
      </c>
      <c r="V100" s="93">
        <f t="shared" ref="V100:V106" si="28">IF(E100&gt;0,+H100+J100,0)</f>
        <v>0</v>
      </c>
    </row>
    <row r="101" spans="1:24" ht="18" customHeight="1" x14ac:dyDescent="0.2">
      <c r="A101" s="101" t="s">
        <v>2155</v>
      </c>
      <c r="B101" s="102"/>
      <c r="C101" s="64" t="s">
        <v>2162</v>
      </c>
      <c r="D101" s="65">
        <v>43717</v>
      </c>
      <c r="E101" s="66"/>
      <c r="F101" s="67"/>
      <c r="G101" s="67"/>
      <c r="H101" s="67"/>
      <c r="I101" s="67"/>
      <c r="J101" s="67">
        <v>24709.56</v>
      </c>
      <c r="K101" s="68">
        <f t="shared" si="21"/>
        <v>0</v>
      </c>
      <c r="L101" s="68">
        <f t="shared" si="22"/>
        <v>0</v>
      </c>
      <c r="M101" s="69">
        <v>2.5</v>
      </c>
      <c r="N101" s="70" t="s">
        <v>17</v>
      </c>
      <c r="O101" s="68">
        <f t="shared" si="23"/>
        <v>0</v>
      </c>
      <c r="P101" s="68">
        <f t="shared" si="24"/>
        <v>0</v>
      </c>
      <c r="Q101" s="68">
        <f t="shared" si="25"/>
        <v>0</v>
      </c>
      <c r="R101" s="68">
        <f t="shared" si="13"/>
        <v>0</v>
      </c>
      <c r="S101" s="68">
        <f t="shared" si="14"/>
        <v>191</v>
      </c>
      <c r="T101" s="68">
        <f t="shared" si="26"/>
        <v>191</v>
      </c>
      <c r="U101" s="265">
        <f t="shared" si="27"/>
        <v>24518.560000000001</v>
      </c>
      <c r="V101" s="93">
        <f t="shared" si="28"/>
        <v>0</v>
      </c>
    </row>
    <row r="102" spans="1:24" ht="18" customHeight="1" x14ac:dyDescent="0.2">
      <c r="A102" s="101" t="s">
        <v>2156</v>
      </c>
      <c r="B102" s="102"/>
      <c r="C102" s="64" t="s">
        <v>2163</v>
      </c>
      <c r="D102" s="65">
        <v>43732</v>
      </c>
      <c r="E102" s="66"/>
      <c r="F102" s="67"/>
      <c r="G102" s="67"/>
      <c r="H102" s="67"/>
      <c r="I102" s="67"/>
      <c r="J102" s="67">
        <v>30950</v>
      </c>
      <c r="K102" s="68">
        <f t="shared" si="21"/>
        <v>0</v>
      </c>
      <c r="L102" s="68">
        <f t="shared" si="22"/>
        <v>0</v>
      </c>
      <c r="M102" s="69">
        <v>2.5</v>
      </c>
      <c r="N102" s="70" t="s">
        <v>17</v>
      </c>
      <c r="O102" s="68">
        <f t="shared" si="23"/>
        <v>0</v>
      </c>
      <c r="P102" s="68">
        <f t="shared" si="24"/>
        <v>0</v>
      </c>
      <c r="Q102" s="68">
        <f t="shared" si="25"/>
        <v>0</v>
      </c>
      <c r="R102" s="68">
        <f t="shared" si="13"/>
        <v>0</v>
      </c>
      <c r="S102" s="68">
        <f t="shared" si="14"/>
        <v>207</v>
      </c>
      <c r="T102" s="68">
        <f t="shared" si="26"/>
        <v>207</v>
      </c>
      <c r="U102" s="265">
        <f t="shared" si="27"/>
        <v>30743</v>
      </c>
      <c r="V102" s="93">
        <f t="shared" si="28"/>
        <v>0</v>
      </c>
    </row>
    <row r="103" spans="1:24" ht="18" customHeight="1" x14ac:dyDescent="0.2">
      <c r="A103" s="101" t="s">
        <v>2158</v>
      </c>
      <c r="B103" s="102"/>
      <c r="C103" s="64" t="s">
        <v>2167</v>
      </c>
      <c r="D103" s="65">
        <v>43753</v>
      </c>
      <c r="E103" s="66"/>
      <c r="F103" s="67"/>
      <c r="G103" s="67"/>
      <c r="H103" s="67"/>
      <c r="I103" s="67"/>
      <c r="J103" s="67">
        <v>13863.64</v>
      </c>
      <c r="K103" s="68">
        <f t="shared" si="21"/>
        <v>0</v>
      </c>
      <c r="L103" s="68">
        <f t="shared" si="22"/>
        <v>0</v>
      </c>
      <c r="M103" s="69">
        <v>2.5</v>
      </c>
      <c r="N103" s="70" t="s">
        <v>17</v>
      </c>
      <c r="O103" s="68">
        <f t="shared" si="23"/>
        <v>0</v>
      </c>
      <c r="P103" s="68">
        <f t="shared" si="24"/>
        <v>0</v>
      </c>
      <c r="Q103" s="68">
        <f t="shared" si="25"/>
        <v>0</v>
      </c>
      <c r="R103" s="68">
        <f t="shared" si="13"/>
        <v>0</v>
      </c>
      <c r="S103" s="68">
        <f t="shared" si="14"/>
        <v>73</v>
      </c>
      <c r="T103" s="68">
        <f t="shared" si="26"/>
        <v>73</v>
      </c>
      <c r="U103" s="265">
        <f t="shared" si="27"/>
        <v>13790.64</v>
      </c>
      <c r="V103" s="93">
        <f t="shared" si="28"/>
        <v>0</v>
      </c>
    </row>
    <row r="104" spans="1:24" ht="18" customHeight="1" x14ac:dyDescent="0.2">
      <c r="A104" s="101" t="s">
        <v>2159</v>
      </c>
      <c r="B104" s="102"/>
      <c r="C104" s="64" t="s">
        <v>2164</v>
      </c>
      <c r="D104" s="65">
        <v>43753</v>
      </c>
      <c r="E104" s="66"/>
      <c r="F104" s="67"/>
      <c r="G104" s="67"/>
      <c r="H104" s="67"/>
      <c r="I104" s="67"/>
      <c r="J104" s="67">
        <v>4454.54</v>
      </c>
      <c r="K104" s="68">
        <f t="shared" si="21"/>
        <v>0</v>
      </c>
      <c r="L104" s="68">
        <f t="shared" si="22"/>
        <v>0</v>
      </c>
      <c r="M104" s="69">
        <v>2.5</v>
      </c>
      <c r="N104" s="70" t="s">
        <v>17</v>
      </c>
      <c r="O104" s="68">
        <f t="shared" si="23"/>
        <v>0</v>
      </c>
      <c r="P104" s="68">
        <f t="shared" si="24"/>
        <v>0</v>
      </c>
      <c r="Q104" s="68">
        <f t="shared" si="25"/>
        <v>0</v>
      </c>
      <c r="R104" s="68">
        <f t="shared" si="13"/>
        <v>0</v>
      </c>
      <c r="S104" s="68">
        <f t="shared" si="14"/>
        <v>23</v>
      </c>
      <c r="T104" s="68">
        <f t="shared" si="26"/>
        <v>23</v>
      </c>
      <c r="U104" s="265">
        <f t="shared" si="27"/>
        <v>4431.54</v>
      </c>
      <c r="V104" s="93">
        <f t="shared" si="28"/>
        <v>0</v>
      </c>
    </row>
    <row r="105" spans="1:24" ht="18" customHeight="1" x14ac:dyDescent="0.2">
      <c r="A105" s="101" t="s">
        <v>2160</v>
      </c>
      <c r="B105" s="102"/>
      <c r="C105" s="64" t="s">
        <v>2168</v>
      </c>
      <c r="D105" s="65">
        <v>43753</v>
      </c>
      <c r="E105" s="66"/>
      <c r="F105" s="67"/>
      <c r="G105" s="67"/>
      <c r="H105" s="67"/>
      <c r="I105" s="67"/>
      <c r="J105" s="67">
        <v>2363.64</v>
      </c>
      <c r="K105" s="68">
        <f t="shared" si="21"/>
        <v>0</v>
      </c>
      <c r="L105" s="68">
        <f t="shared" si="22"/>
        <v>0</v>
      </c>
      <c r="M105" s="69">
        <v>2.5</v>
      </c>
      <c r="N105" s="70" t="s">
        <v>17</v>
      </c>
      <c r="O105" s="68">
        <f t="shared" si="23"/>
        <v>0</v>
      </c>
      <c r="P105" s="68">
        <f t="shared" si="24"/>
        <v>0</v>
      </c>
      <c r="Q105" s="68">
        <f t="shared" si="25"/>
        <v>0</v>
      </c>
      <c r="R105" s="68">
        <f t="shared" si="13"/>
        <v>0</v>
      </c>
      <c r="S105" s="68">
        <f t="shared" si="14"/>
        <v>12</v>
      </c>
      <c r="T105" s="68">
        <f t="shared" si="26"/>
        <v>12</v>
      </c>
      <c r="U105" s="265">
        <f t="shared" si="27"/>
        <v>2351.64</v>
      </c>
      <c r="V105" s="93">
        <f t="shared" si="28"/>
        <v>0</v>
      </c>
    </row>
    <row r="106" spans="1:24" ht="18" customHeight="1" x14ac:dyDescent="0.2">
      <c r="A106" s="101" t="s">
        <v>2161</v>
      </c>
      <c r="B106" s="102"/>
      <c r="C106" s="64" t="s">
        <v>2166</v>
      </c>
      <c r="D106" s="65">
        <v>43788</v>
      </c>
      <c r="E106" s="66"/>
      <c r="F106" s="67"/>
      <c r="G106" s="67"/>
      <c r="H106" s="67"/>
      <c r="I106" s="67"/>
      <c r="J106" s="67">
        <v>25737.57</v>
      </c>
      <c r="K106" s="68">
        <f t="shared" si="21"/>
        <v>0</v>
      </c>
      <c r="L106" s="68">
        <f t="shared" si="22"/>
        <v>0</v>
      </c>
      <c r="M106" s="69">
        <v>2.5</v>
      </c>
      <c r="N106" s="70" t="s">
        <v>17</v>
      </c>
      <c r="O106" s="68">
        <f t="shared" si="23"/>
        <v>0</v>
      </c>
      <c r="P106" s="68">
        <f t="shared" si="24"/>
        <v>0</v>
      </c>
      <c r="Q106" s="68">
        <f t="shared" si="25"/>
        <v>0</v>
      </c>
      <c r="R106" s="68">
        <f t="shared" si="13"/>
        <v>0</v>
      </c>
      <c r="S106" s="68">
        <f t="shared" si="14"/>
        <v>74</v>
      </c>
      <c r="T106" s="68">
        <f t="shared" si="26"/>
        <v>74</v>
      </c>
      <c r="U106" s="265">
        <f t="shared" si="27"/>
        <v>25663.57</v>
      </c>
      <c r="V106" s="93">
        <f t="shared" si="28"/>
        <v>0</v>
      </c>
    </row>
    <row r="107" spans="1:24" ht="18" customHeight="1" x14ac:dyDescent="0.2">
      <c r="A107" s="101"/>
      <c r="B107" s="102"/>
      <c r="C107" s="64"/>
      <c r="D107" s="65"/>
      <c r="E107" s="66"/>
      <c r="F107" s="67"/>
      <c r="G107" s="67"/>
      <c r="H107" s="67"/>
      <c r="I107" s="67"/>
      <c r="J107" s="67"/>
      <c r="K107" s="68"/>
      <c r="L107" s="68"/>
      <c r="M107" s="69"/>
      <c r="N107" s="70"/>
      <c r="O107" s="68"/>
      <c r="P107" s="68"/>
      <c r="Q107" s="68"/>
      <c r="R107" s="68"/>
      <c r="S107" s="68"/>
      <c r="T107" s="68"/>
      <c r="U107" s="265"/>
      <c r="V107" s="93"/>
    </row>
    <row r="108" spans="1:24" ht="18" customHeight="1" x14ac:dyDescent="0.2">
      <c r="A108" s="103"/>
      <c r="B108" s="104"/>
      <c r="C108" s="83" t="s">
        <v>2043</v>
      </c>
      <c r="D108" s="63"/>
      <c r="E108" s="66"/>
      <c r="F108" s="67"/>
      <c r="G108" s="67"/>
      <c r="H108" s="79">
        <f>+J109-V109</f>
        <v>174497.15000000002</v>
      </c>
      <c r="I108" s="75"/>
      <c r="J108" s="75"/>
      <c r="K108" s="75"/>
      <c r="L108" s="75"/>
      <c r="M108" s="74"/>
      <c r="N108" s="70"/>
      <c r="O108" s="70"/>
      <c r="P108" s="75"/>
      <c r="Q108" s="75"/>
      <c r="R108" s="70"/>
      <c r="S108" s="75"/>
      <c r="T108" s="75"/>
      <c r="U108" s="266"/>
      <c r="V108" s="93"/>
    </row>
    <row r="109" spans="1:24" s="14" customFormat="1" ht="18" customHeight="1" x14ac:dyDescent="0.2">
      <c r="A109" s="105"/>
      <c r="B109" s="106"/>
      <c r="C109" s="77" t="s">
        <v>1825</v>
      </c>
      <c r="D109" s="76"/>
      <c r="E109" s="78"/>
      <c r="F109" s="79">
        <f>SUM(F16:F107)</f>
        <v>0</v>
      </c>
      <c r="G109" s="79">
        <f>SUM(G16:G107)</f>
        <v>0</v>
      </c>
      <c r="H109" s="268">
        <f>SUM(H16:H108)</f>
        <v>2385408.2399999998</v>
      </c>
      <c r="I109" s="79">
        <f>SUM(I16:I107)</f>
        <v>2086872.09</v>
      </c>
      <c r="J109" s="268">
        <f>SUM(J16:J107)</f>
        <v>174497.15000000002</v>
      </c>
      <c r="K109" s="79">
        <f>SUM(K16:K107)</f>
        <v>0</v>
      </c>
      <c r="L109" s="79">
        <f>SUM(L16:L107)</f>
        <v>0</v>
      </c>
      <c r="M109" s="80"/>
      <c r="N109" s="81"/>
      <c r="O109" s="79">
        <f>SUM(O16:O99)</f>
        <v>0</v>
      </c>
      <c r="P109" s="79">
        <f>SUM(P16:P99)</f>
        <v>0</v>
      </c>
      <c r="Q109" s="79"/>
      <c r="R109" s="79">
        <f>SUM(R16:R99)</f>
        <v>7580</v>
      </c>
      <c r="S109" s="79">
        <f>SUM(S16:S99)</f>
        <v>27073</v>
      </c>
      <c r="T109" s="268">
        <f>SUM(T16:T107)</f>
        <v>35220</v>
      </c>
      <c r="U109" s="267">
        <f>SUM(U16:U107)</f>
        <v>2226149.2400000002</v>
      </c>
      <c r="V109" s="79">
        <f>SUM(V16:V99)</f>
        <v>0</v>
      </c>
      <c r="X109" s="14">
        <v>2385408.2400000002</v>
      </c>
    </row>
    <row r="110" spans="1:24" s="14" customFormat="1" ht="18" customHeight="1" x14ac:dyDescent="0.2">
      <c r="A110" s="105"/>
      <c r="B110" s="106"/>
      <c r="C110" s="82"/>
      <c r="D110" s="83"/>
      <c r="E110" s="84"/>
      <c r="F110" s="79"/>
      <c r="G110" s="79"/>
      <c r="H110" s="85"/>
      <c r="I110" s="85"/>
      <c r="J110" s="79"/>
      <c r="K110" s="79"/>
      <c r="L110" s="85"/>
      <c r="M110" s="80"/>
      <c r="N110" s="81"/>
      <c r="O110" s="81"/>
      <c r="P110" s="79"/>
      <c r="Q110" s="79"/>
      <c r="R110" s="81"/>
      <c r="S110" s="79">
        <v>18420</v>
      </c>
      <c r="T110" s="79"/>
      <c r="U110" s="267"/>
      <c r="V110" s="93"/>
    </row>
    <row r="111" spans="1:24" ht="18" customHeight="1" x14ac:dyDescent="0.2">
      <c r="A111" s="107">
        <v>740</v>
      </c>
      <c r="B111" s="108"/>
      <c r="C111" s="74"/>
      <c r="D111" s="82"/>
      <c r="E111" s="86"/>
      <c r="F111" s="87"/>
      <c r="G111" s="87"/>
      <c r="H111" s="87"/>
      <c r="I111" s="87"/>
      <c r="J111" s="87"/>
      <c r="K111" s="87"/>
      <c r="L111" s="87"/>
      <c r="M111" s="82"/>
      <c r="N111" s="88"/>
      <c r="O111" s="88"/>
      <c r="P111" s="87"/>
      <c r="Q111" s="87"/>
      <c r="R111" s="88"/>
      <c r="S111" s="87"/>
      <c r="T111" s="87"/>
      <c r="U111" s="266"/>
      <c r="V111" s="93"/>
    </row>
    <row r="112" spans="1:24" ht="18" customHeight="1" x14ac:dyDescent="0.2">
      <c r="A112" s="109" t="s">
        <v>1577</v>
      </c>
      <c r="B112" s="104"/>
      <c r="C112" s="74"/>
      <c r="D112" s="74"/>
      <c r="E112" s="89"/>
      <c r="F112" s="75"/>
      <c r="G112" s="75"/>
      <c r="H112" s="75"/>
      <c r="I112" s="75"/>
      <c r="J112" s="75"/>
      <c r="K112" s="75"/>
      <c r="L112" s="75"/>
      <c r="M112" s="74"/>
      <c r="N112" s="70"/>
      <c r="O112" s="70"/>
      <c r="P112" s="75"/>
      <c r="Q112" s="75"/>
      <c r="R112" s="70"/>
      <c r="S112" s="75"/>
      <c r="T112" s="75"/>
      <c r="U112" s="266"/>
      <c r="V112" s="93"/>
    </row>
    <row r="113" spans="1:24" ht="18" customHeight="1" x14ac:dyDescent="0.2">
      <c r="A113" s="101" t="s">
        <v>1811</v>
      </c>
      <c r="B113" s="102"/>
      <c r="C113" s="72" t="s">
        <v>1812</v>
      </c>
      <c r="D113" s="65">
        <v>41913</v>
      </c>
      <c r="E113" s="66"/>
      <c r="F113" s="67"/>
      <c r="G113" s="75"/>
      <c r="H113" s="67">
        <v>14536.36</v>
      </c>
      <c r="I113" s="67">
        <v>727.36000000000013</v>
      </c>
      <c r="J113" s="67"/>
      <c r="K113" s="68">
        <f>INT(IF($E113&gt;0,IF(+F113-I113+Q113&lt;0,0,+F113-I113+Q113),0))</f>
        <v>0</v>
      </c>
      <c r="L113" s="68">
        <f>INT(IF($E113&gt;0,IF(K113=0,-F113+I113-Q113,0),0))</f>
        <v>0</v>
      </c>
      <c r="M113" s="69">
        <v>20</v>
      </c>
      <c r="N113" s="70" t="s">
        <v>17</v>
      </c>
      <c r="O113" s="68">
        <f>IF(E113&gt;0,INT(IF($N113="D",IF($D113&lt;$H$3,$I113*($M113/100)*((E113-$H$3)/365),$J113*($M113/100)*($J$3-$D113)/365),0)),0)</f>
        <v>0</v>
      </c>
      <c r="P113" s="68">
        <f>IF(E113&gt;0,INT(IF($N113="P",IF($D113&lt;$H$3,$H113*($M113/100)*(E113-$H$3)/365,$J113*($M113/100)*($J$3-$D113)/365),0)),0)</f>
        <v>0</v>
      </c>
      <c r="Q113" s="68">
        <f>+O113+P113</f>
        <v>0</v>
      </c>
      <c r="R113" s="68">
        <f>INT(IF($E113&gt;0,0,(IF($N113="D",IF($D113&lt;$H$3,$I113*($M113/100)*$U$3/12,$J113*($M113/100)*($J$3-$D113)/365),0))))</f>
        <v>0</v>
      </c>
      <c r="S113" s="68">
        <f>INT(IF($E113&gt;0,0,(IF($N113="P",IF($D113&lt;$H$3,$H113*($M113/100)*$U$3/12,$J113*($M113/100)*($J$3-$D113)/365),0))))</f>
        <v>1453</v>
      </c>
      <c r="T113" s="68">
        <f>1453-726</f>
        <v>727</v>
      </c>
      <c r="U113" s="265">
        <f>+I113+J113-T113</f>
        <v>0.36000000000012733</v>
      </c>
      <c r="V113" s="93">
        <f t="shared" si="20"/>
        <v>0</v>
      </c>
    </row>
    <row r="114" spans="1:24" ht="18" customHeight="1" x14ac:dyDescent="0.2">
      <c r="A114" s="101" t="s">
        <v>1813</v>
      </c>
      <c r="B114" s="102"/>
      <c r="C114" s="64" t="s">
        <v>1814</v>
      </c>
      <c r="D114" s="65">
        <v>42664</v>
      </c>
      <c r="E114" s="66"/>
      <c r="F114" s="67"/>
      <c r="G114" s="67"/>
      <c r="H114" s="67">
        <v>7409.09</v>
      </c>
      <c r="I114" s="67">
        <v>4133.09</v>
      </c>
      <c r="J114" s="67"/>
      <c r="K114" s="68">
        <f>INT(IF($E114&gt;0,IF(+F114-I114+Q114&lt;0,0,+F114-I114+Q114),0))</f>
        <v>0</v>
      </c>
      <c r="L114" s="68">
        <f>INT(IF($E114&gt;0,IF(K114=0,-F114+I114-Q114,0),0))</f>
        <v>0</v>
      </c>
      <c r="M114" s="69">
        <v>20</v>
      </c>
      <c r="N114" s="70" t="s">
        <v>289</v>
      </c>
      <c r="O114" s="68">
        <f>IF(E114&gt;0,INT(IF($N114="D",IF($D114&lt;$H$3,$I114*($M114/100)*((E114-$H$3)/365),$J114*($M114/100)*($J$3-$D114)/365),0)),0)</f>
        <v>0</v>
      </c>
      <c r="P114" s="68">
        <f>IF(E114&gt;0,INT(IF($N114="P",IF($D114&lt;$H$3,$H114*($M114/100)*(E114-$H$3)/365,$J114*($M114/100)*($J$3-$D114)/365),0)),0)</f>
        <v>0</v>
      </c>
      <c r="Q114" s="68">
        <f>+O114+P114</f>
        <v>0</v>
      </c>
      <c r="R114" s="68">
        <f>INT(IF($E114&gt;0,0,(IF($N114="D",IF($D114&lt;$H$3,$I114*($M114/100)*$U$3/12,$J114*($M114/100)*($J$3-$D114)/365),0))))</f>
        <v>413</v>
      </c>
      <c r="S114" s="68">
        <f>INT(IF($E114&gt;0,0,(IF($N114="P",IF($D114&lt;$H$3,$H114*($M114/100)*$U$3/12,$J114*($M114/100)*($J$3-$D114)/365),0))))</f>
        <v>0</v>
      </c>
      <c r="T114" s="68">
        <f>+R114+S114+Q114</f>
        <v>413</v>
      </c>
      <c r="U114" s="265">
        <f>+I114+J114-T114</f>
        <v>3720.09</v>
      </c>
      <c r="V114" s="93">
        <f t="shared" si="20"/>
        <v>0</v>
      </c>
    </row>
    <row r="115" spans="1:24" ht="18" customHeight="1" x14ac:dyDescent="0.2">
      <c r="A115" s="101" t="s">
        <v>1815</v>
      </c>
      <c r="B115" s="102"/>
      <c r="C115" s="64" t="s">
        <v>1816</v>
      </c>
      <c r="D115" s="65">
        <v>42664</v>
      </c>
      <c r="E115" s="66"/>
      <c r="F115" s="67"/>
      <c r="G115" s="67"/>
      <c r="H115" s="67">
        <v>1227.27</v>
      </c>
      <c r="I115" s="67">
        <v>685.27</v>
      </c>
      <c r="J115" s="67"/>
      <c r="K115" s="68">
        <f>INT(IF($E115&gt;0,IF(+F115-I115+Q115&lt;0,0,+F115-I115+Q115),0))</f>
        <v>0</v>
      </c>
      <c r="L115" s="68">
        <f>INT(IF($E115&gt;0,IF(K115=0,-F115+I115-Q115,0),0))</f>
        <v>0</v>
      </c>
      <c r="M115" s="69">
        <v>20</v>
      </c>
      <c r="N115" s="70" t="s">
        <v>289</v>
      </c>
      <c r="O115" s="68">
        <f>IF(E115&gt;0,INT(IF($N115="D",IF($D115&lt;$H$3,$I115*($M115/100)*((E115-$H$3)/365),$J115*($M115/100)*($J$3-$D115)/365),0)),0)</f>
        <v>0</v>
      </c>
      <c r="P115" s="68">
        <f>IF(E115&gt;0,INT(IF($N115="P",IF($D115&lt;$H$3,$H115*($M115/100)*(E115-$H$3)/365,$J115*($M115/100)*($J$3-$D115)/365),0)),0)</f>
        <v>0</v>
      </c>
      <c r="Q115" s="68">
        <f>+O115+P115</f>
        <v>0</v>
      </c>
      <c r="R115" s="68">
        <f>INT(IF($E115&gt;0,0,(IF($N115="D",IF($D115&lt;$H$3,$I115*($M115/100)*$U$3/12,$J115*($M115/100)*($J$3-$D115)/365),0))))</f>
        <v>68</v>
      </c>
      <c r="S115" s="68">
        <f>INT(IF($E115&gt;0,0,(IF($N115="P",IF($D115&lt;$H$3,$H115*($M115/100)*$U$3/12,$J115*($M115/100)*($J$3-$D115)/365),0))))</f>
        <v>0</v>
      </c>
      <c r="T115" s="68">
        <f>+R115+S115+Q115</f>
        <v>68</v>
      </c>
      <c r="U115" s="265">
        <f>+I115+J115-T115</f>
        <v>617.27</v>
      </c>
      <c r="V115" s="93">
        <f t="shared" si="20"/>
        <v>0</v>
      </c>
    </row>
    <row r="116" spans="1:24" ht="18" customHeight="1" x14ac:dyDescent="0.2">
      <c r="A116" s="101" t="s">
        <v>1817</v>
      </c>
      <c r="B116" s="102"/>
      <c r="C116" s="64" t="s">
        <v>1818</v>
      </c>
      <c r="D116" s="65">
        <v>42990</v>
      </c>
      <c r="E116" s="66"/>
      <c r="F116" s="67"/>
      <c r="G116" s="67"/>
      <c r="H116" s="67">
        <v>1471.43</v>
      </c>
      <c r="I116" s="67">
        <v>1000.4300000000001</v>
      </c>
      <c r="J116" s="67"/>
      <c r="K116" s="68">
        <f>INT(IF($E116&gt;0,IF(+F116-I116+Q116&lt;0,0,+F116-I116+Q116),0))</f>
        <v>0</v>
      </c>
      <c r="L116" s="68">
        <f>INT(IF($E116&gt;0,IF(K116=0,-F116+I116-Q116,0),0))</f>
        <v>0</v>
      </c>
      <c r="M116" s="69">
        <v>20</v>
      </c>
      <c r="N116" s="70" t="s">
        <v>289</v>
      </c>
      <c r="O116" s="68">
        <f>IF(E116&gt;0,INT(IF($N116="D",IF($D116&lt;$H$3,$I116*($M116/100)*((E116-$H$3)/365),$J116*($M116/100)*($J$3-$D116)/365),0)),0)</f>
        <v>0</v>
      </c>
      <c r="P116" s="68">
        <f>IF(E116&gt;0,INT(IF($N116="P",IF($D116&lt;$H$3,$H116*($M116/100)*(E116-$H$3)/365,$J116*($M116/100)*($J$3-$D116)/365),0)),0)</f>
        <v>0</v>
      </c>
      <c r="Q116" s="68">
        <f>+O116+P116</f>
        <v>0</v>
      </c>
      <c r="R116" s="68">
        <f>INT(IF($E116&gt;0,0,(IF($N116="D",IF($D116&lt;$H$3,$I116*($M116/100)*$U$3/12,$J116*($M116/100)*($J$3-$D116)/365),0))))</f>
        <v>100</v>
      </c>
      <c r="S116" s="68">
        <f>INT(IF($E116&gt;0,0,(IF($N116="P",IF($D116&lt;$H$3,$H116*($M116/100)*$U$3/12,$J116*($M116/100)*($J$3-$D116)/365),0))))</f>
        <v>0</v>
      </c>
      <c r="T116" s="68">
        <f>+R116+S116+Q116</f>
        <v>100</v>
      </c>
      <c r="U116" s="265">
        <f>+I116+J116-T116</f>
        <v>900.43000000000006</v>
      </c>
      <c r="V116" s="93">
        <f t="shared" si="20"/>
        <v>0</v>
      </c>
    </row>
    <row r="117" spans="1:24" ht="18" customHeight="1" x14ac:dyDescent="0.2">
      <c r="A117" s="101" t="s">
        <v>1819</v>
      </c>
      <c r="B117" s="102"/>
      <c r="C117" s="64" t="s">
        <v>1820</v>
      </c>
      <c r="D117" s="65">
        <v>43139</v>
      </c>
      <c r="E117" s="66"/>
      <c r="F117" s="67"/>
      <c r="G117" s="67"/>
      <c r="H117" s="67">
        <v>2500</v>
      </c>
      <c r="I117" s="67">
        <v>1865</v>
      </c>
      <c r="J117" s="67"/>
      <c r="K117" s="68">
        <f>INT(IF($E117&gt;0,IF(+F117-I117+Q117&lt;0,0,+F117-I117+Q117),0))</f>
        <v>0</v>
      </c>
      <c r="L117" s="68">
        <f>INT(IF($E117&gt;0,IF(K117=0,-F117+I117-Q117,0),0))</f>
        <v>0</v>
      </c>
      <c r="M117" s="69">
        <v>20</v>
      </c>
      <c r="N117" s="70" t="s">
        <v>289</v>
      </c>
      <c r="O117" s="68">
        <f>IF(E117&gt;0,INT(IF($N117="D",IF($D117&lt;$H$3,$I117*($M117/100)*((E117-$H$3)/365),$J117*($M117/100)*($J$3-$D117)/365),0)),0)</f>
        <v>0</v>
      </c>
      <c r="P117" s="68">
        <f>IF(E117&gt;0,INT(IF($N117="P",IF($D117&lt;$H$3,$H117*($M117/100)*(E117-$H$3)/365,$J117*($M117/100)*($J$3-$D117)/365),0)),0)</f>
        <v>0</v>
      </c>
      <c r="Q117" s="68">
        <f>+O117+P117</f>
        <v>0</v>
      </c>
      <c r="R117" s="68">
        <f>INT(IF($E117&gt;0,0,(IF($N117="D",IF($D117&lt;$H$3,$I117*($M117/100)*$U$3/12,$J117*($M117/100)*($J$3-$D117)/365),0))))</f>
        <v>186</v>
      </c>
      <c r="S117" s="68">
        <f>INT(IF($E117&gt;0,0,(IF($N117="P",IF($D117&lt;$H$3,$H117*($M117/100)*$U$3/12,$J117*($M117/100)*($J$3-$D117)/365),0))))</f>
        <v>0</v>
      </c>
      <c r="T117" s="68">
        <f>+R117+S117+Q117</f>
        <v>186</v>
      </c>
      <c r="U117" s="265">
        <f>+I117+J117-T117</f>
        <v>1679</v>
      </c>
      <c r="V117" s="93">
        <f t="shared" si="20"/>
        <v>0</v>
      </c>
    </row>
    <row r="118" spans="1:24" ht="18" customHeight="1" x14ac:dyDescent="0.2">
      <c r="A118" s="103"/>
      <c r="B118" s="104"/>
      <c r="C118" s="63"/>
      <c r="D118" s="63"/>
      <c r="E118" s="66"/>
      <c r="F118" s="67"/>
      <c r="G118" s="67"/>
      <c r="H118" s="67"/>
      <c r="I118" s="75"/>
      <c r="J118" s="75"/>
      <c r="K118" s="75"/>
      <c r="L118" s="75"/>
      <c r="M118" s="74"/>
      <c r="N118" s="70"/>
      <c r="O118" s="70"/>
      <c r="P118" s="75"/>
      <c r="Q118" s="75"/>
      <c r="R118" s="70"/>
      <c r="S118" s="75"/>
      <c r="T118" s="75"/>
      <c r="U118" s="266"/>
      <c r="V118" s="93"/>
    </row>
    <row r="119" spans="1:24" ht="18" customHeight="1" x14ac:dyDescent="0.2">
      <c r="A119" s="103"/>
      <c r="B119" s="104"/>
      <c r="C119" s="83" t="s">
        <v>2043</v>
      </c>
      <c r="D119" s="63"/>
      <c r="E119" s="66"/>
      <c r="F119" s="67"/>
      <c r="G119" s="67"/>
      <c r="H119" s="79">
        <f>+J120-V120</f>
        <v>0</v>
      </c>
      <c r="I119" s="75"/>
      <c r="J119" s="75"/>
      <c r="K119" s="75"/>
      <c r="L119" s="75"/>
      <c r="M119" s="74"/>
      <c r="N119" s="70"/>
      <c r="O119" s="70"/>
      <c r="P119" s="75"/>
      <c r="Q119" s="75"/>
      <c r="R119" s="70"/>
      <c r="S119" s="75"/>
      <c r="T119" s="75"/>
      <c r="U119" s="266"/>
      <c r="V119" s="93"/>
    </row>
    <row r="120" spans="1:24" s="14" customFormat="1" ht="18" customHeight="1" x14ac:dyDescent="0.2">
      <c r="A120" s="105"/>
      <c r="B120" s="106"/>
      <c r="C120" s="77" t="s">
        <v>1657</v>
      </c>
      <c r="D120" s="83"/>
      <c r="E120" s="84"/>
      <c r="F120" s="79">
        <f t="shared" ref="F120:L120" si="29">SUM(F113:F118)</f>
        <v>0</v>
      </c>
      <c r="G120" s="79">
        <f t="shared" si="29"/>
        <v>0</v>
      </c>
      <c r="H120" s="268">
        <f>SUM(H113:H119)</f>
        <v>27144.15</v>
      </c>
      <c r="I120" s="79">
        <f t="shared" si="29"/>
        <v>8411.1500000000015</v>
      </c>
      <c r="J120" s="79">
        <f t="shared" si="29"/>
        <v>0</v>
      </c>
      <c r="K120" s="79">
        <f t="shared" si="29"/>
        <v>0</v>
      </c>
      <c r="L120" s="79">
        <f t="shared" si="29"/>
        <v>0</v>
      </c>
      <c r="M120" s="83"/>
      <c r="N120" s="81"/>
      <c r="O120" s="79">
        <f t="shared" ref="O120:T120" si="30">SUM(O113:O117)</f>
        <v>0</v>
      </c>
      <c r="P120" s="79">
        <f t="shared" si="30"/>
        <v>0</v>
      </c>
      <c r="Q120" s="79">
        <f t="shared" si="30"/>
        <v>0</v>
      </c>
      <c r="R120" s="79">
        <f t="shared" si="30"/>
        <v>767</v>
      </c>
      <c r="S120" s="79">
        <f t="shared" si="30"/>
        <v>1453</v>
      </c>
      <c r="T120" s="268">
        <f t="shared" si="30"/>
        <v>1494</v>
      </c>
      <c r="U120" s="267">
        <f>SUM(U113:U118)</f>
        <v>6917.1500000000005</v>
      </c>
      <c r="V120" s="93">
        <f>SUM(V113:V119)</f>
        <v>0</v>
      </c>
      <c r="X120" s="14">
        <v>27144.15</v>
      </c>
    </row>
    <row r="121" spans="1:24" ht="18" customHeight="1" x14ac:dyDescent="0.2">
      <c r="A121" s="101"/>
      <c r="B121" s="102"/>
      <c r="C121" s="63"/>
      <c r="D121" s="63"/>
      <c r="E121" s="66"/>
      <c r="F121" s="67"/>
      <c r="G121" s="67"/>
      <c r="H121" s="67"/>
      <c r="I121" s="67"/>
      <c r="J121" s="67"/>
      <c r="K121" s="67"/>
      <c r="L121" s="67"/>
      <c r="M121" s="63"/>
      <c r="N121" s="63"/>
      <c r="O121" s="63">
        <v>17647</v>
      </c>
      <c r="P121" s="67">
        <v>0</v>
      </c>
      <c r="Q121" s="67"/>
      <c r="R121" s="63">
        <v>131255</v>
      </c>
      <c r="S121" s="67">
        <v>337</v>
      </c>
      <c r="T121" s="67"/>
      <c r="U121" s="265"/>
      <c r="V121" s="93"/>
      <c r="W121" s="42"/>
    </row>
    <row r="122" spans="1:24" ht="18" customHeight="1" x14ac:dyDescent="0.2">
      <c r="A122" s="103"/>
      <c r="B122" s="104"/>
      <c r="C122" s="63"/>
      <c r="D122" s="63"/>
      <c r="E122" s="66"/>
      <c r="F122" s="67"/>
      <c r="G122" s="67"/>
      <c r="H122" s="67"/>
      <c r="I122" s="75"/>
      <c r="J122" s="75"/>
      <c r="K122" s="75"/>
      <c r="L122" s="75"/>
      <c r="M122" s="74"/>
      <c r="N122" s="70"/>
      <c r="O122" s="70"/>
      <c r="P122" s="75"/>
      <c r="Q122" s="75"/>
      <c r="R122" s="70"/>
      <c r="S122" s="75"/>
      <c r="T122" s="75"/>
      <c r="U122" s="266"/>
      <c r="V122" s="93"/>
    </row>
    <row r="123" spans="1:24" ht="18" customHeight="1" x14ac:dyDescent="0.2">
      <c r="A123" s="103"/>
      <c r="B123" s="104"/>
      <c r="C123" s="63"/>
      <c r="D123" s="63"/>
      <c r="E123" s="66"/>
      <c r="F123" s="67"/>
      <c r="G123" s="67"/>
      <c r="H123" s="67"/>
      <c r="I123" s="75"/>
      <c r="J123" s="75"/>
      <c r="K123" s="75"/>
      <c r="L123" s="75"/>
      <c r="M123" s="74"/>
      <c r="N123" s="70"/>
      <c r="O123" s="70"/>
      <c r="P123" s="75"/>
      <c r="Q123" s="75"/>
      <c r="R123" s="70"/>
      <c r="S123" s="75"/>
      <c r="T123" s="75"/>
      <c r="U123" s="266"/>
      <c r="V123" s="93"/>
    </row>
    <row r="124" spans="1:24" s="14" customFormat="1" ht="18" customHeight="1" x14ac:dyDescent="0.2">
      <c r="A124" s="112"/>
      <c r="B124" s="113"/>
      <c r="C124" s="97" t="s">
        <v>1658</v>
      </c>
      <c r="D124" s="97"/>
      <c r="E124" s="98"/>
      <c r="F124" s="99">
        <f t="shared" ref="F124:L124" si="31">+F109+F120+F13</f>
        <v>0</v>
      </c>
      <c r="G124" s="99">
        <f t="shared" si="31"/>
        <v>0</v>
      </c>
      <c r="H124" s="99">
        <f t="shared" si="31"/>
        <v>4337615.5999999996</v>
      </c>
      <c r="I124" s="99">
        <f t="shared" si="31"/>
        <v>4020346.45</v>
      </c>
      <c r="J124" s="99">
        <f t="shared" si="31"/>
        <v>174497.15000000002</v>
      </c>
      <c r="K124" s="99">
        <f t="shared" si="31"/>
        <v>0</v>
      </c>
      <c r="L124" s="99">
        <f t="shared" si="31"/>
        <v>0</v>
      </c>
      <c r="M124" s="96"/>
      <c r="N124" s="100"/>
      <c r="O124" s="99" t="e">
        <f>+O109+O120+#REF!+#REF!+#REF!</f>
        <v>#REF!</v>
      </c>
      <c r="P124" s="99" t="e">
        <f>+P109+P120+#REF!+#REF!+#REF!</f>
        <v>#REF!</v>
      </c>
      <c r="Q124" s="99"/>
      <c r="R124" s="99" t="e">
        <f>+R109+R120+#REF!+#REF!+#REF!</f>
        <v>#REF!</v>
      </c>
      <c r="S124" s="99" t="e">
        <f>+S109+S120+#REF!+#REF!+#REF!</f>
        <v>#REF!</v>
      </c>
      <c r="T124" s="99">
        <f>+T109+T120+T13</f>
        <v>36714</v>
      </c>
      <c r="U124" s="322">
        <f>+U109+U120+U13</f>
        <v>4158129.6</v>
      </c>
      <c r="V124" s="99">
        <f>+V109+V120+V13</f>
        <v>0</v>
      </c>
    </row>
    <row r="125" spans="1:24" ht="18" customHeight="1" x14ac:dyDescent="0.2">
      <c r="A125" s="41"/>
      <c r="B125" s="41"/>
      <c r="C125" s="41" t="s">
        <v>1659</v>
      </c>
      <c r="D125" s="42"/>
      <c r="E125" s="43"/>
      <c r="F125" s="9"/>
      <c r="G125" s="9"/>
      <c r="H125" s="9"/>
      <c r="I125" s="259">
        <v>4020346.45</v>
      </c>
      <c r="J125" s="9"/>
      <c r="K125" s="9"/>
      <c r="L125" s="9"/>
      <c r="N125" s="46"/>
      <c r="O125" s="46"/>
      <c r="P125" s="9"/>
      <c r="Q125" s="9"/>
      <c r="R125" s="46"/>
      <c r="S125" s="9"/>
      <c r="T125" s="9"/>
      <c r="U125" s="259">
        <v>4158129.6</v>
      </c>
      <c r="V125" s="10">
        <f>+U124-U125</f>
        <v>0</v>
      </c>
    </row>
    <row r="126" spans="1:24" ht="18" hidden="1" customHeight="1" x14ac:dyDescent="0.2">
      <c r="C126" s="42"/>
      <c r="D126" s="42"/>
      <c r="E126" s="43"/>
      <c r="F126" s="9"/>
      <c r="G126" s="9"/>
      <c r="H126" s="9">
        <f>+H124-H125</f>
        <v>4337615.5999999996</v>
      </c>
      <c r="I126" s="257"/>
      <c r="J126" s="10">
        <f>+J124-J125</f>
        <v>174497.15000000002</v>
      </c>
      <c r="K126" s="10"/>
      <c r="L126" s="10">
        <f>+K124-L124</f>
        <v>0</v>
      </c>
      <c r="P126" s="10"/>
      <c r="Q126" s="10"/>
      <c r="S126" s="10"/>
      <c r="T126" s="10"/>
      <c r="U126" s="257"/>
      <c r="V126" s="10"/>
    </row>
    <row r="127" spans="1:24" ht="18" customHeight="1" x14ac:dyDescent="0.2">
      <c r="A127" s="41"/>
      <c r="B127" s="41"/>
      <c r="C127" s="41"/>
      <c r="D127" s="41"/>
      <c r="E127" s="47"/>
      <c r="F127" s="48"/>
      <c r="G127" s="48"/>
      <c r="H127" s="48"/>
      <c r="I127" s="52" t="s">
        <v>1668</v>
      </c>
      <c r="J127" s="49"/>
      <c r="K127" s="10"/>
      <c r="L127" s="10">
        <f>+L125-L126</f>
        <v>0</v>
      </c>
      <c r="P127" s="10"/>
      <c r="Q127" s="10"/>
      <c r="S127" s="10"/>
      <c r="T127" s="10"/>
      <c r="U127" s="320" t="s">
        <v>1668</v>
      </c>
      <c r="V127" s="10">
        <f>+U124-U125</f>
        <v>0</v>
      </c>
    </row>
    <row r="128" spans="1:24" ht="18" customHeight="1" x14ac:dyDescent="0.2">
      <c r="C128" s="42"/>
      <c r="D128" s="42"/>
      <c r="E128" s="50"/>
      <c r="F128" s="51"/>
      <c r="G128" s="51"/>
      <c r="H128" s="42"/>
      <c r="I128" s="53" t="s">
        <v>1669</v>
      </c>
      <c r="P128" s="10"/>
      <c r="Q128" s="10"/>
      <c r="S128" s="10"/>
      <c r="T128" s="10"/>
      <c r="U128" s="320" t="s">
        <v>1669</v>
      </c>
      <c r="V128" s="10"/>
    </row>
    <row r="129" spans="3:22" ht="18" customHeight="1" x14ac:dyDescent="0.2">
      <c r="C129" s="15" t="s">
        <v>1663</v>
      </c>
      <c r="D129" s="42"/>
      <c r="E129" s="50"/>
      <c r="F129" s="51"/>
      <c r="G129" s="51"/>
      <c r="H129" s="42"/>
      <c r="I129" s="53">
        <v>43646</v>
      </c>
      <c r="P129" s="10"/>
      <c r="Q129" s="10"/>
      <c r="S129" s="10"/>
      <c r="T129" s="10"/>
      <c r="U129" s="320">
        <v>43830</v>
      </c>
      <c r="V129" s="10"/>
    </row>
    <row r="130" spans="3:22" ht="18" customHeight="1" x14ac:dyDescent="0.2">
      <c r="C130" s="42"/>
      <c r="D130" s="42"/>
      <c r="E130" s="50"/>
      <c r="F130" s="51"/>
      <c r="G130" s="51"/>
      <c r="H130" s="42"/>
      <c r="P130" s="10"/>
      <c r="Q130" s="10"/>
      <c r="S130" s="10"/>
      <c r="T130" s="10"/>
      <c r="U130" s="257"/>
      <c r="V130" s="10"/>
    </row>
    <row r="131" spans="3:22" x14ac:dyDescent="0.2">
      <c r="C131" s="42"/>
      <c r="D131" s="42"/>
      <c r="E131" s="50"/>
      <c r="F131" s="51"/>
      <c r="G131" s="51"/>
      <c r="H131" s="42"/>
      <c r="P131" s="10"/>
      <c r="Q131" s="10"/>
      <c r="S131" s="10"/>
      <c r="T131" s="10"/>
      <c r="U131" s="257"/>
      <c r="V131" s="10"/>
    </row>
    <row r="132" spans="3:22" x14ac:dyDescent="0.2">
      <c r="C132" s="42"/>
      <c r="D132" s="42"/>
      <c r="E132" s="50"/>
      <c r="F132" s="51"/>
      <c r="G132" s="51"/>
      <c r="H132" s="42"/>
      <c r="P132" s="10"/>
      <c r="Q132" s="10"/>
      <c r="S132" s="10"/>
      <c r="T132" s="10"/>
      <c r="U132" s="257"/>
      <c r="V132" s="10"/>
    </row>
    <row r="133" spans="3:22" x14ac:dyDescent="0.2">
      <c r="C133" s="42"/>
      <c r="D133" s="42"/>
      <c r="E133" s="50"/>
      <c r="F133" s="51"/>
      <c r="G133" s="51"/>
      <c r="H133" s="42"/>
      <c r="P133" s="10"/>
      <c r="Q133" s="10"/>
      <c r="S133" s="10"/>
      <c r="T133" s="10"/>
      <c r="U133" s="257"/>
      <c r="V133" s="10"/>
    </row>
    <row r="134" spans="3:22" x14ac:dyDescent="0.2">
      <c r="C134" s="42"/>
      <c r="D134" s="42"/>
      <c r="E134" s="50"/>
      <c r="F134" s="51"/>
      <c r="G134" s="51"/>
      <c r="H134" s="42"/>
      <c r="P134" s="10"/>
      <c r="Q134" s="10"/>
      <c r="S134" s="10"/>
      <c r="T134" s="10"/>
      <c r="U134" s="257"/>
      <c r="V134" s="10"/>
    </row>
    <row r="135" spans="3:22" x14ac:dyDescent="0.2">
      <c r="C135" s="42"/>
      <c r="D135" s="42"/>
      <c r="E135" s="50"/>
      <c r="F135" s="51"/>
      <c r="G135" s="51"/>
      <c r="H135" s="42"/>
      <c r="P135" s="10"/>
      <c r="Q135" s="10"/>
      <c r="S135" s="10"/>
      <c r="T135" s="10"/>
      <c r="U135" s="257"/>
      <c r="V135" s="10"/>
    </row>
    <row r="136" spans="3:22" x14ac:dyDescent="0.2">
      <c r="C136" s="42"/>
      <c r="D136" s="42"/>
      <c r="E136" s="50"/>
      <c r="F136" s="51"/>
      <c r="G136" s="51"/>
      <c r="H136" s="42"/>
      <c r="P136" s="10"/>
      <c r="Q136" s="10"/>
      <c r="S136" s="10"/>
      <c r="T136" s="10"/>
      <c r="U136" s="257"/>
      <c r="V136" s="10"/>
    </row>
    <row r="137" spans="3:22" x14ac:dyDescent="0.2">
      <c r="C137" s="42"/>
      <c r="D137" s="42"/>
      <c r="E137" s="50"/>
      <c r="F137" s="51"/>
      <c r="G137" s="51"/>
      <c r="H137" s="42"/>
      <c r="P137" s="10"/>
      <c r="Q137" s="10"/>
      <c r="S137" s="10"/>
      <c r="T137" s="10"/>
      <c r="U137" s="257"/>
      <c r="V137" s="10"/>
    </row>
    <row r="138" spans="3:22" x14ac:dyDescent="0.2">
      <c r="C138" s="42"/>
      <c r="D138" s="42"/>
      <c r="E138" s="50"/>
      <c r="F138" s="51"/>
      <c r="G138" s="51"/>
      <c r="H138" s="42"/>
      <c r="P138" s="10"/>
      <c r="Q138" s="10"/>
      <c r="S138" s="10"/>
      <c r="T138" s="10"/>
      <c r="U138" s="257"/>
      <c r="V138" s="10"/>
    </row>
    <row r="139" spans="3:22" x14ac:dyDescent="0.2">
      <c r="C139" s="42"/>
      <c r="D139" s="42"/>
      <c r="E139" s="50"/>
      <c r="F139" s="51"/>
      <c r="G139" s="51"/>
      <c r="H139" s="42"/>
      <c r="P139" s="10"/>
      <c r="Q139" s="10"/>
      <c r="S139" s="10"/>
      <c r="T139" s="10"/>
      <c r="U139" s="257"/>
      <c r="V139" s="10"/>
    </row>
    <row r="140" spans="3:22" x14ac:dyDescent="0.2">
      <c r="C140" s="42"/>
      <c r="D140" s="42"/>
      <c r="E140" s="50"/>
      <c r="F140" s="51"/>
      <c r="G140" s="51"/>
      <c r="H140" s="42"/>
      <c r="P140" s="10"/>
      <c r="Q140" s="10"/>
      <c r="S140" s="10"/>
      <c r="T140" s="10"/>
      <c r="U140" s="257"/>
      <c r="V140" s="10"/>
    </row>
    <row r="141" spans="3:22" x14ac:dyDescent="0.2">
      <c r="C141" s="42"/>
      <c r="D141" s="42"/>
      <c r="E141" s="50"/>
      <c r="F141" s="51"/>
      <c r="G141" s="51"/>
      <c r="H141" s="42"/>
      <c r="P141" s="10"/>
      <c r="Q141" s="10"/>
      <c r="S141" s="10"/>
      <c r="T141" s="10"/>
      <c r="U141" s="257"/>
      <c r="V141" s="10"/>
    </row>
    <row r="142" spans="3:22" x14ac:dyDescent="0.2">
      <c r="C142" s="42"/>
      <c r="D142" s="42"/>
      <c r="E142" s="50"/>
      <c r="F142" s="51"/>
      <c r="G142" s="51"/>
      <c r="H142" s="42"/>
      <c r="P142" s="10"/>
      <c r="Q142" s="10"/>
      <c r="S142" s="10"/>
      <c r="T142" s="10"/>
      <c r="U142" s="257"/>
      <c r="V142" s="10"/>
    </row>
    <row r="143" spans="3:22" x14ac:dyDescent="0.2">
      <c r="C143" s="42"/>
      <c r="D143" s="42"/>
      <c r="E143" s="50"/>
      <c r="F143" s="51"/>
      <c r="G143" s="51"/>
      <c r="H143" s="42"/>
      <c r="P143" s="10"/>
      <c r="Q143" s="10"/>
      <c r="S143" s="10"/>
      <c r="T143" s="10"/>
      <c r="U143" s="257"/>
      <c r="V143" s="10"/>
    </row>
    <row r="144" spans="3:22" x14ac:dyDescent="0.2">
      <c r="C144" s="42"/>
      <c r="D144" s="42"/>
      <c r="E144" s="50"/>
      <c r="F144" s="51"/>
      <c r="G144" s="51"/>
      <c r="P144" s="10"/>
      <c r="Q144" s="10"/>
      <c r="S144" s="10"/>
      <c r="T144" s="10"/>
      <c r="U144" s="257"/>
      <c r="V144" s="10"/>
    </row>
    <row r="145" spans="3:22" x14ac:dyDescent="0.2">
      <c r="C145" s="42"/>
      <c r="D145" s="42"/>
      <c r="E145" s="50"/>
      <c r="F145" s="51"/>
      <c r="G145" s="51"/>
      <c r="H145" s="42"/>
      <c r="P145" s="10"/>
      <c r="Q145" s="10"/>
      <c r="S145" s="10"/>
      <c r="T145" s="10"/>
      <c r="U145" s="257"/>
      <c r="V145" s="10"/>
    </row>
    <row r="146" spans="3:22" x14ac:dyDescent="0.2">
      <c r="P146" s="10"/>
      <c r="Q146" s="10"/>
      <c r="S146" s="10"/>
      <c r="T146" s="10"/>
      <c r="U146" s="257"/>
      <c r="V146" s="10"/>
    </row>
    <row r="147" spans="3:22" x14ac:dyDescent="0.2">
      <c r="P147" s="10"/>
      <c r="Q147" s="10"/>
      <c r="S147" s="10"/>
      <c r="T147" s="10"/>
      <c r="U147" s="257"/>
      <c r="V147" s="10"/>
    </row>
    <row r="148" spans="3:22" x14ac:dyDescent="0.2">
      <c r="F148" s="51"/>
      <c r="G148" s="51"/>
      <c r="H148" s="42"/>
      <c r="P148" s="10"/>
      <c r="Q148" s="10"/>
      <c r="S148" s="10"/>
      <c r="T148" s="10"/>
      <c r="U148" s="257"/>
      <c r="V148" s="10"/>
    </row>
    <row r="149" spans="3:22" x14ac:dyDescent="0.2">
      <c r="P149" s="10"/>
      <c r="Q149" s="10"/>
      <c r="S149" s="10"/>
      <c r="T149" s="10"/>
      <c r="U149" s="257"/>
      <c r="V149" s="10"/>
    </row>
    <row r="150" spans="3:22" x14ac:dyDescent="0.2">
      <c r="P150" s="10"/>
      <c r="Q150" s="10"/>
      <c r="S150" s="10"/>
      <c r="T150" s="10"/>
      <c r="U150" s="257"/>
      <c r="V150" s="10"/>
    </row>
    <row r="151" spans="3:22" x14ac:dyDescent="0.2">
      <c r="P151" s="10"/>
      <c r="Q151" s="10"/>
      <c r="S151" s="10"/>
      <c r="T151" s="10"/>
      <c r="U151" s="257"/>
      <c r="V151" s="10"/>
    </row>
    <row r="152" spans="3:22" x14ac:dyDescent="0.2">
      <c r="P152" s="10"/>
      <c r="Q152" s="10"/>
      <c r="S152" s="10"/>
      <c r="T152" s="10"/>
      <c r="U152" s="257"/>
      <c r="V152" s="10"/>
    </row>
    <row r="153" spans="3:22" x14ac:dyDescent="0.2">
      <c r="P153" s="10"/>
      <c r="Q153" s="10"/>
      <c r="S153" s="10"/>
      <c r="T153" s="10"/>
      <c r="U153" s="257"/>
      <c r="V153" s="10"/>
    </row>
    <row r="154" spans="3:22" x14ac:dyDescent="0.2">
      <c r="P154" s="10"/>
      <c r="Q154" s="10"/>
      <c r="S154" s="10"/>
      <c r="T154" s="10"/>
      <c r="U154" s="257"/>
      <c r="V154" s="10"/>
    </row>
    <row r="155" spans="3:22" x14ac:dyDescent="0.2">
      <c r="P155" s="10"/>
      <c r="Q155" s="10"/>
      <c r="S155" s="10"/>
      <c r="T155" s="10"/>
      <c r="U155" s="257"/>
      <c r="V155" s="10"/>
    </row>
    <row r="156" spans="3:22" x14ac:dyDescent="0.2">
      <c r="P156" s="10"/>
      <c r="Q156" s="10"/>
      <c r="S156" s="10"/>
      <c r="T156" s="10"/>
      <c r="U156" s="257"/>
      <c r="V156" s="10"/>
    </row>
    <row r="157" spans="3:22" x14ac:dyDescent="0.2">
      <c r="P157" s="10"/>
      <c r="Q157" s="10"/>
      <c r="S157" s="10"/>
      <c r="T157" s="10"/>
      <c r="U157" s="257"/>
      <c r="V157" s="10"/>
    </row>
    <row r="158" spans="3:22" x14ac:dyDescent="0.2">
      <c r="P158" s="10"/>
      <c r="Q158" s="10"/>
      <c r="S158" s="10"/>
      <c r="T158" s="10"/>
      <c r="U158" s="257"/>
      <c r="V158" s="10"/>
    </row>
    <row r="159" spans="3:22" x14ac:dyDescent="0.2">
      <c r="P159" s="10"/>
      <c r="Q159" s="10"/>
      <c r="S159" s="10"/>
      <c r="T159" s="10"/>
      <c r="U159" s="257"/>
      <c r="V159" s="10"/>
    </row>
    <row r="160" spans="3:22" x14ac:dyDescent="0.2">
      <c r="P160" s="10"/>
      <c r="Q160" s="10"/>
      <c r="S160" s="10"/>
      <c r="T160" s="10"/>
      <c r="U160" s="257"/>
      <c r="V160" s="10"/>
    </row>
    <row r="161" spans="16:22" x14ac:dyDescent="0.2">
      <c r="P161" s="10"/>
      <c r="Q161" s="10"/>
      <c r="S161" s="10"/>
      <c r="T161" s="10"/>
      <c r="U161" s="257"/>
      <c r="V161" s="10"/>
    </row>
    <row r="162" spans="16:22" x14ac:dyDescent="0.2">
      <c r="P162" s="10"/>
      <c r="Q162" s="10"/>
      <c r="S162" s="10"/>
      <c r="T162" s="10"/>
      <c r="U162" s="257"/>
      <c r="V162" s="10"/>
    </row>
    <row r="163" spans="16:22" x14ac:dyDescent="0.2">
      <c r="P163" s="10"/>
      <c r="Q163" s="10"/>
      <c r="S163" s="10"/>
      <c r="T163" s="10"/>
      <c r="U163" s="257"/>
      <c r="V163" s="10"/>
    </row>
    <row r="164" spans="16:22" x14ac:dyDescent="0.2">
      <c r="P164" s="10"/>
      <c r="Q164" s="10"/>
      <c r="S164" s="10"/>
      <c r="T164" s="10"/>
      <c r="U164" s="257"/>
      <c r="V164" s="10"/>
    </row>
    <row r="165" spans="16:22" x14ac:dyDescent="0.2">
      <c r="P165" s="10"/>
      <c r="Q165" s="10"/>
      <c r="S165" s="10"/>
      <c r="T165" s="10"/>
      <c r="U165" s="257"/>
      <c r="V165" s="10"/>
    </row>
    <row r="166" spans="16:22" x14ac:dyDescent="0.2">
      <c r="P166" s="10"/>
      <c r="Q166" s="10"/>
      <c r="S166" s="10"/>
      <c r="T166" s="10"/>
      <c r="U166" s="257"/>
      <c r="V166" s="10"/>
    </row>
    <row r="167" spans="16:22" x14ac:dyDescent="0.2">
      <c r="P167" s="10"/>
      <c r="Q167" s="10"/>
      <c r="S167" s="10"/>
      <c r="T167" s="10"/>
      <c r="U167" s="257"/>
      <c r="V167" s="10"/>
    </row>
    <row r="168" spans="16:22" x14ac:dyDescent="0.2">
      <c r="P168" s="10"/>
      <c r="Q168" s="10"/>
      <c r="S168" s="10"/>
      <c r="T168" s="10"/>
      <c r="U168" s="257"/>
      <c r="V168" s="10"/>
    </row>
    <row r="169" spans="16:22" x14ac:dyDescent="0.2">
      <c r="P169" s="10"/>
      <c r="Q169" s="10"/>
      <c r="S169" s="10"/>
      <c r="T169" s="10"/>
      <c r="U169" s="257"/>
      <c r="V169" s="10"/>
    </row>
    <row r="170" spans="16:22" x14ac:dyDescent="0.2">
      <c r="P170" s="10"/>
      <c r="Q170" s="10"/>
      <c r="S170" s="10"/>
      <c r="T170" s="10"/>
      <c r="U170" s="257"/>
      <c r="V170" s="10"/>
    </row>
    <row r="171" spans="16:22" x14ac:dyDescent="0.2">
      <c r="P171" s="10"/>
      <c r="Q171" s="10"/>
      <c r="S171" s="10"/>
      <c r="T171" s="10"/>
      <c r="U171" s="257"/>
    </row>
    <row r="172" spans="16:22" x14ac:dyDescent="0.2">
      <c r="P172" s="10"/>
      <c r="Q172" s="10"/>
      <c r="S172" s="10"/>
      <c r="T172" s="10"/>
      <c r="U172" s="257"/>
    </row>
    <row r="173" spans="16:22" x14ac:dyDescent="0.2">
      <c r="P173" s="10"/>
      <c r="Q173" s="10"/>
      <c r="S173" s="10"/>
      <c r="T173" s="10"/>
      <c r="U173" s="257"/>
    </row>
    <row r="174" spans="16:22" x14ac:dyDescent="0.2">
      <c r="P174" s="10"/>
      <c r="Q174" s="10"/>
      <c r="S174" s="10"/>
      <c r="T174" s="10"/>
      <c r="U174" s="257"/>
    </row>
    <row r="175" spans="16:22" x14ac:dyDescent="0.2">
      <c r="P175" s="10"/>
      <c r="Q175" s="10"/>
      <c r="S175" s="10"/>
      <c r="T175" s="10"/>
      <c r="U175" s="257"/>
    </row>
    <row r="176" spans="16:22" x14ac:dyDescent="0.2">
      <c r="P176" s="10"/>
      <c r="Q176" s="10"/>
      <c r="S176" s="10"/>
      <c r="T176" s="10"/>
      <c r="U176" s="257"/>
    </row>
    <row r="177" spans="16:21" x14ac:dyDescent="0.2">
      <c r="P177" s="10"/>
      <c r="Q177" s="10"/>
      <c r="S177" s="10"/>
      <c r="T177" s="10"/>
      <c r="U177" s="257"/>
    </row>
    <row r="178" spans="16:21" x14ac:dyDescent="0.2">
      <c r="P178" s="10"/>
      <c r="Q178" s="10"/>
      <c r="S178" s="10"/>
      <c r="T178" s="10"/>
      <c r="U178" s="257"/>
    </row>
  </sheetData>
  <mergeCells count="2">
    <mergeCell ref="D1:U1"/>
    <mergeCell ref="D2:U2"/>
  </mergeCells>
  <phoneticPr fontId="15" type="noConversion"/>
  <pageMargins left="0.23622047244094491" right="0.23622047244094491" top="0.74803149606299213" bottom="0.74803149606299213" header="0.31496062992125984" footer="0.31496062992125984"/>
  <pageSetup paperSize="9" scale="67" fitToHeight="5" orientation="landscape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A8C61-8D3C-40D9-94C2-FCACE291EFE4}">
  <dimension ref="A1:N197"/>
  <sheetViews>
    <sheetView topLeftCell="A60" workbookViewId="0">
      <selection activeCell="E65" sqref="E65"/>
    </sheetView>
  </sheetViews>
  <sheetFormatPr defaultColWidth="9.140625" defaultRowHeight="12.75" x14ac:dyDescent="0.2"/>
  <cols>
    <col min="1" max="1" width="20.7109375" style="132" customWidth="1"/>
    <col min="2" max="2" width="9.140625" style="132"/>
    <col min="3" max="3" width="15.5703125" style="132" bestFit="1" customWidth="1"/>
    <col min="4" max="4" width="4" style="132" bestFit="1" customWidth="1"/>
    <col min="5" max="5" width="78.28515625" style="132" bestFit="1" customWidth="1"/>
    <col min="6" max="6" width="15.5703125" style="132" customWidth="1"/>
    <col min="7" max="7" width="15.28515625" style="132" customWidth="1"/>
    <col min="8" max="9" width="13.28515625" style="132" customWidth="1"/>
    <col min="10" max="10" width="12.7109375" style="134" bestFit="1" customWidth="1"/>
    <col min="11" max="11" width="13.140625" style="134" bestFit="1" customWidth="1"/>
    <col min="12" max="12" width="17.7109375" style="134" customWidth="1"/>
    <col min="13" max="13" width="12.42578125" style="132" bestFit="1" customWidth="1"/>
    <col min="14" max="14" width="9.7109375" style="132" bestFit="1" customWidth="1"/>
    <col min="15" max="16384" width="9.140625" style="132"/>
  </cols>
  <sheetData>
    <row r="1" spans="1:12" ht="15" x14ac:dyDescent="0.25">
      <c r="B1" s="294" t="s">
        <v>1826</v>
      </c>
    </row>
    <row r="2" spans="1:12" ht="15" x14ac:dyDescent="0.25">
      <c r="C2" s="135">
        <v>43647</v>
      </c>
      <c r="E2" s="133" t="s">
        <v>1827</v>
      </c>
      <c r="F2" s="133"/>
      <c r="G2" s="133"/>
      <c r="H2" s="133"/>
      <c r="I2" s="133"/>
      <c r="K2" s="136">
        <v>2078367.5</v>
      </c>
    </row>
    <row r="3" spans="1:12" ht="15" x14ac:dyDescent="0.25">
      <c r="C3" s="135"/>
      <c r="E3" s="137" t="s">
        <v>1828</v>
      </c>
      <c r="F3" s="137"/>
      <c r="G3" s="137"/>
      <c r="H3" s="137"/>
      <c r="I3" s="137"/>
    </row>
    <row r="4" spans="1:12" ht="15" x14ac:dyDescent="0.25">
      <c r="A4" s="132" t="s">
        <v>1833</v>
      </c>
      <c r="C4" s="135">
        <v>43709</v>
      </c>
      <c r="E4" s="138" t="s">
        <v>2169</v>
      </c>
      <c r="F4" s="138"/>
      <c r="G4" s="138"/>
      <c r="H4" s="138"/>
      <c r="I4" s="138"/>
      <c r="J4" s="295">
        <v>6035.85</v>
      </c>
      <c r="K4" s="132"/>
    </row>
    <row r="5" spans="1:12" ht="15" x14ac:dyDescent="0.25">
      <c r="A5" s="132" t="s">
        <v>1841</v>
      </c>
      <c r="C5" s="135">
        <v>43709</v>
      </c>
      <c r="E5" s="138" t="s">
        <v>2170</v>
      </c>
      <c r="F5" s="138"/>
      <c r="G5" s="138"/>
      <c r="H5" s="138"/>
      <c r="I5" s="138"/>
      <c r="J5" s="295">
        <v>1365</v>
      </c>
      <c r="K5" s="132"/>
    </row>
    <row r="6" spans="1:12" ht="15" x14ac:dyDescent="0.25">
      <c r="C6" s="135"/>
      <c r="E6" s="138"/>
      <c r="F6" s="138"/>
      <c r="G6" s="138"/>
      <c r="H6" s="138"/>
      <c r="I6" s="138"/>
      <c r="J6" s="295"/>
      <c r="K6" s="132"/>
    </row>
    <row r="7" spans="1:12" ht="15" x14ac:dyDescent="0.25">
      <c r="C7" s="135"/>
      <c r="E7" s="138"/>
      <c r="F7" s="138"/>
      <c r="G7" s="138"/>
      <c r="H7" s="138"/>
      <c r="I7" s="138"/>
      <c r="J7" s="140"/>
      <c r="K7" s="134">
        <f>SUM(J4:J7)</f>
        <v>7400.85</v>
      </c>
      <c r="L7" s="132"/>
    </row>
    <row r="8" spans="1:12" ht="15" x14ac:dyDescent="0.25">
      <c r="C8" s="135"/>
      <c r="E8" s="137" t="s">
        <v>1838</v>
      </c>
      <c r="F8" s="137"/>
      <c r="G8" s="137"/>
      <c r="H8" s="137"/>
      <c r="I8" s="137"/>
      <c r="J8" s="141"/>
      <c r="L8" s="132"/>
    </row>
    <row r="9" spans="1:12" ht="15" x14ac:dyDescent="0.25">
      <c r="A9" s="132" t="s">
        <v>1841</v>
      </c>
      <c r="C9" s="135">
        <v>43647</v>
      </c>
      <c r="E9" s="138" t="s">
        <v>2171</v>
      </c>
      <c r="F9" s="138"/>
      <c r="G9" s="138"/>
      <c r="H9" s="138"/>
      <c r="I9" s="138"/>
      <c r="J9" s="141">
        <v>6012.5</v>
      </c>
      <c r="L9" s="132"/>
    </row>
    <row r="10" spans="1:12" ht="15" x14ac:dyDescent="0.25">
      <c r="C10" s="135"/>
      <c r="E10" s="138"/>
      <c r="F10" s="138"/>
      <c r="G10" s="138"/>
      <c r="H10" s="138"/>
      <c r="I10" s="138"/>
      <c r="J10" s="141"/>
      <c r="L10" s="132"/>
    </row>
    <row r="11" spans="1:12" ht="15" x14ac:dyDescent="0.25">
      <c r="C11" s="135"/>
      <c r="E11" s="138"/>
      <c r="F11" s="138"/>
      <c r="G11" s="138"/>
      <c r="H11" s="138"/>
      <c r="I11" s="138"/>
      <c r="J11" s="140"/>
      <c r="K11" s="134">
        <f>SUM(J9:J11)</f>
        <v>6012.5</v>
      </c>
      <c r="L11" s="132"/>
    </row>
    <row r="12" spans="1:12" ht="15" x14ac:dyDescent="0.25">
      <c r="C12" s="135"/>
      <c r="E12" s="137" t="s">
        <v>1852</v>
      </c>
      <c r="F12" s="137"/>
      <c r="G12" s="137"/>
      <c r="H12" s="137"/>
      <c r="I12" s="137"/>
    </row>
    <row r="13" spans="1:12" ht="15" x14ac:dyDescent="0.25">
      <c r="A13" s="132" t="s">
        <v>1841</v>
      </c>
      <c r="C13" s="135">
        <v>43647</v>
      </c>
      <c r="E13" s="138" t="s">
        <v>2172</v>
      </c>
      <c r="F13" s="138"/>
      <c r="G13" s="138"/>
      <c r="H13" s="138"/>
      <c r="I13" s="138"/>
      <c r="J13" s="295">
        <v>520</v>
      </c>
      <c r="K13" s="132"/>
      <c r="L13" s="132"/>
    </row>
    <row r="14" spans="1:12" ht="15" x14ac:dyDescent="0.25">
      <c r="A14" s="132" t="s">
        <v>1841</v>
      </c>
      <c r="C14" s="135">
        <v>43709</v>
      </c>
      <c r="E14" s="138" t="s">
        <v>2173</v>
      </c>
      <c r="F14" s="138"/>
      <c r="G14" s="138"/>
      <c r="H14" s="138"/>
      <c r="I14" s="138"/>
      <c r="J14" s="134">
        <v>1950</v>
      </c>
    </row>
    <row r="15" spans="1:12" ht="15" x14ac:dyDescent="0.25">
      <c r="A15" s="132" t="s">
        <v>1841</v>
      </c>
      <c r="C15" s="135">
        <v>43738</v>
      </c>
      <c r="E15" s="138" t="s">
        <v>2174</v>
      </c>
      <c r="F15" s="138"/>
      <c r="G15" s="138"/>
      <c r="H15" s="138"/>
      <c r="I15" s="138"/>
      <c r="J15" s="134">
        <v>975</v>
      </c>
    </row>
    <row r="16" spans="1:12" ht="15" x14ac:dyDescent="0.25">
      <c r="A16" s="132" t="s">
        <v>2175</v>
      </c>
      <c r="C16" s="135">
        <v>43740</v>
      </c>
      <c r="E16" s="138" t="s">
        <v>2176</v>
      </c>
      <c r="F16" s="138"/>
      <c r="G16" s="138"/>
      <c r="H16" s="138"/>
      <c r="I16" s="138"/>
      <c r="J16" s="132">
        <v>325.47000000000003</v>
      </c>
      <c r="K16" s="132"/>
    </row>
    <row r="17" spans="1:12" ht="15" x14ac:dyDescent="0.25">
      <c r="A17" s="132" t="s">
        <v>2175</v>
      </c>
      <c r="C17" s="135">
        <v>43760</v>
      </c>
      <c r="E17" s="138" t="s">
        <v>2177</v>
      </c>
      <c r="F17" s="138"/>
      <c r="G17" s="138"/>
      <c r="H17" s="138"/>
      <c r="I17" s="138"/>
      <c r="J17" s="134">
        <v>934</v>
      </c>
    </row>
    <row r="18" spans="1:12" ht="15" x14ac:dyDescent="0.25">
      <c r="A18" s="132" t="s">
        <v>2178</v>
      </c>
      <c r="C18" s="135">
        <v>43767</v>
      </c>
      <c r="E18" s="138" t="s">
        <v>2179</v>
      </c>
      <c r="F18" s="138"/>
      <c r="G18" s="138"/>
      <c r="H18" s="138"/>
      <c r="I18" s="138"/>
      <c r="J18" s="141">
        <v>2300</v>
      </c>
    </row>
    <row r="19" spans="1:12" ht="15" x14ac:dyDescent="0.25">
      <c r="A19" s="132" t="s">
        <v>1841</v>
      </c>
      <c r="C19" s="135">
        <v>43769</v>
      </c>
      <c r="E19" s="138" t="s">
        <v>2174</v>
      </c>
      <c r="F19" s="138"/>
      <c r="G19" s="138"/>
      <c r="H19" s="138"/>
      <c r="I19" s="138"/>
      <c r="J19" s="134">
        <v>5850</v>
      </c>
    </row>
    <row r="20" spans="1:12" ht="15" x14ac:dyDescent="0.25">
      <c r="A20" s="132" t="s">
        <v>1841</v>
      </c>
      <c r="C20" s="135">
        <v>43799</v>
      </c>
      <c r="E20" s="138" t="s">
        <v>2180</v>
      </c>
      <c r="F20" s="138"/>
      <c r="G20" s="138"/>
      <c r="H20" s="138"/>
      <c r="I20" s="138"/>
      <c r="J20" s="134">
        <v>812.5</v>
      </c>
    </row>
    <row r="21" spans="1:12" ht="15" x14ac:dyDescent="0.25">
      <c r="A21" s="132" t="s">
        <v>2181</v>
      </c>
      <c r="C21" s="135">
        <v>43774</v>
      </c>
      <c r="E21" s="138" t="s">
        <v>2182</v>
      </c>
      <c r="F21" s="138"/>
      <c r="G21" s="138"/>
      <c r="H21" s="138"/>
      <c r="I21" s="138"/>
      <c r="J21" s="296">
        <v>3555.1</v>
      </c>
      <c r="K21" s="132"/>
      <c r="L21" s="132"/>
    </row>
    <row r="22" spans="1:12" ht="15" x14ac:dyDescent="0.25">
      <c r="A22" s="132" t="s">
        <v>1841</v>
      </c>
      <c r="C22" s="135">
        <v>43799</v>
      </c>
      <c r="E22" s="138" t="s">
        <v>2183</v>
      </c>
      <c r="F22" s="138"/>
      <c r="G22" s="138"/>
      <c r="H22" s="138"/>
      <c r="I22" s="138"/>
      <c r="J22" s="141">
        <v>195</v>
      </c>
      <c r="K22" s="296"/>
      <c r="L22" s="132"/>
    </row>
    <row r="23" spans="1:12" ht="15" x14ac:dyDescent="0.25">
      <c r="A23" s="132" t="s">
        <v>2184</v>
      </c>
      <c r="C23" s="135">
        <v>43818</v>
      </c>
      <c r="E23" s="138" t="s">
        <v>2185</v>
      </c>
      <c r="F23" s="138"/>
      <c r="G23" s="138"/>
      <c r="H23" s="138"/>
      <c r="I23" s="138"/>
      <c r="J23" s="134">
        <v>1195</v>
      </c>
    </row>
    <row r="24" spans="1:12" ht="15" x14ac:dyDescent="0.25">
      <c r="C24" s="135"/>
      <c r="E24" s="138"/>
      <c r="F24" s="138"/>
      <c r="G24" s="138"/>
      <c r="H24" s="138"/>
      <c r="I24" s="138"/>
      <c r="J24" s="140"/>
      <c r="K24" s="134">
        <f>SUM(J13:J24)</f>
        <v>18612.07</v>
      </c>
      <c r="L24" s="132"/>
    </row>
    <row r="25" spans="1:12" ht="15" x14ac:dyDescent="0.25">
      <c r="C25" s="135"/>
      <c r="E25" s="137" t="s">
        <v>53</v>
      </c>
      <c r="F25" s="137"/>
      <c r="G25" s="137"/>
      <c r="H25" s="137"/>
      <c r="I25" s="137"/>
    </row>
    <row r="26" spans="1:12" ht="15" x14ac:dyDescent="0.25">
      <c r="A26" s="132" t="s">
        <v>1841</v>
      </c>
      <c r="C26" s="135">
        <v>43647</v>
      </c>
      <c r="E26" s="138" t="s">
        <v>2186</v>
      </c>
      <c r="F26" s="138"/>
      <c r="G26" s="138"/>
      <c r="H26" s="138"/>
      <c r="I26" s="138"/>
      <c r="J26" s="141">
        <v>520</v>
      </c>
      <c r="K26" s="132"/>
      <c r="L26" s="132"/>
    </row>
    <row r="27" spans="1:12" ht="15" x14ac:dyDescent="0.25">
      <c r="A27" s="132" t="s">
        <v>2187</v>
      </c>
      <c r="C27" s="135">
        <v>43658</v>
      </c>
      <c r="E27" s="138" t="s">
        <v>2188</v>
      </c>
      <c r="F27" s="138"/>
      <c r="G27" s="138"/>
      <c r="H27" s="138"/>
      <c r="I27" s="138"/>
      <c r="J27" s="141">
        <v>616.79999999999995</v>
      </c>
      <c r="K27" s="132"/>
      <c r="L27" s="132"/>
    </row>
    <row r="28" spans="1:12" ht="15" x14ac:dyDescent="0.25">
      <c r="A28" s="132" t="s">
        <v>1865</v>
      </c>
      <c r="C28" s="135">
        <v>43671</v>
      </c>
      <c r="E28" s="138" t="s">
        <v>2189</v>
      </c>
      <c r="F28" s="138"/>
      <c r="G28" s="138"/>
      <c r="H28" s="138"/>
      <c r="I28" s="138"/>
      <c r="J28" s="141">
        <v>985.92</v>
      </c>
      <c r="K28" s="132"/>
      <c r="L28" s="132"/>
    </row>
    <row r="29" spans="1:12" ht="15" x14ac:dyDescent="0.25">
      <c r="A29" s="132" t="s">
        <v>2190</v>
      </c>
      <c r="C29" s="135">
        <v>43671</v>
      </c>
      <c r="E29" s="138" t="s">
        <v>2191</v>
      </c>
      <c r="F29" s="138"/>
      <c r="G29" s="138"/>
      <c r="H29" s="138"/>
      <c r="I29" s="138"/>
      <c r="J29" s="141">
        <v>351.9</v>
      </c>
      <c r="K29" s="132"/>
      <c r="L29" s="132"/>
    </row>
    <row r="30" spans="1:12" ht="15" x14ac:dyDescent="0.25">
      <c r="A30" s="132" t="s">
        <v>1841</v>
      </c>
      <c r="C30" s="135">
        <v>43677</v>
      </c>
      <c r="E30" s="138" t="s">
        <v>2186</v>
      </c>
      <c r="F30" s="138"/>
      <c r="G30" s="138"/>
      <c r="H30" s="138"/>
      <c r="I30" s="138"/>
      <c r="J30" s="141">
        <v>4225</v>
      </c>
      <c r="K30" s="132"/>
      <c r="L30" s="132"/>
    </row>
    <row r="31" spans="1:12" ht="15" x14ac:dyDescent="0.25">
      <c r="A31" s="132" t="s">
        <v>2190</v>
      </c>
      <c r="C31" s="135">
        <v>43689</v>
      </c>
      <c r="E31" s="138" t="s">
        <v>2192</v>
      </c>
      <c r="F31" s="138"/>
      <c r="G31" s="138"/>
      <c r="H31" s="138"/>
      <c r="I31" s="138"/>
      <c r="J31" s="141">
        <v>1759.25</v>
      </c>
      <c r="K31" s="132"/>
      <c r="L31" s="132"/>
    </row>
    <row r="32" spans="1:12" ht="15" x14ac:dyDescent="0.25">
      <c r="A32" s="132" t="s">
        <v>1860</v>
      </c>
      <c r="C32" s="135">
        <v>43689</v>
      </c>
      <c r="E32" s="138" t="s">
        <v>2193</v>
      </c>
      <c r="F32" s="138"/>
      <c r="G32" s="138"/>
      <c r="H32" s="138"/>
      <c r="I32" s="138"/>
      <c r="J32" s="295">
        <v>520</v>
      </c>
      <c r="K32" s="132"/>
      <c r="L32" s="132"/>
    </row>
    <row r="33" spans="1:11" s="132" customFormat="1" ht="15" x14ac:dyDescent="0.25">
      <c r="A33" s="132" t="s">
        <v>2187</v>
      </c>
      <c r="C33" s="135">
        <v>43690</v>
      </c>
      <c r="E33" s="138" t="s">
        <v>2194</v>
      </c>
      <c r="F33" s="138"/>
      <c r="G33" s="138"/>
      <c r="H33" s="138"/>
      <c r="I33" s="138"/>
      <c r="J33" s="141">
        <v>328.2</v>
      </c>
    </row>
    <row r="34" spans="1:11" s="132" customFormat="1" ht="15" x14ac:dyDescent="0.25">
      <c r="A34" s="132" t="s">
        <v>2187</v>
      </c>
      <c r="C34" s="135">
        <v>43703</v>
      </c>
      <c r="E34" s="138" t="s">
        <v>2195</v>
      </c>
      <c r="F34" s="138"/>
      <c r="G34" s="138"/>
      <c r="H34" s="138"/>
      <c r="I34" s="138"/>
      <c r="J34" s="141">
        <v>333.6</v>
      </c>
    </row>
    <row r="35" spans="1:11" s="132" customFormat="1" ht="15" x14ac:dyDescent="0.25">
      <c r="A35" s="132" t="s">
        <v>1841</v>
      </c>
      <c r="C35" s="135">
        <v>43709</v>
      </c>
      <c r="E35" s="138" t="s">
        <v>2186</v>
      </c>
      <c r="F35" s="138"/>
      <c r="G35" s="138"/>
      <c r="H35" s="138"/>
      <c r="I35" s="138"/>
      <c r="J35" s="141">
        <v>3217.5</v>
      </c>
    </row>
    <row r="36" spans="1:11" s="132" customFormat="1" ht="15" x14ac:dyDescent="0.25">
      <c r="A36" s="132" t="s">
        <v>2187</v>
      </c>
      <c r="C36" s="135">
        <v>43747</v>
      </c>
      <c r="E36" s="138" t="s">
        <v>2196</v>
      </c>
      <c r="F36" s="138"/>
      <c r="G36" s="138"/>
      <c r="H36" s="138"/>
      <c r="I36" s="138"/>
      <c r="J36" s="141">
        <v>2644.8</v>
      </c>
    </row>
    <row r="37" spans="1:11" s="132" customFormat="1" ht="15" x14ac:dyDescent="0.25">
      <c r="A37" s="132" t="s">
        <v>2190</v>
      </c>
      <c r="C37" s="135">
        <v>43780</v>
      </c>
      <c r="E37" s="138" t="s">
        <v>2194</v>
      </c>
      <c r="F37" s="138"/>
      <c r="G37" s="138"/>
      <c r="H37" s="138"/>
      <c r="I37" s="138"/>
      <c r="J37" s="141">
        <f>1075.25-391.25</f>
        <v>684</v>
      </c>
    </row>
    <row r="38" spans="1:11" s="132" customFormat="1" ht="15" x14ac:dyDescent="0.25">
      <c r="A38" s="132" t="s">
        <v>1865</v>
      </c>
      <c r="C38" s="135">
        <v>43781</v>
      </c>
      <c r="E38" s="138" t="s">
        <v>2194</v>
      </c>
      <c r="F38" s="138"/>
      <c r="G38" s="138"/>
      <c r="H38" s="138"/>
      <c r="I38" s="138"/>
      <c r="J38" s="141">
        <v>1559.6</v>
      </c>
    </row>
    <row r="39" spans="1:11" s="132" customFormat="1" ht="15" x14ac:dyDescent="0.25">
      <c r="A39" s="132" t="s">
        <v>2190</v>
      </c>
      <c r="C39" s="135">
        <v>43782</v>
      </c>
      <c r="E39" s="138" t="s">
        <v>2197</v>
      </c>
      <c r="F39" s="138"/>
      <c r="G39" s="138"/>
      <c r="H39" s="138"/>
      <c r="I39" s="138"/>
      <c r="J39" s="141">
        <v>389</v>
      </c>
    </row>
    <row r="40" spans="1:11" s="132" customFormat="1" ht="15" x14ac:dyDescent="0.25">
      <c r="A40" s="132" t="s">
        <v>1841</v>
      </c>
      <c r="C40" s="135">
        <v>43799</v>
      </c>
      <c r="E40" s="138" t="s">
        <v>2198</v>
      </c>
      <c r="F40" s="138"/>
      <c r="G40" s="138"/>
      <c r="H40" s="138"/>
      <c r="I40" s="138"/>
      <c r="J40" s="141">
        <v>4127.5</v>
      </c>
    </row>
    <row r="41" spans="1:11" s="132" customFormat="1" ht="15" x14ac:dyDescent="0.25">
      <c r="A41" s="132" t="s">
        <v>1860</v>
      </c>
      <c r="C41" s="135">
        <v>43805</v>
      </c>
      <c r="E41" s="138" t="s">
        <v>2193</v>
      </c>
      <c r="F41" s="138"/>
      <c r="G41" s="138"/>
      <c r="H41" s="138"/>
      <c r="I41" s="138"/>
      <c r="J41" s="141">
        <v>710</v>
      </c>
    </row>
    <row r="42" spans="1:11" s="132" customFormat="1" ht="15" x14ac:dyDescent="0.25">
      <c r="A42" s="132" t="s">
        <v>2187</v>
      </c>
      <c r="C42" s="135">
        <v>43815</v>
      </c>
      <c r="E42" s="138" t="s">
        <v>2199</v>
      </c>
      <c r="F42" s="138"/>
      <c r="G42" s="138"/>
      <c r="H42" s="138"/>
      <c r="I42" s="138"/>
      <c r="J42" s="141">
        <v>567.20000000000005</v>
      </c>
    </row>
    <row r="43" spans="1:11" s="132" customFormat="1" ht="15" x14ac:dyDescent="0.25">
      <c r="A43" s="132" t="s">
        <v>1841</v>
      </c>
      <c r="C43" s="135">
        <v>43830</v>
      </c>
      <c r="E43" s="138" t="s">
        <v>2200</v>
      </c>
      <c r="F43" s="138"/>
      <c r="G43" s="138"/>
      <c r="H43" s="138"/>
      <c r="I43" s="138"/>
      <c r="J43" s="140">
        <v>6045</v>
      </c>
      <c r="K43" s="134">
        <f>SUM(J26:J43)</f>
        <v>29585.27</v>
      </c>
    </row>
    <row r="44" spans="1:11" s="132" customFormat="1" ht="15" x14ac:dyDescent="0.25">
      <c r="C44" s="135"/>
      <c r="E44" s="138"/>
      <c r="F44" s="138"/>
      <c r="G44" s="138"/>
      <c r="H44" s="138"/>
      <c r="I44" s="138"/>
      <c r="J44" s="141"/>
      <c r="K44" s="134"/>
    </row>
    <row r="45" spans="1:11" s="132" customFormat="1" ht="15" x14ac:dyDescent="0.25">
      <c r="C45" s="135"/>
      <c r="E45" s="138"/>
      <c r="F45" s="138"/>
      <c r="G45" s="138"/>
      <c r="H45" s="138"/>
      <c r="I45" s="138"/>
      <c r="J45" s="141"/>
      <c r="K45" s="296"/>
    </row>
    <row r="46" spans="1:11" s="132" customFormat="1" ht="15" x14ac:dyDescent="0.25">
      <c r="C46" s="135"/>
      <c r="E46" s="137" t="s">
        <v>2201</v>
      </c>
      <c r="F46" s="137"/>
      <c r="G46" s="137"/>
      <c r="H46" s="137"/>
      <c r="I46" s="137"/>
      <c r="K46" s="141"/>
    </row>
    <row r="47" spans="1:11" s="132" customFormat="1" ht="15" x14ac:dyDescent="0.25">
      <c r="A47" s="132" t="s">
        <v>1841</v>
      </c>
      <c r="C47" s="135">
        <v>43709</v>
      </c>
      <c r="E47" s="138" t="s">
        <v>2202</v>
      </c>
      <c r="F47" s="138"/>
      <c r="G47" s="138"/>
      <c r="H47" s="138"/>
      <c r="I47" s="138"/>
      <c r="J47" s="132">
        <v>1982.5</v>
      </c>
    </row>
    <row r="48" spans="1:11" s="132" customFormat="1" ht="15" x14ac:dyDescent="0.25">
      <c r="A48" s="132" t="s">
        <v>2203</v>
      </c>
      <c r="C48" s="135">
        <v>43739</v>
      </c>
      <c r="E48" s="138" t="s">
        <v>2201</v>
      </c>
      <c r="F48" s="138"/>
      <c r="G48" s="138"/>
      <c r="H48" s="138"/>
      <c r="I48" s="138"/>
      <c r="J48" s="132">
        <v>4342.7299999999996</v>
      </c>
      <c r="K48" s="141"/>
    </row>
    <row r="49" spans="1:14" ht="15" x14ac:dyDescent="0.25">
      <c r="C49" s="135"/>
      <c r="E49" s="138"/>
      <c r="F49" s="138"/>
      <c r="G49" s="138"/>
      <c r="H49" s="138"/>
      <c r="I49" s="138"/>
      <c r="J49" s="140"/>
      <c r="K49" s="296">
        <f>SUM(J47:J49)</f>
        <v>6325.23</v>
      </c>
      <c r="L49" s="132"/>
    </row>
    <row r="50" spans="1:14" x14ac:dyDescent="0.2">
      <c r="C50" s="135"/>
      <c r="J50" s="132"/>
      <c r="K50" s="141"/>
      <c r="L50" s="132"/>
    </row>
    <row r="51" spans="1:14" x14ac:dyDescent="0.2">
      <c r="A51" s="132" t="s">
        <v>2204</v>
      </c>
      <c r="C51" s="135">
        <v>43689</v>
      </c>
      <c r="E51" s="132" t="s">
        <v>2205</v>
      </c>
      <c r="J51" s="132"/>
      <c r="K51" s="141">
        <v>1657.6</v>
      </c>
      <c r="L51" s="132"/>
    </row>
    <row r="52" spans="1:14" x14ac:dyDescent="0.2">
      <c r="A52" s="132" t="s">
        <v>2206</v>
      </c>
      <c r="C52" s="135">
        <v>43761</v>
      </c>
      <c r="E52" s="132" t="s">
        <v>2207</v>
      </c>
      <c r="J52" s="141"/>
      <c r="K52" s="296">
        <v>475</v>
      </c>
      <c r="L52" s="132"/>
    </row>
    <row r="53" spans="1:14" ht="15" x14ac:dyDescent="0.25">
      <c r="C53" s="135"/>
      <c r="E53" s="138"/>
      <c r="F53" s="138"/>
      <c r="G53" s="138"/>
      <c r="H53" s="138"/>
      <c r="I53" s="138"/>
      <c r="J53" s="296"/>
      <c r="K53" s="132"/>
      <c r="L53" s="132"/>
    </row>
    <row r="54" spans="1:14" ht="15" x14ac:dyDescent="0.25">
      <c r="C54" s="135"/>
      <c r="E54" s="138"/>
      <c r="F54" s="138"/>
      <c r="G54" s="138"/>
      <c r="H54" s="138"/>
      <c r="I54" s="138"/>
      <c r="J54" s="141"/>
      <c r="K54" s="296"/>
      <c r="L54" s="132"/>
    </row>
    <row r="55" spans="1:14" ht="15" x14ac:dyDescent="0.25">
      <c r="C55" s="135"/>
      <c r="E55" s="138"/>
      <c r="F55" s="138"/>
      <c r="G55" s="138"/>
      <c r="H55" s="138"/>
      <c r="I55" s="138"/>
      <c r="J55" s="141"/>
      <c r="K55" s="296"/>
      <c r="L55" s="132"/>
    </row>
    <row r="56" spans="1:14" ht="15" x14ac:dyDescent="0.25">
      <c r="C56" s="135"/>
      <c r="E56" s="138"/>
      <c r="F56" s="138"/>
      <c r="G56" s="138"/>
      <c r="H56" s="138"/>
      <c r="I56" s="138"/>
      <c r="J56" s="141"/>
      <c r="K56" s="296"/>
      <c r="L56" s="132"/>
    </row>
    <row r="57" spans="1:14" ht="15" x14ac:dyDescent="0.25">
      <c r="C57" s="135">
        <v>43830</v>
      </c>
      <c r="D57" s="135"/>
      <c r="E57" s="133" t="s">
        <v>1887</v>
      </c>
      <c r="F57" s="133"/>
      <c r="G57" s="133"/>
      <c r="H57" s="133"/>
      <c r="I57" s="133"/>
      <c r="K57" s="136">
        <f>SUM(K2:K55)</f>
        <v>2148436.02</v>
      </c>
      <c r="M57" s="134"/>
      <c r="N57" s="134"/>
    </row>
    <row r="58" spans="1:14" ht="15" x14ac:dyDescent="0.25">
      <c r="C58" s="135"/>
      <c r="E58" s="138"/>
      <c r="F58" s="138"/>
      <c r="G58" s="138"/>
      <c r="H58" s="138"/>
      <c r="I58" s="138"/>
      <c r="M58" s="134"/>
    </row>
    <row r="59" spans="1:14" ht="15" x14ac:dyDescent="0.25">
      <c r="C59" s="135"/>
      <c r="E59" s="138"/>
      <c r="F59" s="138"/>
      <c r="G59" s="138"/>
      <c r="H59" s="133" t="s">
        <v>2208</v>
      </c>
      <c r="I59" s="297" t="s">
        <v>1644</v>
      </c>
    </row>
    <row r="60" spans="1:14" ht="15" x14ac:dyDescent="0.25">
      <c r="B60" s="294" t="s">
        <v>1888</v>
      </c>
      <c r="G60" s="297" t="s">
        <v>1644</v>
      </c>
      <c r="H60" s="133" t="s">
        <v>2209</v>
      </c>
      <c r="I60" s="133" t="s">
        <v>2210</v>
      </c>
      <c r="J60" s="133" t="s">
        <v>2211</v>
      </c>
    </row>
    <row r="61" spans="1:14" ht="15" x14ac:dyDescent="0.25">
      <c r="C61" s="135">
        <v>43647</v>
      </c>
      <c r="E61" s="133" t="s">
        <v>1827</v>
      </c>
      <c r="F61" s="133"/>
      <c r="G61" s="297"/>
      <c r="H61" s="133" t="s">
        <v>2212</v>
      </c>
      <c r="I61" s="133" t="s">
        <v>2213</v>
      </c>
      <c r="J61" s="133" t="s">
        <v>1953</v>
      </c>
      <c r="K61" s="136">
        <v>4476755.3099999996</v>
      </c>
    </row>
    <row r="62" spans="1:14" ht="15" x14ac:dyDescent="0.25">
      <c r="C62" s="135"/>
      <c r="E62" s="145" t="s">
        <v>1889</v>
      </c>
      <c r="F62" s="145"/>
      <c r="G62" s="145"/>
      <c r="H62" s="145"/>
      <c r="I62" s="145"/>
    </row>
    <row r="63" spans="1:14" ht="15" x14ac:dyDescent="0.25">
      <c r="A63" s="132" t="s">
        <v>2214</v>
      </c>
      <c r="C63" s="135">
        <v>43650</v>
      </c>
      <c r="E63" s="298" t="s">
        <v>2215</v>
      </c>
      <c r="F63" s="298"/>
      <c r="G63" s="134">
        <v>2100</v>
      </c>
      <c r="H63" s="142">
        <f t="shared" ref="H63:H68" si="0">+G63/G$77*J$89</f>
        <v>222.12327567524534</v>
      </c>
      <c r="I63" s="299">
        <f>+G63+H63</f>
        <v>2322.1232756752452</v>
      </c>
      <c r="J63" s="299">
        <f>+I63</f>
        <v>2322.1232756752452</v>
      </c>
    </row>
    <row r="64" spans="1:14" ht="15" x14ac:dyDescent="0.25">
      <c r="A64" s="132" t="s">
        <v>2214</v>
      </c>
      <c r="C64" s="135">
        <v>43650</v>
      </c>
      <c r="E64" s="298" t="s">
        <v>2216</v>
      </c>
      <c r="F64" s="298"/>
      <c r="G64" s="134">
        <v>2600</v>
      </c>
      <c r="H64" s="142">
        <f t="shared" si="0"/>
        <v>275.00976988363709</v>
      </c>
      <c r="I64" s="299">
        <f t="shared" ref="I64:I75" si="1">+G64+H64</f>
        <v>2875.0097698836371</v>
      </c>
      <c r="J64" s="299">
        <f t="shared" ref="J64:J68" si="2">+I64</f>
        <v>2875.0097698836371</v>
      </c>
    </row>
    <row r="65" spans="1:12" ht="15" x14ac:dyDescent="0.25">
      <c r="A65" s="132" t="s">
        <v>2214</v>
      </c>
      <c r="C65" s="135">
        <v>43650</v>
      </c>
      <c r="E65" s="298" t="s">
        <v>2217</v>
      </c>
      <c r="F65" s="298"/>
      <c r="G65" s="134">
        <v>3000</v>
      </c>
      <c r="H65" s="142">
        <f t="shared" si="0"/>
        <v>317.31896525035052</v>
      </c>
      <c r="I65" s="299">
        <f t="shared" si="1"/>
        <v>3317.3189652503506</v>
      </c>
      <c r="J65" s="299">
        <f t="shared" si="2"/>
        <v>3317.3189652503506</v>
      </c>
    </row>
    <row r="66" spans="1:12" ht="15" x14ac:dyDescent="0.25">
      <c r="A66" s="132" t="s">
        <v>2214</v>
      </c>
      <c r="C66" s="135">
        <v>43650</v>
      </c>
      <c r="E66" s="298" t="s">
        <v>2218</v>
      </c>
      <c r="F66" s="298"/>
      <c r="G66" s="134">
        <v>2300</v>
      </c>
      <c r="H66" s="142">
        <f t="shared" si="0"/>
        <v>243.27787335860205</v>
      </c>
      <c r="I66" s="299">
        <f t="shared" si="1"/>
        <v>2543.2778733586019</v>
      </c>
      <c r="J66" s="299">
        <f t="shared" si="2"/>
        <v>2543.2778733586019</v>
      </c>
    </row>
    <row r="67" spans="1:12" ht="15" x14ac:dyDescent="0.25">
      <c r="A67" s="132" t="s">
        <v>2214</v>
      </c>
      <c r="C67" s="135">
        <v>43650</v>
      </c>
      <c r="E67" s="298" t="s">
        <v>2133</v>
      </c>
      <c r="F67" s="298"/>
      <c r="G67" s="134">
        <v>88248</v>
      </c>
      <c r="H67" s="142">
        <f t="shared" si="0"/>
        <v>9334.2546818043102</v>
      </c>
      <c r="I67" s="299">
        <f t="shared" si="1"/>
        <v>97582.254681804305</v>
      </c>
      <c r="J67" s="299">
        <f t="shared" si="2"/>
        <v>97582.254681804305</v>
      </c>
    </row>
    <row r="68" spans="1:12" ht="15" x14ac:dyDescent="0.25">
      <c r="A68" s="132" t="s">
        <v>2214</v>
      </c>
      <c r="C68" s="135">
        <v>43650</v>
      </c>
      <c r="E68" s="298" t="s">
        <v>2134</v>
      </c>
      <c r="F68" s="298"/>
      <c r="G68" s="134">
        <v>92280</v>
      </c>
      <c r="H68" s="142">
        <f t="shared" si="0"/>
        <v>9760.731371100781</v>
      </c>
      <c r="I68" s="299">
        <f t="shared" si="1"/>
        <v>102040.73137110079</v>
      </c>
      <c r="J68" s="299">
        <f t="shared" si="2"/>
        <v>102040.73137110079</v>
      </c>
    </row>
    <row r="69" spans="1:12" ht="15" x14ac:dyDescent="0.25">
      <c r="A69" s="132" t="s">
        <v>2219</v>
      </c>
      <c r="C69" s="135">
        <v>43714</v>
      </c>
      <c r="E69" s="138" t="s">
        <v>2220</v>
      </c>
      <c r="F69" s="300">
        <v>-13800</v>
      </c>
      <c r="H69" s="142"/>
      <c r="I69" s="299">
        <f t="shared" si="1"/>
        <v>0</v>
      </c>
      <c r="J69" s="132"/>
    </row>
    <row r="70" spans="1:12" ht="15" x14ac:dyDescent="0.25">
      <c r="A70" s="132" t="s">
        <v>2219</v>
      </c>
      <c r="C70" s="135">
        <v>43714</v>
      </c>
      <c r="E70" s="138" t="s">
        <v>2221</v>
      </c>
      <c r="F70" s="300">
        <v>-8800</v>
      </c>
      <c r="H70" s="142"/>
      <c r="I70" s="299">
        <f t="shared" si="1"/>
        <v>0</v>
      </c>
      <c r="J70" s="132"/>
    </row>
    <row r="71" spans="1:12" ht="15" x14ac:dyDescent="0.25">
      <c r="A71" s="132" t="s">
        <v>2222</v>
      </c>
      <c r="C71" s="135">
        <v>43714</v>
      </c>
      <c r="E71" s="138" t="s">
        <v>2223</v>
      </c>
      <c r="F71" s="300">
        <v>-7900</v>
      </c>
      <c r="H71" s="142"/>
      <c r="I71" s="299">
        <f t="shared" si="1"/>
        <v>0</v>
      </c>
      <c r="J71" s="132"/>
    </row>
    <row r="72" spans="1:12" ht="15" x14ac:dyDescent="0.25">
      <c r="A72" s="132" t="s">
        <v>2222</v>
      </c>
      <c r="C72" s="135">
        <v>43714</v>
      </c>
      <c r="E72" s="138" t="s">
        <v>2224</v>
      </c>
      <c r="F72" s="300">
        <v>-4400</v>
      </c>
      <c r="H72" s="142"/>
      <c r="I72" s="299">
        <f t="shared" si="1"/>
        <v>0</v>
      </c>
      <c r="J72" s="132"/>
    </row>
    <row r="73" spans="1:12" ht="15" x14ac:dyDescent="0.25">
      <c r="A73" s="132" t="s">
        <v>2214</v>
      </c>
      <c r="C73" s="135">
        <v>43768</v>
      </c>
      <c r="E73" s="138" t="s">
        <v>2225</v>
      </c>
      <c r="F73" s="138"/>
      <c r="G73" s="134">
        <v>11488</v>
      </c>
      <c r="H73" s="142">
        <f>+G73/G$77*J$89</f>
        <v>1215.1200909320089</v>
      </c>
      <c r="I73" s="299">
        <f t="shared" si="1"/>
        <v>12703.120090932009</v>
      </c>
      <c r="J73" s="132"/>
    </row>
    <row r="74" spans="1:12" ht="15" x14ac:dyDescent="0.25">
      <c r="A74" s="132" t="s">
        <v>2214</v>
      </c>
      <c r="C74" s="135">
        <v>43768</v>
      </c>
      <c r="E74" s="138" t="s">
        <v>2226</v>
      </c>
      <c r="F74" s="138"/>
      <c r="G74" s="134">
        <v>10971</v>
      </c>
      <c r="H74" s="142">
        <f>+G74/G$77*J$89</f>
        <v>1160.4354559205317</v>
      </c>
      <c r="I74" s="299">
        <f t="shared" si="1"/>
        <v>12131.435455920531</v>
      </c>
      <c r="J74" s="132"/>
    </row>
    <row r="75" spans="1:12" ht="15" x14ac:dyDescent="0.25">
      <c r="A75" s="132" t="s">
        <v>2214</v>
      </c>
      <c r="C75" s="135">
        <v>43768</v>
      </c>
      <c r="E75" s="138" t="s">
        <v>2227</v>
      </c>
      <c r="F75" s="138"/>
      <c r="G75" s="134">
        <v>13116</v>
      </c>
      <c r="H75" s="142">
        <f>+G75/G$77*J$89</f>
        <v>1387.3185160745325</v>
      </c>
      <c r="I75" s="299">
        <f t="shared" si="1"/>
        <v>14503.318516074532</v>
      </c>
      <c r="J75" s="299">
        <f>+I73+I74+I75+F77</f>
        <v>4437.874062927076</v>
      </c>
    </row>
    <row r="76" spans="1:12" ht="15" x14ac:dyDescent="0.25">
      <c r="C76" s="135"/>
      <c r="E76" s="138"/>
      <c r="F76" s="138"/>
      <c r="G76" s="138"/>
      <c r="H76" s="138"/>
      <c r="I76" s="138"/>
    </row>
    <row r="77" spans="1:12" ht="15" x14ac:dyDescent="0.25">
      <c r="C77" s="135"/>
      <c r="E77" s="138"/>
      <c r="F77" s="301">
        <f>SUM(F69:F76)</f>
        <v>-34900</v>
      </c>
      <c r="G77" s="301">
        <f>SUM(G63:G75)</f>
        <v>226103</v>
      </c>
      <c r="H77" s="302">
        <f>SUM(H63:H76)</f>
        <v>23915.590000000004</v>
      </c>
      <c r="I77" s="302">
        <f>SUM(I63:I76)</f>
        <v>250018.59</v>
      </c>
      <c r="J77" s="140"/>
      <c r="K77" s="134">
        <f>SUM(J63:J77)</f>
        <v>215118.59000000003</v>
      </c>
    </row>
    <row r="78" spans="1:12" ht="15" x14ac:dyDescent="0.25">
      <c r="C78" s="135"/>
      <c r="E78" s="138"/>
      <c r="F78" s="138"/>
      <c r="G78" s="138"/>
      <c r="H78" s="138"/>
      <c r="I78" s="138"/>
      <c r="J78" s="141"/>
      <c r="K78" s="132"/>
      <c r="L78" s="132"/>
    </row>
    <row r="79" spans="1:12" ht="15" x14ac:dyDescent="0.25">
      <c r="C79" s="135"/>
      <c r="E79" s="303" t="s">
        <v>2228</v>
      </c>
      <c r="F79" s="303"/>
      <c r="G79" s="303"/>
      <c r="H79" s="303"/>
      <c r="I79" s="303"/>
      <c r="J79" s="141"/>
      <c r="L79" s="132"/>
    </row>
    <row r="80" spans="1:12" ht="15" x14ac:dyDescent="0.25">
      <c r="A80" s="132" t="s">
        <v>1892</v>
      </c>
      <c r="C80" s="135">
        <v>43650</v>
      </c>
      <c r="E80" s="138" t="s">
        <v>2229</v>
      </c>
      <c r="F80" s="138"/>
      <c r="G80" s="138"/>
      <c r="H80" s="138"/>
      <c r="I80" s="134">
        <v>1812</v>
      </c>
    </row>
    <row r="81" spans="1:12" ht="15" x14ac:dyDescent="0.25">
      <c r="A81" s="132" t="s">
        <v>2214</v>
      </c>
      <c r="C81" s="135">
        <v>43650</v>
      </c>
      <c r="E81" s="138" t="s">
        <v>2230</v>
      </c>
      <c r="F81" s="138"/>
      <c r="G81" s="138"/>
      <c r="H81" s="138"/>
      <c r="I81" s="134">
        <v>7890</v>
      </c>
    </row>
    <row r="82" spans="1:12" ht="15" x14ac:dyDescent="0.25">
      <c r="A82" s="132" t="s">
        <v>1894</v>
      </c>
      <c r="C82" s="135">
        <v>43656</v>
      </c>
      <c r="E82" s="138" t="s">
        <v>2231</v>
      </c>
      <c r="F82" s="138"/>
      <c r="G82" s="138"/>
      <c r="H82" s="138"/>
      <c r="I82" s="134">
        <f>1182.08*2</f>
        <v>2364.16</v>
      </c>
    </row>
    <row r="83" spans="1:12" ht="15" x14ac:dyDescent="0.25">
      <c r="A83" s="132" t="s">
        <v>1841</v>
      </c>
      <c r="C83" s="135">
        <v>43677</v>
      </c>
      <c r="E83" s="138" t="s">
        <v>2232</v>
      </c>
      <c r="F83" s="138"/>
      <c r="G83" s="138"/>
      <c r="H83" s="138"/>
      <c r="I83" s="134">
        <v>975</v>
      </c>
    </row>
    <row r="84" spans="1:12" ht="15" x14ac:dyDescent="0.25">
      <c r="A84" s="132" t="s">
        <v>1892</v>
      </c>
      <c r="C84" s="135">
        <v>43738</v>
      </c>
      <c r="E84" s="138" t="s">
        <v>2233</v>
      </c>
      <c r="F84" s="138"/>
      <c r="G84" s="138"/>
      <c r="H84" s="138"/>
      <c r="I84" s="134">
        <v>3120</v>
      </c>
    </row>
    <row r="85" spans="1:12" ht="15" x14ac:dyDescent="0.25">
      <c r="A85" s="132" t="s">
        <v>1841</v>
      </c>
      <c r="C85" s="135">
        <v>43738</v>
      </c>
      <c r="E85" s="138" t="s">
        <v>2234</v>
      </c>
      <c r="F85" s="138"/>
      <c r="G85" s="138"/>
      <c r="H85" s="138"/>
      <c r="I85" s="134">
        <v>910</v>
      </c>
    </row>
    <row r="86" spans="1:12" ht="15" x14ac:dyDescent="0.25">
      <c r="A86" s="132" t="s">
        <v>1841</v>
      </c>
      <c r="C86" s="135">
        <v>43769</v>
      </c>
      <c r="E86" s="138" t="s">
        <v>2232</v>
      </c>
      <c r="F86" s="138"/>
      <c r="G86" s="138"/>
      <c r="H86" s="138"/>
      <c r="I86" s="141">
        <f>1365+520</f>
        <v>1885</v>
      </c>
      <c r="J86" s="132"/>
      <c r="K86" s="132"/>
      <c r="L86" s="132"/>
    </row>
    <row r="87" spans="1:12" ht="15" x14ac:dyDescent="0.25">
      <c r="A87" s="132" t="s">
        <v>2235</v>
      </c>
      <c r="C87" s="135">
        <v>43795</v>
      </c>
      <c r="E87" s="138" t="s">
        <v>2236</v>
      </c>
      <c r="F87" s="138"/>
      <c r="G87" s="138"/>
      <c r="H87" s="138"/>
      <c r="I87" s="141">
        <v>1920.23</v>
      </c>
      <c r="J87" s="132"/>
      <c r="K87" s="132"/>
      <c r="L87" s="132"/>
    </row>
    <row r="88" spans="1:12" ht="15" x14ac:dyDescent="0.25">
      <c r="A88" s="132" t="s">
        <v>1894</v>
      </c>
      <c r="C88" s="135" t="s">
        <v>2237</v>
      </c>
      <c r="E88" s="138" t="s">
        <v>2238</v>
      </c>
      <c r="F88" s="138"/>
      <c r="G88" s="138"/>
      <c r="H88" s="138"/>
      <c r="I88" s="141">
        <v>3039.2</v>
      </c>
      <c r="J88" s="132"/>
      <c r="K88" s="132"/>
      <c r="L88" s="132"/>
    </row>
    <row r="89" spans="1:12" ht="15" x14ac:dyDescent="0.25">
      <c r="C89" s="135"/>
      <c r="E89" s="138"/>
      <c r="F89" s="138"/>
      <c r="G89" s="138"/>
      <c r="H89" s="138"/>
      <c r="I89" s="140"/>
      <c r="J89" s="134">
        <f>SUM(I80:I89)</f>
        <v>23915.59</v>
      </c>
      <c r="L89" s="132"/>
    </row>
    <row r="90" spans="1:12" ht="15" x14ac:dyDescent="0.25">
      <c r="C90" s="135"/>
      <c r="E90" s="137" t="s">
        <v>2239</v>
      </c>
      <c r="F90" s="137"/>
      <c r="G90" s="137"/>
      <c r="H90" s="137"/>
      <c r="I90" s="137"/>
    </row>
    <row r="91" spans="1:12" ht="15" x14ac:dyDescent="0.25">
      <c r="A91" s="132" t="s">
        <v>1841</v>
      </c>
      <c r="C91" s="135">
        <v>43677</v>
      </c>
      <c r="E91" s="138" t="s">
        <v>2240</v>
      </c>
      <c r="F91" s="138"/>
      <c r="G91" s="138"/>
      <c r="H91" s="138"/>
      <c r="I91" s="138"/>
      <c r="J91" s="134">
        <v>487.5</v>
      </c>
    </row>
    <row r="92" spans="1:12" ht="15" x14ac:dyDescent="0.25">
      <c r="C92" s="135"/>
      <c r="E92" s="138"/>
      <c r="F92" s="138"/>
      <c r="G92" s="138"/>
      <c r="H92" s="138"/>
      <c r="I92" s="138"/>
      <c r="J92" s="140"/>
      <c r="K92" s="134">
        <f>SUM(J91:J92)</f>
        <v>487.5</v>
      </c>
      <c r="L92" s="132"/>
    </row>
    <row r="93" spans="1:12" ht="15" x14ac:dyDescent="0.25">
      <c r="C93" s="135"/>
      <c r="E93" s="137" t="s">
        <v>2241</v>
      </c>
      <c r="F93" s="137"/>
      <c r="G93" s="137"/>
      <c r="H93" s="137"/>
      <c r="I93" s="137"/>
    </row>
    <row r="94" spans="1:12" ht="15" x14ac:dyDescent="0.25">
      <c r="A94" s="132" t="s">
        <v>1841</v>
      </c>
      <c r="C94" s="135">
        <v>43647</v>
      </c>
      <c r="E94" s="138" t="s">
        <v>2242</v>
      </c>
      <c r="F94" s="138"/>
      <c r="G94" s="138"/>
      <c r="H94" s="138"/>
      <c r="I94" s="138"/>
      <c r="J94" s="134">
        <v>1332.5</v>
      </c>
    </row>
    <row r="95" spans="1:12" ht="15" x14ac:dyDescent="0.25">
      <c r="A95" s="132" t="s">
        <v>1841</v>
      </c>
      <c r="C95" s="135">
        <v>43677</v>
      </c>
      <c r="E95" s="138" t="s">
        <v>2243</v>
      </c>
      <c r="F95" s="138"/>
      <c r="G95" s="138"/>
      <c r="H95" s="138"/>
      <c r="I95" s="138"/>
      <c r="J95" s="134">
        <v>975</v>
      </c>
    </row>
    <row r="96" spans="1:12" ht="15" x14ac:dyDescent="0.25">
      <c r="C96" s="135"/>
      <c r="E96" s="138"/>
      <c r="F96" s="138"/>
      <c r="G96" s="138"/>
      <c r="H96" s="138"/>
      <c r="I96" s="138"/>
    </row>
    <row r="97" spans="1:13" ht="15" x14ac:dyDescent="0.25">
      <c r="C97" s="135"/>
      <c r="E97" s="138"/>
      <c r="F97" s="138"/>
      <c r="G97" s="138"/>
      <c r="H97" s="138"/>
      <c r="I97" s="138"/>
      <c r="J97" s="140"/>
      <c r="K97" s="134">
        <f>SUM(J94:J97)</f>
        <v>2307.5</v>
      </c>
      <c r="L97" s="132"/>
    </row>
    <row r="98" spans="1:13" x14ac:dyDescent="0.2">
      <c r="C98" s="135"/>
      <c r="J98" s="132"/>
      <c r="K98" s="141"/>
      <c r="L98" s="132"/>
    </row>
    <row r="99" spans="1:13" ht="15" x14ac:dyDescent="0.25">
      <c r="A99" s="132" t="s">
        <v>2244</v>
      </c>
      <c r="C99" s="135">
        <v>43704</v>
      </c>
      <c r="E99" s="138" t="s">
        <v>2135</v>
      </c>
      <c r="F99" s="138"/>
      <c r="G99" s="146"/>
      <c r="H99" s="142"/>
      <c r="I99" s="299"/>
      <c r="J99" s="299"/>
      <c r="K99" s="304">
        <v>9000</v>
      </c>
    </row>
    <row r="100" spans="1:13" ht="15" x14ac:dyDescent="0.25">
      <c r="A100" s="132" t="s">
        <v>2244</v>
      </c>
      <c r="C100" s="135">
        <v>43704</v>
      </c>
      <c r="E100" s="138" t="s">
        <v>2136</v>
      </c>
      <c r="F100" s="138"/>
      <c r="G100" s="134"/>
      <c r="H100" s="142"/>
      <c r="I100" s="299"/>
      <c r="J100" s="299"/>
      <c r="K100" s="139">
        <v>1000</v>
      </c>
    </row>
    <row r="101" spans="1:13" x14ac:dyDescent="0.2">
      <c r="A101" s="132" t="s">
        <v>2204</v>
      </c>
      <c r="C101" s="135">
        <v>43689</v>
      </c>
      <c r="E101" s="132" t="s">
        <v>2140</v>
      </c>
      <c r="J101" s="132"/>
      <c r="K101" s="295">
        <v>3820</v>
      </c>
      <c r="L101" s="132"/>
    </row>
    <row r="102" spans="1:13" x14ac:dyDescent="0.2">
      <c r="A102" s="132" t="s">
        <v>1916</v>
      </c>
      <c r="C102" s="135">
        <v>43698</v>
      </c>
      <c r="E102" s="132" t="s">
        <v>2141</v>
      </c>
      <c r="J102" s="132"/>
      <c r="K102" s="295">
        <v>1800</v>
      </c>
      <c r="L102" s="132"/>
    </row>
    <row r="103" spans="1:13" x14ac:dyDescent="0.2">
      <c r="A103" s="132" t="s">
        <v>1841</v>
      </c>
      <c r="C103" s="135">
        <v>43709</v>
      </c>
      <c r="E103" s="132" t="s">
        <v>2142</v>
      </c>
      <c r="J103" s="132"/>
      <c r="K103" s="295">
        <f>2340+2307.5-511</f>
        <v>4136.5</v>
      </c>
      <c r="L103" s="132"/>
    </row>
    <row r="104" spans="1:13" x14ac:dyDescent="0.2">
      <c r="A104" s="132" t="s">
        <v>2245</v>
      </c>
      <c r="C104" s="135">
        <v>43731</v>
      </c>
      <c r="E104" s="132" t="s">
        <v>2143</v>
      </c>
      <c r="J104" s="132"/>
      <c r="K104" s="295">
        <v>5500</v>
      </c>
      <c r="L104" s="132"/>
    </row>
    <row r="105" spans="1:13" x14ac:dyDescent="0.2">
      <c r="A105" s="132" t="s">
        <v>1841</v>
      </c>
      <c r="C105" s="135">
        <v>43738</v>
      </c>
      <c r="E105" s="132" t="s">
        <v>2144</v>
      </c>
      <c r="J105" s="132"/>
      <c r="K105" s="295">
        <v>455</v>
      </c>
      <c r="L105" s="132"/>
    </row>
    <row r="106" spans="1:13" x14ac:dyDescent="0.2">
      <c r="A106" s="132" t="s">
        <v>1841</v>
      </c>
      <c r="C106" s="135">
        <v>43799</v>
      </c>
      <c r="E106" s="132" t="s">
        <v>2145</v>
      </c>
      <c r="J106" s="132"/>
      <c r="K106" s="295">
        <v>845</v>
      </c>
      <c r="L106" s="132"/>
    </row>
    <row r="107" spans="1:13" ht="15" x14ac:dyDescent="0.25">
      <c r="A107" s="132" t="s">
        <v>2246</v>
      </c>
      <c r="C107" s="135">
        <v>43710</v>
      </c>
      <c r="E107" s="132" t="s">
        <v>2247</v>
      </c>
      <c r="J107" s="132"/>
      <c r="K107" s="305">
        <v>-300</v>
      </c>
      <c r="L107" s="132">
        <v>200</v>
      </c>
      <c r="M107" s="157"/>
    </row>
    <row r="108" spans="1:13" ht="15" x14ac:dyDescent="0.25">
      <c r="A108" s="132" t="s">
        <v>2248</v>
      </c>
      <c r="C108" s="135">
        <v>43817</v>
      </c>
      <c r="E108" s="132" t="s">
        <v>2249</v>
      </c>
      <c r="J108" s="132"/>
      <c r="K108" s="305">
        <v>-4000</v>
      </c>
      <c r="L108" s="132">
        <v>4790</v>
      </c>
      <c r="M108" s="157"/>
    </row>
    <row r="109" spans="1:13" x14ac:dyDescent="0.2">
      <c r="C109" s="135"/>
      <c r="J109" s="132"/>
      <c r="K109" s="132"/>
      <c r="L109" s="132"/>
    </row>
    <row r="110" spans="1:13" x14ac:dyDescent="0.2">
      <c r="C110" s="135"/>
      <c r="J110" s="132"/>
      <c r="K110" s="141"/>
      <c r="L110" s="132"/>
      <c r="M110" s="157"/>
    </row>
    <row r="111" spans="1:13" x14ac:dyDescent="0.2">
      <c r="C111" s="135"/>
      <c r="J111" s="132"/>
      <c r="K111" s="141"/>
      <c r="L111" s="132"/>
    </row>
    <row r="112" spans="1:13" x14ac:dyDescent="0.2">
      <c r="C112" s="135"/>
      <c r="J112" s="132"/>
      <c r="K112" s="141"/>
      <c r="L112" s="132"/>
    </row>
    <row r="113" spans="1:14" x14ac:dyDescent="0.2">
      <c r="C113" s="135"/>
      <c r="J113" s="132"/>
      <c r="K113" s="141"/>
      <c r="L113" s="132"/>
    </row>
    <row r="114" spans="1:14" x14ac:dyDescent="0.2">
      <c r="C114" s="135"/>
      <c r="J114" s="132"/>
      <c r="K114" s="141"/>
      <c r="L114" s="132"/>
    </row>
    <row r="115" spans="1:14" ht="15" x14ac:dyDescent="0.25">
      <c r="C115" s="135">
        <v>43830</v>
      </c>
      <c r="D115" s="135"/>
      <c r="E115" s="133" t="s">
        <v>1949</v>
      </c>
      <c r="F115" s="133"/>
      <c r="G115" s="133"/>
      <c r="H115" s="133"/>
      <c r="I115" s="133"/>
      <c r="K115" s="136">
        <f>SUM(K61:K114)</f>
        <v>4716925.3999999994</v>
      </c>
      <c r="L115" s="134">
        <v>4716925.4000000004</v>
      </c>
      <c r="N115" s="134"/>
    </row>
    <row r="116" spans="1:14" x14ac:dyDescent="0.2">
      <c r="C116" s="135"/>
    </row>
    <row r="117" spans="1:14" x14ac:dyDescent="0.2">
      <c r="C117" s="135"/>
      <c r="M117" s="134"/>
    </row>
    <row r="118" spans="1:14" ht="15" x14ac:dyDescent="0.25">
      <c r="B118" s="294" t="s">
        <v>1119</v>
      </c>
      <c r="C118" s="135"/>
      <c r="M118" s="134"/>
    </row>
    <row r="119" spans="1:14" ht="15" x14ac:dyDescent="0.25">
      <c r="C119" s="135">
        <v>43647</v>
      </c>
      <c r="E119" s="133" t="s">
        <v>1827</v>
      </c>
      <c r="F119" s="133"/>
      <c r="G119" s="133"/>
      <c r="H119" s="133"/>
      <c r="I119" s="133"/>
      <c r="K119" s="136">
        <v>409151.13</v>
      </c>
      <c r="M119" s="134"/>
    </row>
    <row r="120" spans="1:14" ht="15" x14ac:dyDescent="0.25">
      <c r="C120" s="147"/>
      <c r="J120" s="132"/>
      <c r="K120" s="132"/>
      <c r="L120" s="132"/>
    </row>
    <row r="121" spans="1:14" x14ac:dyDescent="0.2">
      <c r="C121" s="135"/>
      <c r="J121" s="132"/>
      <c r="K121" s="141"/>
      <c r="L121" s="132"/>
    </row>
    <row r="122" spans="1:14" ht="15" x14ac:dyDescent="0.25">
      <c r="C122" s="135">
        <v>43830</v>
      </c>
      <c r="E122" s="133" t="s">
        <v>1949</v>
      </c>
      <c r="F122" s="133"/>
      <c r="G122" s="133"/>
      <c r="H122" s="133"/>
      <c r="I122" s="133"/>
      <c r="K122" s="136">
        <f>SUM(K119:K121)</f>
        <v>409151.13</v>
      </c>
      <c r="M122" s="134"/>
    </row>
    <row r="123" spans="1:14" x14ac:dyDescent="0.2">
      <c r="C123" s="135"/>
      <c r="M123" s="134"/>
    </row>
    <row r="124" spans="1:14" x14ac:dyDescent="0.2">
      <c r="C124" s="135"/>
      <c r="M124" s="134"/>
    </row>
    <row r="125" spans="1:14" ht="15" x14ac:dyDescent="0.25">
      <c r="B125" s="294" t="s">
        <v>1952</v>
      </c>
    </row>
    <row r="126" spans="1:14" ht="15" x14ac:dyDescent="0.25">
      <c r="C126" s="135">
        <v>43647</v>
      </c>
      <c r="E126" s="133" t="s">
        <v>1827</v>
      </c>
      <c r="F126" s="133"/>
      <c r="G126" s="133"/>
      <c r="H126" s="133"/>
      <c r="I126" s="133"/>
      <c r="K126" s="136">
        <v>1735184.84</v>
      </c>
    </row>
    <row r="127" spans="1:14" ht="15" x14ac:dyDescent="0.25">
      <c r="C127" s="135"/>
      <c r="E127" s="137" t="s">
        <v>1953</v>
      </c>
      <c r="F127" s="137"/>
      <c r="G127" s="137"/>
      <c r="H127" s="137"/>
      <c r="I127" s="137"/>
      <c r="M127" s="134" t="s">
        <v>1954</v>
      </c>
    </row>
    <row r="128" spans="1:14" ht="15" x14ac:dyDescent="0.25">
      <c r="A128" s="132" t="s">
        <v>2250</v>
      </c>
      <c r="C128" s="135">
        <v>43718</v>
      </c>
      <c r="D128" s="132">
        <v>48</v>
      </c>
      <c r="E128" s="138" t="s">
        <v>2251</v>
      </c>
      <c r="F128" s="138"/>
      <c r="G128" s="138"/>
      <c r="H128" s="138"/>
      <c r="I128" s="138"/>
      <c r="J128" s="132"/>
      <c r="K128" s="306">
        <v>-1680</v>
      </c>
      <c r="M128" s="134">
        <f>K128/D128</f>
        <v>-35</v>
      </c>
    </row>
    <row r="129" spans="1:14" ht="15" x14ac:dyDescent="0.25">
      <c r="A129" s="132" t="s">
        <v>2250</v>
      </c>
      <c r="C129" s="135">
        <v>43731</v>
      </c>
      <c r="D129" s="132">
        <v>37</v>
      </c>
      <c r="E129" s="138" t="s">
        <v>2251</v>
      </c>
      <c r="F129" s="138"/>
      <c r="G129" s="138"/>
      <c r="H129" s="138"/>
      <c r="I129" s="138"/>
      <c r="J129" s="132"/>
      <c r="K129" s="306">
        <v>-1295</v>
      </c>
      <c r="M129" s="134">
        <f>K129/D129</f>
        <v>-35</v>
      </c>
      <c r="N129" s="132">
        <f>+D128+D129</f>
        <v>85</v>
      </c>
    </row>
    <row r="130" spans="1:14" ht="15" x14ac:dyDescent="0.25">
      <c r="A130" s="132" t="s">
        <v>2250</v>
      </c>
      <c r="C130" s="135">
        <v>43768</v>
      </c>
      <c r="D130" s="132">
        <v>96</v>
      </c>
      <c r="E130" s="138" t="s">
        <v>2251</v>
      </c>
      <c r="F130" s="138"/>
      <c r="G130" s="138"/>
      <c r="H130" s="138"/>
      <c r="I130" s="138"/>
      <c r="J130" s="132"/>
      <c r="K130" s="306">
        <v>-2400</v>
      </c>
      <c r="M130" s="134">
        <f>K130/D130</f>
        <v>-25</v>
      </c>
    </row>
    <row r="131" spans="1:14" ht="15" x14ac:dyDescent="0.25">
      <c r="A131" s="132" t="s">
        <v>2250</v>
      </c>
      <c r="C131" s="135">
        <v>43804</v>
      </c>
      <c r="D131" s="132">
        <v>46</v>
      </c>
      <c r="E131" s="138" t="s">
        <v>2251</v>
      </c>
      <c r="F131" s="138"/>
      <c r="G131" s="138"/>
      <c r="H131" s="138"/>
      <c r="I131" s="138"/>
      <c r="J131" s="132"/>
      <c r="K131" s="306">
        <v>-1150</v>
      </c>
      <c r="L131" s="132"/>
      <c r="M131" s="134">
        <f>K131/D131</f>
        <v>-25</v>
      </c>
      <c r="N131" s="132">
        <f>+D130+D131</f>
        <v>142</v>
      </c>
    </row>
    <row r="132" spans="1:14" ht="15" x14ac:dyDescent="0.25">
      <c r="A132" s="132" t="s">
        <v>2250</v>
      </c>
      <c r="C132" s="135">
        <v>43809</v>
      </c>
      <c r="D132" s="132">
        <v>42</v>
      </c>
      <c r="E132" s="138" t="s">
        <v>2251</v>
      </c>
      <c r="F132" s="138"/>
      <c r="G132" s="138"/>
      <c r="H132" s="138"/>
      <c r="I132" s="138"/>
      <c r="J132" s="132"/>
      <c r="K132" s="306">
        <v>-1050</v>
      </c>
      <c r="L132" s="132"/>
      <c r="M132" s="134">
        <f>K132/D132</f>
        <v>-25</v>
      </c>
    </row>
    <row r="133" spans="1:14" ht="15" x14ac:dyDescent="0.25">
      <c r="C133" s="135"/>
      <c r="E133" s="138"/>
      <c r="F133" s="138"/>
      <c r="G133" s="138"/>
      <c r="H133" s="138"/>
      <c r="I133" s="138"/>
      <c r="L133" s="132"/>
      <c r="M133" s="134"/>
    </row>
    <row r="134" spans="1:14" ht="15" x14ac:dyDescent="0.25">
      <c r="C134" s="135"/>
      <c r="D134" s="132">
        <f>SUM(D128:D133)</f>
        <v>269</v>
      </c>
      <c r="E134" s="137" t="s">
        <v>1957</v>
      </c>
      <c r="F134" s="137"/>
      <c r="G134" s="137"/>
      <c r="H134" s="137"/>
      <c r="I134" s="137"/>
      <c r="L134" s="132"/>
      <c r="M134" s="134"/>
    </row>
    <row r="135" spans="1:14" ht="15" x14ac:dyDescent="0.25">
      <c r="C135" s="135"/>
      <c r="E135" s="138"/>
      <c r="F135" s="138"/>
      <c r="G135" s="138"/>
      <c r="H135" s="138"/>
      <c r="I135" s="138"/>
      <c r="L135" s="132"/>
      <c r="M135" s="134"/>
    </row>
    <row r="136" spans="1:14" ht="15" x14ac:dyDescent="0.25">
      <c r="C136" s="135"/>
      <c r="E136" s="138"/>
      <c r="F136" s="138"/>
      <c r="G136" s="138"/>
      <c r="H136" s="138"/>
      <c r="I136" s="138"/>
      <c r="J136" s="148"/>
      <c r="L136" s="132"/>
      <c r="M136" s="134"/>
    </row>
    <row r="137" spans="1:14" ht="15" x14ac:dyDescent="0.25">
      <c r="C137" s="135"/>
      <c r="E137" s="138"/>
      <c r="F137" s="138"/>
      <c r="G137" s="138"/>
      <c r="H137" s="138"/>
      <c r="I137" s="138"/>
      <c r="L137" s="132"/>
      <c r="M137" s="134"/>
    </row>
    <row r="138" spans="1:14" ht="15" x14ac:dyDescent="0.25">
      <c r="C138" s="135"/>
      <c r="E138" s="137" t="s">
        <v>1969</v>
      </c>
      <c r="F138" s="137"/>
      <c r="G138" s="137"/>
      <c r="H138" s="137"/>
      <c r="I138" s="137"/>
      <c r="L138" s="132"/>
      <c r="M138" s="134"/>
    </row>
    <row r="139" spans="1:14" ht="15" x14ac:dyDescent="0.25">
      <c r="C139" s="135"/>
      <c r="E139" s="138"/>
      <c r="F139" s="138"/>
      <c r="G139" s="138"/>
      <c r="H139" s="138"/>
      <c r="I139" s="138"/>
      <c r="L139" s="132"/>
      <c r="M139" s="134"/>
    </row>
    <row r="140" spans="1:14" ht="15" x14ac:dyDescent="0.25">
      <c r="C140" s="135"/>
      <c r="E140" s="138"/>
      <c r="F140" s="138"/>
      <c r="G140" s="138"/>
      <c r="H140" s="138"/>
      <c r="I140" s="138"/>
      <c r="L140" s="132"/>
      <c r="M140" s="134"/>
    </row>
    <row r="141" spans="1:14" ht="15" x14ac:dyDescent="0.25">
      <c r="C141" s="135"/>
      <c r="E141" s="138"/>
      <c r="F141" s="138"/>
      <c r="G141" s="138"/>
      <c r="H141" s="138"/>
      <c r="I141" s="138"/>
      <c r="J141" s="148"/>
      <c r="L141" s="132"/>
      <c r="M141" s="134"/>
    </row>
    <row r="142" spans="1:14" ht="15" x14ac:dyDescent="0.25">
      <c r="C142" s="135"/>
      <c r="E142" s="137" t="s">
        <v>1986</v>
      </c>
      <c r="F142" s="137"/>
      <c r="G142" s="137"/>
      <c r="H142" s="137"/>
      <c r="I142" s="137"/>
      <c r="J142" s="132"/>
      <c r="K142" s="141"/>
      <c r="L142" s="295"/>
    </row>
    <row r="143" spans="1:14" ht="15" x14ac:dyDescent="0.25">
      <c r="C143" s="135"/>
      <c r="E143" s="138"/>
      <c r="F143" s="138"/>
      <c r="G143" s="138"/>
      <c r="H143" s="138"/>
      <c r="I143" s="138"/>
      <c r="L143" s="132"/>
      <c r="M143" s="134"/>
    </row>
    <row r="144" spans="1:14" ht="15" x14ac:dyDescent="0.25">
      <c r="C144" s="135"/>
      <c r="E144" s="138"/>
      <c r="F144" s="138"/>
      <c r="G144" s="138"/>
      <c r="H144" s="138"/>
      <c r="I144" s="138"/>
      <c r="J144" s="148"/>
      <c r="L144" s="132"/>
      <c r="M144" s="134"/>
    </row>
    <row r="145" spans="1:13" ht="15" x14ac:dyDescent="0.25">
      <c r="C145" s="135"/>
      <c r="E145" s="138"/>
      <c r="F145" s="138"/>
      <c r="G145" s="138"/>
      <c r="H145" s="138"/>
      <c r="I145" s="138"/>
      <c r="L145" s="132"/>
      <c r="M145" s="134"/>
    </row>
    <row r="146" spans="1:13" x14ac:dyDescent="0.2">
      <c r="C146" s="135"/>
      <c r="J146" s="132"/>
      <c r="K146" s="141"/>
      <c r="L146" s="132"/>
    </row>
    <row r="147" spans="1:13" ht="15" x14ac:dyDescent="0.25">
      <c r="C147" s="135">
        <v>43830</v>
      </c>
      <c r="D147" s="135"/>
      <c r="E147" s="133" t="s">
        <v>1949</v>
      </c>
      <c r="F147" s="133"/>
      <c r="G147" s="133"/>
      <c r="H147" s="133"/>
      <c r="I147" s="133"/>
      <c r="K147" s="136">
        <f>SUM(K126:K146)</f>
        <v>1727609.84</v>
      </c>
      <c r="M147" s="134"/>
    </row>
    <row r="148" spans="1:13" x14ac:dyDescent="0.2">
      <c r="M148" s="134"/>
    </row>
    <row r="150" spans="1:13" ht="15" x14ac:dyDescent="0.25">
      <c r="B150" s="294" t="s">
        <v>1577</v>
      </c>
    </row>
    <row r="151" spans="1:13" ht="15" x14ac:dyDescent="0.25">
      <c r="C151" s="135">
        <v>43647</v>
      </c>
      <c r="E151" s="133" t="s">
        <v>1827</v>
      </c>
      <c r="F151" s="133"/>
      <c r="G151" s="133"/>
      <c r="H151" s="133"/>
      <c r="I151" s="133"/>
      <c r="K151" s="136">
        <v>53990.31</v>
      </c>
    </row>
    <row r="152" spans="1:13" x14ac:dyDescent="0.2">
      <c r="A152" s="132" t="s">
        <v>2252</v>
      </c>
      <c r="C152" s="135">
        <v>43724</v>
      </c>
      <c r="E152" s="132" t="s">
        <v>2253</v>
      </c>
      <c r="J152" s="132"/>
      <c r="K152" s="141">
        <v>1828.75</v>
      </c>
      <c r="L152" s="141"/>
    </row>
    <row r="153" spans="1:13" ht="15" x14ac:dyDescent="0.25">
      <c r="C153" s="135">
        <v>43830</v>
      </c>
      <c r="D153" s="135"/>
      <c r="E153" s="133" t="s">
        <v>1949</v>
      </c>
      <c r="F153" s="133"/>
      <c r="G153" s="133"/>
      <c r="H153" s="133"/>
      <c r="I153" s="133"/>
      <c r="K153" s="136">
        <f>SUM(K151:K152)</f>
        <v>55819.06</v>
      </c>
    </row>
    <row r="156" spans="1:13" ht="15" x14ac:dyDescent="0.25">
      <c r="B156" s="294" t="s">
        <v>1997</v>
      </c>
    </row>
    <row r="157" spans="1:13" ht="15" x14ac:dyDescent="0.25">
      <c r="C157" s="135">
        <v>43647</v>
      </c>
      <c r="E157" s="133" t="s">
        <v>1827</v>
      </c>
      <c r="F157" s="133"/>
      <c r="G157" s="133"/>
      <c r="H157" s="133"/>
      <c r="I157" s="133"/>
      <c r="K157" s="136">
        <v>20075.080000000002</v>
      </c>
    </row>
    <row r="158" spans="1:13" x14ac:dyDescent="0.2">
      <c r="A158" s="132" t="s">
        <v>2254</v>
      </c>
      <c r="C158" s="135">
        <v>43703</v>
      </c>
      <c r="E158" s="132" t="s">
        <v>2255</v>
      </c>
      <c r="J158" s="132"/>
      <c r="K158" s="141">
        <v>362.73</v>
      </c>
      <c r="L158" s="132"/>
    </row>
    <row r="159" spans="1:13" x14ac:dyDescent="0.2">
      <c r="A159" s="132" t="s">
        <v>2256</v>
      </c>
      <c r="C159" s="135">
        <v>43759</v>
      </c>
      <c r="E159" s="132" t="s">
        <v>2257</v>
      </c>
      <c r="J159" s="132"/>
      <c r="K159" s="141">
        <v>106.36</v>
      </c>
      <c r="L159" s="132"/>
    </row>
    <row r="160" spans="1:13" x14ac:dyDescent="0.2">
      <c r="A160" s="132" t="s">
        <v>2000</v>
      </c>
      <c r="C160" s="135">
        <v>43810</v>
      </c>
      <c r="E160" s="132" t="s">
        <v>2258</v>
      </c>
      <c r="J160" s="132"/>
      <c r="K160" s="141">
        <v>599</v>
      </c>
      <c r="L160" s="132"/>
    </row>
    <row r="161" spans="1:12" x14ac:dyDescent="0.2">
      <c r="A161" s="132" t="s">
        <v>2000</v>
      </c>
      <c r="C161" s="135">
        <v>43810</v>
      </c>
      <c r="E161" s="132" t="s">
        <v>2259</v>
      </c>
      <c r="J161" s="132"/>
      <c r="K161" s="141">
        <v>270</v>
      </c>
      <c r="L161" s="132"/>
    </row>
    <row r="162" spans="1:12" x14ac:dyDescent="0.2">
      <c r="A162" s="132" t="s">
        <v>1924</v>
      </c>
      <c r="C162" s="135">
        <v>43817</v>
      </c>
      <c r="E162" s="132" t="s">
        <v>2260</v>
      </c>
      <c r="J162" s="132"/>
      <c r="K162" s="141">
        <v>1390</v>
      </c>
      <c r="L162" s="141">
        <f>SUM(K158:K162)</f>
        <v>2728.09</v>
      </c>
    </row>
    <row r="163" spans="1:12" x14ac:dyDescent="0.2">
      <c r="C163" s="135"/>
      <c r="J163" s="132"/>
      <c r="K163" s="141"/>
      <c r="L163" s="132"/>
    </row>
    <row r="164" spans="1:12" x14ac:dyDescent="0.2">
      <c r="C164" s="135"/>
      <c r="J164" s="132"/>
      <c r="K164" s="141"/>
      <c r="L164" s="132"/>
    </row>
    <row r="165" spans="1:12" x14ac:dyDescent="0.2">
      <c r="C165" s="135"/>
      <c r="J165" s="132"/>
      <c r="K165" s="141"/>
      <c r="L165" s="132"/>
    </row>
    <row r="166" spans="1:12" x14ac:dyDescent="0.2">
      <c r="C166" s="135"/>
      <c r="J166" s="132"/>
      <c r="K166" s="141"/>
      <c r="L166" s="132"/>
    </row>
    <row r="167" spans="1:12" x14ac:dyDescent="0.2">
      <c r="C167" s="135"/>
      <c r="J167" s="132"/>
      <c r="K167" s="141"/>
      <c r="L167" s="132"/>
    </row>
    <row r="168" spans="1:12" x14ac:dyDescent="0.2">
      <c r="C168" s="135"/>
      <c r="E168" s="132" t="s">
        <v>2010</v>
      </c>
      <c r="J168" s="132"/>
      <c r="K168" s="141">
        <v>-3085</v>
      </c>
      <c r="L168" s="132"/>
    </row>
    <row r="169" spans="1:12" ht="15" x14ac:dyDescent="0.25">
      <c r="C169" s="135">
        <v>43830</v>
      </c>
      <c r="E169" s="133" t="s">
        <v>1949</v>
      </c>
      <c r="F169" s="133"/>
      <c r="G169" s="133"/>
      <c r="H169" s="133"/>
      <c r="I169" s="133"/>
      <c r="K169" s="136">
        <f>SUM(K157:K168)</f>
        <v>19718.170000000002</v>
      </c>
    </row>
    <row r="170" spans="1:12" ht="15" x14ac:dyDescent="0.25">
      <c r="C170" s="135"/>
      <c r="E170" s="133"/>
      <c r="F170" s="133"/>
      <c r="G170" s="133"/>
      <c r="H170" s="133"/>
      <c r="I170" s="133"/>
      <c r="K170" s="136"/>
    </row>
    <row r="171" spans="1:12" ht="15" x14ac:dyDescent="0.25">
      <c r="A171" s="137" t="s">
        <v>2261</v>
      </c>
      <c r="C171" s="135"/>
      <c r="E171" s="133"/>
      <c r="F171" s="133"/>
      <c r="G171" s="133"/>
      <c r="H171" s="133"/>
      <c r="I171" s="133"/>
      <c r="K171" s="136"/>
    </row>
    <row r="172" spans="1:12" ht="15" x14ac:dyDescent="0.25">
      <c r="C172" s="135"/>
      <c r="E172" s="133"/>
      <c r="F172" s="133"/>
      <c r="G172" s="133"/>
      <c r="H172" s="133"/>
      <c r="I172" s="133"/>
      <c r="K172" s="136"/>
    </row>
    <row r="173" spans="1:12" ht="15" x14ac:dyDescent="0.25">
      <c r="C173" s="135"/>
      <c r="E173" s="133"/>
      <c r="F173" s="133"/>
      <c r="G173" s="133"/>
      <c r="H173" s="133"/>
      <c r="I173" s="133"/>
      <c r="K173" s="136"/>
    </row>
    <row r="174" spans="1:12" ht="15" x14ac:dyDescent="0.25">
      <c r="C174" s="135"/>
      <c r="E174" s="133"/>
      <c r="F174" s="133"/>
      <c r="G174" s="133"/>
      <c r="H174" s="133"/>
      <c r="I174" s="133"/>
      <c r="K174" s="136"/>
    </row>
    <row r="175" spans="1:12" ht="15" x14ac:dyDescent="0.25">
      <c r="C175" s="135"/>
      <c r="E175" s="133"/>
      <c r="F175" s="133"/>
      <c r="G175" s="133"/>
      <c r="H175" s="133"/>
      <c r="I175" s="133"/>
      <c r="K175" s="136"/>
    </row>
    <row r="176" spans="1:12" ht="15" x14ac:dyDescent="0.25">
      <c r="C176" s="135"/>
      <c r="E176" s="133"/>
      <c r="F176" s="133"/>
      <c r="G176" s="133"/>
      <c r="H176" s="133"/>
      <c r="I176" s="133"/>
      <c r="K176" s="136"/>
    </row>
    <row r="177" spans="1:11" ht="15" x14ac:dyDescent="0.25">
      <c r="C177" s="135"/>
      <c r="E177" s="133"/>
      <c r="F177" s="133"/>
      <c r="G177" s="133"/>
      <c r="H177" s="133"/>
      <c r="I177" s="133"/>
      <c r="K177" s="136"/>
    </row>
    <row r="180" spans="1:11" ht="15.75" x14ac:dyDescent="0.25">
      <c r="A180" s="149" t="s">
        <v>2011</v>
      </c>
    </row>
    <row r="182" spans="1:11" ht="15" x14ac:dyDescent="0.25">
      <c r="B182" s="294" t="s">
        <v>1674</v>
      </c>
    </row>
    <row r="183" spans="1:11" ht="15" x14ac:dyDescent="0.25">
      <c r="C183" s="135">
        <v>43647</v>
      </c>
      <c r="E183" s="133" t="s">
        <v>1827</v>
      </c>
      <c r="F183" s="133"/>
      <c r="G183" s="133"/>
      <c r="H183" s="133"/>
      <c r="I183" s="133"/>
      <c r="K183" s="136">
        <v>2210911.09</v>
      </c>
    </row>
    <row r="184" spans="1:11" ht="15" x14ac:dyDescent="0.25">
      <c r="E184" s="137"/>
      <c r="F184" s="137"/>
      <c r="G184" s="137"/>
      <c r="H184" s="137"/>
      <c r="I184" s="137"/>
    </row>
    <row r="185" spans="1:11" ht="15" x14ac:dyDescent="0.25">
      <c r="A185" s="132" t="s">
        <v>2024</v>
      </c>
      <c r="C185" s="135">
        <v>43717</v>
      </c>
      <c r="E185" s="138" t="s">
        <v>2162</v>
      </c>
      <c r="F185" s="138"/>
      <c r="G185" s="138"/>
      <c r="H185" s="138"/>
      <c r="I185" s="138"/>
      <c r="K185" s="134">
        <v>24709.56</v>
      </c>
    </row>
    <row r="186" spans="1:11" ht="15" x14ac:dyDescent="0.25">
      <c r="A186" s="132" t="s">
        <v>2262</v>
      </c>
      <c r="C186" s="135">
        <v>43732</v>
      </c>
      <c r="E186" s="138" t="s">
        <v>2163</v>
      </c>
      <c r="F186" s="138"/>
      <c r="G186" s="138"/>
      <c r="H186" s="138"/>
      <c r="I186" s="138"/>
      <c r="K186" s="134">
        <v>30950</v>
      </c>
    </row>
    <row r="187" spans="1:11" ht="15" x14ac:dyDescent="0.25">
      <c r="A187" s="132" t="s">
        <v>2263</v>
      </c>
      <c r="C187" s="135">
        <v>43733</v>
      </c>
      <c r="E187" s="138" t="s">
        <v>2264</v>
      </c>
      <c r="F187" s="138"/>
      <c r="G187" s="138"/>
      <c r="H187" s="138"/>
      <c r="I187" s="138"/>
      <c r="K187" s="134">
        <v>72418.2</v>
      </c>
    </row>
    <row r="188" spans="1:11" ht="15" x14ac:dyDescent="0.25">
      <c r="A188" s="132" t="s">
        <v>2265</v>
      </c>
      <c r="C188" s="135">
        <v>43753</v>
      </c>
      <c r="E188" s="138" t="s">
        <v>2266</v>
      </c>
      <c r="F188" s="138"/>
      <c r="G188" s="138"/>
      <c r="H188" s="138"/>
      <c r="I188" s="138"/>
      <c r="K188" s="134">
        <v>13863.64</v>
      </c>
    </row>
    <row r="189" spans="1:11" ht="15" x14ac:dyDescent="0.25">
      <c r="A189" s="132" t="s">
        <v>2265</v>
      </c>
      <c r="C189" s="135">
        <v>43753</v>
      </c>
      <c r="E189" s="138" t="s">
        <v>2164</v>
      </c>
      <c r="F189" s="138"/>
      <c r="G189" s="138"/>
      <c r="H189" s="138"/>
      <c r="I189" s="138"/>
      <c r="K189" s="134">
        <v>4454.54</v>
      </c>
    </row>
    <row r="190" spans="1:11" ht="15" x14ac:dyDescent="0.25">
      <c r="A190" s="132" t="s">
        <v>2265</v>
      </c>
      <c r="C190" s="135">
        <v>43753</v>
      </c>
      <c r="E190" s="138" t="s">
        <v>2267</v>
      </c>
      <c r="F190" s="138"/>
      <c r="G190" s="138"/>
      <c r="H190" s="138"/>
      <c r="I190" s="138"/>
      <c r="K190" s="134">
        <v>2363.64</v>
      </c>
    </row>
    <row r="191" spans="1:11" ht="15" x14ac:dyDescent="0.25">
      <c r="A191" s="132" t="s">
        <v>2024</v>
      </c>
      <c r="C191" s="135">
        <v>43788</v>
      </c>
      <c r="E191" s="138" t="s">
        <v>2268</v>
      </c>
      <c r="F191" s="138"/>
      <c r="G191" s="138"/>
      <c r="H191" s="138"/>
      <c r="I191" s="138"/>
      <c r="K191" s="134">
        <v>25737.57</v>
      </c>
    </row>
    <row r="192" spans="1:11" ht="15" x14ac:dyDescent="0.25">
      <c r="C192" s="135"/>
      <c r="E192" s="138"/>
      <c r="F192" s="138"/>
      <c r="G192" s="138"/>
      <c r="H192" s="138"/>
      <c r="I192" s="138"/>
    </row>
    <row r="193" spans="3:11" x14ac:dyDescent="0.2">
      <c r="C193" s="135"/>
      <c r="J193" s="132"/>
    </row>
    <row r="194" spans="3:11" x14ac:dyDescent="0.2">
      <c r="C194" s="135"/>
      <c r="J194" s="132"/>
    </row>
    <row r="195" spans="3:11" x14ac:dyDescent="0.2">
      <c r="C195" s="135"/>
      <c r="J195" s="132"/>
    </row>
    <row r="197" spans="3:11" ht="15" x14ac:dyDescent="0.25">
      <c r="C197" s="135">
        <v>43830</v>
      </c>
      <c r="E197" s="133" t="s">
        <v>2035</v>
      </c>
      <c r="F197" s="133"/>
      <c r="G197" s="133"/>
      <c r="H197" s="133"/>
      <c r="I197" s="133"/>
      <c r="K197" s="136">
        <f>+SUM(K183:K195)</f>
        <v>2385408.2400000002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978"/>
  <sheetViews>
    <sheetView workbookViewId="0">
      <pane ySplit="1725" topLeftCell="A863" activePane="bottomLeft"/>
      <selection sqref="A1:XFD1048576"/>
      <selection pane="bottomLeft" activeCell="C937" sqref="C937"/>
    </sheetView>
  </sheetViews>
  <sheetFormatPr defaultColWidth="6.85546875" defaultRowHeight="12.75" x14ac:dyDescent="0.2"/>
  <cols>
    <col min="1" max="2" width="6.85546875" style="11"/>
    <col min="3" max="3" width="59.7109375" style="11" bestFit="1" customWidth="1"/>
    <col min="4" max="4" width="10.28515625" style="11" bestFit="1" customWidth="1"/>
    <col min="5" max="5" width="10.140625" style="18" bestFit="1" customWidth="1"/>
    <col min="6" max="6" width="10.28515625" style="19" bestFit="1" customWidth="1"/>
    <col min="7" max="7" width="8.42578125" style="19" bestFit="1" customWidth="1"/>
    <col min="8" max="10" width="12.85546875" style="11" bestFit="1" customWidth="1"/>
    <col min="11" max="11" width="9.28515625" style="11" bestFit="1" customWidth="1"/>
    <col min="12" max="12" width="8.28515625" style="11" bestFit="1" customWidth="1"/>
    <col min="13" max="13" width="7" style="11" bestFit="1" customWidth="1"/>
    <col min="14" max="14" width="6.85546875" style="44"/>
    <col min="15" max="15" width="8.7109375" style="44" hidden="1" customWidth="1"/>
    <col min="16" max="16" width="8.7109375" style="11" hidden="1" customWidth="1"/>
    <col min="17" max="17" width="9.85546875" style="11" hidden="1" customWidth="1"/>
    <col min="18" max="18" width="8.7109375" style="44" hidden="1" customWidth="1"/>
    <col min="19" max="19" width="8.7109375" style="11" hidden="1" customWidth="1"/>
    <col min="20" max="20" width="11.28515625" style="11" bestFit="1" customWidth="1"/>
    <col min="21" max="21" width="12.85546875" style="258" bestFit="1" customWidth="1"/>
    <col min="22" max="22" width="12.85546875" style="11" bestFit="1" customWidth="1"/>
    <col min="23" max="23" width="10" style="11" bestFit="1" customWidth="1"/>
    <col min="24" max="25" width="10.28515625" style="11" bestFit="1" customWidth="1"/>
    <col min="26" max="16384" width="6.85546875" style="11"/>
  </cols>
  <sheetData>
    <row r="1" spans="1:24" ht="13.5" customHeight="1" x14ac:dyDescent="0.2">
      <c r="A1" s="164"/>
      <c r="B1" s="165"/>
      <c r="C1" s="165"/>
      <c r="D1" s="521" t="s">
        <v>0</v>
      </c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161"/>
    </row>
    <row r="2" spans="1:24" ht="15.75" customHeight="1" x14ac:dyDescent="0.2">
      <c r="A2" s="164"/>
      <c r="B2" s="166"/>
      <c r="C2" s="166"/>
      <c r="D2" s="522" t="s">
        <v>1</v>
      </c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161"/>
    </row>
    <row r="3" spans="1:24" ht="13.5" customHeight="1" x14ac:dyDescent="0.2">
      <c r="A3" s="164"/>
      <c r="B3" s="167"/>
      <c r="C3" s="167"/>
      <c r="D3" s="167"/>
      <c r="E3" s="168"/>
      <c r="F3" s="161"/>
      <c r="G3" s="161"/>
      <c r="H3" s="169">
        <v>43435</v>
      </c>
      <c r="I3" s="170" t="s">
        <v>1637</v>
      </c>
      <c r="J3" s="169">
        <v>43646</v>
      </c>
      <c r="K3" s="167"/>
      <c r="L3" s="167"/>
      <c r="M3" s="167"/>
      <c r="N3" s="171"/>
      <c r="O3" s="171"/>
      <c r="P3" s="167"/>
      <c r="Q3" s="167"/>
      <c r="R3" s="171"/>
      <c r="S3" s="167"/>
      <c r="T3" s="167" t="s">
        <v>1639</v>
      </c>
      <c r="U3" s="248">
        <f>ROUND((+J3-H3)/365*12,0)</f>
        <v>7</v>
      </c>
      <c r="V3" s="172"/>
    </row>
    <row r="4" spans="1:24" ht="3" customHeight="1" x14ac:dyDescent="0.2">
      <c r="A4" s="164"/>
      <c r="B4" s="164"/>
      <c r="C4" s="164"/>
      <c r="D4" s="164"/>
      <c r="E4" s="173"/>
      <c r="F4" s="172"/>
      <c r="G4" s="172"/>
      <c r="H4" s="164"/>
      <c r="I4" s="164"/>
      <c r="J4" s="164"/>
      <c r="K4" s="164"/>
      <c r="L4" s="164"/>
      <c r="M4" s="164"/>
      <c r="N4" s="174"/>
      <c r="O4" s="174"/>
      <c r="P4" s="164"/>
      <c r="Q4" s="164"/>
      <c r="R4" s="174"/>
      <c r="S4" s="164"/>
      <c r="T4" s="164"/>
      <c r="U4" s="249"/>
      <c r="V4" s="164"/>
    </row>
    <row r="5" spans="1:24" ht="15" customHeight="1" x14ac:dyDescent="0.2">
      <c r="A5" s="175"/>
      <c r="B5" s="176"/>
      <c r="C5" s="176"/>
      <c r="D5" s="177" t="s">
        <v>4</v>
      </c>
      <c r="E5" s="178" t="s">
        <v>1641</v>
      </c>
      <c r="F5" s="179"/>
      <c r="G5" s="180"/>
      <c r="H5" s="181" t="s">
        <v>1643</v>
      </c>
      <c r="I5" s="182" t="s">
        <v>1646</v>
      </c>
      <c r="J5" s="183" t="s">
        <v>1647</v>
      </c>
      <c r="K5" s="182" t="s">
        <v>1649</v>
      </c>
      <c r="L5" s="182" t="s">
        <v>1650</v>
      </c>
      <c r="M5" s="182" t="s">
        <v>1634</v>
      </c>
      <c r="N5" s="184" t="s">
        <v>1634</v>
      </c>
      <c r="O5" s="184" t="s">
        <v>1664</v>
      </c>
      <c r="P5" s="182" t="s">
        <v>1665</v>
      </c>
      <c r="Q5" s="182" t="s">
        <v>1666</v>
      </c>
      <c r="R5" s="184" t="s">
        <v>1661</v>
      </c>
      <c r="S5" s="182" t="s">
        <v>1660</v>
      </c>
      <c r="T5" s="182" t="s">
        <v>1662</v>
      </c>
      <c r="U5" s="250" t="s">
        <v>1653</v>
      </c>
      <c r="V5" s="184" t="s">
        <v>2086</v>
      </c>
      <c r="X5" s="11" t="s">
        <v>2099</v>
      </c>
    </row>
    <row r="6" spans="1:24" ht="15" customHeight="1" x14ac:dyDescent="0.2">
      <c r="A6" s="185" t="s">
        <v>1636</v>
      </c>
      <c r="B6" s="186"/>
      <c r="C6" s="186" t="s">
        <v>12</v>
      </c>
      <c r="D6" s="187" t="s">
        <v>1640</v>
      </c>
      <c r="E6" s="188" t="s">
        <v>1640</v>
      </c>
      <c r="F6" s="189" t="s">
        <v>1642</v>
      </c>
      <c r="G6" s="190" t="s">
        <v>1644</v>
      </c>
      <c r="H6" s="191" t="s">
        <v>1644</v>
      </c>
      <c r="I6" s="192" t="s">
        <v>1645</v>
      </c>
      <c r="J6" s="187"/>
      <c r="K6" s="187"/>
      <c r="L6" s="187"/>
      <c r="M6" s="192" t="s">
        <v>1651</v>
      </c>
      <c r="N6" s="193" t="s">
        <v>1633</v>
      </c>
      <c r="O6" s="193" t="s">
        <v>1634</v>
      </c>
      <c r="P6" s="193" t="s">
        <v>1634</v>
      </c>
      <c r="Q6" s="193" t="s">
        <v>1667</v>
      </c>
      <c r="R6" s="193" t="s">
        <v>1634</v>
      </c>
      <c r="S6" s="193" t="s">
        <v>1634</v>
      </c>
      <c r="T6" s="193" t="s">
        <v>1634</v>
      </c>
      <c r="U6" s="251" t="s">
        <v>1652</v>
      </c>
      <c r="V6" s="193" t="s">
        <v>2087</v>
      </c>
    </row>
    <row r="7" spans="1:24" ht="15.75" customHeight="1" x14ac:dyDescent="0.2">
      <c r="A7" s="194" t="s">
        <v>14</v>
      </c>
      <c r="B7" s="195"/>
      <c r="C7" s="195"/>
      <c r="D7" s="196"/>
      <c r="E7" s="197"/>
      <c r="F7" s="198"/>
      <c r="G7" s="198"/>
      <c r="H7" s="198"/>
      <c r="I7" s="198"/>
      <c r="J7" s="198"/>
      <c r="K7" s="198"/>
      <c r="L7" s="198"/>
      <c r="M7" s="196"/>
      <c r="N7" s="199"/>
      <c r="O7" s="199"/>
      <c r="P7" s="196"/>
      <c r="Q7" s="196"/>
      <c r="R7" s="199"/>
      <c r="S7" s="196"/>
      <c r="T7" s="196"/>
      <c r="U7" s="252"/>
      <c r="V7" s="200"/>
    </row>
    <row r="8" spans="1:24" ht="15.75" customHeight="1" x14ac:dyDescent="0.2">
      <c r="A8" s="110" t="s">
        <v>15</v>
      </c>
      <c r="B8" s="111"/>
      <c r="C8" s="201" t="s">
        <v>16</v>
      </c>
      <c r="D8" s="91">
        <v>41878</v>
      </c>
      <c r="E8" s="92"/>
      <c r="F8" s="93"/>
      <c r="G8" s="93"/>
      <c r="H8" s="93">
        <v>1000</v>
      </c>
      <c r="I8" s="93">
        <v>894</v>
      </c>
      <c r="J8" s="93">
        <v>0</v>
      </c>
      <c r="K8" s="93">
        <f t="shared" ref="K8:K71" si="0">INT(IF($E8&gt;0,IF(+F8-I8+Q8&lt;0,0,+F8-I8+Q8),0))</f>
        <v>0</v>
      </c>
      <c r="L8" s="93">
        <f t="shared" ref="L8:L71" si="1">INT(IF($E8&gt;0,IF(K8=0,-F8+I8-Q8,0),0))</f>
        <v>0</v>
      </c>
      <c r="M8" s="94">
        <v>2.5</v>
      </c>
      <c r="N8" s="95" t="s">
        <v>17</v>
      </c>
      <c r="O8" s="93">
        <f>IF(E8&gt;0,INT(IF($N8="D",IF($D8&lt;$H$3,$I8*($M8/100)*((E8-$H$3)/365),$J8*($M8/100)*($J$3-$D8)/365),0)),0)</f>
        <v>0</v>
      </c>
      <c r="P8" s="93">
        <f>IF(E8&gt;0,INT(IF($N8="P",IF($D8&lt;$H$3,$H8*($M8/100)*(E8-$H$3)/365,$J8*($M8/100)*($J$3-$D8)/365),0)),0)</f>
        <v>0</v>
      </c>
      <c r="Q8" s="93">
        <f>+O8+P8</f>
        <v>0</v>
      </c>
      <c r="R8" s="93">
        <f t="shared" ref="R8:R71" si="2">INT(IF($E8&gt;0,0,(IF($N8="D",IF($D8&lt;$H$3,$I8*($M8/100)*$U$3/12,$J8*($M8/100)*($J$3-$D8)/365),0))))</f>
        <v>0</v>
      </c>
      <c r="S8" s="93">
        <f t="shared" ref="S8:S71" si="3">INT(IF($E8&gt;0,0,(IF($N8="P",IF($D8&lt;$H$3,$H8*($M8/100)*$U$3/12,$J8*($M8/100)*($J$3-$D8)/365),0))))</f>
        <v>14</v>
      </c>
      <c r="T8" s="93">
        <f>+R8+S8+Q8</f>
        <v>14</v>
      </c>
      <c r="U8" s="253">
        <f t="shared" ref="U8:U71" si="4">+I8+J8-T8-F8+K8-L8</f>
        <v>880</v>
      </c>
      <c r="V8" s="93">
        <f>IF(E8&gt;0,+H8+J8,0)</f>
        <v>0</v>
      </c>
    </row>
    <row r="9" spans="1:24" ht="18" customHeight="1" x14ac:dyDescent="0.2">
      <c r="A9" s="110" t="s">
        <v>18</v>
      </c>
      <c r="B9" s="111"/>
      <c r="C9" s="202" t="s">
        <v>19</v>
      </c>
      <c r="D9" s="91">
        <v>41831</v>
      </c>
      <c r="E9" s="92"/>
      <c r="F9" s="93"/>
      <c r="G9" s="93"/>
      <c r="H9" s="93">
        <v>2660</v>
      </c>
      <c r="I9" s="93">
        <v>2366</v>
      </c>
      <c r="J9" s="93">
        <v>0</v>
      </c>
      <c r="K9" s="93">
        <f t="shared" si="0"/>
        <v>0</v>
      </c>
      <c r="L9" s="93">
        <f t="shared" si="1"/>
        <v>0</v>
      </c>
      <c r="M9" s="94">
        <v>2.5</v>
      </c>
      <c r="N9" s="95" t="s">
        <v>17</v>
      </c>
      <c r="O9" s="93">
        <f t="shared" ref="O9:O72" si="5">IF(E9&gt;0,INT(IF($N9="D",IF($D9&lt;$H$3,$I9*($M9/100)*((E9-$H$3)/365),$J9*($M9/100)*($J$3-$D9)/365),0)),0)</f>
        <v>0</v>
      </c>
      <c r="P9" s="93">
        <f t="shared" ref="P9:P72" si="6">IF(E9&gt;0,INT(IF($N9="P",IF($D9&lt;$H$3,$H9*($M9/100)*(E9-$H$3)/365,$J9*($M9/100)*($J$3-$D9)/365),0)),0)</f>
        <v>0</v>
      </c>
      <c r="Q9" s="93">
        <f t="shared" ref="Q9:Q72" si="7">+O9+P9</f>
        <v>0</v>
      </c>
      <c r="R9" s="93">
        <f t="shared" si="2"/>
        <v>0</v>
      </c>
      <c r="S9" s="93">
        <f t="shared" si="3"/>
        <v>38</v>
      </c>
      <c r="T9" s="93">
        <f t="shared" ref="T9:T72" si="8">+R9+S9+Q9</f>
        <v>38</v>
      </c>
      <c r="U9" s="253">
        <f t="shared" si="4"/>
        <v>2328</v>
      </c>
      <c r="V9" s="93">
        <f t="shared" ref="V9:V72" si="9">IF(E9&gt;0,+H9+J9,0)</f>
        <v>0</v>
      </c>
    </row>
    <row r="10" spans="1:24" ht="18" customHeight="1" x14ac:dyDescent="0.2">
      <c r="A10" s="110" t="s">
        <v>20</v>
      </c>
      <c r="B10" s="111"/>
      <c r="C10" s="202" t="s">
        <v>21</v>
      </c>
      <c r="D10" s="91">
        <v>41850</v>
      </c>
      <c r="E10" s="92"/>
      <c r="F10" s="93"/>
      <c r="G10" s="93"/>
      <c r="H10" s="93">
        <v>2584</v>
      </c>
      <c r="I10" s="93">
        <v>2303</v>
      </c>
      <c r="J10" s="93">
        <v>0</v>
      </c>
      <c r="K10" s="93">
        <f t="shared" si="0"/>
        <v>0</v>
      </c>
      <c r="L10" s="93">
        <f t="shared" si="1"/>
        <v>0</v>
      </c>
      <c r="M10" s="94">
        <v>2.5</v>
      </c>
      <c r="N10" s="95" t="s">
        <v>17</v>
      </c>
      <c r="O10" s="93">
        <f t="shared" si="5"/>
        <v>0</v>
      </c>
      <c r="P10" s="93">
        <f t="shared" si="6"/>
        <v>0</v>
      </c>
      <c r="Q10" s="93">
        <f t="shared" si="7"/>
        <v>0</v>
      </c>
      <c r="R10" s="93">
        <f t="shared" si="2"/>
        <v>0</v>
      </c>
      <c r="S10" s="93">
        <f t="shared" si="3"/>
        <v>37</v>
      </c>
      <c r="T10" s="93">
        <f t="shared" si="8"/>
        <v>37</v>
      </c>
      <c r="U10" s="253">
        <f t="shared" si="4"/>
        <v>2266</v>
      </c>
      <c r="V10" s="93">
        <f t="shared" si="9"/>
        <v>0</v>
      </c>
    </row>
    <row r="11" spans="1:24" ht="18" customHeight="1" x14ac:dyDescent="0.2">
      <c r="A11" s="110" t="s">
        <v>22</v>
      </c>
      <c r="B11" s="111"/>
      <c r="C11" s="202" t="s">
        <v>23</v>
      </c>
      <c r="D11" s="91">
        <v>42033</v>
      </c>
      <c r="E11" s="92"/>
      <c r="F11" s="93"/>
      <c r="G11" s="93"/>
      <c r="H11" s="93">
        <v>3332</v>
      </c>
      <c r="I11" s="93">
        <v>3012</v>
      </c>
      <c r="J11" s="93">
        <v>0</v>
      </c>
      <c r="K11" s="93">
        <f t="shared" si="0"/>
        <v>0</v>
      </c>
      <c r="L11" s="93">
        <f t="shared" si="1"/>
        <v>0</v>
      </c>
      <c r="M11" s="94">
        <v>2.5</v>
      </c>
      <c r="N11" s="95" t="s">
        <v>17</v>
      </c>
      <c r="O11" s="93">
        <f t="shared" si="5"/>
        <v>0</v>
      </c>
      <c r="P11" s="93">
        <f t="shared" si="6"/>
        <v>0</v>
      </c>
      <c r="Q11" s="93">
        <f t="shared" si="7"/>
        <v>0</v>
      </c>
      <c r="R11" s="93">
        <f t="shared" si="2"/>
        <v>0</v>
      </c>
      <c r="S11" s="93">
        <f t="shared" si="3"/>
        <v>48</v>
      </c>
      <c r="T11" s="93">
        <f t="shared" si="8"/>
        <v>48</v>
      </c>
      <c r="U11" s="253">
        <f t="shared" si="4"/>
        <v>2964</v>
      </c>
      <c r="V11" s="93">
        <f t="shared" si="9"/>
        <v>0</v>
      </c>
    </row>
    <row r="12" spans="1:24" ht="18" customHeight="1" x14ac:dyDescent="0.2">
      <c r="A12" s="110" t="s">
        <v>24</v>
      </c>
      <c r="B12" s="111"/>
      <c r="C12" s="202" t="s">
        <v>25</v>
      </c>
      <c r="D12" s="91">
        <v>42067</v>
      </c>
      <c r="E12" s="92"/>
      <c r="F12" s="93"/>
      <c r="G12" s="93"/>
      <c r="H12" s="93">
        <v>3036</v>
      </c>
      <c r="I12" s="93">
        <v>2751</v>
      </c>
      <c r="J12" s="93">
        <v>0</v>
      </c>
      <c r="K12" s="93">
        <f t="shared" si="0"/>
        <v>0</v>
      </c>
      <c r="L12" s="93">
        <f t="shared" si="1"/>
        <v>0</v>
      </c>
      <c r="M12" s="94">
        <v>2.5</v>
      </c>
      <c r="N12" s="95" t="s">
        <v>17</v>
      </c>
      <c r="O12" s="93">
        <f t="shared" si="5"/>
        <v>0</v>
      </c>
      <c r="P12" s="93">
        <f t="shared" si="6"/>
        <v>0</v>
      </c>
      <c r="Q12" s="93">
        <f t="shared" si="7"/>
        <v>0</v>
      </c>
      <c r="R12" s="93">
        <f t="shared" si="2"/>
        <v>0</v>
      </c>
      <c r="S12" s="93">
        <f t="shared" si="3"/>
        <v>44</v>
      </c>
      <c r="T12" s="93">
        <f t="shared" si="8"/>
        <v>44</v>
      </c>
      <c r="U12" s="253">
        <f t="shared" si="4"/>
        <v>2707</v>
      </c>
      <c r="V12" s="93">
        <f t="shared" si="9"/>
        <v>0</v>
      </c>
    </row>
    <row r="13" spans="1:24" ht="18" customHeight="1" x14ac:dyDescent="0.2">
      <c r="A13" s="110" t="s">
        <v>26</v>
      </c>
      <c r="B13" s="111"/>
      <c r="C13" s="203" t="s">
        <v>27</v>
      </c>
      <c r="D13" s="91">
        <v>42475</v>
      </c>
      <c r="E13" s="92"/>
      <c r="F13" s="93"/>
      <c r="G13" s="93"/>
      <c r="H13" s="93">
        <v>67371.570000000007</v>
      </c>
      <c r="I13" s="93">
        <v>62942.57</v>
      </c>
      <c r="J13" s="93">
        <v>0</v>
      </c>
      <c r="K13" s="93">
        <f t="shared" si="0"/>
        <v>0</v>
      </c>
      <c r="L13" s="93">
        <f t="shared" si="1"/>
        <v>0</v>
      </c>
      <c r="M13" s="94">
        <v>2.5</v>
      </c>
      <c r="N13" s="95" t="s">
        <v>17</v>
      </c>
      <c r="O13" s="93">
        <f t="shared" si="5"/>
        <v>0</v>
      </c>
      <c r="P13" s="93">
        <f t="shared" si="6"/>
        <v>0</v>
      </c>
      <c r="Q13" s="93">
        <f t="shared" si="7"/>
        <v>0</v>
      </c>
      <c r="R13" s="93">
        <f t="shared" si="2"/>
        <v>0</v>
      </c>
      <c r="S13" s="93">
        <f t="shared" si="3"/>
        <v>982</v>
      </c>
      <c r="T13" s="93">
        <f t="shared" si="8"/>
        <v>982</v>
      </c>
      <c r="U13" s="253">
        <f t="shared" si="4"/>
        <v>61960.57</v>
      </c>
      <c r="V13" s="93">
        <f t="shared" si="9"/>
        <v>0</v>
      </c>
    </row>
    <row r="14" spans="1:24" ht="18" customHeight="1" x14ac:dyDescent="0.2">
      <c r="A14" s="110" t="s">
        <v>28</v>
      </c>
      <c r="B14" s="111"/>
      <c r="C14" s="201" t="s">
        <v>29</v>
      </c>
      <c r="D14" s="91">
        <v>42429</v>
      </c>
      <c r="E14" s="92"/>
      <c r="F14" s="93"/>
      <c r="G14" s="93"/>
      <c r="H14" s="93">
        <v>4933.6400000000003</v>
      </c>
      <c r="I14" s="93">
        <v>4593.6400000000003</v>
      </c>
      <c r="J14" s="93">
        <v>0</v>
      </c>
      <c r="K14" s="93">
        <f t="shared" si="0"/>
        <v>0</v>
      </c>
      <c r="L14" s="93">
        <f t="shared" si="1"/>
        <v>0</v>
      </c>
      <c r="M14" s="94">
        <v>2.5</v>
      </c>
      <c r="N14" s="95" t="s">
        <v>17</v>
      </c>
      <c r="O14" s="93">
        <f t="shared" si="5"/>
        <v>0</v>
      </c>
      <c r="P14" s="93">
        <f t="shared" si="6"/>
        <v>0</v>
      </c>
      <c r="Q14" s="93">
        <f t="shared" si="7"/>
        <v>0</v>
      </c>
      <c r="R14" s="93">
        <f t="shared" si="2"/>
        <v>0</v>
      </c>
      <c r="S14" s="93">
        <f t="shared" si="3"/>
        <v>71</v>
      </c>
      <c r="T14" s="93">
        <f t="shared" si="8"/>
        <v>71</v>
      </c>
      <c r="U14" s="253">
        <f t="shared" si="4"/>
        <v>4522.6400000000003</v>
      </c>
      <c r="V14" s="93">
        <f t="shared" si="9"/>
        <v>0</v>
      </c>
    </row>
    <row r="15" spans="1:24" ht="18" customHeight="1" x14ac:dyDescent="0.2">
      <c r="A15" s="110" t="s">
        <v>30</v>
      </c>
      <c r="B15" s="111"/>
      <c r="C15" s="201" t="s">
        <v>31</v>
      </c>
      <c r="D15" s="91">
        <v>42551</v>
      </c>
      <c r="E15" s="92"/>
      <c r="F15" s="93"/>
      <c r="G15" s="93"/>
      <c r="H15" s="93">
        <v>96714.930000000008</v>
      </c>
      <c r="I15" s="93">
        <v>90857.930000000008</v>
      </c>
      <c r="J15" s="93">
        <v>0</v>
      </c>
      <c r="K15" s="93">
        <f t="shared" si="0"/>
        <v>0</v>
      </c>
      <c r="L15" s="93">
        <f t="shared" si="1"/>
        <v>0</v>
      </c>
      <c r="M15" s="94">
        <v>2.5</v>
      </c>
      <c r="N15" s="95" t="s">
        <v>17</v>
      </c>
      <c r="O15" s="93">
        <f t="shared" si="5"/>
        <v>0</v>
      </c>
      <c r="P15" s="93">
        <f t="shared" si="6"/>
        <v>0</v>
      </c>
      <c r="Q15" s="93">
        <f t="shared" si="7"/>
        <v>0</v>
      </c>
      <c r="R15" s="93">
        <f t="shared" si="2"/>
        <v>0</v>
      </c>
      <c r="S15" s="93">
        <f t="shared" si="3"/>
        <v>1410</v>
      </c>
      <c r="T15" s="93">
        <f t="shared" si="8"/>
        <v>1410</v>
      </c>
      <c r="U15" s="253">
        <f t="shared" si="4"/>
        <v>89447.930000000008</v>
      </c>
      <c r="V15" s="93">
        <f t="shared" si="9"/>
        <v>0</v>
      </c>
    </row>
    <row r="16" spans="1:24" ht="18" customHeight="1" x14ac:dyDescent="0.2">
      <c r="A16" s="110" t="s">
        <v>32</v>
      </c>
      <c r="B16" s="111"/>
      <c r="C16" s="202" t="s">
        <v>33</v>
      </c>
      <c r="D16" s="91">
        <v>42377</v>
      </c>
      <c r="E16" s="92"/>
      <c r="F16" s="93"/>
      <c r="G16" s="93"/>
      <c r="H16" s="93">
        <v>2975</v>
      </c>
      <c r="I16" s="93">
        <v>2760</v>
      </c>
      <c r="J16" s="93">
        <v>0</v>
      </c>
      <c r="K16" s="93">
        <f t="shared" si="0"/>
        <v>0</v>
      </c>
      <c r="L16" s="93">
        <f t="shared" si="1"/>
        <v>0</v>
      </c>
      <c r="M16" s="94">
        <v>2.5</v>
      </c>
      <c r="N16" s="95" t="s">
        <v>17</v>
      </c>
      <c r="O16" s="93">
        <f t="shared" si="5"/>
        <v>0</v>
      </c>
      <c r="P16" s="93">
        <f t="shared" si="6"/>
        <v>0</v>
      </c>
      <c r="Q16" s="93">
        <f t="shared" si="7"/>
        <v>0</v>
      </c>
      <c r="R16" s="93">
        <f t="shared" si="2"/>
        <v>0</v>
      </c>
      <c r="S16" s="93">
        <f t="shared" si="3"/>
        <v>43</v>
      </c>
      <c r="T16" s="93">
        <f t="shared" si="8"/>
        <v>43</v>
      </c>
      <c r="U16" s="253">
        <f t="shared" si="4"/>
        <v>2717</v>
      </c>
      <c r="V16" s="93">
        <f t="shared" si="9"/>
        <v>0</v>
      </c>
    </row>
    <row r="17" spans="1:22" ht="18" customHeight="1" x14ac:dyDescent="0.2">
      <c r="A17" s="110" t="s">
        <v>34</v>
      </c>
      <c r="B17" s="111"/>
      <c r="C17" s="203" t="s">
        <v>35</v>
      </c>
      <c r="D17" s="91">
        <v>42385</v>
      </c>
      <c r="E17" s="92"/>
      <c r="F17" s="93"/>
      <c r="G17" s="93"/>
      <c r="H17" s="93">
        <v>51063.4</v>
      </c>
      <c r="I17" s="93">
        <v>47390.400000000001</v>
      </c>
      <c r="J17" s="93">
        <v>0</v>
      </c>
      <c r="K17" s="93">
        <f t="shared" si="0"/>
        <v>0</v>
      </c>
      <c r="L17" s="93">
        <f t="shared" si="1"/>
        <v>0</v>
      </c>
      <c r="M17" s="94">
        <v>2.5</v>
      </c>
      <c r="N17" s="95" t="s">
        <v>17</v>
      </c>
      <c r="O17" s="93">
        <f t="shared" si="5"/>
        <v>0</v>
      </c>
      <c r="P17" s="93">
        <f t="shared" si="6"/>
        <v>0</v>
      </c>
      <c r="Q17" s="93">
        <f t="shared" si="7"/>
        <v>0</v>
      </c>
      <c r="R17" s="93">
        <f t="shared" si="2"/>
        <v>0</v>
      </c>
      <c r="S17" s="93">
        <f t="shared" si="3"/>
        <v>744</v>
      </c>
      <c r="T17" s="93">
        <f t="shared" si="8"/>
        <v>744</v>
      </c>
      <c r="U17" s="253">
        <f t="shared" si="4"/>
        <v>46646.400000000001</v>
      </c>
      <c r="V17" s="93">
        <f t="shared" si="9"/>
        <v>0</v>
      </c>
    </row>
    <row r="18" spans="1:22" ht="18" customHeight="1" x14ac:dyDescent="0.2">
      <c r="A18" s="110" t="s">
        <v>36</v>
      </c>
      <c r="B18" s="111"/>
      <c r="C18" s="202" t="s">
        <v>37</v>
      </c>
      <c r="D18" s="91">
        <v>42428</v>
      </c>
      <c r="E18" s="92"/>
      <c r="F18" s="93"/>
      <c r="G18" s="93"/>
      <c r="H18" s="93">
        <v>25219.350000000002</v>
      </c>
      <c r="I18" s="93">
        <v>23481.350000000002</v>
      </c>
      <c r="J18" s="93">
        <v>0</v>
      </c>
      <c r="K18" s="93">
        <f t="shared" si="0"/>
        <v>0</v>
      </c>
      <c r="L18" s="93">
        <f t="shared" si="1"/>
        <v>0</v>
      </c>
      <c r="M18" s="94">
        <v>2.5</v>
      </c>
      <c r="N18" s="95" t="s">
        <v>17</v>
      </c>
      <c r="O18" s="93">
        <f t="shared" si="5"/>
        <v>0</v>
      </c>
      <c r="P18" s="93">
        <f t="shared" si="6"/>
        <v>0</v>
      </c>
      <c r="Q18" s="93">
        <f t="shared" si="7"/>
        <v>0</v>
      </c>
      <c r="R18" s="93">
        <f t="shared" si="2"/>
        <v>0</v>
      </c>
      <c r="S18" s="93">
        <f t="shared" si="3"/>
        <v>367</v>
      </c>
      <c r="T18" s="93">
        <f t="shared" si="8"/>
        <v>367</v>
      </c>
      <c r="U18" s="253">
        <f t="shared" si="4"/>
        <v>23114.350000000002</v>
      </c>
      <c r="V18" s="93">
        <f t="shared" si="9"/>
        <v>0</v>
      </c>
    </row>
    <row r="19" spans="1:22" ht="18" customHeight="1" x14ac:dyDescent="0.2">
      <c r="A19" s="110" t="s">
        <v>38</v>
      </c>
      <c r="B19" s="111"/>
      <c r="C19" s="202" t="s">
        <v>39</v>
      </c>
      <c r="D19" s="91">
        <v>42428</v>
      </c>
      <c r="E19" s="92"/>
      <c r="F19" s="93"/>
      <c r="G19" s="93"/>
      <c r="H19" s="93">
        <v>499182.86</v>
      </c>
      <c r="I19" s="93">
        <v>464751.86</v>
      </c>
      <c r="J19" s="93">
        <v>0</v>
      </c>
      <c r="K19" s="93">
        <f t="shared" si="0"/>
        <v>0</v>
      </c>
      <c r="L19" s="93">
        <f t="shared" si="1"/>
        <v>0</v>
      </c>
      <c r="M19" s="94">
        <v>2.5</v>
      </c>
      <c r="N19" s="95" t="s">
        <v>17</v>
      </c>
      <c r="O19" s="93">
        <f t="shared" si="5"/>
        <v>0</v>
      </c>
      <c r="P19" s="93">
        <f t="shared" si="6"/>
        <v>0</v>
      </c>
      <c r="Q19" s="93">
        <f t="shared" si="7"/>
        <v>0</v>
      </c>
      <c r="R19" s="93">
        <f t="shared" si="2"/>
        <v>0</v>
      </c>
      <c r="S19" s="93">
        <f t="shared" si="3"/>
        <v>7279</v>
      </c>
      <c r="T19" s="93">
        <f t="shared" si="8"/>
        <v>7279</v>
      </c>
      <c r="U19" s="253">
        <f t="shared" si="4"/>
        <v>457472.86</v>
      </c>
      <c r="V19" s="93">
        <f t="shared" si="9"/>
        <v>0</v>
      </c>
    </row>
    <row r="20" spans="1:22" ht="18" customHeight="1" x14ac:dyDescent="0.2">
      <c r="A20" s="110" t="s">
        <v>40</v>
      </c>
      <c r="B20" s="111"/>
      <c r="C20" s="90" t="s">
        <v>41</v>
      </c>
      <c r="D20" s="91">
        <v>42274</v>
      </c>
      <c r="E20" s="92"/>
      <c r="F20" s="93"/>
      <c r="G20" s="93"/>
      <c r="H20" s="93">
        <v>76772.05</v>
      </c>
      <c r="I20" s="93">
        <v>70667.05</v>
      </c>
      <c r="J20" s="93">
        <v>0</v>
      </c>
      <c r="K20" s="93">
        <f t="shared" si="0"/>
        <v>0</v>
      </c>
      <c r="L20" s="93">
        <f t="shared" si="1"/>
        <v>0</v>
      </c>
      <c r="M20" s="94">
        <v>2.5</v>
      </c>
      <c r="N20" s="95" t="s">
        <v>17</v>
      </c>
      <c r="O20" s="93">
        <f t="shared" si="5"/>
        <v>0</v>
      </c>
      <c r="P20" s="93">
        <f t="shared" si="6"/>
        <v>0</v>
      </c>
      <c r="Q20" s="93">
        <f t="shared" si="7"/>
        <v>0</v>
      </c>
      <c r="R20" s="93">
        <f t="shared" si="2"/>
        <v>0</v>
      </c>
      <c r="S20" s="93">
        <f t="shared" si="3"/>
        <v>1119</v>
      </c>
      <c r="T20" s="93">
        <f t="shared" si="8"/>
        <v>1119</v>
      </c>
      <c r="U20" s="253">
        <f t="shared" si="4"/>
        <v>69548.05</v>
      </c>
      <c r="V20" s="93">
        <f t="shared" si="9"/>
        <v>0</v>
      </c>
    </row>
    <row r="21" spans="1:22" ht="18" customHeight="1" x14ac:dyDescent="0.2">
      <c r="A21" s="110" t="s">
        <v>42</v>
      </c>
      <c r="B21" s="111"/>
      <c r="C21" s="203" t="s">
        <v>43</v>
      </c>
      <c r="D21" s="91">
        <v>42415</v>
      </c>
      <c r="E21" s="92"/>
      <c r="F21" s="93"/>
      <c r="G21" s="93"/>
      <c r="H21" s="93">
        <v>3300</v>
      </c>
      <c r="I21" s="93">
        <v>3068</v>
      </c>
      <c r="J21" s="93">
        <v>0</v>
      </c>
      <c r="K21" s="93">
        <f t="shared" si="0"/>
        <v>0</v>
      </c>
      <c r="L21" s="93">
        <f t="shared" si="1"/>
        <v>0</v>
      </c>
      <c r="M21" s="94">
        <v>2.5</v>
      </c>
      <c r="N21" s="95" t="s">
        <v>17</v>
      </c>
      <c r="O21" s="93">
        <f t="shared" si="5"/>
        <v>0</v>
      </c>
      <c r="P21" s="93">
        <f t="shared" si="6"/>
        <v>0</v>
      </c>
      <c r="Q21" s="93">
        <f t="shared" si="7"/>
        <v>0</v>
      </c>
      <c r="R21" s="93">
        <f t="shared" si="2"/>
        <v>0</v>
      </c>
      <c r="S21" s="93">
        <f t="shared" si="3"/>
        <v>48</v>
      </c>
      <c r="T21" s="93">
        <f t="shared" si="8"/>
        <v>48</v>
      </c>
      <c r="U21" s="253">
        <f t="shared" si="4"/>
        <v>3020</v>
      </c>
      <c r="V21" s="93">
        <f t="shared" si="9"/>
        <v>0</v>
      </c>
    </row>
    <row r="22" spans="1:22" ht="18" customHeight="1" x14ac:dyDescent="0.2">
      <c r="A22" s="110" t="s">
        <v>44</v>
      </c>
      <c r="B22" s="111"/>
      <c r="C22" s="90" t="s">
        <v>45</v>
      </c>
      <c r="D22" s="91">
        <v>42319</v>
      </c>
      <c r="E22" s="92"/>
      <c r="F22" s="93"/>
      <c r="G22" s="93"/>
      <c r="H22" s="93">
        <v>80345.240000000005</v>
      </c>
      <c r="I22" s="93">
        <v>74203.240000000005</v>
      </c>
      <c r="J22" s="93">
        <v>0</v>
      </c>
      <c r="K22" s="93">
        <f t="shared" si="0"/>
        <v>0</v>
      </c>
      <c r="L22" s="93">
        <f t="shared" si="1"/>
        <v>0</v>
      </c>
      <c r="M22" s="94">
        <v>2.5</v>
      </c>
      <c r="N22" s="95" t="s">
        <v>17</v>
      </c>
      <c r="O22" s="93">
        <f t="shared" si="5"/>
        <v>0</v>
      </c>
      <c r="P22" s="93">
        <f t="shared" si="6"/>
        <v>0</v>
      </c>
      <c r="Q22" s="93">
        <f t="shared" si="7"/>
        <v>0</v>
      </c>
      <c r="R22" s="93">
        <f t="shared" si="2"/>
        <v>0</v>
      </c>
      <c r="S22" s="93">
        <f t="shared" si="3"/>
        <v>1171</v>
      </c>
      <c r="T22" s="93">
        <f t="shared" si="8"/>
        <v>1171</v>
      </c>
      <c r="U22" s="253">
        <f t="shared" si="4"/>
        <v>73032.240000000005</v>
      </c>
      <c r="V22" s="93">
        <f t="shared" si="9"/>
        <v>0</v>
      </c>
    </row>
    <row r="23" spans="1:22" ht="18" customHeight="1" x14ac:dyDescent="0.2">
      <c r="A23" s="110" t="s">
        <v>46</v>
      </c>
      <c r="B23" s="111"/>
      <c r="C23" s="203" t="s">
        <v>47</v>
      </c>
      <c r="D23" s="91">
        <v>42556</v>
      </c>
      <c r="E23" s="92"/>
      <c r="F23" s="93"/>
      <c r="G23" s="93"/>
      <c r="H23" s="93">
        <v>876.25</v>
      </c>
      <c r="I23" s="93">
        <v>823.25</v>
      </c>
      <c r="J23" s="93">
        <v>0</v>
      </c>
      <c r="K23" s="93">
        <f t="shared" si="0"/>
        <v>0</v>
      </c>
      <c r="L23" s="93">
        <f t="shared" si="1"/>
        <v>0</v>
      </c>
      <c r="M23" s="94">
        <v>2.5</v>
      </c>
      <c r="N23" s="95" t="s">
        <v>17</v>
      </c>
      <c r="O23" s="93">
        <f t="shared" si="5"/>
        <v>0</v>
      </c>
      <c r="P23" s="93">
        <f t="shared" si="6"/>
        <v>0</v>
      </c>
      <c r="Q23" s="93">
        <f t="shared" si="7"/>
        <v>0</v>
      </c>
      <c r="R23" s="93">
        <f t="shared" si="2"/>
        <v>0</v>
      </c>
      <c r="S23" s="93">
        <f t="shared" si="3"/>
        <v>12</v>
      </c>
      <c r="T23" s="93">
        <f t="shared" si="8"/>
        <v>12</v>
      </c>
      <c r="U23" s="253">
        <f t="shared" si="4"/>
        <v>811.25</v>
      </c>
      <c r="V23" s="93">
        <f t="shared" si="9"/>
        <v>0</v>
      </c>
    </row>
    <row r="24" spans="1:22" ht="18" customHeight="1" x14ac:dyDescent="0.2">
      <c r="A24" s="110" t="s">
        <v>48</v>
      </c>
      <c r="B24" s="111"/>
      <c r="C24" s="201" t="s">
        <v>49</v>
      </c>
      <c r="D24" s="91">
        <v>42704</v>
      </c>
      <c r="E24" s="92"/>
      <c r="F24" s="93"/>
      <c r="G24" s="93"/>
      <c r="H24" s="93">
        <v>1950</v>
      </c>
      <c r="I24" s="93">
        <v>1853</v>
      </c>
      <c r="J24" s="93">
        <v>0</v>
      </c>
      <c r="K24" s="93">
        <f t="shared" si="0"/>
        <v>0</v>
      </c>
      <c r="L24" s="93">
        <f t="shared" si="1"/>
        <v>0</v>
      </c>
      <c r="M24" s="94">
        <v>2.5</v>
      </c>
      <c r="N24" s="95" t="s">
        <v>17</v>
      </c>
      <c r="O24" s="93">
        <f t="shared" si="5"/>
        <v>0</v>
      </c>
      <c r="P24" s="93">
        <f t="shared" si="6"/>
        <v>0</v>
      </c>
      <c r="Q24" s="93">
        <f t="shared" si="7"/>
        <v>0</v>
      </c>
      <c r="R24" s="93">
        <f t="shared" si="2"/>
        <v>0</v>
      </c>
      <c r="S24" s="93">
        <f t="shared" si="3"/>
        <v>28</v>
      </c>
      <c r="T24" s="93">
        <f t="shared" si="8"/>
        <v>28</v>
      </c>
      <c r="U24" s="253">
        <f t="shared" si="4"/>
        <v>1825</v>
      </c>
      <c r="V24" s="93">
        <f t="shared" si="9"/>
        <v>0</v>
      </c>
    </row>
    <row r="25" spans="1:22" ht="18" customHeight="1" x14ac:dyDescent="0.2">
      <c r="A25" s="110" t="s">
        <v>50</v>
      </c>
      <c r="B25" s="111"/>
      <c r="C25" s="201" t="s">
        <v>51</v>
      </c>
      <c r="D25" s="91">
        <v>42821</v>
      </c>
      <c r="E25" s="92"/>
      <c r="F25" s="93"/>
      <c r="G25" s="93"/>
      <c r="H25" s="93">
        <v>62109</v>
      </c>
      <c r="I25" s="93">
        <v>59497</v>
      </c>
      <c r="J25" s="93">
        <v>0</v>
      </c>
      <c r="K25" s="93">
        <f t="shared" si="0"/>
        <v>0</v>
      </c>
      <c r="L25" s="93">
        <f t="shared" si="1"/>
        <v>0</v>
      </c>
      <c r="M25" s="94">
        <v>2.5</v>
      </c>
      <c r="N25" s="95" t="s">
        <v>17</v>
      </c>
      <c r="O25" s="93">
        <f t="shared" si="5"/>
        <v>0</v>
      </c>
      <c r="P25" s="93">
        <f t="shared" si="6"/>
        <v>0</v>
      </c>
      <c r="Q25" s="93">
        <f t="shared" si="7"/>
        <v>0</v>
      </c>
      <c r="R25" s="93">
        <f t="shared" si="2"/>
        <v>0</v>
      </c>
      <c r="S25" s="93">
        <f t="shared" si="3"/>
        <v>905</v>
      </c>
      <c r="T25" s="93">
        <f t="shared" si="8"/>
        <v>905</v>
      </c>
      <c r="U25" s="253">
        <f t="shared" si="4"/>
        <v>58592</v>
      </c>
      <c r="V25" s="93">
        <f t="shared" si="9"/>
        <v>0</v>
      </c>
    </row>
    <row r="26" spans="1:22" ht="18" customHeight="1" x14ac:dyDescent="0.2">
      <c r="A26" s="110" t="s">
        <v>52</v>
      </c>
      <c r="B26" s="111"/>
      <c r="C26" s="201" t="s">
        <v>53</v>
      </c>
      <c r="D26" s="91">
        <v>42916</v>
      </c>
      <c r="E26" s="92"/>
      <c r="F26" s="93"/>
      <c r="G26" s="93"/>
      <c r="H26" s="93">
        <v>69675.72</v>
      </c>
      <c r="I26" s="93">
        <v>67198.720000000001</v>
      </c>
      <c r="J26" s="93">
        <v>0</v>
      </c>
      <c r="K26" s="93">
        <f t="shared" si="0"/>
        <v>0</v>
      </c>
      <c r="L26" s="93">
        <f t="shared" si="1"/>
        <v>0</v>
      </c>
      <c r="M26" s="94">
        <v>2.5</v>
      </c>
      <c r="N26" s="95" t="s">
        <v>17</v>
      </c>
      <c r="O26" s="93">
        <f t="shared" si="5"/>
        <v>0</v>
      </c>
      <c r="P26" s="93">
        <f t="shared" si="6"/>
        <v>0</v>
      </c>
      <c r="Q26" s="93">
        <f t="shared" si="7"/>
        <v>0</v>
      </c>
      <c r="R26" s="93">
        <f t="shared" si="2"/>
        <v>0</v>
      </c>
      <c r="S26" s="93">
        <f t="shared" si="3"/>
        <v>1016</v>
      </c>
      <c r="T26" s="93">
        <f t="shared" si="8"/>
        <v>1016</v>
      </c>
      <c r="U26" s="253">
        <f t="shared" si="4"/>
        <v>66182.720000000001</v>
      </c>
      <c r="V26" s="93">
        <f t="shared" si="9"/>
        <v>0</v>
      </c>
    </row>
    <row r="27" spans="1:22" ht="18" customHeight="1" x14ac:dyDescent="0.2">
      <c r="A27" s="110" t="s">
        <v>54</v>
      </c>
      <c r="B27" s="111"/>
      <c r="C27" s="201" t="s">
        <v>55</v>
      </c>
      <c r="D27" s="91">
        <v>42664</v>
      </c>
      <c r="E27" s="92"/>
      <c r="F27" s="93"/>
      <c r="G27" s="93"/>
      <c r="H27" s="93">
        <v>28247.11</v>
      </c>
      <c r="I27" s="93">
        <v>26756.11</v>
      </c>
      <c r="J27" s="93">
        <v>0</v>
      </c>
      <c r="K27" s="93">
        <f t="shared" si="0"/>
        <v>0</v>
      </c>
      <c r="L27" s="93">
        <f t="shared" si="1"/>
        <v>0</v>
      </c>
      <c r="M27" s="94">
        <v>2.5</v>
      </c>
      <c r="N27" s="95" t="s">
        <v>17</v>
      </c>
      <c r="O27" s="93">
        <f t="shared" si="5"/>
        <v>0</v>
      </c>
      <c r="P27" s="93">
        <f t="shared" si="6"/>
        <v>0</v>
      </c>
      <c r="Q27" s="93">
        <f t="shared" si="7"/>
        <v>0</v>
      </c>
      <c r="R27" s="93">
        <f t="shared" si="2"/>
        <v>0</v>
      </c>
      <c r="S27" s="93">
        <f t="shared" si="3"/>
        <v>411</v>
      </c>
      <c r="T27" s="93">
        <f t="shared" si="8"/>
        <v>411</v>
      </c>
      <c r="U27" s="253">
        <f t="shared" si="4"/>
        <v>26345.11</v>
      </c>
      <c r="V27" s="93">
        <f t="shared" si="9"/>
        <v>0</v>
      </c>
    </row>
    <row r="28" spans="1:22" ht="18" customHeight="1" x14ac:dyDescent="0.2">
      <c r="A28" s="110" t="s">
        <v>56</v>
      </c>
      <c r="B28" s="111"/>
      <c r="C28" s="201" t="s">
        <v>57</v>
      </c>
      <c r="D28" s="91">
        <v>42916</v>
      </c>
      <c r="E28" s="92"/>
      <c r="F28" s="93"/>
      <c r="G28" s="93"/>
      <c r="H28" s="93">
        <v>37437.360000000001</v>
      </c>
      <c r="I28" s="93">
        <v>36106.36</v>
      </c>
      <c r="J28" s="93">
        <v>0</v>
      </c>
      <c r="K28" s="93">
        <f t="shared" si="0"/>
        <v>0</v>
      </c>
      <c r="L28" s="93">
        <f t="shared" si="1"/>
        <v>0</v>
      </c>
      <c r="M28" s="94">
        <v>2.5</v>
      </c>
      <c r="N28" s="95" t="s">
        <v>17</v>
      </c>
      <c r="O28" s="93">
        <f t="shared" si="5"/>
        <v>0</v>
      </c>
      <c r="P28" s="93">
        <f t="shared" si="6"/>
        <v>0</v>
      </c>
      <c r="Q28" s="93">
        <f t="shared" si="7"/>
        <v>0</v>
      </c>
      <c r="R28" s="93">
        <f t="shared" si="2"/>
        <v>0</v>
      </c>
      <c r="S28" s="93">
        <f t="shared" si="3"/>
        <v>545</v>
      </c>
      <c r="T28" s="93">
        <f t="shared" si="8"/>
        <v>545</v>
      </c>
      <c r="U28" s="253">
        <f t="shared" si="4"/>
        <v>35561.360000000001</v>
      </c>
      <c r="V28" s="93">
        <f t="shared" si="9"/>
        <v>0</v>
      </c>
    </row>
    <row r="29" spans="1:22" ht="18" customHeight="1" x14ac:dyDescent="0.2">
      <c r="A29" s="110" t="s">
        <v>58</v>
      </c>
      <c r="B29" s="111"/>
      <c r="C29" s="201" t="s">
        <v>59</v>
      </c>
      <c r="D29" s="91">
        <v>42759</v>
      </c>
      <c r="E29" s="92"/>
      <c r="F29" s="93"/>
      <c r="G29" s="93"/>
      <c r="H29" s="93">
        <v>1391</v>
      </c>
      <c r="I29" s="93">
        <v>1326</v>
      </c>
      <c r="J29" s="93">
        <v>0</v>
      </c>
      <c r="K29" s="93">
        <f t="shared" si="0"/>
        <v>0</v>
      </c>
      <c r="L29" s="93">
        <f t="shared" si="1"/>
        <v>0</v>
      </c>
      <c r="M29" s="94">
        <v>2.5</v>
      </c>
      <c r="N29" s="95" t="s">
        <v>17</v>
      </c>
      <c r="O29" s="93">
        <f t="shared" si="5"/>
        <v>0</v>
      </c>
      <c r="P29" s="93">
        <f t="shared" si="6"/>
        <v>0</v>
      </c>
      <c r="Q29" s="93">
        <f t="shared" si="7"/>
        <v>0</v>
      </c>
      <c r="R29" s="93">
        <f t="shared" si="2"/>
        <v>0</v>
      </c>
      <c r="S29" s="93">
        <f t="shared" si="3"/>
        <v>20</v>
      </c>
      <c r="T29" s="93">
        <f t="shared" si="8"/>
        <v>20</v>
      </c>
      <c r="U29" s="253">
        <f t="shared" si="4"/>
        <v>1306</v>
      </c>
      <c r="V29" s="93">
        <f t="shared" si="9"/>
        <v>0</v>
      </c>
    </row>
    <row r="30" spans="1:22" ht="18" customHeight="1" x14ac:dyDescent="0.2">
      <c r="A30" s="110" t="s">
        <v>60</v>
      </c>
      <c r="B30" s="111"/>
      <c r="C30" s="201" t="s">
        <v>61</v>
      </c>
      <c r="D30" s="91">
        <v>42916</v>
      </c>
      <c r="E30" s="92"/>
      <c r="F30" s="93"/>
      <c r="G30" s="93"/>
      <c r="H30" s="93">
        <v>4441.5</v>
      </c>
      <c r="I30" s="93">
        <v>4282.5</v>
      </c>
      <c r="J30" s="93">
        <v>0</v>
      </c>
      <c r="K30" s="93">
        <f t="shared" si="0"/>
        <v>0</v>
      </c>
      <c r="L30" s="93">
        <f t="shared" si="1"/>
        <v>0</v>
      </c>
      <c r="M30" s="94">
        <v>2.5</v>
      </c>
      <c r="N30" s="95" t="s">
        <v>17</v>
      </c>
      <c r="O30" s="93">
        <f t="shared" si="5"/>
        <v>0</v>
      </c>
      <c r="P30" s="93">
        <f t="shared" si="6"/>
        <v>0</v>
      </c>
      <c r="Q30" s="93">
        <f t="shared" si="7"/>
        <v>0</v>
      </c>
      <c r="R30" s="93">
        <f t="shared" si="2"/>
        <v>0</v>
      </c>
      <c r="S30" s="93">
        <f t="shared" si="3"/>
        <v>64</v>
      </c>
      <c r="T30" s="93">
        <f t="shared" si="8"/>
        <v>64</v>
      </c>
      <c r="U30" s="253">
        <f t="shared" si="4"/>
        <v>4218.5</v>
      </c>
      <c r="V30" s="93">
        <f t="shared" si="9"/>
        <v>0</v>
      </c>
    </row>
    <row r="31" spans="1:22" ht="18" customHeight="1" x14ac:dyDescent="0.2">
      <c r="A31" s="110" t="s">
        <v>62</v>
      </c>
      <c r="B31" s="111"/>
      <c r="C31" s="90" t="s">
        <v>63</v>
      </c>
      <c r="D31" s="91">
        <v>42552</v>
      </c>
      <c r="E31" s="92"/>
      <c r="F31" s="93"/>
      <c r="G31" s="93"/>
      <c r="H31" s="93">
        <v>1728.33</v>
      </c>
      <c r="I31" s="93">
        <v>1624.33</v>
      </c>
      <c r="J31" s="93">
        <v>0</v>
      </c>
      <c r="K31" s="93">
        <f t="shared" si="0"/>
        <v>0</v>
      </c>
      <c r="L31" s="93">
        <f t="shared" si="1"/>
        <v>0</v>
      </c>
      <c r="M31" s="94">
        <v>2.5</v>
      </c>
      <c r="N31" s="95" t="s">
        <v>17</v>
      </c>
      <c r="O31" s="93">
        <f t="shared" si="5"/>
        <v>0</v>
      </c>
      <c r="P31" s="93">
        <f t="shared" si="6"/>
        <v>0</v>
      </c>
      <c r="Q31" s="93">
        <f t="shared" si="7"/>
        <v>0</v>
      </c>
      <c r="R31" s="93">
        <f t="shared" si="2"/>
        <v>0</v>
      </c>
      <c r="S31" s="93">
        <f t="shared" si="3"/>
        <v>25</v>
      </c>
      <c r="T31" s="93">
        <f t="shared" si="8"/>
        <v>25</v>
      </c>
      <c r="U31" s="253">
        <f t="shared" si="4"/>
        <v>1599.33</v>
      </c>
      <c r="V31" s="93">
        <f t="shared" si="9"/>
        <v>0</v>
      </c>
    </row>
    <row r="32" spans="1:22" ht="18" customHeight="1" x14ac:dyDescent="0.2">
      <c r="A32" s="110" t="s">
        <v>64</v>
      </c>
      <c r="B32" s="111"/>
      <c r="C32" s="203" t="s">
        <v>65</v>
      </c>
      <c r="D32" s="91">
        <v>42552</v>
      </c>
      <c r="E32" s="92"/>
      <c r="F32" s="93"/>
      <c r="G32" s="93"/>
      <c r="H32" s="93">
        <v>1939.3700000000001</v>
      </c>
      <c r="I32" s="93">
        <v>1823.3700000000001</v>
      </c>
      <c r="J32" s="93">
        <v>0</v>
      </c>
      <c r="K32" s="93">
        <f t="shared" si="0"/>
        <v>0</v>
      </c>
      <c r="L32" s="93">
        <f t="shared" si="1"/>
        <v>0</v>
      </c>
      <c r="M32" s="94">
        <v>2.5</v>
      </c>
      <c r="N32" s="95" t="s">
        <v>17</v>
      </c>
      <c r="O32" s="93">
        <f t="shared" si="5"/>
        <v>0</v>
      </c>
      <c r="P32" s="93">
        <f t="shared" si="6"/>
        <v>0</v>
      </c>
      <c r="Q32" s="93">
        <f t="shared" si="7"/>
        <v>0</v>
      </c>
      <c r="R32" s="93">
        <f t="shared" si="2"/>
        <v>0</v>
      </c>
      <c r="S32" s="93">
        <f t="shared" si="3"/>
        <v>28</v>
      </c>
      <c r="T32" s="93">
        <f t="shared" si="8"/>
        <v>28</v>
      </c>
      <c r="U32" s="253">
        <f t="shared" si="4"/>
        <v>1795.3700000000001</v>
      </c>
      <c r="V32" s="93">
        <f t="shared" si="9"/>
        <v>0</v>
      </c>
    </row>
    <row r="33" spans="1:22" ht="18" customHeight="1" x14ac:dyDescent="0.2">
      <c r="A33" s="110" t="s">
        <v>66</v>
      </c>
      <c r="B33" s="111"/>
      <c r="C33" s="90" t="s">
        <v>67</v>
      </c>
      <c r="D33" s="91">
        <v>42552</v>
      </c>
      <c r="E33" s="92"/>
      <c r="F33" s="93"/>
      <c r="G33" s="93"/>
      <c r="H33" s="93">
        <v>4654.43</v>
      </c>
      <c r="I33" s="93">
        <v>4373.43</v>
      </c>
      <c r="J33" s="93">
        <v>0</v>
      </c>
      <c r="K33" s="93">
        <f t="shared" si="0"/>
        <v>0</v>
      </c>
      <c r="L33" s="93">
        <f t="shared" si="1"/>
        <v>0</v>
      </c>
      <c r="M33" s="94">
        <v>2.5</v>
      </c>
      <c r="N33" s="95" t="s">
        <v>17</v>
      </c>
      <c r="O33" s="93">
        <f t="shared" si="5"/>
        <v>0</v>
      </c>
      <c r="P33" s="93">
        <f t="shared" si="6"/>
        <v>0</v>
      </c>
      <c r="Q33" s="93">
        <f t="shared" si="7"/>
        <v>0</v>
      </c>
      <c r="R33" s="93">
        <f t="shared" si="2"/>
        <v>0</v>
      </c>
      <c r="S33" s="93">
        <f t="shared" si="3"/>
        <v>67</v>
      </c>
      <c r="T33" s="93">
        <f t="shared" si="8"/>
        <v>67</v>
      </c>
      <c r="U33" s="253">
        <f t="shared" si="4"/>
        <v>4306.43</v>
      </c>
      <c r="V33" s="93">
        <f t="shared" si="9"/>
        <v>0</v>
      </c>
    </row>
    <row r="34" spans="1:22" ht="18" customHeight="1" x14ac:dyDescent="0.2">
      <c r="A34" s="110" t="s">
        <v>68</v>
      </c>
      <c r="B34" s="111"/>
      <c r="C34" s="90" t="s">
        <v>69</v>
      </c>
      <c r="D34" s="91">
        <v>42552</v>
      </c>
      <c r="E34" s="92"/>
      <c r="F34" s="93"/>
      <c r="G34" s="93"/>
      <c r="H34" s="93">
        <v>8058.1</v>
      </c>
      <c r="I34" s="93">
        <v>7572.1</v>
      </c>
      <c r="J34" s="93">
        <v>0</v>
      </c>
      <c r="K34" s="93">
        <f t="shared" si="0"/>
        <v>0</v>
      </c>
      <c r="L34" s="93">
        <f t="shared" si="1"/>
        <v>0</v>
      </c>
      <c r="M34" s="94">
        <v>2.5</v>
      </c>
      <c r="N34" s="95" t="s">
        <v>17</v>
      </c>
      <c r="O34" s="93">
        <f t="shared" si="5"/>
        <v>0</v>
      </c>
      <c r="P34" s="93">
        <f t="shared" si="6"/>
        <v>0</v>
      </c>
      <c r="Q34" s="93">
        <f t="shared" si="7"/>
        <v>0</v>
      </c>
      <c r="R34" s="93">
        <f t="shared" si="2"/>
        <v>0</v>
      </c>
      <c r="S34" s="93">
        <f t="shared" si="3"/>
        <v>117</v>
      </c>
      <c r="T34" s="93">
        <f t="shared" si="8"/>
        <v>117</v>
      </c>
      <c r="U34" s="253">
        <f t="shared" si="4"/>
        <v>7455.1</v>
      </c>
      <c r="V34" s="93">
        <f t="shared" si="9"/>
        <v>0</v>
      </c>
    </row>
    <row r="35" spans="1:22" ht="18" customHeight="1" x14ac:dyDescent="0.2">
      <c r="A35" s="110" t="s">
        <v>70</v>
      </c>
      <c r="B35" s="111"/>
      <c r="C35" s="203" t="s">
        <v>71</v>
      </c>
      <c r="D35" s="91">
        <v>42821</v>
      </c>
      <c r="E35" s="92"/>
      <c r="F35" s="93"/>
      <c r="G35" s="93"/>
      <c r="H35" s="93">
        <v>17489.650000000001</v>
      </c>
      <c r="I35" s="93">
        <v>16754.650000000001</v>
      </c>
      <c r="J35" s="93">
        <v>0</v>
      </c>
      <c r="K35" s="93">
        <f t="shared" si="0"/>
        <v>0</v>
      </c>
      <c r="L35" s="93">
        <f t="shared" si="1"/>
        <v>0</v>
      </c>
      <c r="M35" s="94">
        <v>2.5</v>
      </c>
      <c r="N35" s="95" t="s">
        <v>17</v>
      </c>
      <c r="O35" s="93">
        <f t="shared" si="5"/>
        <v>0</v>
      </c>
      <c r="P35" s="93">
        <f t="shared" si="6"/>
        <v>0</v>
      </c>
      <c r="Q35" s="93">
        <f t="shared" si="7"/>
        <v>0</v>
      </c>
      <c r="R35" s="93">
        <f t="shared" si="2"/>
        <v>0</v>
      </c>
      <c r="S35" s="93">
        <f t="shared" si="3"/>
        <v>255</v>
      </c>
      <c r="T35" s="93">
        <f t="shared" si="8"/>
        <v>255</v>
      </c>
      <c r="U35" s="253">
        <f t="shared" si="4"/>
        <v>16499.650000000001</v>
      </c>
      <c r="V35" s="93">
        <f t="shared" si="9"/>
        <v>0</v>
      </c>
    </row>
    <row r="36" spans="1:22" ht="18" customHeight="1" x14ac:dyDescent="0.2">
      <c r="A36" s="110" t="s">
        <v>72</v>
      </c>
      <c r="B36" s="111"/>
      <c r="C36" s="90" t="s">
        <v>73</v>
      </c>
      <c r="D36" s="91">
        <v>42821</v>
      </c>
      <c r="E36" s="92"/>
      <c r="F36" s="93"/>
      <c r="G36" s="93"/>
      <c r="H36" s="93">
        <v>5347.05</v>
      </c>
      <c r="I36" s="93">
        <v>5122.05</v>
      </c>
      <c r="J36" s="93">
        <v>0</v>
      </c>
      <c r="K36" s="93">
        <f t="shared" si="0"/>
        <v>0</v>
      </c>
      <c r="L36" s="93">
        <f t="shared" si="1"/>
        <v>0</v>
      </c>
      <c r="M36" s="94">
        <v>2.5</v>
      </c>
      <c r="N36" s="95" t="s">
        <v>17</v>
      </c>
      <c r="O36" s="93">
        <f t="shared" si="5"/>
        <v>0</v>
      </c>
      <c r="P36" s="93">
        <f t="shared" si="6"/>
        <v>0</v>
      </c>
      <c r="Q36" s="93">
        <f t="shared" si="7"/>
        <v>0</v>
      </c>
      <c r="R36" s="93">
        <f t="shared" si="2"/>
        <v>0</v>
      </c>
      <c r="S36" s="93">
        <f t="shared" si="3"/>
        <v>77</v>
      </c>
      <c r="T36" s="93">
        <f t="shared" si="8"/>
        <v>77</v>
      </c>
      <c r="U36" s="253">
        <f t="shared" si="4"/>
        <v>5045.05</v>
      </c>
      <c r="V36" s="93">
        <f t="shared" si="9"/>
        <v>0</v>
      </c>
    </row>
    <row r="37" spans="1:22" ht="18" customHeight="1" x14ac:dyDescent="0.2">
      <c r="A37" s="110" t="s">
        <v>74</v>
      </c>
      <c r="B37" s="111"/>
      <c r="C37" s="90" t="s">
        <v>75</v>
      </c>
      <c r="D37" s="91">
        <v>42822</v>
      </c>
      <c r="E37" s="92"/>
      <c r="F37" s="93"/>
      <c r="G37" s="93"/>
      <c r="H37" s="93">
        <v>2312.66</v>
      </c>
      <c r="I37" s="93">
        <v>2215.66</v>
      </c>
      <c r="J37" s="93">
        <v>0</v>
      </c>
      <c r="K37" s="93">
        <f t="shared" si="0"/>
        <v>0</v>
      </c>
      <c r="L37" s="93">
        <f t="shared" si="1"/>
        <v>0</v>
      </c>
      <c r="M37" s="94">
        <v>2.5</v>
      </c>
      <c r="N37" s="95" t="s">
        <v>17</v>
      </c>
      <c r="O37" s="93">
        <f t="shared" si="5"/>
        <v>0</v>
      </c>
      <c r="P37" s="93">
        <f t="shared" si="6"/>
        <v>0</v>
      </c>
      <c r="Q37" s="93">
        <f t="shared" si="7"/>
        <v>0</v>
      </c>
      <c r="R37" s="93">
        <f t="shared" si="2"/>
        <v>0</v>
      </c>
      <c r="S37" s="93">
        <f t="shared" si="3"/>
        <v>33</v>
      </c>
      <c r="T37" s="93">
        <f t="shared" si="8"/>
        <v>33</v>
      </c>
      <c r="U37" s="253">
        <f t="shared" si="4"/>
        <v>2182.66</v>
      </c>
      <c r="V37" s="93">
        <f t="shared" si="9"/>
        <v>0</v>
      </c>
    </row>
    <row r="38" spans="1:22" ht="18" customHeight="1" x14ac:dyDescent="0.2">
      <c r="A38" s="110" t="s">
        <v>76</v>
      </c>
      <c r="B38" s="111"/>
      <c r="C38" s="90" t="s">
        <v>77</v>
      </c>
      <c r="D38" s="91">
        <v>42618</v>
      </c>
      <c r="E38" s="92"/>
      <c r="F38" s="93"/>
      <c r="G38" s="93"/>
      <c r="H38" s="93">
        <v>1354.5</v>
      </c>
      <c r="I38" s="93">
        <v>1278.5</v>
      </c>
      <c r="J38" s="93">
        <v>0</v>
      </c>
      <c r="K38" s="93">
        <f t="shared" si="0"/>
        <v>0</v>
      </c>
      <c r="L38" s="93">
        <f t="shared" si="1"/>
        <v>0</v>
      </c>
      <c r="M38" s="94">
        <v>2.5</v>
      </c>
      <c r="N38" s="95" t="s">
        <v>17</v>
      </c>
      <c r="O38" s="93">
        <f t="shared" si="5"/>
        <v>0</v>
      </c>
      <c r="P38" s="93">
        <f t="shared" si="6"/>
        <v>0</v>
      </c>
      <c r="Q38" s="93">
        <f t="shared" si="7"/>
        <v>0</v>
      </c>
      <c r="R38" s="93">
        <f t="shared" si="2"/>
        <v>0</v>
      </c>
      <c r="S38" s="93">
        <f t="shared" si="3"/>
        <v>19</v>
      </c>
      <c r="T38" s="93">
        <f t="shared" si="8"/>
        <v>19</v>
      </c>
      <c r="U38" s="253">
        <f t="shared" si="4"/>
        <v>1259.5</v>
      </c>
      <c r="V38" s="93">
        <f t="shared" si="9"/>
        <v>0</v>
      </c>
    </row>
    <row r="39" spans="1:22" ht="18" customHeight="1" x14ac:dyDescent="0.2">
      <c r="A39" s="110" t="s">
        <v>78</v>
      </c>
      <c r="B39" s="111"/>
      <c r="C39" s="203" t="s">
        <v>79</v>
      </c>
      <c r="D39" s="91">
        <v>42715</v>
      </c>
      <c r="E39" s="92"/>
      <c r="F39" s="93"/>
      <c r="G39" s="93"/>
      <c r="H39" s="93">
        <v>708</v>
      </c>
      <c r="I39" s="93">
        <v>673</v>
      </c>
      <c r="J39" s="93">
        <v>0</v>
      </c>
      <c r="K39" s="93">
        <f t="shared" si="0"/>
        <v>0</v>
      </c>
      <c r="L39" s="93">
        <f t="shared" si="1"/>
        <v>0</v>
      </c>
      <c r="M39" s="94">
        <v>2.5</v>
      </c>
      <c r="N39" s="95" t="s">
        <v>17</v>
      </c>
      <c r="O39" s="93">
        <f t="shared" si="5"/>
        <v>0</v>
      </c>
      <c r="P39" s="93">
        <f t="shared" si="6"/>
        <v>0</v>
      </c>
      <c r="Q39" s="93">
        <f t="shared" si="7"/>
        <v>0</v>
      </c>
      <c r="R39" s="93">
        <f t="shared" si="2"/>
        <v>0</v>
      </c>
      <c r="S39" s="93">
        <f t="shared" si="3"/>
        <v>10</v>
      </c>
      <c r="T39" s="93">
        <f t="shared" si="8"/>
        <v>10</v>
      </c>
      <c r="U39" s="253">
        <f t="shared" si="4"/>
        <v>663</v>
      </c>
      <c r="V39" s="93">
        <f t="shared" si="9"/>
        <v>0</v>
      </c>
    </row>
    <row r="40" spans="1:22" ht="18" customHeight="1" x14ac:dyDescent="0.2">
      <c r="A40" s="110" t="s">
        <v>80</v>
      </c>
      <c r="B40" s="111"/>
      <c r="C40" s="201" t="s">
        <v>81</v>
      </c>
      <c r="D40" s="91">
        <v>42715</v>
      </c>
      <c r="E40" s="92"/>
      <c r="F40" s="93"/>
      <c r="G40" s="93"/>
      <c r="H40" s="93">
        <v>1638</v>
      </c>
      <c r="I40" s="93">
        <v>1557</v>
      </c>
      <c r="J40" s="93">
        <v>0</v>
      </c>
      <c r="K40" s="93">
        <f t="shared" si="0"/>
        <v>0</v>
      </c>
      <c r="L40" s="93">
        <f t="shared" si="1"/>
        <v>0</v>
      </c>
      <c r="M40" s="94">
        <v>2.5</v>
      </c>
      <c r="N40" s="95" t="s">
        <v>17</v>
      </c>
      <c r="O40" s="93">
        <f t="shared" si="5"/>
        <v>0</v>
      </c>
      <c r="P40" s="93">
        <f t="shared" si="6"/>
        <v>0</v>
      </c>
      <c r="Q40" s="93">
        <f t="shared" si="7"/>
        <v>0</v>
      </c>
      <c r="R40" s="93">
        <f t="shared" si="2"/>
        <v>0</v>
      </c>
      <c r="S40" s="93">
        <f t="shared" si="3"/>
        <v>23</v>
      </c>
      <c r="T40" s="93">
        <f t="shared" si="8"/>
        <v>23</v>
      </c>
      <c r="U40" s="253">
        <f t="shared" si="4"/>
        <v>1534</v>
      </c>
      <c r="V40" s="93">
        <f t="shared" si="9"/>
        <v>0</v>
      </c>
    </row>
    <row r="41" spans="1:22" ht="18" customHeight="1" x14ac:dyDescent="0.2">
      <c r="A41" s="110" t="s">
        <v>82</v>
      </c>
      <c r="B41" s="111"/>
      <c r="C41" s="201" t="s">
        <v>83</v>
      </c>
      <c r="D41" s="91">
        <v>42978</v>
      </c>
      <c r="E41" s="92"/>
      <c r="F41" s="93"/>
      <c r="G41" s="93"/>
      <c r="H41" s="93">
        <v>1606.5</v>
      </c>
      <c r="I41" s="93">
        <v>1556.5</v>
      </c>
      <c r="J41" s="93">
        <v>0</v>
      </c>
      <c r="K41" s="93">
        <f t="shared" si="0"/>
        <v>0</v>
      </c>
      <c r="L41" s="93">
        <f t="shared" si="1"/>
        <v>0</v>
      </c>
      <c r="M41" s="94">
        <v>2.5</v>
      </c>
      <c r="N41" s="95" t="s">
        <v>17</v>
      </c>
      <c r="O41" s="93">
        <f t="shared" si="5"/>
        <v>0</v>
      </c>
      <c r="P41" s="93">
        <f t="shared" si="6"/>
        <v>0</v>
      </c>
      <c r="Q41" s="93">
        <f t="shared" si="7"/>
        <v>0</v>
      </c>
      <c r="R41" s="93">
        <f t="shared" si="2"/>
        <v>0</v>
      </c>
      <c r="S41" s="93">
        <f t="shared" si="3"/>
        <v>23</v>
      </c>
      <c r="T41" s="93">
        <f t="shared" si="8"/>
        <v>23</v>
      </c>
      <c r="U41" s="253">
        <f t="shared" si="4"/>
        <v>1533.5</v>
      </c>
      <c r="V41" s="93">
        <f t="shared" si="9"/>
        <v>0</v>
      </c>
    </row>
    <row r="42" spans="1:22" ht="18" customHeight="1" x14ac:dyDescent="0.2">
      <c r="A42" s="110" t="s">
        <v>84</v>
      </c>
      <c r="B42" s="111"/>
      <c r="C42" s="201" t="s">
        <v>85</v>
      </c>
      <c r="D42" s="91">
        <v>43052</v>
      </c>
      <c r="E42" s="92"/>
      <c r="F42" s="93"/>
      <c r="G42" s="93"/>
      <c r="H42" s="93">
        <v>4693.5</v>
      </c>
      <c r="I42" s="93">
        <v>4570.5</v>
      </c>
      <c r="J42" s="93">
        <v>0</v>
      </c>
      <c r="K42" s="93">
        <f t="shared" si="0"/>
        <v>0</v>
      </c>
      <c r="L42" s="93">
        <f t="shared" si="1"/>
        <v>0</v>
      </c>
      <c r="M42" s="94">
        <v>2.5</v>
      </c>
      <c r="N42" s="95" t="s">
        <v>17</v>
      </c>
      <c r="O42" s="93">
        <f t="shared" si="5"/>
        <v>0</v>
      </c>
      <c r="P42" s="93">
        <f t="shared" si="6"/>
        <v>0</v>
      </c>
      <c r="Q42" s="93">
        <f t="shared" si="7"/>
        <v>0</v>
      </c>
      <c r="R42" s="93">
        <f t="shared" si="2"/>
        <v>0</v>
      </c>
      <c r="S42" s="93">
        <f t="shared" si="3"/>
        <v>68</v>
      </c>
      <c r="T42" s="93">
        <f t="shared" si="8"/>
        <v>68</v>
      </c>
      <c r="U42" s="253">
        <f t="shared" si="4"/>
        <v>4502.5</v>
      </c>
      <c r="V42" s="93">
        <f t="shared" si="9"/>
        <v>0</v>
      </c>
    </row>
    <row r="43" spans="1:22" ht="18" customHeight="1" x14ac:dyDescent="0.2">
      <c r="A43" s="110" t="s">
        <v>86</v>
      </c>
      <c r="B43" s="111"/>
      <c r="C43" s="201" t="s">
        <v>87</v>
      </c>
      <c r="D43" s="91">
        <v>43221</v>
      </c>
      <c r="E43" s="92"/>
      <c r="F43" s="93"/>
      <c r="G43" s="93"/>
      <c r="H43" s="93">
        <v>5525</v>
      </c>
      <c r="I43" s="93">
        <v>5444</v>
      </c>
      <c r="J43" s="93">
        <v>0</v>
      </c>
      <c r="K43" s="93">
        <f t="shared" si="0"/>
        <v>0</v>
      </c>
      <c r="L43" s="93">
        <f t="shared" si="1"/>
        <v>0</v>
      </c>
      <c r="M43" s="94">
        <v>2.5</v>
      </c>
      <c r="N43" s="95" t="s">
        <v>17</v>
      </c>
      <c r="O43" s="93">
        <f t="shared" si="5"/>
        <v>0</v>
      </c>
      <c r="P43" s="93">
        <f t="shared" si="6"/>
        <v>0</v>
      </c>
      <c r="Q43" s="93">
        <f t="shared" si="7"/>
        <v>0</v>
      </c>
      <c r="R43" s="93">
        <f t="shared" si="2"/>
        <v>0</v>
      </c>
      <c r="S43" s="93">
        <f t="shared" si="3"/>
        <v>80</v>
      </c>
      <c r="T43" s="93">
        <f t="shared" si="8"/>
        <v>80</v>
      </c>
      <c r="U43" s="253">
        <f t="shared" si="4"/>
        <v>5364</v>
      </c>
      <c r="V43" s="93">
        <f t="shared" si="9"/>
        <v>0</v>
      </c>
    </row>
    <row r="44" spans="1:22" ht="18" customHeight="1" x14ac:dyDescent="0.2">
      <c r="A44" s="110" t="s">
        <v>88</v>
      </c>
      <c r="B44" s="111"/>
      <c r="C44" s="201" t="s">
        <v>89</v>
      </c>
      <c r="D44" s="91">
        <v>43281</v>
      </c>
      <c r="E44" s="92"/>
      <c r="F44" s="93"/>
      <c r="G44" s="93"/>
      <c r="H44" s="93">
        <v>1798</v>
      </c>
      <c r="I44" s="93">
        <v>1778</v>
      </c>
      <c r="J44" s="93">
        <v>0</v>
      </c>
      <c r="K44" s="93">
        <f t="shared" si="0"/>
        <v>0</v>
      </c>
      <c r="L44" s="93">
        <f t="shared" si="1"/>
        <v>0</v>
      </c>
      <c r="M44" s="94">
        <v>2.5</v>
      </c>
      <c r="N44" s="95" t="s">
        <v>17</v>
      </c>
      <c r="O44" s="93">
        <f t="shared" si="5"/>
        <v>0</v>
      </c>
      <c r="P44" s="93">
        <f t="shared" si="6"/>
        <v>0</v>
      </c>
      <c r="Q44" s="93">
        <f t="shared" si="7"/>
        <v>0</v>
      </c>
      <c r="R44" s="93">
        <f t="shared" si="2"/>
        <v>0</v>
      </c>
      <c r="S44" s="93">
        <f t="shared" si="3"/>
        <v>26</v>
      </c>
      <c r="T44" s="93">
        <f t="shared" si="8"/>
        <v>26</v>
      </c>
      <c r="U44" s="253">
        <f t="shared" si="4"/>
        <v>1752</v>
      </c>
      <c r="V44" s="93">
        <f t="shared" si="9"/>
        <v>0</v>
      </c>
    </row>
    <row r="45" spans="1:22" ht="18" customHeight="1" x14ac:dyDescent="0.2">
      <c r="A45" s="110" t="s">
        <v>90</v>
      </c>
      <c r="B45" s="111"/>
      <c r="C45" s="201" t="s">
        <v>91</v>
      </c>
      <c r="D45" s="91">
        <v>43248</v>
      </c>
      <c r="E45" s="92"/>
      <c r="F45" s="93"/>
      <c r="G45" s="93"/>
      <c r="H45" s="93">
        <v>1153.18</v>
      </c>
      <c r="I45" s="93">
        <v>1138.18</v>
      </c>
      <c r="J45" s="93">
        <v>0</v>
      </c>
      <c r="K45" s="93">
        <f t="shared" si="0"/>
        <v>0</v>
      </c>
      <c r="L45" s="93">
        <f t="shared" si="1"/>
        <v>0</v>
      </c>
      <c r="M45" s="94">
        <v>2.5</v>
      </c>
      <c r="N45" s="95" t="s">
        <v>17</v>
      </c>
      <c r="O45" s="93">
        <f t="shared" si="5"/>
        <v>0</v>
      </c>
      <c r="P45" s="93">
        <f t="shared" si="6"/>
        <v>0</v>
      </c>
      <c r="Q45" s="93">
        <f t="shared" si="7"/>
        <v>0</v>
      </c>
      <c r="R45" s="93">
        <f t="shared" si="2"/>
        <v>0</v>
      </c>
      <c r="S45" s="93">
        <f t="shared" si="3"/>
        <v>16</v>
      </c>
      <c r="T45" s="93">
        <f t="shared" si="8"/>
        <v>16</v>
      </c>
      <c r="U45" s="253">
        <f t="shared" si="4"/>
        <v>1122.18</v>
      </c>
      <c r="V45" s="93">
        <f t="shared" si="9"/>
        <v>0</v>
      </c>
    </row>
    <row r="46" spans="1:22" ht="18" customHeight="1" x14ac:dyDescent="0.2">
      <c r="A46" s="110" t="s">
        <v>92</v>
      </c>
      <c r="B46" s="111"/>
      <c r="C46" s="201" t="s">
        <v>93</v>
      </c>
      <c r="D46" s="91">
        <v>43236</v>
      </c>
      <c r="E46" s="92"/>
      <c r="F46" s="93"/>
      <c r="G46" s="93"/>
      <c r="H46" s="93">
        <v>1855</v>
      </c>
      <c r="I46" s="93">
        <v>1830</v>
      </c>
      <c r="J46" s="93">
        <v>0</v>
      </c>
      <c r="K46" s="93">
        <f t="shared" si="0"/>
        <v>0</v>
      </c>
      <c r="L46" s="93">
        <f t="shared" si="1"/>
        <v>0</v>
      </c>
      <c r="M46" s="94">
        <v>2.5</v>
      </c>
      <c r="N46" s="95" t="s">
        <v>17</v>
      </c>
      <c r="O46" s="93">
        <f t="shared" si="5"/>
        <v>0</v>
      </c>
      <c r="P46" s="93">
        <f t="shared" si="6"/>
        <v>0</v>
      </c>
      <c r="Q46" s="93">
        <f t="shared" si="7"/>
        <v>0</v>
      </c>
      <c r="R46" s="93">
        <f t="shared" si="2"/>
        <v>0</v>
      </c>
      <c r="S46" s="93">
        <f t="shared" si="3"/>
        <v>27</v>
      </c>
      <c r="T46" s="93">
        <f t="shared" si="8"/>
        <v>27</v>
      </c>
      <c r="U46" s="253">
        <f t="shared" si="4"/>
        <v>1803</v>
      </c>
      <c r="V46" s="93">
        <f t="shared" si="9"/>
        <v>0</v>
      </c>
    </row>
    <row r="47" spans="1:22" ht="18" customHeight="1" x14ac:dyDescent="0.2">
      <c r="A47" s="110" t="s">
        <v>94</v>
      </c>
      <c r="B47" s="111"/>
      <c r="C47" s="90" t="s">
        <v>95</v>
      </c>
      <c r="D47" s="91">
        <v>42978</v>
      </c>
      <c r="E47" s="92"/>
      <c r="F47" s="93"/>
      <c r="G47" s="93"/>
      <c r="H47" s="93">
        <v>6331.5</v>
      </c>
      <c r="I47" s="93">
        <v>6133.5</v>
      </c>
      <c r="J47" s="93">
        <v>0</v>
      </c>
      <c r="K47" s="93">
        <f t="shared" si="0"/>
        <v>0</v>
      </c>
      <c r="L47" s="93">
        <f t="shared" si="1"/>
        <v>0</v>
      </c>
      <c r="M47" s="94">
        <v>2.5</v>
      </c>
      <c r="N47" s="95" t="s">
        <v>17</v>
      </c>
      <c r="O47" s="93">
        <f t="shared" si="5"/>
        <v>0</v>
      </c>
      <c r="P47" s="93">
        <f t="shared" si="6"/>
        <v>0</v>
      </c>
      <c r="Q47" s="93">
        <f t="shared" si="7"/>
        <v>0</v>
      </c>
      <c r="R47" s="93">
        <f t="shared" si="2"/>
        <v>0</v>
      </c>
      <c r="S47" s="93">
        <f t="shared" si="3"/>
        <v>92</v>
      </c>
      <c r="T47" s="93">
        <f t="shared" si="8"/>
        <v>92</v>
      </c>
      <c r="U47" s="253">
        <f t="shared" si="4"/>
        <v>6041.5</v>
      </c>
      <c r="V47" s="93">
        <f t="shared" si="9"/>
        <v>0</v>
      </c>
    </row>
    <row r="48" spans="1:22" ht="18" customHeight="1" x14ac:dyDescent="0.2">
      <c r="A48" s="110" t="s">
        <v>96</v>
      </c>
      <c r="B48" s="111"/>
      <c r="C48" s="201" t="s">
        <v>97</v>
      </c>
      <c r="D48" s="91">
        <v>42999</v>
      </c>
      <c r="E48" s="92"/>
      <c r="F48" s="93"/>
      <c r="G48" s="93"/>
      <c r="H48" s="93">
        <v>2335.2000000000003</v>
      </c>
      <c r="I48" s="93">
        <v>2266.2000000000003</v>
      </c>
      <c r="J48" s="93">
        <v>0</v>
      </c>
      <c r="K48" s="93">
        <f t="shared" si="0"/>
        <v>0</v>
      </c>
      <c r="L48" s="93">
        <f t="shared" si="1"/>
        <v>0</v>
      </c>
      <c r="M48" s="94">
        <v>2.5</v>
      </c>
      <c r="N48" s="95" t="s">
        <v>17</v>
      </c>
      <c r="O48" s="93">
        <f t="shared" si="5"/>
        <v>0</v>
      </c>
      <c r="P48" s="93">
        <f t="shared" si="6"/>
        <v>0</v>
      </c>
      <c r="Q48" s="93">
        <f t="shared" si="7"/>
        <v>0</v>
      </c>
      <c r="R48" s="93">
        <f t="shared" si="2"/>
        <v>0</v>
      </c>
      <c r="S48" s="93">
        <f t="shared" si="3"/>
        <v>34</v>
      </c>
      <c r="T48" s="93">
        <f t="shared" si="8"/>
        <v>34</v>
      </c>
      <c r="U48" s="253">
        <f t="shared" si="4"/>
        <v>2232.2000000000003</v>
      </c>
      <c r="V48" s="93">
        <f t="shared" si="9"/>
        <v>0</v>
      </c>
    </row>
    <row r="49" spans="1:22" ht="18" customHeight="1" x14ac:dyDescent="0.2">
      <c r="A49" s="110" t="s">
        <v>98</v>
      </c>
      <c r="B49" s="111"/>
      <c r="C49" s="201" t="s">
        <v>99</v>
      </c>
      <c r="D49" s="91">
        <v>43008</v>
      </c>
      <c r="E49" s="92"/>
      <c r="F49" s="93"/>
      <c r="G49" s="93"/>
      <c r="H49" s="93">
        <v>5544</v>
      </c>
      <c r="I49" s="93">
        <v>5382</v>
      </c>
      <c r="J49" s="93">
        <v>0</v>
      </c>
      <c r="K49" s="93">
        <f t="shared" si="0"/>
        <v>0</v>
      </c>
      <c r="L49" s="93">
        <f t="shared" si="1"/>
        <v>0</v>
      </c>
      <c r="M49" s="94">
        <v>2.5</v>
      </c>
      <c r="N49" s="95" t="s">
        <v>17</v>
      </c>
      <c r="O49" s="93">
        <f t="shared" si="5"/>
        <v>0</v>
      </c>
      <c r="P49" s="93">
        <f t="shared" si="6"/>
        <v>0</v>
      </c>
      <c r="Q49" s="93">
        <f t="shared" si="7"/>
        <v>0</v>
      </c>
      <c r="R49" s="93">
        <f t="shared" si="2"/>
        <v>0</v>
      </c>
      <c r="S49" s="93">
        <f t="shared" si="3"/>
        <v>80</v>
      </c>
      <c r="T49" s="93">
        <f t="shared" si="8"/>
        <v>80</v>
      </c>
      <c r="U49" s="253">
        <f t="shared" si="4"/>
        <v>5302</v>
      </c>
      <c r="V49" s="93">
        <f t="shared" si="9"/>
        <v>0</v>
      </c>
    </row>
    <row r="50" spans="1:22" ht="18" customHeight="1" x14ac:dyDescent="0.2">
      <c r="A50" s="110" t="s">
        <v>100</v>
      </c>
      <c r="B50" s="111"/>
      <c r="C50" s="201" t="s">
        <v>101</v>
      </c>
      <c r="D50" s="91">
        <v>43013</v>
      </c>
      <c r="E50" s="92"/>
      <c r="F50" s="93"/>
      <c r="G50" s="93"/>
      <c r="H50" s="93">
        <v>2712.9700000000003</v>
      </c>
      <c r="I50" s="93">
        <v>2634.9700000000003</v>
      </c>
      <c r="J50" s="93">
        <v>0</v>
      </c>
      <c r="K50" s="93">
        <f t="shared" si="0"/>
        <v>0</v>
      </c>
      <c r="L50" s="93">
        <f t="shared" si="1"/>
        <v>0</v>
      </c>
      <c r="M50" s="94">
        <v>2.5</v>
      </c>
      <c r="N50" s="95" t="s">
        <v>17</v>
      </c>
      <c r="O50" s="93">
        <f t="shared" si="5"/>
        <v>0</v>
      </c>
      <c r="P50" s="93">
        <f t="shared" si="6"/>
        <v>0</v>
      </c>
      <c r="Q50" s="93">
        <f t="shared" si="7"/>
        <v>0</v>
      </c>
      <c r="R50" s="93">
        <f t="shared" si="2"/>
        <v>0</v>
      </c>
      <c r="S50" s="93">
        <f t="shared" si="3"/>
        <v>39</v>
      </c>
      <c r="T50" s="93">
        <f t="shared" si="8"/>
        <v>39</v>
      </c>
      <c r="U50" s="253">
        <f t="shared" si="4"/>
        <v>2595.9700000000003</v>
      </c>
      <c r="V50" s="93">
        <f t="shared" si="9"/>
        <v>0</v>
      </c>
    </row>
    <row r="51" spans="1:22" ht="18" customHeight="1" x14ac:dyDescent="0.2">
      <c r="A51" s="110" t="s">
        <v>102</v>
      </c>
      <c r="B51" s="111"/>
      <c r="C51" s="201" t="s">
        <v>103</v>
      </c>
      <c r="D51" s="91">
        <v>43122</v>
      </c>
      <c r="E51" s="92"/>
      <c r="F51" s="93"/>
      <c r="G51" s="93"/>
      <c r="H51" s="93">
        <v>1562.96</v>
      </c>
      <c r="I51" s="93">
        <v>1529.96</v>
      </c>
      <c r="J51" s="93">
        <v>0</v>
      </c>
      <c r="K51" s="93">
        <f t="shared" si="0"/>
        <v>0</v>
      </c>
      <c r="L51" s="93">
        <f t="shared" si="1"/>
        <v>0</v>
      </c>
      <c r="M51" s="94">
        <v>2.5</v>
      </c>
      <c r="N51" s="95" t="s">
        <v>17</v>
      </c>
      <c r="O51" s="93">
        <f t="shared" si="5"/>
        <v>0</v>
      </c>
      <c r="P51" s="93">
        <f t="shared" si="6"/>
        <v>0</v>
      </c>
      <c r="Q51" s="93">
        <f t="shared" si="7"/>
        <v>0</v>
      </c>
      <c r="R51" s="93">
        <f t="shared" si="2"/>
        <v>0</v>
      </c>
      <c r="S51" s="93">
        <f t="shared" si="3"/>
        <v>22</v>
      </c>
      <c r="T51" s="93">
        <f t="shared" si="8"/>
        <v>22</v>
      </c>
      <c r="U51" s="253">
        <f t="shared" si="4"/>
        <v>1507.96</v>
      </c>
      <c r="V51" s="93">
        <f t="shared" si="9"/>
        <v>0</v>
      </c>
    </row>
    <row r="52" spans="1:22" ht="18" customHeight="1" x14ac:dyDescent="0.2">
      <c r="A52" s="110" t="s">
        <v>104</v>
      </c>
      <c r="B52" s="111"/>
      <c r="C52" s="201" t="s">
        <v>105</v>
      </c>
      <c r="D52" s="91">
        <v>43122</v>
      </c>
      <c r="E52" s="92"/>
      <c r="F52" s="93"/>
      <c r="G52" s="93"/>
      <c r="H52" s="93">
        <v>2460</v>
      </c>
      <c r="I52" s="93">
        <v>2407</v>
      </c>
      <c r="J52" s="93">
        <v>0</v>
      </c>
      <c r="K52" s="93">
        <f t="shared" si="0"/>
        <v>0</v>
      </c>
      <c r="L52" s="93">
        <f t="shared" si="1"/>
        <v>0</v>
      </c>
      <c r="M52" s="94">
        <v>2.5</v>
      </c>
      <c r="N52" s="95" t="s">
        <v>17</v>
      </c>
      <c r="O52" s="93">
        <f t="shared" si="5"/>
        <v>0</v>
      </c>
      <c r="P52" s="93">
        <f t="shared" si="6"/>
        <v>0</v>
      </c>
      <c r="Q52" s="93">
        <f t="shared" si="7"/>
        <v>0</v>
      </c>
      <c r="R52" s="93">
        <f t="shared" si="2"/>
        <v>0</v>
      </c>
      <c r="S52" s="93">
        <f t="shared" si="3"/>
        <v>35</v>
      </c>
      <c r="T52" s="93">
        <f t="shared" si="8"/>
        <v>35</v>
      </c>
      <c r="U52" s="253">
        <f t="shared" si="4"/>
        <v>2372</v>
      </c>
      <c r="V52" s="93">
        <f t="shared" si="9"/>
        <v>0</v>
      </c>
    </row>
    <row r="53" spans="1:22" ht="18" customHeight="1" x14ac:dyDescent="0.2">
      <c r="A53" s="110" t="s">
        <v>106</v>
      </c>
      <c r="B53" s="111"/>
      <c r="C53" s="201" t="s">
        <v>107</v>
      </c>
      <c r="D53" s="91">
        <v>43131</v>
      </c>
      <c r="E53" s="92"/>
      <c r="F53" s="93"/>
      <c r="G53" s="93"/>
      <c r="H53" s="93">
        <v>3969</v>
      </c>
      <c r="I53" s="93">
        <v>3886</v>
      </c>
      <c r="J53" s="93">
        <v>0</v>
      </c>
      <c r="K53" s="93">
        <f t="shared" si="0"/>
        <v>0</v>
      </c>
      <c r="L53" s="93">
        <f t="shared" si="1"/>
        <v>0</v>
      </c>
      <c r="M53" s="94">
        <v>2.5</v>
      </c>
      <c r="N53" s="95" t="s">
        <v>17</v>
      </c>
      <c r="O53" s="93">
        <f t="shared" si="5"/>
        <v>0</v>
      </c>
      <c r="P53" s="93">
        <f t="shared" si="6"/>
        <v>0</v>
      </c>
      <c r="Q53" s="93">
        <f t="shared" si="7"/>
        <v>0</v>
      </c>
      <c r="R53" s="93">
        <f t="shared" si="2"/>
        <v>0</v>
      </c>
      <c r="S53" s="93">
        <f t="shared" si="3"/>
        <v>57</v>
      </c>
      <c r="T53" s="93">
        <f t="shared" si="8"/>
        <v>57</v>
      </c>
      <c r="U53" s="253">
        <f t="shared" si="4"/>
        <v>3829</v>
      </c>
      <c r="V53" s="93">
        <f t="shared" si="9"/>
        <v>0</v>
      </c>
    </row>
    <row r="54" spans="1:22" ht="18" customHeight="1" x14ac:dyDescent="0.2">
      <c r="A54" s="110" t="s">
        <v>108</v>
      </c>
      <c r="B54" s="111"/>
      <c r="C54" s="201" t="s">
        <v>109</v>
      </c>
      <c r="D54" s="91">
        <v>43159</v>
      </c>
      <c r="E54" s="92"/>
      <c r="F54" s="93"/>
      <c r="G54" s="93"/>
      <c r="H54" s="93">
        <v>3720</v>
      </c>
      <c r="I54" s="93">
        <v>3650</v>
      </c>
      <c r="J54" s="93">
        <v>0</v>
      </c>
      <c r="K54" s="93">
        <f t="shared" si="0"/>
        <v>0</v>
      </c>
      <c r="L54" s="93">
        <f t="shared" si="1"/>
        <v>0</v>
      </c>
      <c r="M54" s="94">
        <v>2.5</v>
      </c>
      <c r="N54" s="95" t="s">
        <v>17</v>
      </c>
      <c r="O54" s="93">
        <f t="shared" si="5"/>
        <v>0</v>
      </c>
      <c r="P54" s="93">
        <f t="shared" si="6"/>
        <v>0</v>
      </c>
      <c r="Q54" s="93">
        <f t="shared" si="7"/>
        <v>0</v>
      </c>
      <c r="R54" s="93">
        <f t="shared" si="2"/>
        <v>0</v>
      </c>
      <c r="S54" s="93">
        <f t="shared" si="3"/>
        <v>54</v>
      </c>
      <c r="T54" s="93">
        <f t="shared" si="8"/>
        <v>54</v>
      </c>
      <c r="U54" s="253">
        <f t="shared" si="4"/>
        <v>3596</v>
      </c>
      <c r="V54" s="93">
        <f t="shared" si="9"/>
        <v>0</v>
      </c>
    </row>
    <row r="55" spans="1:22" ht="18" customHeight="1" x14ac:dyDescent="0.2">
      <c r="A55" s="110" t="s">
        <v>110</v>
      </c>
      <c r="B55" s="111"/>
      <c r="C55" s="201" t="s">
        <v>111</v>
      </c>
      <c r="D55" s="91">
        <v>43009</v>
      </c>
      <c r="E55" s="92"/>
      <c r="F55" s="93"/>
      <c r="G55" s="93"/>
      <c r="H55" s="93">
        <v>6250</v>
      </c>
      <c r="I55" s="93">
        <v>6068</v>
      </c>
      <c r="J55" s="93">
        <v>0</v>
      </c>
      <c r="K55" s="93">
        <f t="shared" si="0"/>
        <v>0</v>
      </c>
      <c r="L55" s="93">
        <f t="shared" si="1"/>
        <v>0</v>
      </c>
      <c r="M55" s="94">
        <v>2.5</v>
      </c>
      <c r="N55" s="95" t="s">
        <v>17</v>
      </c>
      <c r="O55" s="93">
        <f t="shared" si="5"/>
        <v>0</v>
      </c>
      <c r="P55" s="93">
        <f t="shared" si="6"/>
        <v>0</v>
      </c>
      <c r="Q55" s="93">
        <f t="shared" si="7"/>
        <v>0</v>
      </c>
      <c r="R55" s="93">
        <f t="shared" si="2"/>
        <v>0</v>
      </c>
      <c r="S55" s="93">
        <f t="shared" si="3"/>
        <v>91</v>
      </c>
      <c r="T55" s="93">
        <f t="shared" si="8"/>
        <v>91</v>
      </c>
      <c r="U55" s="253">
        <f t="shared" si="4"/>
        <v>5977</v>
      </c>
      <c r="V55" s="93">
        <f t="shared" si="9"/>
        <v>0</v>
      </c>
    </row>
    <row r="56" spans="1:22" ht="18" customHeight="1" x14ac:dyDescent="0.2">
      <c r="A56" s="110" t="s">
        <v>112</v>
      </c>
      <c r="B56" s="111"/>
      <c r="C56" s="201" t="s">
        <v>113</v>
      </c>
      <c r="D56" s="91">
        <v>43009</v>
      </c>
      <c r="E56" s="92"/>
      <c r="F56" s="93"/>
      <c r="G56" s="93"/>
      <c r="H56" s="93">
        <v>1702.31</v>
      </c>
      <c r="I56" s="93">
        <v>1652.31</v>
      </c>
      <c r="J56" s="93">
        <v>0</v>
      </c>
      <c r="K56" s="93">
        <f t="shared" si="0"/>
        <v>0</v>
      </c>
      <c r="L56" s="93">
        <f t="shared" si="1"/>
        <v>0</v>
      </c>
      <c r="M56" s="94">
        <v>2.5</v>
      </c>
      <c r="N56" s="95" t="s">
        <v>17</v>
      </c>
      <c r="O56" s="93">
        <f t="shared" si="5"/>
        <v>0</v>
      </c>
      <c r="P56" s="93">
        <f t="shared" si="6"/>
        <v>0</v>
      </c>
      <c r="Q56" s="93">
        <f t="shared" si="7"/>
        <v>0</v>
      </c>
      <c r="R56" s="93">
        <f t="shared" si="2"/>
        <v>0</v>
      </c>
      <c r="S56" s="93">
        <f t="shared" si="3"/>
        <v>24</v>
      </c>
      <c r="T56" s="93">
        <f t="shared" si="8"/>
        <v>24</v>
      </c>
      <c r="U56" s="253">
        <f t="shared" si="4"/>
        <v>1628.31</v>
      </c>
      <c r="V56" s="93">
        <f t="shared" si="9"/>
        <v>0</v>
      </c>
    </row>
    <row r="57" spans="1:22" ht="18" customHeight="1" x14ac:dyDescent="0.2">
      <c r="A57" s="110" t="s">
        <v>114</v>
      </c>
      <c r="B57" s="111"/>
      <c r="C57" s="201" t="s">
        <v>115</v>
      </c>
      <c r="D57" s="91">
        <v>43109</v>
      </c>
      <c r="E57" s="92"/>
      <c r="F57" s="93"/>
      <c r="G57" s="93"/>
      <c r="H57" s="93">
        <v>1108</v>
      </c>
      <c r="I57" s="93">
        <v>1083</v>
      </c>
      <c r="J57" s="93">
        <v>0</v>
      </c>
      <c r="K57" s="93">
        <f t="shared" si="0"/>
        <v>0</v>
      </c>
      <c r="L57" s="93">
        <f t="shared" si="1"/>
        <v>0</v>
      </c>
      <c r="M57" s="94">
        <v>2.5</v>
      </c>
      <c r="N57" s="95" t="s">
        <v>17</v>
      </c>
      <c r="O57" s="93">
        <f t="shared" si="5"/>
        <v>0</v>
      </c>
      <c r="P57" s="93">
        <f t="shared" si="6"/>
        <v>0</v>
      </c>
      <c r="Q57" s="93">
        <f t="shared" si="7"/>
        <v>0</v>
      </c>
      <c r="R57" s="93">
        <f t="shared" si="2"/>
        <v>0</v>
      </c>
      <c r="S57" s="93">
        <f t="shared" si="3"/>
        <v>16</v>
      </c>
      <c r="T57" s="93">
        <f t="shared" si="8"/>
        <v>16</v>
      </c>
      <c r="U57" s="253">
        <f t="shared" si="4"/>
        <v>1067</v>
      </c>
      <c r="V57" s="93">
        <f t="shared" si="9"/>
        <v>0</v>
      </c>
    </row>
    <row r="58" spans="1:22" ht="18" customHeight="1" x14ac:dyDescent="0.2">
      <c r="A58" s="110" t="s">
        <v>116</v>
      </c>
      <c r="B58" s="111"/>
      <c r="C58" s="201" t="s">
        <v>117</v>
      </c>
      <c r="D58" s="91">
        <v>43112</v>
      </c>
      <c r="E58" s="92"/>
      <c r="F58" s="93"/>
      <c r="G58" s="93"/>
      <c r="H58" s="93">
        <v>2399.88</v>
      </c>
      <c r="I58" s="93">
        <v>2346.88</v>
      </c>
      <c r="J58" s="93">
        <v>0</v>
      </c>
      <c r="K58" s="93">
        <f t="shared" si="0"/>
        <v>0</v>
      </c>
      <c r="L58" s="93">
        <f t="shared" si="1"/>
        <v>0</v>
      </c>
      <c r="M58" s="94">
        <v>2.5</v>
      </c>
      <c r="N58" s="95" t="s">
        <v>17</v>
      </c>
      <c r="O58" s="93">
        <f t="shared" si="5"/>
        <v>0</v>
      </c>
      <c r="P58" s="93">
        <f t="shared" si="6"/>
        <v>0</v>
      </c>
      <c r="Q58" s="93">
        <f t="shared" si="7"/>
        <v>0</v>
      </c>
      <c r="R58" s="93">
        <f t="shared" si="2"/>
        <v>0</v>
      </c>
      <c r="S58" s="93">
        <f t="shared" si="3"/>
        <v>34</v>
      </c>
      <c r="T58" s="93">
        <f t="shared" si="8"/>
        <v>34</v>
      </c>
      <c r="U58" s="253">
        <f t="shared" si="4"/>
        <v>2312.88</v>
      </c>
      <c r="V58" s="93">
        <f t="shared" si="9"/>
        <v>0</v>
      </c>
    </row>
    <row r="59" spans="1:22" ht="18" customHeight="1" x14ac:dyDescent="0.2">
      <c r="A59" s="110" t="s">
        <v>118</v>
      </c>
      <c r="B59" s="111"/>
      <c r="C59" s="201" t="s">
        <v>119</v>
      </c>
      <c r="D59" s="91">
        <v>43116</v>
      </c>
      <c r="E59" s="92"/>
      <c r="F59" s="93"/>
      <c r="G59" s="93"/>
      <c r="H59" s="93">
        <v>15330</v>
      </c>
      <c r="I59" s="93">
        <v>14995</v>
      </c>
      <c r="J59" s="93">
        <v>0</v>
      </c>
      <c r="K59" s="93">
        <f t="shared" si="0"/>
        <v>0</v>
      </c>
      <c r="L59" s="93">
        <f t="shared" si="1"/>
        <v>0</v>
      </c>
      <c r="M59" s="94">
        <v>2.5</v>
      </c>
      <c r="N59" s="95" t="s">
        <v>17</v>
      </c>
      <c r="O59" s="93">
        <f t="shared" si="5"/>
        <v>0</v>
      </c>
      <c r="P59" s="93">
        <f t="shared" si="6"/>
        <v>0</v>
      </c>
      <c r="Q59" s="93">
        <f t="shared" si="7"/>
        <v>0</v>
      </c>
      <c r="R59" s="93">
        <f t="shared" si="2"/>
        <v>0</v>
      </c>
      <c r="S59" s="93">
        <f t="shared" si="3"/>
        <v>223</v>
      </c>
      <c r="T59" s="93">
        <f t="shared" si="8"/>
        <v>223</v>
      </c>
      <c r="U59" s="253">
        <f t="shared" si="4"/>
        <v>14772</v>
      </c>
      <c r="V59" s="93">
        <f t="shared" si="9"/>
        <v>0</v>
      </c>
    </row>
    <row r="60" spans="1:22" ht="18" customHeight="1" x14ac:dyDescent="0.2">
      <c r="A60" s="110" t="s">
        <v>120</v>
      </c>
      <c r="B60" s="111"/>
      <c r="C60" s="90" t="s">
        <v>121</v>
      </c>
      <c r="D60" s="91">
        <v>43117</v>
      </c>
      <c r="E60" s="92"/>
      <c r="F60" s="93"/>
      <c r="G60" s="93"/>
      <c r="H60" s="93">
        <v>45454.55</v>
      </c>
      <c r="I60" s="93">
        <v>44464.55</v>
      </c>
      <c r="J60" s="93">
        <v>0</v>
      </c>
      <c r="K60" s="93">
        <f t="shared" si="0"/>
        <v>0</v>
      </c>
      <c r="L60" s="93">
        <f t="shared" si="1"/>
        <v>0</v>
      </c>
      <c r="M60" s="94">
        <v>2.5</v>
      </c>
      <c r="N60" s="95" t="s">
        <v>17</v>
      </c>
      <c r="O60" s="93">
        <f t="shared" si="5"/>
        <v>0</v>
      </c>
      <c r="P60" s="93">
        <f t="shared" si="6"/>
        <v>0</v>
      </c>
      <c r="Q60" s="93">
        <f t="shared" si="7"/>
        <v>0</v>
      </c>
      <c r="R60" s="93">
        <f t="shared" si="2"/>
        <v>0</v>
      </c>
      <c r="S60" s="93">
        <f t="shared" si="3"/>
        <v>662</v>
      </c>
      <c r="T60" s="93">
        <f t="shared" si="8"/>
        <v>662</v>
      </c>
      <c r="U60" s="253">
        <f t="shared" si="4"/>
        <v>43802.55</v>
      </c>
      <c r="V60" s="93">
        <f t="shared" si="9"/>
        <v>0</v>
      </c>
    </row>
    <row r="61" spans="1:22" ht="18" customHeight="1" x14ac:dyDescent="0.2">
      <c r="A61" s="110" t="s">
        <v>122</v>
      </c>
      <c r="B61" s="111"/>
      <c r="C61" s="203" t="s">
        <v>123</v>
      </c>
      <c r="D61" s="91">
        <v>43131</v>
      </c>
      <c r="E61" s="92"/>
      <c r="F61" s="93"/>
      <c r="G61" s="93"/>
      <c r="H61" s="93">
        <v>1953</v>
      </c>
      <c r="I61" s="93">
        <v>1913</v>
      </c>
      <c r="J61" s="93">
        <v>0</v>
      </c>
      <c r="K61" s="93">
        <f t="shared" si="0"/>
        <v>0</v>
      </c>
      <c r="L61" s="93">
        <f t="shared" si="1"/>
        <v>0</v>
      </c>
      <c r="M61" s="94">
        <v>2.5</v>
      </c>
      <c r="N61" s="95" t="s">
        <v>17</v>
      </c>
      <c r="O61" s="93">
        <f t="shared" si="5"/>
        <v>0</v>
      </c>
      <c r="P61" s="93">
        <f t="shared" si="6"/>
        <v>0</v>
      </c>
      <c r="Q61" s="93">
        <f t="shared" si="7"/>
        <v>0</v>
      </c>
      <c r="R61" s="93">
        <f t="shared" si="2"/>
        <v>0</v>
      </c>
      <c r="S61" s="93">
        <f t="shared" si="3"/>
        <v>28</v>
      </c>
      <c r="T61" s="93">
        <f t="shared" si="8"/>
        <v>28</v>
      </c>
      <c r="U61" s="253">
        <f t="shared" si="4"/>
        <v>1885</v>
      </c>
      <c r="V61" s="93">
        <f t="shared" si="9"/>
        <v>0</v>
      </c>
    </row>
    <row r="62" spans="1:22" ht="18" customHeight="1" x14ac:dyDescent="0.2">
      <c r="A62" s="110" t="s">
        <v>124</v>
      </c>
      <c r="B62" s="111"/>
      <c r="C62" s="90" t="s">
        <v>125</v>
      </c>
      <c r="D62" s="91">
        <v>42917</v>
      </c>
      <c r="E62" s="92"/>
      <c r="F62" s="93"/>
      <c r="G62" s="93"/>
      <c r="H62" s="93">
        <v>16448.25</v>
      </c>
      <c r="I62" s="93">
        <v>15865.25</v>
      </c>
      <c r="J62" s="93">
        <v>0</v>
      </c>
      <c r="K62" s="93">
        <f t="shared" si="0"/>
        <v>0</v>
      </c>
      <c r="L62" s="93">
        <f t="shared" si="1"/>
        <v>0</v>
      </c>
      <c r="M62" s="94">
        <v>2.5</v>
      </c>
      <c r="N62" s="95" t="s">
        <v>17</v>
      </c>
      <c r="O62" s="93">
        <f t="shared" si="5"/>
        <v>0</v>
      </c>
      <c r="P62" s="93">
        <f t="shared" si="6"/>
        <v>0</v>
      </c>
      <c r="Q62" s="93">
        <f t="shared" si="7"/>
        <v>0</v>
      </c>
      <c r="R62" s="93">
        <f t="shared" si="2"/>
        <v>0</v>
      </c>
      <c r="S62" s="93">
        <f t="shared" si="3"/>
        <v>239</v>
      </c>
      <c r="T62" s="93">
        <f t="shared" si="8"/>
        <v>239</v>
      </c>
      <c r="U62" s="253">
        <f t="shared" si="4"/>
        <v>15626.25</v>
      </c>
      <c r="V62" s="93">
        <f t="shared" si="9"/>
        <v>0</v>
      </c>
    </row>
    <row r="63" spans="1:22" ht="18" customHeight="1" x14ac:dyDescent="0.2">
      <c r="A63" s="110" t="s">
        <v>126</v>
      </c>
      <c r="B63" s="111"/>
      <c r="C63" s="203" t="s">
        <v>127</v>
      </c>
      <c r="D63" s="91">
        <v>43153</v>
      </c>
      <c r="E63" s="92"/>
      <c r="F63" s="93"/>
      <c r="G63" s="93"/>
      <c r="H63" s="93">
        <v>1829.8400000000001</v>
      </c>
      <c r="I63" s="93">
        <v>1794.8400000000001</v>
      </c>
      <c r="J63" s="93">
        <v>0</v>
      </c>
      <c r="K63" s="93">
        <f t="shared" si="0"/>
        <v>0</v>
      </c>
      <c r="L63" s="93">
        <f t="shared" si="1"/>
        <v>0</v>
      </c>
      <c r="M63" s="94">
        <v>2.5</v>
      </c>
      <c r="N63" s="95" t="s">
        <v>17</v>
      </c>
      <c r="O63" s="93">
        <f t="shared" si="5"/>
        <v>0</v>
      </c>
      <c r="P63" s="93">
        <f t="shared" si="6"/>
        <v>0</v>
      </c>
      <c r="Q63" s="93">
        <f t="shared" si="7"/>
        <v>0</v>
      </c>
      <c r="R63" s="93">
        <f t="shared" si="2"/>
        <v>0</v>
      </c>
      <c r="S63" s="93">
        <f t="shared" si="3"/>
        <v>26</v>
      </c>
      <c r="T63" s="93">
        <f t="shared" si="8"/>
        <v>26</v>
      </c>
      <c r="U63" s="253">
        <f t="shared" si="4"/>
        <v>1768.8400000000001</v>
      </c>
      <c r="V63" s="93">
        <f t="shared" si="9"/>
        <v>0</v>
      </c>
    </row>
    <row r="64" spans="1:22" ht="18" customHeight="1" x14ac:dyDescent="0.2">
      <c r="A64" s="110" t="s">
        <v>128</v>
      </c>
      <c r="B64" s="111"/>
      <c r="C64" s="201" t="s">
        <v>129</v>
      </c>
      <c r="D64" s="91">
        <v>43165</v>
      </c>
      <c r="E64" s="92"/>
      <c r="F64" s="93"/>
      <c r="G64" s="93"/>
      <c r="H64" s="93">
        <v>104545.45</v>
      </c>
      <c r="I64" s="93">
        <v>102611.45</v>
      </c>
      <c r="J64" s="93">
        <v>0</v>
      </c>
      <c r="K64" s="93">
        <f t="shared" si="0"/>
        <v>0</v>
      </c>
      <c r="L64" s="93">
        <f t="shared" si="1"/>
        <v>0</v>
      </c>
      <c r="M64" s="94">
        <v>2.5</v>
      </c>
      <c r="N64" s="95" t="s">
        <v>17</v>
      </c>
      <c r="O64" s="93">
        <f t="shared" si="5"/>
        <v>0</v>
      </c>
      <c r="P64" s="93">
        <f t="shared" si="6"/>
        <v>0</v>
      </c>
      <c r="Q64" s="93">
        <f t="shared" si="7"/>
        <v>0</v>
      </c>
      <c r="R64" s="93">
        <f t="shared" si="2"/>
        <v>0</v>
      </c>
      <c r="S64" s="93">
        <f t="shared" si="3"/>
        <v>1524</v>
      </c>
      <c r="T64" s="93">
        <f t="shared" si="8"/>
        <v>1524</v>
      </c>
      <c r="U64" s="253">
        <f t="shared" si="4"/>
        <v>101087.45</v>
      </c>
      <c r="V64" s="93">
        <f t="shared" si="9"/>
        <v>0</v>
      </c>
    </row>
    <row r="65" spans="1:22" ht="18" customHeight="1" x14ac:dyDescent="0.2">
      <c r="A65" s="110" t="s">
        <v>130</v>
      </c>
      <c r="B65" s="111"/>
      <c r="C65" s="201" t="s">
        <v>131</v>
      </c>
      <c r="D65" s="91">
        <v>42975</v>
      </c>
      <c r="E65" s="92"/>
      <c r="F65" s="93"/>
      <c r="G65" s="93"/>
      <c r="H65" s="93">
        <v>4404.3</v>
      </c>
      <c r="I65" s="93">
        <v>4265.3</v>
      </c>
      <c r="J65" s="93">
        <v>0</v>
      </c>
      <c r="K65" s="93">
        <f t="shared" si="0"/>
        <v>0</v>
      </c>
      <c r="L65" s="93">
        <f t="shared" si="1"/>
        <v>0</v>
      </c>
      <c r="M65" s="94">
        <v>2.5</v>
      </c>
      <c r="N65" s="95" t="s">
        <v>17</v>
      </c>
      <c r="O65" s="93">
        <f t="shared" si="5"/>
        <v>0</v>
      </c>
      <c r="P65" s="93">
        <f t="shared" si="6"/>
        <v>0</v>
      </c>
      <c r="Q65" s="93">
        <f t="shared" si="7"/>
        <v>0</v>
      </c>
      <c r="R65" s="93">
        <f t="shared" si="2"/>
        <v>0</v>
      </c>
      <c r="S65" s="93">
        <f t="shared" si="3"/>
        <v>64</v>
      </c>
      <c r="T65" s="93">
        <f t="shared" si="8"/>
        <v>64</v>
      </c>
      <c r="U65" s="253">
        <f t="shared" si="4"/>
        <v>4201.3</v>
      </c>
      <c r="V65" s="93">
        <f t="shared" si="9"/>
        <v>0</v>
      </c>
    </row>
    <row r="66" spans="1:22" ht="18" customHeight="1" x14ac:dyDescent="0.2">
      <c r="A66" s="110" t="s">
        <v>132</v>
      </c>
      <c r="B66" s="111"/>
      <c r="C66" s="201" t="s">
        <v>133</v>
      </c>
      <c r="D66" s="91">
        <v>43007</v>
      </c>
      <c r="E66" s="92"/>
      <c r="F66" s="93"/>
      <c r="G66" s="93"/>
      <c r="H66" s="93">
        <v>3528.4</v>
      </c>
      <c r="I66" s="93">
        <v>3425.4</v>
      </c>
      <c r="J66" s="93">
        <v>0</v>
      </c>
      <c r="K66" s="93">
        <f t="shared" si="0"/>
        <v>0</v>
      </c>
      <c r="L66" s="93">
        <f t="shared" si="1"/>
        <v>0</v>
      </c>
      <c r="M66" s="94">
        <v>2.5</v>
      </c>
      <c r="N66" s="95" t="s">
        <v>17</v>
      </c>
      <c r="O66" s="93">
        <f t="shared" si="5"/>
        <v>0</v>
      </c>
      <c r="P66" s="93">
        <f t="shared" si="6"/>
        <v>0</v>
      </c>
      <c r="Q66" s="93">
        <f t="shared" si="7"/>
        <v>0</v>
      </c>
      <c r="R66" s="93">
        <f t="shared" si="2"/>
        <v>0</v>
      </c>
      <c r="S66" s="93">
        <f t="shared" si="3"/>
        <v>51</v>
      </c>
      <c r="T66" s="93">
        <f t="shared" si="8"/>
        <v>51</v>
      </c>
      <c r="U66" s="253">
        <f t="shared" si="4"/>
        <v>3374.4</v>
      </c>
      <c r="V66" s="93">
        <f t="shared" si="9"/>
        <v>0</v>
      </c>
    </row>
    <row r="67" spans="1:22" ht="18" customHeight="1" x14ac:dyDescent="0.2">
      <c r="A67" s="110" t="s">
        <v>134</v>
      </c>
      <c r="B67" s="111"/>
      <c r="C67" s="201" t="s">
        <v>135</v>
      </c>
      <c r="D67" s="91">
        <v>43008</v>
      </c>
      <c r="E67" s="92"/>
      <c r="F67" s="93"/>
      <c r="G67" s="93"/>
      <c r="H67" s="93">
        <v>1260</v>
      </c>
      <c r="I67" s="93">
        <v>1223</v>
      </c>
      <c r="J67" s="93">
        <v>0</v>
      </c>
      <c r="K67" s="93">
        <f t="shared" si="0"/>
        <v>0</v>
      </c>
      <c r="L67" s="93">
        <f t="shared" si="1"/>
        <v>0</v>
      </c>
      <c r="M67" s="94">
        <v>2.5</v>
      </c>
      <c r="N67" s="95" t="s">
        <v>17</v>
      </c>
      <c r="O67" s="93">
        <f t="shared" si="5"/>
        <v>0</v>
      </c>
      <c r="P67" s="93">
        <f t="shared" si="6"/>
        <v>0</v>
      </c>
      <c r="Q67" s="93">
        <f t="shared" si="7"/>
        <v>0</v>
      </c>
      <c r="R67" s="93">
        <f t="shared" si="2"/>
        <v>0</v>
      </c>
      <c r="S67" s="93">
        <f t="shared" si="3"/>
        <v>18</v>
      </c>
      <c r="T67" s="93">
        <f t="shared" si="8"/>
        <v>18</v>
      </c>
      <c r="U67" s="253">
        <f t="shared" si="4"/>
        <v>1205</v>
      </c>
      <c r="V67" s="93">
        <f t="shared" si="9"/>
        <v>0</v>
      </c>
    </row>
    <row r="68" spans="1:22" ht="18" customHeight="1" x14ac:dyDescent="0.2">
      <c r="A68" s="110" t="s">
        <v>136</v>
      </c>
      <c r="B68" s="111"/>
      <c r="C68" s="201" t="s">
        <v>137</v>
      </c>
      <c r="D68" s="91">
        <v>43013</v>
      </c>
      <c r="E68" s="92"/>
      <c r="F68" s="93"/>
      <c r="G68" s="93"/>
      <c r="H68" s="93">
        <v>3521.9900000000002</v>
      </c>
      <c r="I68" s="93">
        <v>3419.9900000000002</v>
      </c>
      <c r="J68" s="93">
        <v>0</v>
      </c>
      <c r="K68" s="93">
        <f t="shared" si="0"/>
        <v>0</v>
      </c>
      <c r="L68" s="93">
        <f t="shared" si="1"/>
        <v>0</v>
      </c>
      <c r="M68" s="94">
        <v>2.5</v>
      </c>
      <c r="N68" s="95" t="s">
        <v>17</v>
      </c>
      <c r="O68" s="93">
        <f t="shared" si="5"/>
        <v>0</v>
      </c>
      <c r="P68" s="93">
        <f t="shared" si="6"/>
        <v>0</v>
      </c>
      <c r="Q68" s="93">
        <f t="shared" si="7"/>
        <v>0</v>
      </c>
      <c r="R68" s="93">
        <f t="shared" si="2"/>
        <v>0</v>
      </c>
      <c r="S68" s="93">
        <f t="shared" si="3"/>
        <v>51</v>
      </c>
      <c r="T68" s="93">
        <f t="shared" si="8"/>
        <v>51</v>
      </c>
      <c r="U68" s="253">
        <f t="shared" si="4"/>
        <v>3368.9900000000002</v>
      </c>
      <c r="V68" s="93">
        <f t="shared" si="9"/>
        <v>0</v>
      </c>
    </row>
    <row r="69" spans="1:22" ht="18" customHeight="1" x14ac:dyDescent="0.2">
      <c r="A69" s="110" t="s">
        <v>138</v>
      </c>
      <c r="B69" s="111"/>
      <c r="C69" s="201" t="s">
        <v>133</v>
      </c>
      <c r="D69" s="91">
        <v>43059</v>
      </c>
      <c r="E69" s="92"/>
      <c r="F69" s="93"/>
      <c r="G69" s="93"/>
      <c r="H69" s="93">
        <v>3019.37</v>
      </c>
      <c r="I69" s="93">
        <v>2941.37</v>
      </c>
      <c r="J69" s="93">
        <v>0</v>
      </c>
      <c r="K69" s="93">
        <f t="shared" si="0"/>
        <v>0</v>
      </c>
      <c r="L69" s="93">
        <f t="shared" si="1"/>
        <v>0</v>
      </c>
      <c r="M69" s="94">
        <v>2.5</v>
      </c>
      <c r="N69" s="95" t="s">
        <v>17</v>
      </c>
      <c r="O69" s="93">
        <f t="shared" si="5"/>
        <v>0</v>
      </c>
      <c r="P69" s="93">
        <f t="shared" si="6"/>
        <v>0</v>
      </c>
      <c r="Q69" s="93">
        <f t="shared" si="7"/>
        <v>0</v>
      </c>
      <c r="R69" s="93">
        <f t="shared" si="2"/>
        <v>0</v>
      </c>
      <c r="S69" s="93">
        <f t="shared" si="3"/>
        <v>44</v>
      </c>
      <c r="T69" s="93">
        <f t="shared" si="8"/>
        <v>44</v>
      </c>
      <c r="U69" s="253">
        <f t="shared" si="4"/>
        <v>2897.37</v>
      </c>
      <c r="V69" s="93">
        <f t="shared" si="9"/>
        <v>0</v>
      </c>
    </row>
    <row r="70" spans="1:22" ht="18" customHeight="1" x14ac:dyDescent="0.2">
      <c r="A70" s="110" t="s">
        <v>139</v>
      </c>
      <c r="B70" s="111"/>
      <c r="C70" s="201" t="s">
        <v>133</v>
      </c>
      <c r="D70" s="91">
        <v>43059</v>
      </c>
      <c r="E70" s="92"/>
      <c r="F70" s="93"/>
      <c r="G70" s="93"/>
      <c r="H70" s="93">
        <v>5210.82</v>
      </c>
      <c r="I70" s="93">
        <v>5075.82</v>
      </c>
      <c r="J70" s="93">
        <v>0</v>
      </c>
      <c r="K70" s="93">
        <f t="shared" si="0"/>
        <v>0</v>
      </c>
      <c r="L70" s="93">
        <f t="shared" si="1"/>
        <v>0</v>
      </c>
      <c r="M70" s="94">
        <v>2.5</v>
      </c>
      <c r="N70" s="95" t="s">
        <v>17</v>
      </c>
      <c r="O70" s="93">
        <f t="shared" si="5"/>
        <v>0</v>
      </c>
      <c r="P70" s="93">
        <f t="shared" si="6"/>
        <v>0</v>
      </c>
      <c r="Q70" s="93">
        <f t="shared" si="7"/>
        <v>0</v>
      </c>
      <c r="R70" s="93">
        <f t="shared" si="2"/>
        <v>0</v>
      </c>
      <c r="S70" s="93">
        <f t="shared" si="3"/>
        <v>75</v>
      </c>
      <c r="T70" s="93">
        <f t="shared" si="8"/>
        <v>75</v>
      </c>
      <c r="U70" s="253">
        <f t="shared" si="4"/>
        <v>5000.82</v>
      </c>
      <c r="V70" s="93">
        <f t="shared" si="9"/>
        <v>0</v>
      </c>
    </row>
    <row r="71" spans="1:22" ht="18" customHeight="1" x14ac:dyDescent="0.2">
      <c r="A71" s="110" t="s">
        <v>140</v>
      </c>
      <c r="B71" s="111"/>
      <c r="C71" s="90" t="s">
        <v>141</v>
      </c>
      <c r="D71" s="91">
        <v>43069</v>
      </c>
      <c r="E71" s="92"/>
      <c r="F71" s="93"/>
      <c r="G71" s="93"/>
      <c r="H71" s="93">
        <v>2679.5</v>
      </c>
      <c r="I71" s="93">
        <v>2612.5</v>
      </c>
      <c r="J71" s="93">
        <v>0</v>
      </c>
      <c r="K71" s="93">
        <f t="shared" si="0"/>
        <v>0</v>
      </c>
      <c r="L71" s="93">
        <f t="shared" si="1"/>
        <v>0</v>
      </c>
      <c r="M71" s="94">
        <v>2.5</v>
      </c>
      <c r="N71" s="95" t="s">
        <v>17</v>
      </c>
      <c r="O71" s="93">
        <f t="shared" si="5"/>
        <v>0</v>
      </c>
      <c r="P71" s="93">
        <f t="shared" si="6"/>
        <v>0</v>
      </c>
      <c r="Q71" s="93">
        <f t="shared" si="7"/>
        <v>0</v>
      </c>
      <c r="R71" s="93">
        <f t="shared" si="2"/>
        <v>0</v>
      </c>
      <c r="S71" s="93">
        <f t="shared" si="3"/>
        <v>39</v>
      </c>
      <c r="T71" s="93">
        <f t="shared" si="8"/>
        <v>39</v>
      </c>
      <c r="U71" s="253">
        <f t="shared" si="4"/>
        <v>2573.5</v>
      </c>
      <c r="V71" s="93">
        <f t="shared" si="9"/>
        <v>0</v>
      </c>
    </row>
    <row r="72" spans="1:22" ht="18" customHeight="1" x14ac:dyDescent="0.2">
      <c r="A72" s="110" t="s">
        <v>142</v>
      </c>
      <c r="B72" s="111"/>
      <c r="C72" s="203" t="s">
        <v>143</v>
      </c>
      <c r="D72" s="91">
        <v>43100</v>
      </c>
      <c r="E72" s="92"/>
      <c r="F72" s="93"/>
      <c r="G72" s="93"/>
      <c r="H72" s="93">
        <v>4158</v>
      </c>
      <c r="I72" s="93">
        <v>4062</v>
      </c>
      <c r="J72" s="93">
        <v>0</v>
      </c>
      <c r="K72" s="93">
        <f t="shared" ref="K72:K135" si="10">INT(IF($E72&gt;0,IF(+F72-I72+Q72&lt;0,0,+F72-I72+Q72),0))</f>
        <v>0</v>
      </c>
      <c r="L72" s="93">
        <f t="shared" ref="L72:L135" si="11">INT(IF($E72&gt;0,IF(K72=0,-F72+I72-Q72,0),0))</f>
        <v>0</v>
      </c>
      <c r="M72" s="94">
        <v>2.5</v>
      </c>
      <c r="N72" s="95" t="s">
        <v>17</v>
      </c>
      <c r="O72" s="93">
        <f t="shared" si="5"/>
        <v>0</v>
      </c>
      <c r="P72" s="93">
        <f t="shared" si="6"/>
        <v>0</v>
      </c>
      <c r="Q72" s="93">
        <f t="shared" si="7"/>
        <v>0</v>
      </c>
      <c r="R72" s="93">
        <f t="shared" ref="R72:R135" si="12">INT(IF($E72&gt;0,0,(IF($N72="D",IF($D72&lt;$H$3,$I72*($M72/100)*$U$3/12,$J72*($M72/100)*($J$3-$D72)/365),0))))</f>
        <v>0</v>
      </c>
      <c r="S72" s="93">
        <f t="shared" ref="S72:S135" si="13">INT(IF($E72&gt;0,0,(IF($N72="P",IF($D72&lt;$H$3,$H72*($M72/100)*$U$3/12,$J72*($M72/100)*($J$3-$D72)/365),0))))</f>
        <v>60</v>
      </c>
      <c r="T72" s="93">
        <f t="shared" si="8"/>
        <v>60</v>
      </c>
      <c r="U72" s="253">
        <f t="shared" ref="U72:U135" si="14">+I72+J72-T72-F72+K72-L72</f>
        <v>4002</v>
      </c>
      <c r="V72" s="93">
        <f t="shared" si="9"/>
        <v>0</v>
      </c>
    </row>
    <row r="73" spans="1:22" ht="18" customHeight="1" x14ac:dyDescent="0.2">
      <c r="A73" s="110" t="s">
        <v>144</v>
      </c>
      <c r="B73" s="111"/>
      <c r="C73" s="201" t="s">
        <v>145</v>
      </c>
      <c r="D73" s="91">
        <v>43146</v>
      </c>
      <c r="E73" s="92"/>
      <c r="F73" s="93"/>
      <c r="G73" s="93"/>
      <c r="H73" s="93">
        <v>1217.99</v>
      </c>
      <c r="I73" s="93">
        <v>1193.99</v>
      </c>
      <c r="J73" s="93">
        <v>0</v>
      </c>
      <c r="K73" s="93">
        <f t="shared" si="10"/>
        <v>0</v>
      </c>
      <c r="L73" s="93">
        <f t="shared" si="11"/>
        <v>0</v>
      </c>
      <c r="M73" s="94">
        <v>2.5</v>
      </c>
      <c r="N73" s="95" t="s">
        <v>17</v>
      </c>
      <c r="O73" s="93">
        <f t="shared" ref="O73:O136" si="15">IF(E73&gt;0,INT(IF($N73="D",IF($D73&lt;$H$3,$I73*($M73/100)*((E73-$H$3)/365),$J73*($M73/100)*($J$3-$D73)/365),0)),0)</f>
        <v>0</v>
      </c>
      <c r="P73" s="93">
        <f t="shared" ref="P73:P136" si="16">IF(E73&gt;0,INT(IF($N73="P",IF($D73&lt;$H$3,$H73*($M73/100)*(E73-$H$3)/365,$J73*($M73/100)*($J$3-$D73)/365),0)),0)</f>
        <v>0</v>
      </c>
      <c r="Q73" s="93">
        <f t="shared" ref="Q73:Q136" si="17">+O73+P73</f>
        <v>0</v>
      </c>
      <c r="R73" s="93">
        <f t="shared" si="12"/>
        <v>0</v>
      </c>
      <c r="S73" s="93">
        <f t="shared" si="13"/>
        <v>17</v>
      </c>
      <c r="T73" s="93">
        <f t="shared" ref="T73:T136" si="18">+R73+S73+Q73</f>
        <v>17</v>
      </c>
      <c r="U73" s="253">
        <f t="shared" si="14"/>
        <v>1176.99</v>
      </c>
      <c r="V73" s="93">
        <f t="shared" ref="V73:V136" si="19">IF(E73&gt;0,+H73+J73,0)</f>
        <v>0</v>
      </c>
    </row>
    <row r="74" spans="1:22" ht="18" customHeight="1" x14ac:dyDescent="0.2">
      <c r="A74" s="110" t="s">
        <v>146</v>
      </c>
      <c r="B74" s="111"/>
      <c r="C74" s="201" t="s">
        <v>147</v>
      </c>
      <c r="D74" s="91">
        <v>42917</v>
      </c>
      <c r="E74" s="92"/>
      <c r="F74" s="93"/>
      <c r="G74" s="93"/>
      <c r="H74" s="93">
        <v>4836</v>
      </c>
      <c r="I74" s="93">
        <v>4664</v>
      </c>
      <c r="J74" s="93">
        <v>0</v>
      </c>
      <c r="K74" s="93">
        <f t="shared" si="10"/>
        <v>0</v>
      </c>
      <c r="L74" s="93">
        <f t="shared" si="11"/>
        <v>0</v>
      </c>
      <c r="M74" s="94">
        <v>2.5</v>
      </c>
      <c r="N74" s="95" t="s">
        <v>17</v>
      </c>
      <c r="O74" s="93">
        <f t="shared" si="15"/>
        <v>0</v>
      </c>
      <c r="P74" s="93">
        <f t="shared" si="16"/>
        <v>0</v>
      </c>
      <c r="Q74" s="93">
        <f t="shared" si="17"/>
        <v>0</v>
      </c>
      <c r="R74" s="93">
        <f t="shared" si="12"/>
        <v>0</v>
      </c>
      <c r="S74" s="93">
        <f t="shared" si="13"/>
        <v>70</v>
      </c>
      <c r="T74" s="93">
        <f t="shared" si="18"/>
        <v>70</v>
      </c>
      <c r="U74" s="253">
        <f t="shared" si="14"/>
        <v>4594</v>
      </c>
      <c r="V74" s="93">
        <f t="shared" si="19"/>
        <v>0</v>
      </c>
    </row>
    <row r="75" spans="1:22" ht="18" customHeight="1" x14ac:dyDescent="0.2">
      <c r="A75" s="110" t="s">
        <v>148</v>
      </c>
      <c r="B75" s="111"/>
      <c r="C75" s="90" t="s">
        <v>149</v>
      </c>
      <c r="D75" s="91">
        <v>43220</v>
      </c>
      <c r="E75" s="92"/>
      <c r="F75" s="93"/>
      <c r="G75" s="93"/>
      <c r="H75" s="93">
        <v>2542</v>
      </c>
      <c r="I75" s="93">
        <v>2504</v>
      </c>
      <c r="J75" s="93">
        <v>0</v>
      </c>
      <c r="K75" s="93">
        <f t="shared" si="10"/>
        <v>0</v>
      </c>
      <c r="L75" s="93">
        <f t="shared" si="11"/>
        <v>0</v>
      </c>
      <c r="M75" s="94">
        <v>2.5</v>
      </c>
      <c r="N75" s="95" t="s">
        <v>17</v>
      </c>
      <c r="O75" s="93">
        <f t="shared" si="15"/>
        <v>0</v>
      </c>
      <c r="P75" s="93">
        <f t="shared" si="16"/>
        <v>0</v>
      </c>
      <c r="Q75" s="93">
        <f t="shared" si="17"/>
        <v>0</v>
      </c>
      <c r="R75" s="93">
        <f t="shared" si="12"/>
        <v>0</v>
      </c>
      <c r="S75" s="93">
        <f t="shared" si="13"/>
        <v>37</v>
      </c>
      <c r="T75" s="93">
        <f t="shared" si="18"/>
        <v>37</v>
      </c>
      <c r="U75" s="253">
        <f t="shared" si="14"/>
        <v>2467</v>
      </c>
      <c r="V75" s="93">
        <f t="shared" si="19"/>
        <v>0</v>
      </c>
    </row>
    <row r="76" spans="1:22" ht="18" customHeight="1" x14ac:dyDescent="0.2">
      <c r="A76" s="110" t="s">
        <v>150</v>
      </c>
      <c r="B76" s="111"/>
      <c r="C76" s="203" t="s">
        <v>151</v>
      </c>
      <c r="D76" s="91">
        <v>43220</v>
      </c>
      <c r="E76" s="92"/>
      <c r="F76" s="93"/>
      <c r="G76" s="93"/>
      <c r="H76" s="93">
        <v>1848</v>
      </c>
      <c r="I76" s="93">
        <v>1821</v>
      </c>
      <c r="J76" s="93">
        <v>0</v>
      </c>
      <c r="K76" s="93">
        <f t="shared" si="10"/>
        <v>0</v>
      </c>
      <c r="L76" s="93">
        <f t="shared" si="11"/>
        <v>0</v>
      </c>
      <c r="M76" s="94">
        <v>2.5</v>
      </c>
      <c r="N76" s="95" t="s">
        <v>17</v>
      </c>
      <c r="O76" s="93">
        <f t="shared" si="15"/>
        <v>0</v>
      </c>
      <c r="P76" s="93">
        <f t="shared" si="16"/>
        <v>0</v>
      </c>
      <c r="Q76" s="93">
        <f t="shared" si="17"/>
        <v>0</v>
      </c>
      <c r="R76" s="93">
        <f t="shared" si="12"/>
        <v>0</v>
      </c>
      <c r="S76" s="93">
        <f t="shared" si="13"/>
        <v>26</v>
      </c>
      <c r="T76" s="93">
        <f t="shared" si="18"/>
        <v>26</v>
      </c>
      <c r="U76" s="253">
        <f t="shared" si="14"/>
        <v>1795</v>
      </c>
      <c r="V76" s="93">
        <f t="shared" si="19"/>
        <v>0</v>
      </c>
    </row>
    <row r="77" spans="1:22" ht="18" customHeight="1" x14ac:dyDescent="0.2">
      <c r="A77" s="110" t="s">
        <v>152</v>
      </c>
      <c r="B77" s="111"/>
      <c r="C77" s="201" t="s">
        <v>153</v>
      </c>
      <c r="D77" s="91">
        <v>43220</v>
      </c>
      <c r="E77" s="92"/>
      <c r="F77" s="93"/>
      <c r="G77" s="93"/>
      <c r="H77" s="93">
        <v>3342.07</v>
      </c>
      <c r="I77" s="93">
        <v>3293.07</v>
      </c>
      <c r="J77" s="93">
        <v>0</v>
      </c>
      <c r="K77" s="93">
        <f t="shared" si="10"/>
        <v>0</v>
      </c>
      <c r="L77" s="93">
        <f t="shared" si="11"/>
        <v>0</v>
      </c>
      <c r="M77" s="94">
        <v>2.5</v>
      </c>
      <c r="N77" s="95" t="s">
        <v>17</v>
      </c>
      <c r="O77" s="93">
        <f t="shared" si="15"/>
        <v>0</v>
      </c>
      <c r="P77" s="93">
        <f t="shared" si="16"/>
        <v>0</v>
      </c>
      <c r="Q77" s="93">
        <f t="shared" si="17"/>
        <v>0</v>
      </c>
      <c r="R77" s="93">
        <f t="shared" si="12"/>
        <v>0</v>
      </c>
      <c r="S77" s="93">
        <f t="shared" si="13"/>
        <v>48</v>
      </c>
      <c r="T77" s="93">
        <f t="shared" si="18"/>
        <v>48</v>
      </c>
      <c r="U77" s="253">
        <f t="shared" si="14"/>
        <v>3245.07</v>
      </c>
      <c r="V77" s="93">
        <f t="shared" si="19"/>
        <v>0</v>
      </c>
    </row>
    <row r="78" spans="1:22" ht="18" customHeight="1" x14ac:dyDescent="0.2">
      <c r="A78" s="110" t="s">
        <v>154</v>
      </c>
      <c r="B78" s="111"/>
      <c r="C78" s="201" t="s">
        <v>155</v>
      </c>
      <c r="D78" s="91">
        <v>43251</v>
      </c>
      <c r="E78" s="92"/>
      <c r="F78" s="93"/>
      <c r="G78" s="93"/>
      <c r="H78" s="93">
        <v>2883</v>
      </c>
      <c r="I78" s="93">
        <v>2847</v>
      </c>
      <c r="J78" s="93">
        <v>0</v>
      </c>
      <c r="K78" s="93">
        <f t="shared" si="10"/>
        <v>0</v>
      </c>
      <c r="L78" s="93">
        <f t="shared" si="11"/>
        <v>0</v>
      </c>
      <c r="M78" s="94">
        <v>2.5</v>
      </c>
      <c r="N78" s="95" t="s">
        <v>17</v>
      </c>
      <c r="O78" s="93">
        <f t="shared" si="15"/>
        <v>0</v>
      </c>
      <c r="P78" s="93">
        <f t="shared" si="16"/>
        <v>0</v>
      </c>
      <c r="Q78" s="93">
        <f t="shared" si="17"/>
        <v>0</v>
      </c>
      <c r="R78" s="93">
        <f t="shared" si="12"/>
        <v>0</v>
      </c>
      <c r="S78" s="93">
        <f t="shared" si="13"/>
        <v>42</v>
      </c>
      <c r="T78" s="93">
        <f t="shared" si="18"/>
        <v>42</v>
      </c>
      <c r="U78" s="253">
        <f t="shared" si="14"/>
        <v>2805</v>
      </c>
      <c r="V78" s="93">
        <f t="shared" si="19"/>
        <v>0</v>
      </c>
    </row>
    <row r="79" spans="1:22" ht="18" customHeight="1" x14ac:dyDescent="0.2">
      <c r="A79" s="110" t="s">
        <v>156</v>
      </c>
      <c r="B79" s="111"/>
      <c r="C79" s="201" t="s">
        <v>157</v>
      </c>
      <c r="D79" s="91">
        <v>43251</v>
      </c>
      <c r="E79" s="92"/>
      <c r="F79" s="93"/>
      <c r="G79" s="93"/>
      <c r="H79" s="93">
        <v>2108</v>
      </c>
      <c r="I79" s="93">
        <v>2082</v>
      </c>
      <c r="J79" s="93">
        <v>0</v>
      </c>
      <c r="K79" s="93">
        <f t="shared" si="10"/>
        <v>0</v>
      </c>
      <c r="L79" s="93">
        <f t="shared" si="11"/>
        <v>0</v>
      </c>
      <c r="M79" s="94">
        <v>2.5</v>
      </c>
      <c r="N79" s="95" t="s">
        <v>17</v>
      </c>
      <c r="O79" s="93">
        <f t="shared" si="15"/>
        <v>0</v>
      </c>
      <c r="P79" s="93">
        <f t="shared" si="16"/>
        <v>0</v>
      </c>
      <c r="Q79" s="93">
        <f t="shared" si="17"/>
        <v>0</v>
      </c>
      <c r="R79" s="93">
        <f t="shared" si="12"/>
        <v>0</v>
      </c>
      <c r="S79" s="93">
        <f t="shared" si="13"/>
        <v>30</v>
      </c>
      <c r="T79" s="93">
        <f t="shared" si="18"/>
        <v>30</v>
      </c>
      <c r="U79" s="253">
        <f t="shared" si="14"/>
        <v>2052</v>
      </c>
      <c r="V79" s="93">
        <f t="shared" si="19"/>
        <v>0</v>
      </c>
    </row>
    <row r="80" spans="1:22" ht="18" customHeight="1" x14ac:dyDescent="0.2">
      <c r="A80" s="110" t="s">
        <v>158</v>
      </c>
      <c r="B80" s="111"/>
      <c r="C80" s="201" t="s">
        <v>53</v>
      </c>
      <c r="D80" s="91">
        <v>43281</v>
      </c>
      <c r="E80" s="92"/>
      <c r="F80" s="93"/>
      <c r="G80" s="93"/>
      <c r="H80" s="93">
        <v>2604</v>
      </c>
      <c r="I80" s="93">
        <v>2576</v>
      </c>
      <c r="J80" s="93">
        <v>0</v>
      </c>
      <c r="K80" s="93">
        <f t="shared" si="10"/>
        <v>0</v>
      </c>
      <c r="L80" s="93">
        <f t="shared" si="11"/>
        <v>0</v>
      </c>
      <c r="M80" s="94">
        <v>2.5</v>
      </c>
      <c r="N80" s="95" t="s">
        <v>17</v>
      </c>
      <c r="O80" s="93">
        <f t="shared" si="15"/>
        <v>0</v>
      </c>
      <c r="P80" s="93">
        <f t="shared" si="16"/>
        <v>0</v>
      </c>
      <c r="Q80" s="93">
        <f t="shared" si="17"/>
        <v>0</v>
      </c>
      <c r="R80" s="93">
        <f t="shared" si="12"/>
        <v>0</v>
      </c>
      <c r="S80" s="93">
        <f t="shared" si="13"/>
        <v>37</v>
      </c>
      <c r="T80" s="93">
        <f t="shared" si="18"/>
        <v>37</v>
      </c>
      <c r="U80" s="253">
        <f t="shared" si="14"/>
        <v>2539</v>
      </c>
      <c r="V80" s="93">
        <f t="shared" si="19"/>
        <v>0</v>
      </c>
    </row>
    <row r="81" spans="1:22" ht="18" customHeight="1" x14ac:dyDescent="0.2">
      <c r="A81" s="110" t="s">
        <v>159</v>
      </c>
      <c r="B81" s="111"/>
      <c r="C81" s="201" t="s">
        <v>160</v>
      </c>
      <c r="D81" s="91">
        <v>43165</v>
      </c>
      <c r="E81" s="92"/>
      <c r="F81" s="93"/>
      <c r="G81" s="93"/>
      <c r="H81" s="93">
        <v>2315.2400000000002</v>
      </c>
      <c r="I81" s="93">
        <v>2272.2400000000002</v>
      </c>
      <c r="J81" s="93">
        <v>0</v>
      </c>
      <c r="K81" s="93">
        <f t="shared" si="10"/>
        <v>0</v>
      </c>
      <c r="L81" s="93">
        <f t="shared" si="11"/>
        <v>0</v>
      </c>
      <c r="M81" s="94">
        <v>2.5</v>
      </c>
      <c r="N81" s="95" t="s">
        <v>17</v>
      </c>
      <c r="O81" s="93">
        <f t="shared" si="15"/>
        <v>0</v>
      </c>
      <c r="P81" s="93">
        <f t="shared" si="16"/>
        <v>0</v>
      </c>
      <c r="Q81" s="93">
        <f t="shared" si="17"/>
        <v>0</v>
      </c>
      <c r="R81" s="93">
        <f t="shared" si="12"/>
        <v>0</v>
      </c>
      <c r="S81" s="93">
        <f t="shared" si="13"/>
        <v>33</v>
      </c>
      <c r="T81" s="93">
        <f t="shared" si="18"/>
        <v>33</v>
      </c>
      <c r="U81" s="253">
        <f t="shared" si="14"/>
        <v>2239.2400000000002</v>
      </c>
      <c r="V81" s="93">
        <f t="shared" si="19"/>
        <v>0</v>
      </c>
    </row>
    <row r="82" spans="1:22" ht="18" customHeight="1" x14ac:dyDescent="0.2">
      <c r="A82" s="110" t="s">
        <v>161</v>
      </c>
      <c r="B82" s="111"/>
      <c r="C82" s="201" t="s">
        <v>162</v>
      </c>
      <c r="D82" s="91">
        <v>43186</v>
      </c>
      <c r="E82" s="92"/>
      <c r="F82" s="93"/>
      <c r="G82" s="93"/>
      <c r="H82" s="93">
        <v>6455.62</v>
      </c>
      <c r="I82" s="93">
        <v>6345.62</v>
      </c>
      <c r="J82" s="93">
        <v>0</v>
      </c>
      <c r="K82" s="93">
        <f t="shared" si="10"/>
        <v>0</v>
      </c>
      <c r="L82" s="93">
        <f t="shared" si="11"/>
        <v>0</v>
      </c>
      <c r="M82" s="94">
        <v>2.5</v>
      </c>
      <c r="N82" s="95" t="s">
        <v>17</v>
      </c>
      <c r="O82" s="93">
        <f t="shared" si="15"/>
        <v>0</v>
      </c>
      <c r="P82" s="93">
        <f t="shared" si="16"/>
        <v>0</v>
      </c>
      <c r="Q82" s="93">
        <f t="shared" si="17"/>
        <v>0</v>
      </c>
      <c r="R82" s="93">
        <f t="shared" si="12"/>
        <v>0</v>
      </c>
      <c r="S82" s="93">
        <f t="shared" si="13"/>
        <v>94</v>
      </c>
      <c r="T82" s="93">
        <f t="shared" si="18"/>
        <v>94</v>
      </c>
      <c r="U82" s="253">
        <f t="shared" si="14"/>
        <v>6251.62</v>
      </c>
      <c r="V82" s="93">
        <f t="shared" si="19"/>
        <v>0</v>
      </c>
    </row>
    <row r="83" spans="1:22" ht="18" customHeight="1" x14ac:dyDescent="0.2">
      <c r="A83" s="110" t="s">
        <v>163</v>
      </c>
      <c r="B83" s="111"/>
      <c r="C83" s="201" t="s">
        <v>164</v>
      </c>
      <c r="D83" s="91">
        <v>43263</v>
      </c>
      <c r="E83" s="92"/>
      <c r="F83" s="93"/>
      <c r="G83" s="93"/>
      <c r="H83" s="93">
        <v>68376.94</v>
      </c>
      <c r="I83" s="93">
        <v>67570.94</v>
      </c>
      <c r="J83" s="93">
        <v>0</v>
      </c>
      <c r="K83" s="93">
        <f t="shared" si="10"/>
        <v>0</v>
      </c>
      <c r="L83" s="93">
        <f t="shared" si="11"/>
        <v>0</v>
      </c>
      <c r="M83" s="94">
        <v>2.5</v>
      </c>
      <c r="N83" s="95" t="s">
        <v>17</v>
      </c>
      <c r="O83" s="93">
        <f t="shared" si="15"/>
        <v>0</v>
      </c>
      <c r="P83" s="93">
        <f t="shared" si="16"/>
        <v>0</v>
      </c>
      <c r="Q83" s="93">
        <f t="shared" si="17"/>
        <v>0</v>
      </c>
      <c r="R83" s="93">
        <f t="shared" si="12"/>
        <v>0</v>
      </c>
      <c r="S83" s="93">
        <f t="shared" si="13"/>
        <v>997</v>
      </c>
      <c r="T83" s="93">
        <f t="shared" si="18"/>
        <v>997</v>
      </c>
      <c r="U83" s="253">
        <f t="shared" si="14"/>
        <v>66573.94</v>
      </c>
      <c r="V83" s="93">
        <f t="shared" si="19"/>
        <v>0</v>
      </c>
    </row>
    <row r="84" spans="1:22" ht="18" customHeight="1" x14ac:dyDescent="0.2">
      <c r="A84" s="110" t="s">
        <v>165</v>
      </c>
      <c r="B84" s="111"/>
      <c r="C84" s="201" t="s">
        <v>166</v>
      </c>
      <c r="D84" s="91">
        <v>42989</v>
      </c>
      <c r="E84" s="92"/>
      <c r="F84" s="93"/>
      <c r="G84" s="93"/>
      <c r="H84" s="93">
        <v>805.6</v>
      </c>
      <c r="I84" s="93">
        <v>781.6</v>
      </c>
      <c r="J84" s="93">
        <v>0</v>
      </c>
      <c r="K84" s="93">
        <f t="shared" si="10"/>
        <v>0</v>
      </c>
      <c r="L84" s="93">
        <f t="shared" si="11"/>
        <v>0</v>
      </c>
      <c r="M84" s="94">
        <v>2.5</v>
      </c>
      <c r="N84" s="95" t="s">
        <v>17</v>
      </c>
      <c r="O84" s="93">
        <f t="shared" si="15"/>
        <v>0</v>
      </c>
      <c r="P84" s="93">
        <f t="shared" si="16"/>
        <v>0</v>
      </c>
      <c r="Q84" s="93">
        <f t="shared" si="17"/>
        <v>0</v>
      </c>
      <c r="R84" s="93">
        <f t="shared" si="12"/>
        <v>0</v>
      </c>
      <c r="S84" s="93">
        <f t="shared" si="13"/>
        <v>11</v>
      </c>
      <c r="T84" s="93">
        <f t="shared" si="18"/>
        <v>11</v>
      </c>
      <c r="U84" s="253">
        <f t="shared" si="14"/>
        <v>770.6</v>
      </c>
      <c r="V84" s="93">
        <f t="shared" si="19"/>
        <v>0</v>
      </c>
    </row>
    <row r="85" spans="1:22" ht="18" customHeight="1" x14ac:dyDescent="0.2">
      <c r="A85" s="110" t="s">
        <v>167</v>
      </c>
      <c r="B85" s="111"/>
      <c r="C85" s="201" t="s">
        <v>168</v>
      </c>
      <c r="D85" s="91">
        <v>43019</v>
      </c>
      <c r="E85" s="92"/>
      <c r="F85" s="93"/>
      <c r="G85" s="93"/>
      <c r="H85" s="93">
        <v>636</v>
      </c>
      <c r="I85" s="93">
        <v>618</v>
      </c>
      <c r="J85" s="93">
        <v>0</v>
      </c>
      <c r="K85" s="93">
        <f t="shared" si="10"/>
        <v>0</v>
      </c>
      <c r="L85" s="93">
        <f t="shared" si="11"/>
        <v>0</v>
      </c>
      <c r="M85" s="94">
        <v>2.5</v>
      </c>
      <c r="N85" s="95" t="s">
        <v>17</v>
      </c>
      <c r="O85" s="93">
        <f t="shared" si="15"/>
        <v>0</v>
      </c>
      <c r="P85" s="93">
        <f t="shared" si="16"/>
        <v>0</v>
      </c>
      <c r="Q85" s="93">
        <f t="shared" si="17"/>
        <v>0</v>
      </c>
      <c r="R85" s="93">
        <f t="shared" si="12"/>
        <v>0</v>
      </c>
      <c r="S85" s="93">
        <f t="shared" si="13"/>
        <v>9</v>
      </c>
      <c r="T85" s="93">
        <f t="shared" si="18"/>
        <v>9</v>
      </c>
      <c r="U85" s="253">
        <f t="shared" si="14"/>
        <v>609</v>
      </c>
      <c r="V85" s="93">
        <f t="shared" si="19"/>
        <v>0</v>
      </c>
    </row>
    <row r="86" spans="1:22" ht="18" customHeight="1" x14ac:dyDescent="0.2">
      <c r="A86" s="110" t="s">
        <v>169</v>
      </c>
      <c r="B86" s="111"/>
      <c r="C86" s="201" t="s">
        <v>170</v>
      </c>
      <c r="D86" s="91">
        <v>43069</v>
      </c>
      <c r="E86" s="92"/>
      <c r="F86" s="93"/>
      <c r="G86" s="93"/>
      <c r="H86" s="93">
        <v>472.5</v>
      </c>
      <c r="I86" s="93">
        <v>460.5</v>
      </c>
      <c r="J86" s="93">
        <v>0</v>
      </c>
      <c r="K86" s="93">
        <f t="shared" si="10"/>
        <v>0</v>
      </c>
      <c r="L86" s="93">
        <f t="shared" si="11"/>
        <v>0</v>
      </c>
      <c r="M86" s="94">
        <v>2.5</v>
      </c>
      <c r="N86" s="95" t="s">
        <v>17</v>
      </c>
      <c r="O86" s="93">
        <f t="shared" si="15"/>
        <v>0</v>
      </c>
      <c r="P86" s="93">
        <f t="shared" si="16"/>
        <v>0</v>
      </c>
      <c r="Q86" s="93">
        <f t="shared" si="17"/>
        <v>0</v>
      </c>
      <c r="R86" s="93">
        <f t="shared" si="12"/>
        <v>0</v>
      </c>
      <c r="S86" s="93">
        <f t="shared" si="13"/>
        <v>6</v>
      </c>
      <c r="T86" s="93">
        <f t="shared" si="18"/>
        <v>6</v>
      </c>
      <c r="U86" s="253">
        <f t="shared" si="14"/>
        <v>454.5</v>
      </c>
      <c r="V86" s="93">
        <f t="shared" si="19"/>
        <v>0</v>
      </c>
    </row>
    <row r="87" spans="1:22" ht="18" customHeight="1" x14ac:dyDescent="0.2">
      <c r="A87" s="110" t="s">
        <v>171</v>
      </c>
      <c r="B87" s="111"/>
      <c r="C87" s="201" t="s">
        <v>172</v>
      </c>
      <c r="D87" s="91">
        <v>43008</v>
      </c>
      <c r="E87" s="92"/>
      <c r="F87" s="93"/>
      <c r="G87" s="93"/>
      <c r="H87" s="93">
        <v>945</v>
      </c>
      <c r="I87" s="93">
        <v>917</v>
      </c>
      <c r="J87" s="93">
        <v>0</v>
      </c>
      <c r="K87" s="93">
        <f t="shared" si="10"/>
        <v>0</v>
      </c>
      <c r="L87" s="93">
        <f t="shared" si="11"/>
        <v>0</v>
      </c>
      <c r="M87" s="94">
        <v>2.5</v>
      </c>
      <c r="N87" s="95" t="s">
        <v>17</v>
      </c>
      <c r="O87" s="93">
        <f t="shared" si="15"/>
        <v>0</v>
      </c>
      <c r="P87" s="93">
        <f t="shared" si="16"/>
        <v>0</v>
      </c>
      <c r="Q87" s="93">
        <f t="shared" si="17"/>
        <v>0</v>
      </c>
      <c r="R87" s="93">
        <f t="shared" si="12"/>
        <v>0</v>
      </c>
      <c r="S87" s="93">
        <f t="shared" si="13"/>
        <v>13</v>
      </c>
      <c r="T87" s="93">
        <f t="shared" si="18"/>
        <v>13</v>
      </c>
      <c r="U87" s="253">
        <f t="shared" si="14"/>
        <v>904</v>
      </c>
      <c r="V87" s="93">
        <f t="shared" si="19"/>
        <v>0</v>
      </c>
    </row>
    <row r="88" spans="1:22" ht="18" customHeight="1" x14ac:dyDescent="0.2">
      <c r="A88" s="110" t="s">
        <v>173</v>
      </c>
      <c r="B88" s="111"/>
      <c r="C88" s="201" t="s">
        <v>174</v>
      </c>
      <c r="D88" s="91">
        <v>43077</v>
      </c>
      <c r="E88" s="92"/>
      <c r="F88" s="93"/>
      <c r="G88" s="93"/>
      <c r="H88" s="93">
        <v>650</v>
      </c>
      <c r="I88" s="93">
        <v>634</v>
      </c>
      <c r="J88" s="93">
        <v>0</v>
      </c>
      <c r="K88" s="93">
        <f t="shared" si="10"/>
        <v>0</v>
      </c>
      <c r="L88" s="93">
        <f t="shared" si="11"/>
        <v>0</v>
      </c>
      <c r="M88" s="94">
        <v>2.5</v>
      </c>
      <c r="N88" s="95" t="s">
        <v>17</v>
      </c>
      <c r="O88" s="93">
        <f t="shared" si="15"/>
        <v>0</v>
      </c>
      <c r="P88" s="93">
        <f t="shared" si="16"/>
        <v>0</v>
      </c>
      <c r="Q88" s="93">
        <f t="shared" si="17"/>
        <v>0</v>
      </c>
      <c r="R88" s="93">
        <f t="shared" si="12"/>
        <v>0</v>
      </c>
      <c r="S88" s="93">
        <f t="shared" si="13"/>
        <v>9</v>
      </c>
      <c r="T88" s="93">
        <f t="shared" si="18"/>
        <v>9</v>
      </c>
      <c r="U88" s="253">
        <f t="shared" si="14"/>
        <v>625</v>
      </c>
      <c r="V88" s="93">
        <f t="shared" si="19"/>
        <v>0</v>
      </c>
    </row>
    <row r="89" spans="1:22" ht="18" customHeight="1" x14ac:dyDescent="0.2">
      <c r="A89" s="110" t="s">
        <v>175</v>
      </c>
      <c r="B89" s="111"/>
      <c r="C89" s="90" t="s">
        <v>176</v>
      </c>
      <c r="D89" s="91">
        <v>43116</v>
      </c>
      <c r="E89" s="92"/>
      <c r="F89" s="93"/>
      <c r="G89" s="93"/>
      <c r="H89" s="93">
        <v>420</v>
      </c>
      <c r="I89" s="93">
        <v>411</v>
      </c>
      <c r="J89" s="93">
        <v>0</v>
      </c>
      <c r="K89" s="93">
        <f t="shared" si="10"/>
        <v>0</v>
      </c>
      <c r="L89" s="93">
        <f t="shared" si="11"/>
        <v>0</v>
      </c>
      <c r="M89" s="94">
        <v>2.5</v>
      </c>
      <c r="N89" s="95" t="s">
        <v>17</v>
      </c>
      <c r="O89" s="93">
        <f t="shared" si="15"/>
        <v>0</v>
      </c>
      <c r="P89" s="93">
        <f t="shared" si="16"/>
        <v>0</v>
      </c>
      <c r="Q89" s="93">
        <f t="shared" si="17"/>
        <v>0</v>
      </c>
      <c r="R89" s="93">
        <f t="shared" si="12"/>
        <v>0</v>
      </c>
      <c r="S89" s="93">
        <f t="shared" si="13"/>
        <v>6</v>
      </c>
      <c r="T89" s="93">
        <f t="shared" si="18"/>
        <v>6</v>
      </c>
      <c r="U89" s="253">
        <f t="shared" si="14"/>
        <v>405</v>
      </c>
      <c r="V89" s="93">
        <f t="shared" si="19"/>
        <v>0</v>
      </c>
    </row>
    <row r="90" spans="1:22" ht="18" customHeight="1" x14ac:dyDescent="0.2">
      <c r="A90" s="110" t="s">
        <v>177</v>
      </c>
      <c r="B90" s="111"/>
      <c r="C90" s="203" t="s">
        <v>178</v>
      </c>
      <c r="D90" s="91">
        <v>43182</v>
      </c>
      <c r="E90" s="92"/>
      <c r="F90" s="93"/>
      <c r="G90" s="93"/>
      <c r="H90" s="93">
        <v>740</v>
      </c>
      <c r="I90" s="93">
        <v>727</v>
      </c>
      <c r="J90" s="93">
        <v>0</v>
      </c>
      <c r="K90" s="93">
        <f t="shared" si="10"/>
        <v>0</v>
      </c>
      <c r="L90" s="93">
        <f t="shared" si="11"/>
        <v>0</v>
      </c>
      <c r="M90" s="94">
        <v>2.5</v>
      </c>
      <c r="N90" s="95" t="s">
        <v>17</v>
      </c>
      <c r="O90" s="93">
        <f t="shared" si="15"/>
        <v>0</v>
      </c>
      <c r="P90" s="93">
        <f t="shared" si="16"/>
        <v>0</v>
      </c>
      <c r="Q90" s="93">
        <f t="shared" si="17"/>
        <v>0</v>
      </c>
      <c r="R90" s="93">
        <f t="shared" si="12"/>
        <v>0</v>
      </c>
      <c r="S90" s="93">
        <f t="shared" si="13"/>
        <v>10</v>
      </c>
      <c r="T90" s="93">
        <f t="shared" si="18"/>
        <v>10</v>
      </c>
      <c r="U90" s="253">
        <f t="shared" si="14"/>
        <v>717</v>
      </c>
      <c r="V90" s="93">
        <f t="shared" si="19"/>
        <v>0</v>
      </c>
    </row>
    <row r="91" spans="1:22" ht="18" customHeight="1" x14ac:dyDescent="0.2">
      <c r="A91" s="110" t="s">
        <v>179</v>
      </c>
      <c r="B91" s="111"/>
      <c r="C91" s="90" t="s">
        <v>180</v>
      </c>
      <c r="D91" s="91">
        <v>43034</v>
      </c>
      <c r="E91" s="92"/>
      <c r="F91" s="93"/>
      <c r="G91" s="93"/>
      <c r="H91" s="93">
        <v>910</v>
      </c>
      <c r="I91" s="93">
        <v>885</v>
      </c>
      <c r="J91" s="93">
        <v>0</v>
      </c>
      <c r="K91" s="93">
        <f t="shared" si="10"/>
        <v>0</v>
      </c>
      <c r="L91" s="93">
        <f t="shared" si="11"/>
        <v>0</v>
      </c>
      <c r="M91" s="94">
        <v>2.5</v>
      </c>
      <c r="N91" s="95" t="s">
        <v>17</v>
      </c>
      <c r="O91" s="93">
        <f t="shared" si="15"/>
        <v>0</v>
      </c>
      <c r="P91" s="93">
        <f t="shared" si="16"/>
        <v>0</v>
      </c>
      <c r="Q91" s="93">
        <f t="shared" si="17"/>
        <v>0</v>
      </c>
      <c r="R91" s="93">
        <f t="shared" si="12"/>
        <v>0</v>
      </c>
      <c r="S91" s="93">
        <f t="shared" si="13"/>
        <v>13</v>
      </c>
      <c r="T91" s="93">
        <f t="shared" si="18"/>
        <v>13</v>
      </c>
      <c r="U91" s="253">
        <f t="shared" si="14"/>
        <v>872</v>
      </c>
      <c r="V91" s="93">
        <f t="shared" si="19"/>
        <v>0</v>
      </c>
    </row>
    <row r="92" spans="1:22" ht="18" customHeight="1" x14ac:dyDescent="0.2">
      <c r="A92" s="110" t="s">
        <v>181</v>
      </c>
      <c r="B92" s="111"/>
      <c r="C92" s="203" t="s">
        <v>145</v>
      </c>
      <c r="D92" s="91">
        <v>43068</v>
      </c>
      <c r="E92" s="92"/>
      <c r="F92" s="93"/>
      <c r="G92" s="93"/>
      <c r="H92" s="93">
        <v>499.40000000000003</v>
      </c>
      <c r="I92" s="93">
        <v>487.40000000000003</v>
      </c>
      <c r="J92" s="93">
        <v>0</v>
      </c>
      <c r="K92" s="93">
        <f t="shared" si="10"/>
        <v>0</v>
      </c>
      <c r="L92" s="93">
        <f t="shared" si="11"/>
        <v>0</v>
      </c>
      <c r="M92" s="94">
        <v>2.5</v>
      </c>
      <c r="N92" s="95" t="s">
        <v>17</v>
      </c>
      <c r="O92" s="93">
        <f t="shared" si="15"/>
        <v>0</v>
      </c>
      <c r="P92" s="93">
        <f t="shared" si="16"/>
        <v>0</v>
      </c>
      <c r="Q92" s="93">
        <f t="shared" si="17"/>
        <v>0</v>
      </c>
      <c r="R92" s="93">
        <f t="shared" si="12"/>
        <v>0</v>
      </c>
      <c r="S92" s="93">
        <f t="shared" si="13"/>
        <v>7</v>
      </c>
      <c r="T92" s="93">
        <f t="shared" si="18"/>
        <v>7</v>
      </c>
      <c r="U92" s="253">
        <f t="shared" si="14"/>
        <v>480.40000000000003</v>
      </c>
      <c r="V92" s="93">
        <f t="shared" si="19"/>
        <v>0</v>
      </c>
    </row>
    <row r="93" spans="1:22" ht="18" customHeight="1" x14ac:dyDescent="0.2">
      <c r="A93" s="110" t="s">
        <v>182</v>
      </c>
      <c r="B93" s="111"/>
      <c r="C93" s="201" t="s">
        <v>183</v>
      </c>
      <c r="D93" s="91">
        <v>43152</v>
      </c>
      <c r="E93" s="92"/>
      <c r="F93" s="93"/>
      <c r="G93" s="93"/>
      <c r="H93" s="93">
        <v>810</v>
      </c>
      <c r="I93" s="93">
        <v>795</v>
      </c>
      <c r="J93" s="93">
        <v>0</v>
      </c>
      <c r="K93" s="93">
        <f t="shared" si="10"/>
        <v>0</v>
      </c>
      <c r="L93" s="93">
        <f t="shared" si="11"/>
        <v>0</v>
      </c>
      <c r="M93" s="94">
        <v>2.5</v>
      </c>
      <c r="N93" s="95" t="s">
        <v>17</v>
      </c>
      <c r="O93" s="93">
        <f t="shared" si="15"/>
        <v>0</v>
      </c>
      <c r="P93" s="93">
        <f t="shared" si="16"/>
        <v>0</v>
      </c>
      <c r="Q93" s="93">
        <f t="shared" si="17"/>
        <v>0</v>
      </c>
      <c r="R93" s="93">
        <f t="shared" si="12"/>
        <v>0</v>
      </c>
      <c r="S93" s="93">
        <f t="shared" si="13"/>
        <v>11</v>
      </c>
      <c r="T93" s="93">
        <f t="shared" si="18"/>
        <v>11</v>
      </c>
      <c r="U93" s="253">
        <f t="shared" si="14"/>
        <v>784</v>
      </c>
      <c r="V93" s="93">
        <f t="shared" si="19"/>
        <v>0</v>
      </c>
    </row>
    <row r="94" spans="1:22" ht="18" customHeight="1" x14ac:dyDescent="0.2">
      <c r="A94" s="110" t="s">
        <v>184</v>
      </c>
      <c r="B94" s="111"/>
      <c r="C94" s="201" t="s">
        <v>185</v>
      </c>
      <c r="D94" s="91">
        <v>43249</v>
      </c>
      <c r="E94" s="92"/>
      <c r="F94" s="93"/>
      <c r="G94" s="93"/>
      <c r="H94" s="93">
        <v>722.39</v>
      </c>
      <c r="I94" s="93">
        <v>712.39</v>
      </c>
      <c r="J94" s="93">
        <v>0</v>
      </c>
      <c r="K94" s="93">
        <f t="shared" si="10"/>
        <v>0</v>
      </c>
      <c r="L94" s="93">
        <f t="shared" si="11"/>
        <v>0</v>
      </c>
      <c r="M94" s="94">
        <v>2.5</v>
      </c>
      <c r="N94" s="95" t="s">
        <v>17</v>
      </c>
      <c r="O94" s="93">
        <f t="shared" si="15"/>
        <v>0</v>
      </c>
      <c r="P94" s="93">
        <f t="shared" si="16"/>
        <v>0</v>
      </c>
      <c r="Q94" s="93">
        <f t="shared" si="17"/>
        <v>0</v>
      </c>
      <c r="R94" s="93">
        <f t="shared" si="12"/>
        <v>0</v>
      </c>
      <c r="S94" s="93">
        <f t="shared" si="13"/>
        <v>10</v>
      </c>
      <c r="T94" s="93">
        <f t="shared" si="18"/>
        <v>10</v>
      </c>
      <c r="U94" s="253">
        <f t="shared" si="14"/>
        <v>702.39</v>
      </c>
      <c r="V94" s="93">
        <f t="shared" si="19"/>
        <v>0</v>
      </c>
    </row>
    <row r="95" spans="1:22" ht="18" customHeight="1" x14ac:dyDescent="0.2">
      <c r="A95" s="110" t="s">
        <v>186</v>
      </c>
      <c r="B95" s="111"/>
      <c r="C95" s="201" t="s">
        <v>187</v>
      </c>
      <c r="D95" s="91">
        <v>43264</v>
      </c>
      <c r="E95" s="92"/>
      <c r="F95" s="93"/>
      <c r="G95" s="93"/>
      <c r="H95" s="93">
        <v>310</v>
      </c>
      <c r="I95" s="93">
        <v>306</v>
      </c>
      <c r="J95" s="93">
        <v>0</v>
      </c>
      <c r="K95" s="93">
        <f t="shared" si="10"/>
        <v>0</v>
      </c>
      <c r="L95" s="93">
        <f t="shared" si="11"/>
        <v>0</v>
      </c>
      <c r="M95" s="94">
        <v>2.5</v>
      </c>
      <c r="N95" s="95" t="s">
        <v>17</v>
      </c>
      <c r="O95" s="93">
        <f t="shared" si="15"/>
        <v>0</v>
      </c>
      <c r="P95" s="93">
        <f t="shared" si="16"/>
        <v>0</v>
      </c>
      <c r="Q95" s="93">
        <f t="shared" si="17"/>
        <v>0</v>
      </c>
      <c r="R95" s="93">
        <f t="shared" si="12"/>
        <v>0</v>
      </c>
      <c r="S95" s="93">
        <f t="shared" si="13"/>
        <v>4</v>
      </c>
      <c r="T95" s="93">
        <f t="shared" si="18"/>
        <v>4</v>
      </c>
      <c r="U95" s="253">
        <f t="shared" si="14"/>
        <v>302</v>
      </c>
      <c r="V95" s="93">
        <f t="shared" si="19"/>
        <v>0</v>
      </c>
    </row>
    <row r="96" spans="1:22" ht="18" customHeight="1" x14ac:dyDescent="0.2">
      <c r="A96" s="110" t="s">
        <v>188</v>
      </c>
      <c r="B96" s="111"/>
      <c r="C96" s="201" t="s">
        <v>189</v>
      </c>
      <c r="D96" s="91">
        <v>43281</v>
      </c>
      <c r="E96" s="92"/>
      <c r="F96" s="93"/>
      <c r="G96" s="93"/>
      <c r="H96" s="93">
        <v>434</v>
      </c>
      <c r="I96" s="93">
        <v>428</v>
      </c>
      <c r="J96" s="93">
        <v>0</v>
      </c>
      <c r="K96" s="93">
        <f t="shared" si="10"/>
        <v>0</v>
      </c>
      <c r="L96" s="93">
        <f t="shared" si="11"/>
        <v>0</v>
      </c>
      <c r="M96" s="94">
        <v>2.5</v>
      </c>
      <c r="N96" s="95" t="s">
        <v>17</v>
      </c>
      <c r="O96" s="93">
        <f t="shared" si="15"/>
        <v>0</v>
      </c>
      <c r="P96" s="93">
        <f t="shared" si="16"/>
        <v>0</v>
      </c>
      <c r="Q96" s="93">
        <f t="shared" si="17"/>
        <v>0</v>
      </c>
      <c r="R96" s="93">
        <f t="shared" si="12"/>
        <v>0</v>
      </c>
      <c r="S96" s="93">
        <f t="shared" si="13"/>
        <v>6</v>
      </c>
      <c r="T96" s="93">
        <f t="shared" si="18"/>
        <v>6</v>
      </c>
      <c r="U96" s="253">
        <f t="shared" si="14"/>
        <v>422</v>
      </c>
      <c r="V96" s="93">
        <f t="shared" si="19"/>
        <v>0</v>
      </c>
    </row>
    <row r="97" spans="1:22" ht="18" customHeight="1" x14ac:dyDescent="0.2">
      <c r="A97" s="110" t="s">
        <v>190</v>
      </c>
      <c r="B97" s="111"/>
      <c r="C97" s="90" t="s">
        <v>191</v>
      </c>
      <c r="D97" s="91">
        <v>42989</v>
      </c>
      <c r="E97" s="92"/>
      <c r="F97" s="93"/>
      <c r="G97" s="93"/>
      <c r="H97" s="93">
        <v>190</v>
      </c>
      <c r="I97" s="93">
        <v>184</v>
      </c>
      <c r="J97" s="93">
        <v>0</v>
      </c>
      <c r="K97" s="93">
        <f t="shared" si="10"/>
        <v>0</v>
      </c>
      <c r="L97" s="93">
        <f t="shared" si="11"/>
        <v>0</v>
      </c>
      <c r="M97" s="94">
        <v>2.5</v>
      </c>
      <c r="N97" s="95" t="s">
        <v>17</v>
      </c>
      <c r="O97" s="93">
        <f t="shared" si="15"/>
        <v>0</v>
      </c>
      <c r="P97" s="93">
        <f t="shared" si="16"/>
        <v>0</v>
      </c>
      <c r="Q97" s="93">
        <f t="shared" si="17"/>
        <v>0</v>
      </c>
      <c r="R97" s="93">
        <f t="shared" si="12"/>
        <v>0</v>
      </c>
      <c r="S97" s="93">
        <f t="shared" si="13"/>
        <v>2</v>
      </c>
      <c r="T97" s="93">
        <f t="shared" si="18"/>
        <v>2</v>
      </c>
      <c r="U97" s="253">
        <f t="shared" si="14"/>
        <v>182</v>
      </c>
      <c r="V97" s="93">
        <f t="shared" si="19"/>
        <v>0</v>
      </c>
    </row>
    <row r="98" spans="1:22" ht="18" customHeight="1" x14ac:dyDescent="0.2">
      <c r="A98" s="110" t="s">
        <v>192</v>
      </c>
      <c r="B98" s="111"/>
      <c r="C98" s="90" t="s">
        <v>193</v>
      </c>
      <c r="D98" s="91">
        <v>42992</v>
      </c>
      <c r="E98" s="92"/>
      <c r="F98" s="93"/>
      <c r="G98" s="93"/>
      <c r="H98" s="93">
        <v>42.4</v>
      </c>
      <c r="I98" s="93">
        <v>40.4</v>
      </c>
      <c r="J98" s="93">
        <v>0</v>
      </c>
      <c r="K98" s="93">
        <f t="shared" si="10"/>
        <v>0</v>
      </c>
      <c r="L98" s="93">
        <f t="shared" si="11"/>
        <v>0</v>
      </c>
      <c r="M98" s="94">
        <v>2.5</v>
      </c>
      <c r="N98" s="95" t="s">
        <v>17</v>
      </c>
      <c r="O98" s="93">
        <f t="shared" si="15"/>
        <v>0</v>
      </c>
      <c r="P98" s="93">
        <f t="shared" si="16"/>
        <v>0</v>
      </c>
      <c r="Q98" s="93">
        <f t="shared" si="17"/>
        <v>0</v>
      </c>
      <c r="R98" s="93">
        <f t="shared" si="12"/>
        <v>0</v>
      </c>
      <c r="S98" s="93">
        <f t="shared" si="13"/>
        <v>0</v>
      </c>
      <c r="T98" s="93">
        <f t="shared" si="18"/>
        <v>0</v>
      </c>
      <c r="U98" s="253">
        <f t="shared" si="14"/>
        <v>40.4</v>
      </c>
      <c r="V98" s="93">
        <f t="shared" si="19"/>
        <v>0</v>
      </c>
    </row>
    <row r="99" spans="1:22" ht="18" customHeight="1" x14ac:dyDescent="0.2">
      <c r="A99" s="110" t="s">
        <v>194</v>
      </c>
      <c r="B99" s="111"/>
      <c r="C99" s="90" t="s">
        <v>195</v>
      </c>
      <c r="D99" s="91">
        <v>42998</v>
      </c>
      <c r="E99" s="92"/>
      <c r="F99" s="93"/>
      <c r="G99" s="93"/>
      <c r="H99" s="93">
        <v>242</v>
      </c>
      <c r="I99" s="93">
        <v>234</v>
      </c>
      <c r="J99" s="93">
        <v>0</v>
      </c>
      <c r="K99" s="93">
        <f t="shared" si="10"/>
        <v>0</v>
      </c>
      <c r="L99" s="93">
        <f t="shared" si="11"/>
        <v>0</v>
      </c>
      <c r="M99" s="94">
        <v>2.5</v>
      </c>
      <c r="N99" s="95" t="s">
        <v>17</v>
      </c>
      <c r="O99" s="93">
        <f t="shared" si="15"/>
        <v>0</v>
      </c>
      <c r="P99" s="93">
        <f t="shared" si="16"/>
        <v>0</v>
      </c>
      <c r="Q99" s="93">
        <f t="shared" si="17"/>
        <v>0</v>
      </c>
      <c r="R99" s="93">
        <f t="shared" si="12"/>
        <v>0</v>
      </c>
      <c r="S99" s="93">
        <f t="shared" si="13"/>
        <v>3</v>
      </c>
      <c r="T99" s="93">
        <f t="shared" si="18"/>
        <v>3</v>
      </c>
      <c r="U99" s="253">
        <f t="shared" si="14"/>
        <v>231</v>
      </c>
      <c r="V99" s="93">
        <f t="shared" si="19"/>
        <v>0</v>
      </c>
    </row>
    <row r="100" spans="1:22" ht="18" customHeight="1" x14ac:dyDescent="0.2">
      <c r="A100" s="110" t="s">
        <v>196</v>
      </c>
      <c r="B100" s="111"/>
      <c r="C100" s="90" t="s">
        <v>197</v>
      </c>
      <c r="D100" s="91">
        <v>43257</v>
      </c>
      <c r="E100" s="92"/>
      <c r="F100" s="93"/>
      <c r="G100" s="93"/>
      <c r="H100" s="93">
        <v>259.2</v>
      </c>
      <c r="I100" s="93">
        <v>255.2</v>
      </c>
      <c r="J100" s="93">
        <v>0</v>
      </c>
      <c r="K100" s="93">
        <f t="shared" si="10"/>
        <v>0</v>
      </c>
      <c r="L100" s="93">
        <f t="shared" si="11"/>
        <v>0</v>
      </c>
      <c r="M100" s="94">
        <v>2.5</v>
      </c>
      <c r="N100" s="95" t="s">
        <v>17</v>
      </c>
      <c r="O100" s="93">
        <f t="shared" si="15"/>
        <v>0</v>
      </c>
      <c r="P100" s="93">
        <f t="shared" si="16"/>
        <v>0</v>
      </c>
      <c r="Q100" s="93">
        <f t="shared" si="17"/>
        <v>0</v>
      </c>
      <c r="R100" s="93">
        <f t="shared" si="12"/>
        <v>0</v>
      </c>
      <c r="S100" s="93">
        <f t="shared" si="13"/>
        <v>3</v>
      </c>
      <c r="T100" s="93">
        <f t="shared" si="18"/>
        <v>3</v>
      </c>
      <c r="U100" s="253">
        <f t="shared" si="14"/>
        <v>252.2</v>
      </c>
      <c r="V100" s="93">
        <f t="shared" si="19"/>
        <v>0</v>
      </c>
    </row>
    <row r="101" spans="1:22" ht="18" customHeight="1" x14ac:dyDescent="0.2">
      <c r="A101" s="110" t="s">
        <v>198</v>
      </c>
      <c r="B101" s="111"/>
      <c r="C101" s="203" t="s">
        <v>199</v>
      </c>
      <c r="D101" s="91">
        <v>43020</v>
      </c>
      <c r="E101" s="92"/>
      <c r="F101" s="93"/>
      <c r="G101" s="93"/>
      <c r="H101" s="93">
        <v>160</v>
      </c>
      <c r="I101" s="93">
        <v>155</v>
      </c>
      <c r="J101" s="93">
        <v>0</v>
      </c>
      <c r="K101" s="93">
        <f t="shared" si="10"/>
        <v>0</v>
      </c>
      <c r="L101" s="93">
        <f t="shared" si="11"/>
        <v>0</v>
      </c>
      <c r="M101" s="94">
        <v>2.5</v>
      </c>
      <c r="N101" s="95" t="s">
        <v>17</v>
      </c>
      <c r="O101" s="93">
        <f t="shared" si="15"/>
        <v>0</v>
      </c>
      <c r="P101" s="93">
        <f t="shared" si="16"/>
        <v>0</v>
      </c>
      <c r="Q101" s="93">
        <f t="shared" si="17"/>
        <v>0</v>
      </c>
      <c r="R101" s="93">
        <f t="shared" si="12"/>
        <v>0</v>
      </c>
      <c r="S101" s="93">
        <f t="shared" si="13"/>
        <v>2</v>
      </c>
      <c r="T101" s="93">
        <f t="shared" si="18"/>
        <v>2</v>
      </c>
      <c r="U101" s="253">
        <f t="shared" si="14"/>
        <v>153</v>
      </c>
      <c r="V101" s="93">
        <f t="shared" si="19"/>
        <v>0</v>
      </c>
    </row>
    <row r="102" spans="1:22" ht="18" customHeight="1" x14ac:dyDescent="0.2">
      <c r="A102" s="110" t="s">
        <v>200</v>
      </c>
      <c r="B102" s="111"/>
      <c r="C102" s="201" t="s">
        <v>201</v>
      </c>
      <c r="D102" s="91">
        <v>43045</v>
      </c>
      <c r="E102" s="92"/>
      <c r="F102" s="93"/>
      <c r="G102" s="93"/>
      <c r="H102" s="93">
        <v>72.11</v>
      </c>
      <c r="I102" s="93">
        <v>70.11</v>
      </c>
      <c r="J102" s="93">
        <v>0</v>
      </c>
      <c r="K102" s="93">
        <f t="shared" si="10"/>
        <v>0</v>
      </c>
      <c r="L102" s="93">
        <f t="shared" si="11"/>
        <v>0</v>
      </c>
      <c r="M102" s="94">
        <v>2.5</v>
      </c>
      <c r="N102" s="95" t="s">
        <v>17</v>
      </c>
      <c r="O102" s="93">
        <f t="shared" si="15"/>
        <v>0</v>
      </c>
      <c r="P102" s="93">
        <f t="shared" si="16"/>
        <v>0</v>
      </c>
      <c r="Q102" s="93">
        <f t="shared" si="17"/>
        <v>0</v>
      </c>
      <c r="R102" s="93">
        <f t="shared" si="12"/>
        <v>0</v>
      </c>
      <c r="S102" s="93">
        <f t="shared" si="13"/>
        <v>1</v>
      </c>
      <c r="T102" s="93">
        <f t="shared" si="18"/>
        <v>1</v>
      </c>
      <c r="U102" s="253">
        <f t="shared" si="14"/>
        <v>69.11</v>
      </c>
      <c r="V102" s="93">
        <f t="shared" si="19"/>
        <v>0</v>
      </c>
    </row>
    <row r="103" spans="1:22" ht="18" customHeight="1" x14ac:dyDescent="0.2">
      <c r="A103" s="110" t="s">
        <v>202</v>
      </c>
      <c r="B103" s="111"/>
      <c r="C103" s="90" t="s">
        <v>203</v>
      </c>
      <c r="D103" s="91">
        <v>43045</v>
      </c>
      <c r="E103" s="92"/>
      <c r="F103" s="93"/>
      <c r="G103" s="93"/>
      <c r="H103" s="93">
        <v>4.84</v>
      </c>
      <c r="I103" s="93">
        <v>2.84</v>
      </c>
      <c r="J103" s="93">
        <v>0</v>
      </c>
      <c r="K103" s="93">
        <f t="shared" si="10"/>
        <v>0</v>
      </c>
      <c r="L103" s="93">
        <f t="shared" si="11"/>
        <v>0</v>
      </c>
      <c r="M103" s="94">
        <v>2.5</v>
      </c>
      <c r="N103" s="95" t="s">
        <v>17</v>
      </c>
      <c r="O103" s="93">
        <f t="shared" si="15"/>
        <v>0</v>
      </c>
      <c r="P103" s="93">
        <f t="shared" si="16"/>
        <v>0</v>
      </c>
      <c r="Q103" s="93">
        <f t="shared" si="17"/>
        <v>0</v>
      </c>
      <c r="R103" s="93">
        <f t="shared" si="12"/>
        <v>0</v>
      </c>
      <c r="S103" s="93">
        <f t="shared" si="13"/>
        <v>0</v>
      </c>
      <c r="T103" s="93">
        <f t="shared" si="18"/>
        <v>0</v>
      </c>
      <c r="U103" s="253">
        <f t="shared" si="14"/>
        <v>2.84</v>
      </c>
      <c r="V103" s="93">
        <f t="shared" si="19"/>
        <v>0</v>
      </c>
    </row>
    <row r="104" spans="1:22" ht="18" customHeight="1" x14ac:dyDescent="0.2">
      <c r="A104" s="110" t="s">
        <v>204</v>
      </c>
      <c r="B104" s="111"/>
      <c r="C104" s="203" t="s">
        <v>205</v>
      </c>
      <c r="D104" s="91">
        <v>43077</v>
      </c>
      <c r="E104" s="92"/>
      <c r="F104" s="93"/>
      <c r="G104" s="93"/>
      <c r="H104" s="93">
        <v>255.3</v>
      </c>
      <c r="I104" s="93">
        <v>248.3</v>
      </c>
      <c r="J104" s="93">
        <v>0</v>
      </c>
      <c r="K104" s="93">
        <f t="shared" si="10"/>
        <v>0</v>
      </c>
      <c r="L104" s="93">
        <f t="shared" si="11"/>
        <v>0</v>
      </c>
      <c r="M104" s="94">
        <v>2.5</v>
      </c>
      <c r="N104" s="95" t="s">
        <v>17</v>
      </c>
      <c r="O104" s="93">
        <f t="shared" si="15"/>
        <v>0</v>
      </c>
      <c r="P104" s="93">
        <f t="shared" si="16"/>
        <v>0</v>
      </c>
      <c r="Q104" s="93">
        <f t="shared" si="17"/>
        <v>0</v>
      </c>
      <c r="R104" s="93">
        <f t="shared" si="12"/>
        <v>0</v>
      </c>
      <c r="S104" s="93">
        <f t="shared" si="13"/>
        <v>3</v>
      </c>
      <c r="T104" s="93">
        <f t="shared" si="18"/>
        <v>3</v>
      </c>
      <c r="U104" s="253">
        <f t="shared" si="14"/>
        <v>245.3</v>
      </c>
      <c r="V104" s="93">
        <f t="shared" si="19"/>
        <v>0</v>
      </c>
    </row>
    <row r="105" spans="1:22" ht="18" customHeight="1" x14ac:dyDescent="0.2">
      <c r="A105" s="110" t="s">
        <v>206</v>
      </c>
      <c r="B105" s="111"/>
      <c r="C105" s="201" t="s">
        <v>207</v>
      </c>
      <c r="D105" s="91">
        <v>43271</v>
      </c>
      <c r="E105" s="92"/>
      <c r="F105" s="93"/>
      <c r="G105" s="93"/>
      <c r="H105" s="93">
        <v>109.18</v>
      </c>
      <c r="I105" s="93">
        <v>107.18</v>
      </c>
      <c r="J105" s="93">
        <v>0</v>
      </c>
      <c r="K105" s="93">
        <f t="shared" si="10"/>
        <v>0</v>
      </c>
      <c r="L105" s="93">
        <f t="shared" si="11"/>
        <v>0</v>
      </c>
      <c r="M105" s="94">
        <v>2.5</v>
      </c>
      <c r="N105" s="95" t="s">
        <v>17</v>
      </c>
      <c r="O105" s="93">
        <f t="shared" si="15"/>
        <v>0</v>
      </c>
      <c r="P105" s="93">
        <f t="shared" si="16"/>
        <v>0</v>
      </c>
      <c r="Q105" s="93">
        <f t="shared" si="17"/>
        <v>0</v>
      </c>
      <c r="R105" s="93">
        <f t="shared" si="12"/>
        <v>0</v>
      </c>
      <c r="S105" s="93">
        <f t="shared" si="13"/>
        <v>1</v>
      </c>
      <c r="T105" s="93">
        <f t="shared" si="18"/>
        <v>1</v>
      </c>
      <c r="U105" s="253">
        <f t="shared" si="14"/>
        <v>106.18</v>
      </c>
      <c r="V105" s="93">
        <f t="shared" si="19"/>
        <v>0</v>
      </c>
    </row>
    <row r="106" spans="1:22" ht="18" customHeight="1" x14ac:dyDescent="0.2">
      <c r="A106" s="110" t="s">
        <v>208</v>
      </c>
      <c r="B106" s="111"/>
      <c r="C106" s="201" t="s">
        <v>209</v>
      </c>
      <c r="D106" s="91">
        <v>43269</v>
      </c>
      <c r="E106" s="92"/>
      <c r="F106" s="93"/>
      <c r="G106" s="93"/>
      <c r="H106" s="93">
        <v>163.05000000000001</v>
      </c>
      <c r="I106" s="93">
        <v>160.05000000000001</v>
      </c>
      <c r="J106" s="93">
        <v>0</v>
      </c>
      <c r="K106" s="93">
        <f t="shared" si="10"/>
        <v>0</v>
      </c>
      <c r="L106" s="93">
        <f t="shared" si="11"/>
        <v>0</v>
      </c>
      <c r="M106" s="94">
        <v>2.5</v>
      </c>
      <c r="N106" s="95" t="s">
        <v>17</v>
      </c>
      <c r="O106" s="93">
        <f t="shared" si="15"/>
        <v>0</v>
      </c>
      <c r="P106" s="93">
        <f t="shared" si="16"/>
        <v>0</v>
      </c>
      <c r="Q106" s="93">
        <f t="shared" si="17"/>
        <v>0</v>
      </c>
      <c r="R106" s="93">
        <f t="shared" si="12"/>
        <v>0</v>
      </c>
      <c r="S106" s="93">
        <f t="shared" si="13"/>
        <v>2</v>
      </c>
      <c r="T106" s="93">
        <f t="shared" si="18"/>
        <v>2</v>
      </c>
      <c r="U106" s="253">
        <f t="shared" si="14"/>
        <v>158.05000000000001</v>
      </c>
      <c r="V106" s="93">
        <f t="shared" si="19"/>
        <v>0</v>
      </c>
    </row>
    <row r="107" spans="1:22" ht="18" customHeight="1" x14ac:dyDescent="0.2">
      <c r="A107" s="110" t="s">
        <v>210</v>
      </c>
      <c r="B107" s="111"/>
      <c r="C107" s="201" t="s">
        <v>211</v>
      </c>
      <c r="D107" s="91">
        <v>43312</v>
      </c>
      <c r="E107" s="92"/>
      <c r="F107" s="93"/>
      <c r="G107" s="93"/>
      <c r="H107" s="93">
        <v>868</v>
      </c>
      <c r="I107" s="93">
        <v>861</v>
      </c>
      <c r="J107" s="93"/>
      <c r="K107" s="93">
        <f t="shared" si="10"/>
        <v>0</v>
      </c>
      <c r="L107" s="93">
        <f t="shared" si="11"/>
        <v>0</v>
      </c>
      <c r="M107" s="94">
        <v>2.5</v>
      </c>
      <c r="N107" s="95" t="s">
        <v>17</v>
      </c>
      <c r="O107" s="93">
        <f t="shared" si="15"/>
        <v>0</v>
      </c>
      <c r="P107" s="93">
        <f t="shared" si="16"/>
        <v>0</v>
      </c>
      <c r="Q107" s="93">
        <f t="shared" si="17"/>
        <v>0</v>
      </c>
      <c r="R107" s="93">
        <f t="shared" si="12"/>
        <v>0</v>
      </c>
      <c r="S107" s="93">
        <f t="shared" si="13"/>
        <v>12</v>
      </c>
      <c r="T107" s="93">
        <f t="shared" si="18"/>
        <v>12</v>
      </c>
      <c r="U107" s="253">
        <f t="shared" si="14"/>
        <v>849</v>
      </c>
      <c r="V107" s="93">
        <f t="shared" si="19"/>
        <v>0</v>
      </c>
    </row>
    <row r="108" spans="1:22" ht="18" customHeight="1" x14ac:dyDescent="0.2">
      <c r="A108" s="110" t="s">
        <v>212</v>
      </c>
      <c r="B108" s="111"/>
      <c r="C108" s="201" t="s">
        <v>213</v>
      </c>
      <c r="D108" s="91">
        <v>43365</v>
      </c>
      <c r="E108" s="92"/>
      <c r="F108" s="93"/>
      <c r="G108" s="93"/>
      <c r="H108" s="93">
        <v>10874.57</v>
      </c>
      <c r="I108" s="93">
        <v>10822.57</v>
      </c>
      <c r="J108" s="93"/>
      <c r="K108" s="93">
        <f t="shared" si="10"/>
        <v>0</v>
      </c>
      <c r="L108" s="93">
        <f t="shared" si="11"/>
        <v>0</v>
      </c>
      <c r="M108" s="94">
        <v>2.5</v>
      </c>
      <c r="N108" s="95" t="s">
        <v>17</v>
      </c>
      <c r="O108" s="93">
        <f t="shared" si="15"/>
        <v>0</v>
      </c>
      <c r="P108" s="93">
        <f t="shared" si="16"/>
        <v>0</v>
      </c>
      <c r="Q108" s="93">
        <f t="shared" si="17"/>
        <v>0</v>
      </c>
      <c r="R108" s="93">
        <f t="shared" si="12"/>
        <v>0</v>
      </c>
      <c r="S108" s="93">
        <f t="shared" si="13"/>
        <v>158</v>
      </c>
      <c r="T108" s="93">
        <f t="shared" si="18"/>
        <v>158</v>
      </c>
      <c r="U108" s="253">
        <f t="shared" si="14"/>
        <v>10664.57</v>
      </c>
      <c r="V108" s="93">
        <f t="shared" si="19"/>
        <v>0</v>
      </c>
    </row>
    <row r="109" spans="1:22" ht="18" customHeight="1" x14ac:dyDescent="0.2">
      <c r="A109" s="110" t="s">
        <v>214</v>
      </c>
      <c r="B109" s="111"/>
      <c r="C109" s="201" t="s">
        <v>213</v>
      </c>
      <c r="D109" s="91">
        <v>43370</v>
      </c>
      <c r="E109" s="92"/>
      <c r="F109" s="93"/>
      <c r="G109" s="93"/>
      <c r="H109" s="93">
        <v>3681.65</v>
      </c>
      <c r="I109" s="93">
        <v>3665.65</v>
      </c>
      <c r="J109" s="93"/>
      <c r="K109" s="93">
        <f t="shared" si="10"/>
        <v>0</v>
      </c>
      <c r="L109" s="93">
        <f t="shared" si="11"/>
        <v>0</v>
      </c>
      <c r="M109" s="94">
        <v>2.5</v>
      </c>
      <c r="N109" s="95" t="s">
        <v>17</v>
      </c>
      <c r="O109" s="93">
        <f t="shared" si="15"/>
        <v>0</v>
      </c>
      <c r="P109" s="93">
        <f t="shared" si="16"/>
        <v>0</v>
      </c>
      <c r="Q109" s="93">
        <f t="shared" si="17"/>
        <v>0</v>
      </c>
      <c r="R109" s="93">
        <f t="shared" si="12"/>
        <v>0</v>
      </c>
      <c r="S109" s="93">
        <f t="shared" si="13"/>
        <v>53</v>
      </c>
      <c r="T109" s="93">
        <f t="shared" si="18"/>
        <v>53</v>
      </c>
      <c r="U109" s="253">
        <f t="shared" si="14"/>
        <v>3612.65</v>
      </c>
      <c r="V109" s="93">
        <f t="shared" si="19"/>
        <v>0</v>
      </c>
    </row>
    <row r="110" spans="1:22" ht="18" customHeight="1" x14ac:dyDescent="0.2">
      <c r="A110" s="110" t="s">
        <v>215</v>
      </c>
      <c r="B110" s="111"/>
      <c r="C110" s="201" t="s">
        <v>83</v>
      </c>
      <c r="D110" s="91">
        <v>43375</v>
      </c>
      <c r="E110" s="92"/>
      <c r="F110" s="93"/>
      <c r="G110" s="93"/>
      <c r="H110" s="93">
        <v>2735.33</v>
      </c>
      <c r="I110" s="93">
        <v>2724.33</v>
      </c>
      <c r="J110" s="93"/>
      <c r="K110" s="93">
        <f t="shared" si="10"/>
        <v>0</v>
      </c>
      <c r="L110" s="93">
        <f t="shared" si="11"/>
        <v>0</v>
      </c>
      <c r="M110" s="94">
        <v>2.5</v>
      </c>
      <c r="N110" s="95" t="s">
        <v>17</v>
      </c>
      <c r="O110" s="93">
        <f t="shared" si="15"/>
        <v>0</v>
      </c>
      <c r="P110" s="93">
        <f t="shared" si="16"/>
        <v>0</v>
      </c>
      <c r="Q110" s="93">
        <f t="shared" si="17"/>
        <v>0</v>
      </c>
      <c r="R110" s="93">
        <f t="shared" si="12"/>
        <v>0</v>
      </c>
      <c r="S110" s="93">
        <f t="shared" si="13"/>
        <v>39</v>
      </c>
      <c r="T110" s="93">
        <f t="shared" si="18"/>
        <v>39</v>
      </c>
      <c r="U110" s="253">
        <f t="shared" si="14"/>
        <v>2685.33</v>
      </c>
      <c r="V110" s="93">
        <f t="shared" si="19"/>
        <v>0</v>
      </c>
    </row>
    <row r="111" spans="1:22" ht="18" customHeight="1" x14ac:dyDescent="0.2">
      <c r="A111" s="110" t="s">
        <v>216</v>
      </c>
      <c r="B111" s="111"/>
      <c r="C111" s="201" t="s">
        <v>217</v>
      </c>
      <c r="D111" s="91">
        <v>43402</v>
      </c>
      <c r="E111" s="92"/>
      <c r="F111" s="93"/>
      <c r="G111" s="93"/>
      <c r="H111" s="93">
        <v>3001.53</v>
      </c>
      <c r="I111" s="93">
        <v>2994.53</v>
      </c>
      <c r="J111" s="93"/>
      <c r="K111" s="93">
        <f t="shared" si="10"/>
        <v>0</v>
      </c>
      <c r="L111" s="93">
        <f t="shared" si="11"/>
        <v>0</v>
      </c>
      <c r="M111" s="94">
        <v>2.5</v>
      </c>
      <c r="N111" s="95" t="s">
        <v>17</v>
      </c>
      <c r="O111" s="93">
        <f t="shared" si="15"/>
        <v>0</v>
      </c>
      <c r="P111" s="93">
        <f t="shared" si="16"/>
        <v>0</v>
      </c>
      <c r="Q111" s="93">
        <f t="shared" si="17"/>
        <v>0</v>
      </c>
      <c r="R111" s="93">
        <f t="shared" si="12"/>
        <v>0</v>
      </c>
      <c r="S111" s="93">
        <f t="shared" si="13"/>
        <v>43</v>
      </c>
      <c r="T111" s="93">
        <f t="shared" si="18"/>
        <v>43</v>
      </c>
      <c r="U111" s="253">
        <f t="shared" si="14"/>
        <v>2951.53</v>
      </c>
      <c r="V111" s="93">
        <f t="shared" si="19"/>
        <v>0</v>
      </c>
    </row>
    <row r="112" spans="1:22" ht="18" customHeight="1" x14ac:dyDescent="0.2">
      <c r="A112" s="110" t="s">
        <v>218</v>
      </c>
      <c r="B112" s="111"/>
      <c r="C112" s="201" t="s">
        <v>219</v>
      </c>
      <c r="D112" s="91">
        <v>43403</v>
      </c>
      <c r="E112" s="92"/>
      <c r="F112" s="93"/>
      <c r="G112" s="93"/>
      <c r="H112" s="93">
        <v>650.4</v>
      </c>
      <c r="I112" s="93">
        <v>649.4</v>
      </c>
      <c r="J112" s="93"/>
      <c r="K112" s="93">
        <f t="shared" si="10"/>
        <v>0</v>
      </c>
      <c r="L112" s="93">
        <f t="shared" si="11"/>
        <v>0</v>
      </c>
      <c r="M112" s="94">
        <v>2.5</v>
      </c>
      <c r="N112" s="95" t="s">
        <v>17</v>
      </c>
      <c r="O112" s="93">
        <f t="shared" si="15"/>
        <v>0</v>
      </c>
      <c r="P112" s="93">
        <f t="shared" si="16"/>
        <v>0</v>
      </c>
      <c r="Q112" s="93">
        <f t="shared" si="17"/>
        <v>0</v>
      </c>
      <c r="R112" s="93">
        <f t="shared" si="12"/>
        <v>0</v>
      </c>
      <c r="S112" s="93">
        <f t="shared" si="13"/>
        <v>9</v>
      </c>
      <c r="T112" s="93">
        <f t="shared" si="18"/>
        <v>9</v>
      </c>
      <c r="U112" s="253">
        <f t="shared" si="14"/>
        <v>640.4</v>
      </c>
      <c r="V112" s="93">
        <f t="shared" si="19"/>
        <v>0</v>
      </c>
    </row>
    <row r="113" spans="1:22" ht="18" customHeight="1" x14ac:dyDescent="0.2">
      <c r="A113" s="110" t="s">
        <v>220</v>
      </c>
      <c r="B113" s="111"/>
      <c r="C113" s="201" t="s">
        <v>221</v>
      </c>
      <c r="D113" s="91">
        <v>43405</v>
      </c>
      <c r="E113" s="92"/>
      <c r="F113" s="93"/>
      <c r="G113" s="93"/>
      <c r="H113" s="93">
        <v>9691.65</v>
      </c>
      <c r="I113" s="93">
        <v>9671.65</v>
      </c>
      <c r="J113" s="93"/>
      <c r="K113" s="93">
        <f t="shared" si="10"/>
        <v>0</v>
      </c>
      <c r="L113" s="93">
        <f t="shared" si="11"/>
        <v>0</v>
      </c>
      <c r="M113" s="94">
        <v>2.5</v>
      </c>
      <c r="N113" s="95" t="s">
        <v>17</v>
      </c>
      <c r="O113" s="93">
        <f t="shared" si="15"/>
        <v>0</v>
      </c>
      <c r="P113" s="93">
        <f t="shared" si="16"/>
        <v>0</v>
      </c>
      <c r="Q113" s="93">
        <f t="shared" si="17"/>
        <v>0</v>
      </c>
      <c r="R113" s="93">
        <f t="shared" si="12"/>
        <v>0</v>
      </c>
      <c r="S113" s="93">
        <f t="shared" si="13"/>
        <v>141</v>
      </c>
      <c r="T113" s="93">
        <f t="shared" si="18"/>
        <v>141</v>
      </c>
      <c r="U113" s="253">
        <f t="shared" si="14"/>
        <v>9530.65</v>
      </c>
      <c r="V113" s="93">
        <f t="shared" si="19"/>
        <v>0</v>
      </c>
    </row>
    <row r="114" spans="1:22" ht="18" customHeight="1" x14ac:dyDescent="0.2">
      <c r="A114" s="110" t="s">
        <v>222</v>
      </c>
      <c r="B114" s="111"/>
      <c r="C114" s="201" t="s">
        <v>223</v>
      </c>
      <c r="D114" s="91">
        <v>43404</v>
      </c>
      <c r="E114" s="92"/>
      <c r="F114" s="93"/>
      <c r="G114" s="93"/>
      <c r="H114" s="93">
        <v>2015</v>
      </c>
      <c r="I114" s="93">
        <v>2011</v>
      </c>
      <c r="J114" s="93"/>
      <c r="K114" s="93">
        <f t="shared" si="10"/>
        <v>0</v>
      </c>
      <c r="L114" s="93">
        <f t="shared" si="11"/>
        <v>0</v>
      </c>
      <c r="M114" s="94">
        <v>2.5</v>
      </c>
      <c r="N114" s="95" t="s">
        <v>17</v>
      </c>
      <c r="O114" s="93">
        <f t="shared" si="15"/>
        <v>0</v>
      </c>
      <c r="P114" s="93">
        <f t="shared" si="16"/>
        <v>0</v>
      </c>
      <c r="Q114" s="93">
        <f t="shared" si="17"/>
        <v>0</v>
      </c>
      <c r="R114" s="93">
        <f t="shared" si="12"/>
        <v>0</v>
      </c>
      <c r="S114" s="93">
        <f t="shared" si="13"/>
        <v>29</v>
      </c>
      <c r="T114" s="93">
        <f t="shared" si="18"/>
        <v>29</v>
      </c>
      <c r="U114" s="253">
        <f t="shared" si="14"/>
        <v>1982</v>
      </c>
      <c r="V114" s="93">
        <f t="shared" si="19"/>
        <v>0</v>
      </c>
    </row>
    <row r="115" spans="1:22" ht="18" customHeight="1" x14ac:dyDescent="0.2">
      <c r="A115" s="110" t="s">
        <v>224</v>
      </c>
      <c r="B115" s="111"/>
      <c r="C115" s="201" t="s">
        <v>225</v>
      </c>
      <c r="D115" s="91">
        <v>43431</v>
      </c>
      <c r="E115" s="92"/>
      <c r="F115" s="93"/>
      <c r="G115" s="93"/>
      <c r="H115" s="93">
        <v>941.84</v>
      </c>
      <c r="I115" s="93">
        <v>940.84</v>
      </c>
      <c r="J115" s="93"/>
      <c r="K115" s="93">
        <f t="shared" si="10"/>
        <v>0</v>
      </c>
      <c r="L115" s="93">
        <f t="shared" si="11"/>
        <v>0</v>
      </c>
      <c r="M115" s="94">
        <v>2.5</v>
      </c>
      <c r="N115" s="95" t="s">
        <v>17</v>
      </c>
      <c r="O115" s="93">
        <f t="shared" si="15"/>
        <v>0</v>
      </c>
      <c r="P115" s="93">
        <f t="shared" si="16"/>
        <v>0</v>
      </c>
      <c r="Q115" s="93">
        <f t="shared" si="17"/>
        <v>0</v>
      </c>
      <c r="R115" s="93">
        <f t="shared" si="12"/>
        <v>0</v>
      </c>
      <c r="S115" s="93">
        <f t="shared" si="13"/>
        <v>13</v>
      </c>
      <c r="T115" s="93">
        <f t="shared" si="18"/>
        <v>13</v>
      </c>
      <c r="U115" s="253">
        <f t="shared" si="14"/>
        <v>927.84</v>
      </c>
      <c r="V115" s="93">
        <f t="shared" si="19"/>
        <v>0</v>
      </c>
    </row>
    <row r="116" spans="1:22" ht="18" customHeight="1" x14ac:dyDescent="0.2">
      <c r="A116" s="110" t="s">
        <v>226</v>
      </c>
      <c r="B116" s="111"/>
      <c r="C116" s="201" t="s">
        <v>227</v>
      </c>
      <c r="D116" s="91">
        <v>43431</v>
      </c>
      <c r="E116" s="92"/>
      <c r="F116" s="93"/>
      <c r="G116" s="93"/>
      <c r="H116" s="93">
        <v>490</v>
      </c>
      <c r="I116" s="93">
        <v>489</v>
      </c>
      <c r="J116" s="93"/>
      <c r="K116" s="93">
        <f t="shared" si="10"/>
        <v>0</v>
      </c>
      <c r="L116" s="93">
        <f t="shared" si="11"/>
        <v>0</v>
      </c>
      <c r="M116" s="94">
        <v>2.5</v>
      </c>
      <c r="N116" s="95" t="s">
        <v>17</v>
      </c>
      <c r="O116" s="93">
        <f t="shared" si="15"/>
        <v>0</v>
      </c>
      <c r="P116" s="93">
        <f t="shared" si="16"/>
        <v>0</v>
      </c>
      <c r="Q116" s="93">
        <f t="shared" si="17"/>
        <v>0</v>
      </c>
      <c r="R116" s="93">
        <f t="shared" si="12"/>
        <v>0</v>
      </c>
      <c r="S116" s="93">
        <f t="shared" si="13"/>
        <v>7</v>
      </c>
      <c r="T116" s="93">
        <f t="shared" si="18"/>
        <v>7</v>
      </c>
      <c r="U116" s="253">
        <f t="shared" si="14"/>
        <v>482</v>
      </c>
      <c r="V116" s="93">
        <f t="shared" si="19"/>
        <v>0</v>
      </c>
    </row>
    <row r="117" spans="1:22" ht="18" customHeight="1" x14ac:dyDescent="0.2">
      <c r="A117" s="110" t="s">
        <v>228</v>
      </c>
      <c r="B117" s="111"/>
      <c r="C117" s="201" t="s">
        <v>229</v>
      </c>
      <c r="D117" s="91">
        <v>43413</v>
      </c>
      <c r="E117" s="92"/>
      <c r="F117" s="93"/>
      <c r="G117" s="93"/>
      <c r="H117" s="93">
        <v>238.67000000000002</v>
      </c>
      <c r="I117" s="93">
        <v>237.67000000000002</v>
      </c>
      <c r="J117" s="93"/>
      <c r="K117" s="93">
        <f t="shared" si="10"/>
        <v>0</v>
      </c>
      <c r="L117" s="93">
        <f t="shared" si="11"/>
        <v>0</v>
      </c>
      <c r="M117" s="94">
        <v>2.5</v>
      </c>
      <c r="N117" s="95" t="s">
        <v>17</v>
      </c>
      <c r="O117" s="93">
        <f t="shared" si="15"/>
        <v>0</v>
      </c>
      <c r="P117" s="93">
        <f t="shared" si="16"/>
        <v>0</v>
      </c>
      <c r="Q117" s="93">
        <f t="shared" si="17"/>
        <v>0</v>
      </c>
      <c r="R117" s="93">
        <f t="shared" si="12"/>
        <v>0</v>
      </c>
      <c r="S117" s="93">
        <f t="shared" si="13"/>
        <v>3</v>
      </c>
      <c r="T117" s="93">
        <f t="shared" si="18"/>
        <v>3</v>
      </c>
      <c r="U117" s="253">
        <f t="shared" si="14"/>
        <v>234.67000000000002</v>
      </c>
      <c r="V117" s="93">
        <f t="shared" si="19"/>
        <v>0</v>
      </c>
    </row>
    <row r="118" spans="1:22" ht="18" customHeight="1" x14ac:dyDescent="0.2">
      <c r="A118" s="110" t="s">
        <v>230</v>
      </c>
      <c r="B118" s="111"/>
      <c r="C118" s="201" t="s">
        <v>231</v>
      </c>
      <c r="D118" s="91">
        <v>43402</v>
      </c>
      <c r="E118" s="92"/>
      <c r="F118" s="93"/>
      <c r="G118" s="93"/>
      <c r="H118" s="93">
        <v>8195.41</v>
      </c>
      <c r="I118" s="93">
        <v>8176.41</v>
      </c>
      <c r="J118" s="93"/>
      <c r="K118" s="93">
        <f t="shared" si="10"/>
        <v>0</v>
      </c>
      <c r="L118" s="93">
        <f t="shared" si="11"/>
        <v>0</v>
      </c>
      <c r="M118" s="94">
        <v>2.5</v>
      </c>
      <c r="N118" s="95" t="s">
        <v>17</v>
      </c>
      <c r="O118" s="93">
        <f t="shared" si="15"/>
        <v>0</v>
      </c>
      <c r="P118" s="93">
        <f t="shared" si="16"/>
        <v>0</v>
      </c>
      <c r="Q118" s="93">
        <f t="shared" si="17"/>
        <v>0</v>
      </c>
      <c r="R118" s="93">
        <f t="shared" si="12"/>
        <v>0</v>
      </c>
      <c r="S118" s="93">
        <f t="shared" si="13"/>
        <v>119</v>
      </c>
      <c r="T118" s="93">
        <f t="shared" si="18"/>
        <v>119</v>
      </c>
      <c r="U118" s="253">
        <f t="shared" si="14"/>
        <v>8057.41</v>
      </c>
      <c r="V118" s="93">
        <f t="shared" si="19"/>
        <v>0</v>
      </c>
    </row>
    <row r="119" spans="1:22" ht="18" customHeight="1" x14ac:dyDescent="0.2">
      <c r="A119" s="110" t="s">
        <v>232</v>
      </c>
      <c r="B119" s="111"/>
      <c r="C119" s="201" t="s">
        <v>233</v>
      </c>
      <c r="D119" s="91">
        <v>43434</v>
      </c>
      <c r="E119" s="92"/>
      <c r="F119" s="93"/>
      <c r="G119" s="93"/>
      <c r="H119" s="93">
        <v>4697.72</v>
      </c>
      <c r="I119" s="93">
        <v>4696.72</v>
      </c>
      <c r="J119" s="93"/>
      <c r="K119" s="93">
        <f t="shared" si="10"/>
        <v>0</v>
      </c>
      <c r="L119" s="93">
        <f t="shared" si="11"/>
        <v>0</v>
      </c>
      <c r="M119" s="94">
        <v>2.5</v>
      </c>
      <c r="N119" s="95" t="s">
        <v>17</v>
      </c>
      <c r="O119" s="93">
        <f t="shared" si="15"/>
        <v>0</v>
      </c>
      <c r="P119" s="93">
        <f t="shared" si="16"/>
        <v>0</v>
      </c>
      <c r="Q119" s="93">
        <f t="shared" si="17"/>
        <v>0</v>
      </c>
      <c r="R119" s="93">
        <f t="shared" si="12"/>
        <v>0</v>
      </c>
      <c r="S119" s="93">
        <f t="shared" si="13"/>
        <v>68</v>
      </c>
      <c r="T119" s="93">
        <f t="shared" si="18"/>
        <v>68</v>
      </c>
      <c r="U119" s="253">
        <f t="shared" si="14"/>
        <v>4628.72</v>
      </c>
      <c r="V119" s="93">
        <f t="shared" si="19"/>
        <v>0</v>
      </c>
    </row>
    <row r="120" spans="1:22" ht="18" customHeight="1" x14ac:dyDescent="0.2">
      <c r="A120" s="110" t="s">
        <v>234</v>
      </c>
      <c r="B120" s="111"/>
      <c r="C120" s="201" t="s">
        <v>133</v>
      </c>
      <c r="D120" s="91">
        <v>43291</v>
      </c>
      <c r="E120" s="92"/>
      <c r="F120" s="93"/>
      <c r="G120" s="93"/>
      <c r="H120" s="93">
        <v>689.24</v>
      </c>
      <c r="I120" s="93">
        <v>682.24</v>
      </c>
      <c r="J120" s="93"/>
      <c r="K120" s="93">
        <f t="shared" si="10"/>
        <v>0</v>
      </c>
      <c r="L120" s="93">
        <f t="shared" si="11"/>
        <v>0</v>
      </c>
      <c r="M120" s="94">
        <v>2.5</v>
      </c>
      <c r="N120" s="95" t="s">
        <v>17</v>
      </c>
      <c r="O120" s="93">
        <f t="shared" si="15"/>
        <v>0</v>
      </c>
      <c r="P120" s="93">
        <f t="shared" si="16"/>
        <v>0</v>
      </c>
      <c r="Q120" s="93">
        <f t="shared" si="17"/>
        <v>0</v>
      </c>
      <c r="R120" s="93">
        <f t="shared" si="12"/>
        <v>0</v>
      </c>
      <c r="S120" s="93">
        <f t="shared" si="13"/>
        <v>10</v>
      </c>
      <c r="T120" s="93">
        <f t="shared" si="18"/>
        <v>10</v>
      </c>
      <c r="U120" s="253">
        <f t="shared" si="14"/>
        <v>672.24</v>
      </c>
      <c r="V120" s="93">
        <f t="shared" si="19"/>
        <v>0</v>
      </c>
    </row>
    <row r="121" spans="1:22" ht="18" customHeight="1" x14ac:dyDescent="0.2">
      <c r="A121" s="110" t="s">
        <v>235</v>
      </c>
      <c r="B121" s="111"/>
      <c r="C121" s="201" t="s">
        <v>133</v>
      </c>
      <c r="D121" s="91">
        <v>43307</v>
      </c>
      <c r="E121" s="92"/>
      <c r="F121" s="93"/>
      <c r="G121" s="93"/>
      <c r="H121" s="93">
        <v>1145.6400000000001</v>
      </c>
      <c r="I121" s="93">
        <v>1135.6400000000001</v>
      </c>
      <c r="J121" s="93"/>
      <c r="K121" s="93">
        <f t="shared" si="10"/>
        <v>0</v>
      </c>
      <c r="L121" s="93">
        <f t="shared" si="11"/>
        <v>0</v>
      </c>
      <c r="M121" s="94">
        <v>2.5</v>
      </c>
      <c r="N121" s="95" t="s">
        <v>17</v>
      </c>
      <c r="O121" s="93">
        <f t="shared" si="15"/>
        <v>0</v>
      </c>
      <c r="P121" s="93">
        <f t="shared" si="16"/>
        <v>0</v>
      </c>
      <c r="Q121" s="93">
        <f t="shared" si="17"/>
        <v>0</v>
      </c>
      <c r="R121" s="93">
        <f t="shared" si="12"/>
        <v>0</v>
      </c>
      <c r="S121" s="93">
        <f t="shared" si="13"/>
        <v>16</v>
      </c>
      <c r="T121" s="93">
        <f t="shared" si="18"/>
        <v>16</v>
      </c>
      <c r="U121" s="253">
        <f t="shared" si="14"/>
        <v>1119.6400000000001</v>
      </c>
      <c r="V121" s="93">
        <f t="shared" si="19"/>
        <v>0</v>
      </c>
    </row>
    <row r="122" spans="1:22" ht="18" customHeight="1" x14ac:dyDescent="0.2">
      <c r="A122" s="110" t="s">
        <v>236</v>
      </c>
      <c r="B122" s="111"/>
      <c r="C122" s="201" t="s">
        <v>53</v>
      </c>
      <c r="D122" s="91">
        <v>43312</v>
      </c>
      <c r="E122" s="92"/>
      <c r="F122" s="93"/>
      <c r="G122" s="93"/>
      <c r="H122" s="93">
        <v>1798</v>
      </c>
      <c r="I122" s="93">
        <v>1783</v>
      </c>
      <c r="J122" s="93"/>
      <c r="K122" s="93">
        <f t="shared" si="10"/>
        <v>0</v>
      </c>
      <c r="L122" s="93">
        <f t="shared" si="11"/>
        <v>0</v>
      </c>
      <c r="M122" s="94">
        <v>2.5</v>
      </c>
      <c r="N122" s="95" t="s">
        <v>17</v>
      </c>
      <c r="O122" s="93">
        <f t="shared" si="15"/>
        <v>0</v>
      </c>
      <c r="P122" s="93">
        <f t="shared" si="16"/>
        <v>0</v>
      </c>
      <c r="Q122" s="93">
        <f t="shared" si="17"/>
        <v>0</v>
      </c>
      <c r="R122" s="93">
        <f t="shared" si="12"/>
        <v>0</v>
      </c>
      <c r="S122" s="93">
        <f t="shared" si="13"/>
        <v>26</v>
      </c>
      <c r="T122" s="93">
        <f t="shared" si="18"/>
        <v>26</v>
      </c>
      <c r="U122" s="253">
        <f t="shared" si="14"/>
        <v>1757</v>
      </c>
      <c r="V122" s="93">
        <f t="shared" si="19"/>
        <v>0</v>
      </c>
    </row>
    <row r="123" spans="1:22" ht="18" customHeight="1" x14ac:dyDescent="0.2">
      <c r="A123" s="110" t="s">
        <v>237</v>
      </c>
      <c r="B123" s="111"/>
      <c r="C123" s="201" t="s">
        <v>238</v>
      </c>
      <c r="D123" s="91">
        <v>43315</v>
      </c>
      <c r="E123" s="92"/>
      <c r="F123" s="93"/>
      <c r="G123" s="93"/>
      <c r="H123" s="93">
        <v>475</v>
      </c>
      <c r="I123" s="93">
        <v>471</v>
      </c>
      <c r="J123" s="93"/>
      <c r="K123" s="93">
        <f t="shared" si="10"/>
        <v>0</v>
      </c>
      <c r="L123" s="93">
        <f t="shared" si="11"/>
        <v>0</v>
      </c>
      <c r="M123" s="94">
        <v>2.5</v>
      </c>
      <c r="N123" s="95" t="s">
        <v>17</v>
      </c>
      <c r="O123" s="93">
        <f t="shared" si="15"/>
        <v>0</v>
      </c>
      <c r="P123" s="93">
        <f t="shared" si="16"/>
        <v>0</v>
      </c>
      <c r="Q123" s="93">
        <f t="shared" si="17"/>
        <v>0</v>
      </c>
      <c r="R123" s="93">
        <f t="shared" si="12"/>
        <v>0</v>
      </c>
      <c r="S123" s="93">
        <f t="shared" si="13"/>
        <v>6</v>
      </c>
      <c r="T123" s="93">
        <f t="shared" si="18"/>
        <v>6</v>
      </c>
      <c r="U123" s="253">
        <f t="shared" si="14"/>
        <v>465</v>
      </c>
      <c r="V123" s="93">
        <f t="shared" si="19"/>
        <v>0</v>
      </c>
    </row>
    <row r="124" spans="1:22" ht="18" customHeight="1" x14ac:dyDescent="0.2">
      <c r="A124" s="110" t="s">
        <v>239</v>
      </c>
      <c r="B124" s="111"/>
      <c r="C124" s="201" t="s">
        <v>145</v>
      </c>
      <c r="D124" s="91">
        <v>43322</v>
      </c>
      <c r="E124" s="92"/>
      <c r="F124" s="93"/>
      <c r="G124" s="93"/>
      <c r="H124" s="93">
        <v>1140</v>
      </c>
      <c r="I124" s="93">
        <v>1131</v>
      </c>
      <c r="J124" s="93"/>
      <c r="K124" s="93">
        <f t="shared" si="10"/>
        <v>0</v>
      </c>
      <c r="L124" s="93">
        <f t="shared" si="11"/>
        <v>0</v>
      </c>
      <c r="M124" s="94">
        <v>2.5</v>
      </c>
      <c r="N124" s="95" t="s">
        <v>17</v>
      </c>
      <c r="O124" s="93">
        <f t="shared" si="15"/>
        <v>0</v>
      </c>
      <c r="P124" s="93">
        <f t="shared" si="16"/>
        <v>0</v>
      </c>
      <c r="Q124" s="93">
        <f t="shared" si="17"/>
        <v>0</v>
      </c>
      <c r="R124" s="93">
        <f t="shared" si="12"/>
        <v>0</v>
      </c>
      <c r="S124" s="93">
        <f t="shared" si="13"/>
        <v>16</v>
      </c>
      <c r="T124" s="93">
        <f t="shared" si="18"/>
        <v>16</v>
      </c>
      <c r="U124" s="253">
        <f t="shared" si="14"/>
        <v>1115</v>
      </c>
      <c r="V124" s="93">
        <f t="shared" si="19"/>
        <v>0</v>
      </c>
    </row>
    <row r="125" spans="1:22" ht="18" customHeight="1" x14ac:dyDescent="0.2">
      <c r="A125" s="110" t="s">
        <v>240</v>
      </c>
      <c r="B125" s="111"/>
      <c r="C125" s="201" t="s">
        <v>241</v>
      </c>
      <c r="D125" s="91">
        <v>43327</v>
      </c>
      <c r="E125" s="92"/>
      <c r="F125" s="93"/>
      <c r="G125" s="93"/>
      <c r="H125" s="93">
        <v>910</v>
      </c>
      <c r="I125" s="93">
        <v>903</v>
      </c>
      <c r="J125" s="93"/>
      <c r="K125" s="93">
        <f t="shared" si="10"/>
        <v>0</v>
      </c>
      <c r="L125" s="93">
        <f t="shared" si="11"/>
        <v>0</v>
      </c>
      <c r="M125" s="94">
        <v>2.5</v>
      </c>
      <c r="N125" s="95" t="s">
        <v>17</v>
      </c>
      <c r="O125" s="93">
        <f t="shared" si="15"/>
        <v>0</v>
      </c>
      <c r="P125" s="93">
        <f t="shared" si="16"/>
        <v>0</v>
      </c>
      <c r="Q125" s="93">
        <f t="shared" si="17"/>
        <v>0</v>
      </c>
      <c r="R125" s="93">
        <f t="shared" si="12"/>
        <v>0</v>
      </c>
      <c r="S125" s="93">
        <f t="shared" si="13"/>
        <v>13</v>
      </c>
      <c r="T125" s="93">
        <f t="shared" si="18"/>
        <v>13</v>
      </c>
      <c r="U125" s="253">
        <f t="shared" si="14"/>
        <v>890</v>
      </c>
      <c r="V125" s="93">
        <f t="shared" si="19"/>
        <v>0</v>
      </c>
    </row>
    <row r="126" spans="1:22" ht="18" customHeight="1" x14ac:dyDescent="0.2">
      <c r="A126" s="110" t="s">
        <v>242</v>
      </c>
      <c r="B126" s="111"/>
      <c r="C126" s="201" t="s">
        <v>243</v>
      </c>
      <c r="D126" s="91">
        <v>43336</v>
      </c>
      <c r="E126" s="92"/>
      <c r="F126" s="93"/>
      <c r="G126" s="93"/>
      <c r="H126" s="93">
        <v>590</v>
      </c>
      <c r="I126" s="93">
        <v>586</v>
      </c>
      <c r="J126" s="93"/>
      <c r="K126" s="93">
        <f t="shared" si="10"/>
        <v>0</v>
      </c>
      <c r="L126" s="93">
        <f t="shared" si="11"/>
        <v>0</v>
      </c>
      <c r="M126" s="94">
        <v>2.5</v>
      </c>
      <c r="N126" s="95" t="s">
        <v>17</v>
      </c>
      <c r="O126" s="93">
        <f t="shared" si="15"/>
        <v>0</v>
      </c>
      <c r="P126" s="93">
        <f t="shared" si="16"/>
        <v>0</v>
      </c>
      <c r="Q126" s="93">
        <f t="shared" si="17"/>
        <v>0</v>
      </c>
      <c r="R126" s="93">
        <f t="shared" si="12"/>
        <v>0</v>
      </c>
      <c r="S126" s="93">
        <f t="shared" si="13"/>
        <v>8</v>
      </c>
      <c r="T126" s="93">
        <f t="shared" si="18"/>
        <v>8</v>
      </c>
      <c r="U126" s="253">
        <f t="shared" si="14"/>
        <v>578</v>
      </c>
      <c r="V126" s="93">
        <f t="shared" si="19"/>
        <v>0</v>
      </c>
    </row>
    <row r="127" spans="1:22" ht="18" customHeight="1" x14ac:dyDescent="0.2">
      <c r="A127" s="110" t="s">
        <v>244</v>
      </c>
      <c r="B127" s="111"/>
      <c r="C127" s="201" t="s">
        <v>53</v>
      </c>
      <c r="D127" s="91">
        <v>43343</v>
      </c>
      <c r="E127" s="92"/>
      <c r="F127" s="93"/>
      <c r="G127" s="93"/>
      <c r="H127" s="93">
        <v>2356</v>
      </c>
      <c r="I127" s="93">
        <v>2341</v>
      </c>
      <c r="J127" s="93"/>
      <c r="K127" s="93">
        <f t="shared" si="10"/>
        <v>0</v>
      </c>
      <c r="L127" s="93">
        <f t="shared" si="11"/>
        <v>0</v>
      </c>
      <c r="M127" s="94">
        <v>2.5</v>
      </c>
      <c r="N127" s="95" t="s">
        <v>17</v>
      </c>
      <c r="O127" s="93">
        <f t="shared" si="15"/>
        <v>0</v>
      </c>
      <c r="P127" s="93">
        <f t="shared" si="16"/>
        <v>0</v>
      </c>
      <c r="Q127" s="93">
        <f t="shared" si="17"/>
        <v>0</v>
      </c>
      <c r="R127" s="93">
        <f t="shared" si="12"/>
        <v>0</v>
      </c>
      <c r="S127" s="93">
        <f t="shared" si="13"/>
        <v>34</v>
      </c>
      <c r="T127" s="93">
        <f t="shared" si="18"/>
        <v>34</v>
      </c>
      <c r="U127" s="253">
        <f t="shared" si="14"/>
        <v>2307</v>
      </c>
      <c r="V127" s="93">
        <f t="shared" si="19"/>
        <v>0</v>
      </c>
    </row>
    <row r="128" spans="1:22" ht="18" customHeight="1" x14ac:dyDescent="0.2">
      <c r="A128" s="110" t="s">
        <v>245</v>
      </c>
      <c r="B128" s="111"/>
      <c r="C128" s="201" t="s">
        <v>133</v>
      </c>
      <c r="D128" s="91">
        <v>43356</v>
      </c>
      <c r="E128" s="92"/>
      <c r="F128" s="93"/>
      <c r="G128" s="93"/>
      <c r="H128" s="93">
        <v>6444.64</v>
      </c>
      <c r="I128" s="93">
        <v>6409.64</v>
      </c>
      <c r="J128" s="93"/>
      <c r="K128" s="93">
        <f t="shared" si="10"/>
        <v>0</v>
      </c>
      <c r="L128" s="93">
        <f t="shared" si="11"/>
        <v>0</v>
      </c>
      <c r="M128" s="94">
        <v>2.5</v>
      </c>
      <c r="N128" s="95" t="s">
        <v>17</v>
      </c>
      <c r="O128" s="93">
        <f t="shared" si="15"/>
        <v>0</v>
      </c>
      <c r="P128" s="93">
        <f t="shared" si="16"/>
        <v>0</v>
      </c>
      <c r="Q128" s="93">
        <f t="shared" si="17"/>
        <v>0</v>
      </c>
      <c r="R128" s="93">
        <f t="shared" si="12"/>
        <v>0</v>
      </c>
      <c r="S128" s="93">
        <f t="shared" si="13"/>
        <v>93</v>
      </c>
      <c r="T128" s="93">
        <f t="shared" si="18"/>
        <v>93</v>
      </c>
      <c r="U128" s="253">
        <f t="shared" si="14"/>
        <v>6316.64</v>
      </c>
      <c r="V128" s="93">
        <f t="shared" si="19"/>
        <v>0</v>
      </c>
    </row>
    <row r="129" spans="1:22" ht="18" customHeight="1" x14ac:dyDescent="0.2">
      <c r="A129" s="110" t="s">
        <v>246</v>
      </c>
      <c r="B129" s="111"/>
      <c r="C129" s="201" t="s">
        <v>133</v>
      </c>
      <c r="D129" s="91">
        <v>43361</v>
      </c>
      <c r="E129" s="92"/>
      <c r="F129" s="93"/>
      <c r="G129" s="93"/>
      <c r="H129" s="93">
        <v>2047.9</v>
      </c>
      <c r="I129" s="93">
        <v>2037.9</v>
      </c>
      <c r="J129" s="93"/>
      <c r="K129" s="93">
        <f t="shared" si="10"/>
        <v>0</v>
      </c>
      <c r="L129" s="93">
        <f t="shared" si="11"/>
        <v>0</v>
      </c>
      <c r="M129" s="94">
        <v>2.5</v>
      </c>
      <c r="N129" s="95" t="s">
        <v>17</v>
      </c>
      <c r="O129" s="93">
        <f t="shared" si="15"/>
        <v>0</v>
      </c>
      <c r="P129" s="93">
        <f t="shared" si="16"/>
        <v>0</v>
      </c>
      <c r="Q129" s="93">
        <f t="shared" si="17"/>
        <v>0</v>
      </c>
      <c r="R129" s="93">
        <f t="shared" si="12"/>
        <v>0</v>
      </c>
      <c r="S129" s="93">
        <f t="shared" si="13"/>
        <v>29</v>
      </c>
      <c r="T129" s="93">
        <f t="shared" si="18"/>
        <v>29</v>
      </c>
      <c r="U129" s="253">
        <f t="shared" si="14"/>
        <v>2008.9</v>
      </c>
      <c r="V129" s="93">
        <f t="shared" si="19"/>
        <v>0</v>
      </c>
    </row>
    <row r="130" spans="1:22" ht="18" customHeight="1" x14ac:dyDescent="0.2">
      <c r="A130" s="110" t="s">
        <v>247</v>
      </c>
      <c r="B130" s="111"/>
      <c r="C130" s="201" t="s">
        <v>145</v>
      </c>
      <c r="D130" s="91">
        <v>43378</v>
      </c>
      <c r="E130" s="92"/>
      <c r="F130" s="93"/>
      <c r="G130" s="93"/>
      <c r="H130" s="93">
        <v>5334</v>
      </c>
      <c r="I130" s="93">
        <v>5313</v>
      </c>
      <c r="J130" s="93"/>
      <c r="K130" s="93">
        <f t="shared" si="10"/>
        <v>0</v>
      </c>
      <c r="L130" s="93">
        <f t="shared" si="11"/>
        <v>0</v>
      </c>
      <c r="M130" s="94">
        <v>2.5</v>
      </c>
      <c r="N130" s="95" t="s">
        <v>17</v>
      </c>
      <c r="O130" s="93">
        <f t="shared" si="15"/>
        <v>0</v>
      </c>
      <c r="P130" s="93">
        <f t="shared" si="16"/>
        <v>0</v>
      </c>
      <c r="Q130" s="93">
        <f t="shared" si="17"/>
        <v>0</v>
      </c>
      <c r="R130" s="93">
        <f t="shared" si="12"/>
        <v>0</v>
      </c>
      <c r="S130" s="93">
        <f t="shared" si="13"/>
        <v>77</v>
      </c>
      <c r="T130" s="93">
        <f t="shared" si="18"/>
        <v>77</v>
      </c>
      <c r="U130" s="253">
        <f t="shared" si="14"/>
        <v>5236</v>
      </c>
      <c r="V130" s="93">
        <f t="shared" si="19"/>
        <v>0</v>
      </c>
    </row>
    <row r="131" spans="1:22" ht="18" customHeight="1" x14ac:dyDescent="0.2">
      <c r="A131" s="110" t="s">
        <v>248</v>
      </c>
      <c r="B131" s="111"/>
      <c r="C131" s="201" t="s">
        <v>133</v>
      </c>
      <c r="D131" s="91">
        <v>43391</v>
      </c>
      <c r="E131" s="92"/>
      <c r="F131" s="93"/>
      <c r="G131" s="93"/>
      <c r="H131" s="93">
        <v>497.97</v>
      </c>
      <c r="I131" s="93">
        <v>495.97</v>
      </c>
      <c r="J131" s="93"/>
      <c r="K131" s="93">
        <f t="shared" si="10"/>
        <v>0</v>
      </c>
      <c r="L131" s="93">
        <f t="shared" si="11"/>
        <v>0</v>
      </c>
      <c r="M131" s="94">
        <v>2.5</v>
      </c>
      <c r="N131" s="95" t="s">
        <v>17</v>
      </c>
      <c r="O131" s="93">
        <f t="shared" si="15"/>
        <v>0</v>
      </c>
      <c r="P131" s="93">
        <f t="shared" si="16"/>
        <v>0</v>
      </c>
      <c r="Q131" s="93">
        <f t="shared" si="17"/>
        <v>0</v>
      </c>
      <c r="R131" s="93">
        <f t="shared" si="12"/>
        <v>0</v>
      </c>
      <c r="S131" s="93">
        <f t="shared" si="13"/>
        <v>7</v>
      </c>
      <c r="T131" s="93">
        <f t="shared" si="18"/>
        <v>7</v>
      </c>
      <c r="U131" s="253">
        <f t="shared" si="14"/>
        <v>488.97</v>
      </c>
      <c r="V131" s="93">
        <f t="shared" si="19"/>
        <v>0</v>
      </c>
    </row>
    <row r="132" spans="1:22" ht="18" customHeight="1" x14ac:dyDescent="0.2">
      <c r="A132" s="110" t="s">
        <v>249</v>
      </c>
      <c r="B132" s="111"/>
      <c r="C132" s="201" t="s">
        <v>250</v>
      </c>
      <c r="D132" s="91">
        <v>43399</v>
      </c>
      <c r="E132" s="92"/>
      <c r="F132" s="93"/>
      <c r="G132" s="93"/>
      <c r="H132" s="93">
        <v>910</v>
      </c>
      <c r="I132" s="93">
        <v>908</v>
      </c>
      <c r="J132" s="93"/>
      <c r="K132" s="93">
        <f t="shared" si="10"/>
        <v>0</v>
      </c>
      <c r="L132" s="93">
        <f t="shared" si="11"/>
        <v>0</v>
      </c>
      <c r="M132" s="94">
        <v>2.5</v>
      </c>
      <c r="N132" s="95" t="s">
        <v>17</v>
      </c>
      <c r="O132" s="93">
        <f t="shared" si="15"/>
        <v>0</v>
      </c>
      <c r="P132" s="93">
        <f t="shared" si="16"/>
        <v>0</v>
      </c>
      <c r="Q132" s="93">
        <f t="shared" si="17"/>
        <v>0</v>
      </c>
      <c r="R132" s="93">
        <f t="shared" si="12"/>
        <v>0</v>
      </c>
      <c r="S132" s="93">
        <f t="shared" si="13"/>
        <v>13</v>
      </c>
      <c r="T132" s="93">
        <f t="shared" si="18"/>
        <v>13</v>
      </c>
      <c r="U132" s="253">
        <f t="shared" si="14"/>
        <v>895</v>
      </c>
      <c r="V132" s="93">
        <f t="shared" si="19"/>
        <v>0</v>
      </c>
    </row>
    <row r="133" spans="1:22" ht="18" customHeight="1" x14ac:dyDescent="0.2">
      <c r="A133" s="110" t="s">
        <v>251</v>
      </c>
      <c r="B133" s="111"/>
      <c r="C133" s="201" t="s">
        <v>145</v>
      </c>
      <c r="D133" s="91">
        <v>43403</v>
      </c>
      <c r="E133" s="92"/>
      <c r="F133" s="93"/>
      <c r="G133" s="93"/>
      <c r="H133" s="93">
        <v>224</v>
      </c>
      <c r="I133" s="93">
        <v>223</v>
      </c>
      <c r="J133" s="93"/>
      <c r="K133" s="93">
        <f t="shared" si="10"/>
        <v>0</v>
      </c>
      <c r="L133" s="93">
        <f t="shared" si="11"/>
        <v>0</v>
      </c>
      <c r="M133" s="94">
        <v>2.5</v>
      </c>
      <c r="N133" s="95" t="s">
        <v>17</v>
      </c>
      <c r="O133" s="93">
        <f t="shared" si="15"/>
        <v>0</v>
      </c>
      <c r="P133" s="93">
        <f t="shared" si="16"/>
        <v>0</v>
      </c>
      <c r="Q133" s="93">
        <f t="shared" si="17"/>
        <v>0</v>
      </c>
      <c r="R133" s="93">
        <f t="shared" si="12"/>
        <v>0</v>
      </c>
      <c r="S133" s="93">
        <f t="shared" si="13"/>
        <v>3</v>
      </c>
      <c r="T133" s="93">
        <f t="shared" si="18"/>
        <v>3</v>
      </c>
      <c r="U133" s="253">
        <f t="shared" si="14"/>
        <v>220</v>
      </c>
      <c r="V133" s="93">
        <f t="shared" si="19"/>
        <v>0</v>
      </c>
    </row>
    <row r="134" spans="1:22" ht="18" customHeight="1" x14ac:dyDescent="0.2">
      <c r="A134" s="110" t="s">
        <v>252</v>
      </c>
      <c r="B134" s="111"/>
      <c r="C134" s="201" t="s">
        <v>250</v>
      </c>
      <c r="D134" s="91">
        <v>43409</v>
      </c>
      <c r="E134" s="92"/>
      <c r="F134" s="93"/>
      <c r="G134" s="93"/>
      <c r="H134" s="93">
        <v>70</v>
      </c>
      <c r="I134" s="93">
        <v>69</v>
      </c>
      <c r="J134" s="93"/>
      <c r="K134" s="93">
        <f t="shared" si="10"/>
        <v>0</v>
      </c>
      <c r="L134" s="93">
        <f t="shared" si="11"/>
        <v>0</v>
      </c>
      <c r="M134" s="94">
        <v>2.5</v>
      </c>
      <c r="N134" s="95" t="s">
        <v>17</v>
      </c>
      <c r="O134" s="93">
        <f t="shared" si="15"/>
        <v>0</v>
      </c>
      <c r="P134" s="93">
        <f t="shared" si="16"/>
        <v>0</v>
      </c>
      <c r="Q134" s="93">
        <f t="shared" si="17"/>
        <v>0</v>
      </c>
      <c r="R134" s="93">
        <f t="shared" si="12"/>
        <v>0</v>
      </c>
      <c r="S134" s="93">
        <f t="shared" si="13"/>
        <v>1</v>
      </c>
      <c r="T134" s="93">
        <f t="shared" si="18"/>
        <v>1</v>
      </c>
      <c r="U134" s="253">
        <f t="shared" si="14"/>
        <v>68</v>
      </c>
      <c r="V134" s="93">
        <f t="shared" si="19"/>
        <v>0</v>
      </c>
    </row>
    <row r="135" spans="1:22" ht="18" customHeight="1" x14ac:dyDescent="0.2">
      <c r="A135" s="110" t="s">
        <v>253</v>
      </c>
      <c r="B135" s="111"/>
      <c r="C135" s="201" t="s">
        <v>145</v>
      </c>
      <c r="D135" s="91">
        <v>43411</v>
      </c>
      <c r="E135" s="92"/>
      <c r="F135" s="93"/>
      <c r="G135" s="93"/>
      <c r="H135" s="93">
        <v>1926.6000000000001</v>
      </c>
      <c r="I135" s="93">
        <v>1923.6000000000001</v>
      </c>
      <c r="J135" s="93"/>
      <c r="K135" s="93">
        <f t="shared" si="10"/>
        <v>0</v>
      </c>
      <c r="L135" s="93">
        <f t="shared" si="11"/>
        <v>0</v>
      </c>
      <c r="M135" s="94">
        <v>2.5</v>
      </c>
      <c r="N135" s="95" t="s">
        <v>17</v>
      </c>
      <c r="O135" s="93">
        <f t="shared" si="15"/>
        <v>0</v>
      </c>
      <c r="P135" s="93">
        <f t="shared" si="16"/>
        <v>0</v>
      </c>
      <c r="Q135" s="93">
        <f t="shared" si="17"/>
        <v>0</v>
      </c>
      <c r="R135" s="93">
        <f t="shared" si="12"/>
        <v>0</v>
      </c>
      <c r="S135" s="93">
        <f t="shared" si="13"/>
        <v>28</v>
      </c>
      <c r="T135" s="93">
        <f t="shared" si="18"/>
        <v>28</v>
      </c>
      <c r="U135" s="253">
        <f t="shared" si="14"/>
        <v>1895.6000000000001</v>
      </c>
      <c r="V135" s="93">
        <f t="shared" si="19"/>
        <v>0</v>
      </c>
    </row>
    <row r="136" spans="1:22" ht="18" customHeight="1" x14ac:dyDescent="0.2">
      <c r="A136" s="110" t="s">
        <v>254</v>
      </c>
      <c r="B136" s="111"/>
      <c r="C136" s="201" t="s">
        <v>255</v>
      </c>
      <c r="D136" s="91">
        <v>43404</v>
      </c>
      <c r="E136" s="92"/>
      <c r="F136" s="93"/>
      <c r="G136" s="93"/>
      <c r="H136" s="93">
        <v>8255</v>
      </c>
      <c r="I136" s="93">
        <v>8237</v>
      </c>
      <c r="J136" s="93"/>
      <c r="K136" s="93">
        <f t="shared" ref="K136:K153" si="20">INT(IF($E136&gt;0,IF(+F136-I136+Q136&lt;0,0,+F136-I136+Q136),0))</f>
        <v>0</v>
      </c>
      <c r="L136" s="93">
        <f t="shared" ref="L136:L153" si="21">INT(IF($E136&gt;0,IF(K136=0,-F136+I136-Q136,0),0))</f>
        <v>0</v>
      </c>
      <c r="M136" s="94">
        <v>2.5</v>
      </c>
      <c r="N136" s="95" t="s">
        <v>17</v>
      </c>
      <c r="O136" s="93">
        <f t="shared" si="15"/>
        <v>0</v>
      </c>
      <c r="P136" s="93">
        <f t="shared" si="16"/>
        <v>0</v>
      </c>
      <c r="Q136" s="93">
        <f t="shared" si="17"/>
        <v>0</v>
      </c>
      <c r="R136" s="93">
        <f t="shared" ref="R136:R160" si="22">INT(IF($E136&gt;0,0,(IF($N136="D",IF($D136&lt;$H$3,$I136*($M136/100)*$U$3/12,$J136*($M136/100)*($J$3-$D136)/365),0))))</f>
        <v>0</v>
      </c>
      <c r="S136" s="93">
        <f t="shared" ref="S136:S160" si="23">INT(IF($E136&gt;0,0,(IF($N136="P",IF($D136&lt;$H$3,$H136*($M136/100)*$U$3/12,$J136*($M136/100)*($J$3-$D136)/365),0))))</f>
        <v>120</v>
      </c>
      <c r="T136" s="93">
        <f t="shared" si="18"/>
        <v>120</v>
      </c>
      <c r="U136" s="253">
        <f t="shared" ref="U136:U153" si="24">+I136+J136-T136-F136+K136-L136</f>
        <v>8117</v>
      </c>
      <c r="V136" s="93">
        <f t="shared" si="19"/>
        <v>0</v>
      </c>
    </row>
    <row r="137" spans="1:22" ht="18" customHeight="1" x14ac:dyDescent="0.2">
      <c r="A137" s="110" t="s">
        <v>256</v>
      </c>
      <c r="B137" s="111"/>
      <c r="C137" s="201" t="s">
        <v>255</v>
      </c>
      <c r="D137" s="91">
        <v>43434</v>
      </c>
      <c r="E137" s="92"/>
      <c r="F137" s="93"/>
      <c r="G137" s="93"/>
      <c r="H137" s="93">
        <v>2304.5500000000002</v>
      </c>
      <c r="I137" s="93">
        <v>2303.5500000000002</v>
      </c>
      <c r="J137" s="93"/>
      <c r="K137" s="93">
        <f t="shared" si="20"/>
        <v>0</v>
      </c>
      <c r="L137" s="93">
        <f t="shared" si="21"/>
        <v>0</v>
      </c>
      <c r="M137" s="94">
        <v>2.5</v>
      </c>
      <c r="N137" s="95" t="s">
        <v>17</v>
      </c>
      <c r="O137" s="93">
        <f t="shared" ref="O137:O153" si="25">IF(E137&gt;0,INT(IF($N137="D",IF($D137&lt;$H$3,$I137*($M137/100)*((E137-$H$3)/365),$J137*($M137/100)*($J$3-$D137)/365),0)),0)</f>
        <v>0</v>
      </c>
      <c r="P137" s="93">
        <f t="shared" ref="P137:P153" si="26">IF(E137&gt;0,INT(IF($N137="P",IF($D137&lt;$H$3,$H137*($M137/100)*(E137-$H$3)/365,$J137*($M137/100)*($J$3-$D137)/365),0)),0)</f>
        <v>0</v>
      </c>
      <c r="Q137" s="93">
        <f t="shared" ref="Q137:Q153" si="27">+O137+P137</f>
        <v>0</v>
      </c>
      <c r="R137" s="93">
        <f t="shared" si="22"/>
        <v>0</v>
      </c>
      <c r="S137" s="93">
        <f t="shared" si="23"/>
        <v>33</v>
      </c>
      <c r="T137" s="93">
        <f t="shared" ref="T137:T153" si="28">+R137+S137+Q137</f>
        <v>33</v>
      </c>
      <c r="U137" s="253">
        <f t="shared" si="24"/>
        <v>2270.5500000000002</v>
      </c>
      <c r="V137" s="93">
        <f t="shared" ref="V137:V160" si="29">IF(E137&gt;0,+H137+J137,0)</f>
        <v>0</v>
      </c>
    </row>
    <row r="138" spans="1:22" ht="18" customHeight="1" x14ac:dyDescent="0.2">
      <c r="A138" s="110" t="s">
        <v>257</v>
      </c>
      <c r="B138" s="111"/>
      <c r="C138" s="201" t="s">
        <v>258</v>
      </c>
      <c r="D138" s="91">
        <v>43291</v>
      </c>
      <c r="E138" s="92"/>
      <c r="F138" s="93"/>
      <c r="G138" s="93"/>
      <c r="H138" s="93">
        <v>62510.55</v>
      </c>
      <c r="I138" s="93">
        <v>61893.55</v>
      </c>
      <c r="J138" s="93"/>
      <c r="K138" s="93">
        <f t="shared" si="20"/>
        <v>0</v>
      </c>
      <c r="L138" s="93">
        <f t="shared" si="21"/>
        <v>0</v>
      </c>
      <c r="M138" s="94">
        <v>2.5</v>
      </c>
      <c r="N138" s="95" t="s">
        <v>17</v>
      </c>
      <c r="O138" s="93">
        <f t="shared" si="25"/>
        <v>0</v>
      </c>
      <c r="P138" s="93">
        <f t="shared" si="26"/>
        <v>0</v>
      </c>
      <c r="Q138" s="93">
        <f t="shared" si="27"/>
        <v>0</v>
      </c>
      <c r="R138" s="93">
        <f t="shared" si="22"/>
        <v>0</v>
      </c>
      <c r="S138" s="93">
        <f t="shared" si="23"/>
        <v>911</v>
      </c>
      <c r="T138" s="93">
        <f t="shared" si="28"/>
        <v>911</v>
      </c>
      <c r="U138" s="253">
        <f t="shared" si="24"/>
        <v>60982.55</v>
      </c>
      <c r="V138" s="93">
        <f t="shared" si="29"/>
        <v>0</v>
      </c>
    </row>
    <row r="139" spans="1:22" ht="18" customHeight="1" x14ac:dyDescent="0.2">
      <c r="A139" s="110" t="s">
        <v>259</v>
      </c>
      <c r="B139" s="111"/>
      <c r="C139" s="201" t="s">
        <v>260</v>
      </c>
      <c r="D139" s="91">
        <v>43293</v>
      </c>
      <c r="E139" s="92"/>
      <c r="F139" s="93"/>
      <c r="G139" s="93"/>
      <c r="H139" s="93">
        <v>5625</v>
      </c>
      <c r="I139" s="93">
        <v>5570</v>
      </c>
      <c r="J139" s="93"/>
      <c r="K139" s="93">
        <f t="shared" si="20"/>
        <v>0</v>
      </c>
      <c r="L139" s="93">
        <f t="shared" si="21"/>
        <v>0</v>
      </c>
      <c r="M139" s="94">
        <v>2.5</v>
      </c>
      <c r="N139" s="95" t="s">
        <v>17</v>
      </c>
      <c r="O139" s="93">
        <f t="shared" si="25"/>
        <v>0</v>
      </c>
      <c r="P139" s="93">
        <f t="shared" si="26"/>
        <v>0</v>
      </c>
      <c r="Q139" s="93">
        <f t="shared" si="27"/>
        <v>0</v>
      </c>
      <c r="R139" s="93">
        <f t="shared" si="22"/>
        <v>0</v>
      </c>
      <c r="S139" s="93">
        <f t="shared" si="23"/>
        <v>82</v>
      </c>
      <c r="T139" s="93">
        <f t="shared" si="28"/>
        <v>82</v>
      </c>
      <c r="U139" s="253">
        <f t="shared" si="24"/>
        <v>5488</v>
      </c>
      <c r="V139" s="93">
        <f t="shared" si="29"/>
        <v>0</v>
      </c>
    </row>
    <row r="140" spans="1:22" ht="18" customHeight="1" x14ac:dyDescent="0.2">
      <c r="A140" s="110" t="s">
        <v>261</v>
      </c>
      <c r="B140" s="111"/>
      <c r="C140" s="201" t="s">
        <v>262</v>
      </c>
      <c r="D140" s="91">
        <v>43297</v>
      </c>
      <c r="E140" s="92"/>
      <c r="F140" s="93"/>
      <c r="G140" s="93"/>
      <c r="H140" s="93">
        <v>5274.55</v>
      </c>
      <c r="I140" s="93">
        <v>5224.55</v>
      </c>
      <c r="J140" s="93"/>
      <c r="K140" s="93">
        <f t="shared" si="20"/>
        <v>0</v>
      </c>
      <c r="L140" s="93">
        <f t="shared" si="21"/>
        <v>0</v>
      </c>
      <c r="M140" s="94">
        <v>2.5</v>
      </c>
      <c r="N140" s="95" t="s">
        <v>17</v>
      </c>
      <c r="O140" s="93">
        <f t="shared" si="25"/>
        <v>0</v>
      </c>
      <c r="P140" s="93">
        <f t="shared" si="26"/>
        <v>0</v>
      </c>
      <c r="Q140" s="93">
        <f t="shared" si="27"/>
        <v>0</v>
      </c>
      <c r="R140" s="93">
        <f t="shared" si="22"/>
        <v>0</v>
      </c>
      <c r="S140" s="93">
        <f t="shared" si="23"/>
        <v>76</v>
      </c>
      <c r="T140" s="93">
        <f t="shared" si="28"/>
        <v>76</v>
      </c>
      <c r="U140" s="253">
        <f t="shared" si="24"/>
        <v>5148.55</v>
      </c>
      <c r="V140" s="93">
        <f t="shared" si="29"/>
        <v>0</v>
      </c>
    </row>
    <row r="141" spans="1:22" ht="18" customHeight="1" x14ac:dyDescent="0.2">
      <c r="A141" s="110" t="s">
        <v>263</v>
      </c>
      <c r="B141" s="111"/>
      <c r="C141" s="201" t="s">
        <v>264</v>
      </c>
      <c r="D141" s="91">
        <v>43312</v>
      </c>
      <c r="E141" s="92"/>
      <c r="F141" s="93"/>
      <c r="G141" s="93"/>
      <c r="H141" s="93">
        <v>163.13</v>
      </c>
      <c r="I141" s="93">
        <v>162.13</v>
      </c>
      <c r="J141" s="93"/>
      <c r="K141" s="93">
        <f t="shared" si="20"/>
        <v>0</v>
      </c>
      <c r="L141" s="93">
        <f t="shared" si="21"/>
        <v>0</v>
      </c>
      <c r="M141" s="94">
        <v>2.5</v>
      </c>
      <c r="N141" s="95" t="s">
        <v>17</v>
      </c>
      <c r="O141" s="93">
        <f t="shared" si="25"/>
        <v>0</v>
      </c>
      <c r="P141" s="93">
        <f t="shared" si="26"/>
        <v>0</v>
      </c>
      <c r="Q141" s="93">
        <f t="shared" si="27"/>
        <v>0</v>
      </c>
      <c r="R141" s="93">
        <f t="shared" si="22"/>
        <v>0</v>
      </c>
      <c r="S141" s="93">
        <f t="shared" si="23"/>
        <v>2</v>
      </c>
      <c r="T141" s="93">
        <f t="shared" si="28"/>
        <v>2</v>
      </c>
      <c r="U141" s="253">
        <f t="shared" si="24"/>
        <v>160.13</v>
      </c>
      <c r="V141" s="93">
        <f t="shared" si="29"/>
        <v>0</v>
      </c>
    </row>
    <row r="142" spans="1:22" ht="18" customHeight="1" x14ac:dyDescent="0.2">
      <c r="A142" s="110" t="s">
        <v>265</v>
      </c>
      <c r="B142" s="111"/>
      <c r="C142" s="201" t="s">
        <v>266</v>
      </c>
      <c r="D142" s="91">
        <v>43312</v>
      </c>
      <c r="E142" s="92"/>
      <c r="F142" s="93"/>
      <c r="G142" s="93"/>
      <c r="H142" s="93">
        <v>3542.3</v>
      </c>
      <c r="I142" s="93">
        <v>3512.3</v>
      </c>
      <c r="J142" s="93"/>
      <c r="K142" s="93">
        <f t="shared" si="20"/>
        <v>0</v>
      </c>
      <c r="L142" s="93">
        <f t="shared" si="21"/>
        <v>0</v>
      </c>
      <c r="M142" s="94">
        <v>2.5</v>
      </c>
      <c r="N142" s="95" t="s">
        <v>17</v>
      </c>
      <c r="O142" s="93">
        <f t="shared" si="25"/>
        <v>0</v>
      </c>
      <c r="P142" s="93">
        <f t="shared" si="26"/>
        <v>0</v>
      </c>
      <c r="Q142" s="93">
        <f t="shared" si="27"/>
        <v>0</v>
      </c>
      <c r="R142" s="93">
        <f t="shared" si="22"/>
        <v>0</v>
      </c>
      <c r="S142" s="93">
        <f t="shared" si="23"/>
        <v>51</v>
      </c>
      <c r="T142" s="93">
        <f t="shared" si="28"/>
        <v>51</v>
      </c>
      <c r="U142" s="253">
        <f t="shared" si="24"/>
        <v>3461.3</v>
      </c>
      <c r="V142" s="93">
        <f t="shared" si="29"/>
        <v>0</v>
      </c>
    </row>
    <row r="143" spans="1:22" ht="18" customHeight="1" x14ac:dyDescent="0.2">
      <c r="A143" s="110" t="s">
        <v>267</v>
      </c>
      <c r="B143" s="111"/>
      <c r="C143" s="201" t="s">
        <v>268</v>
      </c>
      <c r="D143" s="91">
        <v>43312</v>
      </c>
      <c r="E143" s="92"/>
      <c r="F143" s="93"/>
      <c r="G143" s="93"/>
      <c r="H143" s="93">
        <v>1674</v>
      </c>
      <c r="I143" s="93">
        <v>1660</v>
      </c>
      <c r="J143" s="93"/>
      <c r="K143" s="93">
        <f t="shared" si="20"/>
        <v>0</v>
      </c>
      <c r="L143" s="93">
        <f t="shared" si="21"/>
        <v>0</v>
      </c>
      <c r="M143" s="94">
        <v>2.5</v>
      </c>
      <c r="N143" s="95" t="s">
        <v>17</v>
      </c>
      <c r="O143" s="93">
        <f t="shared" si="25"/>
        <v>0</v>
      </c>
      <c r="P143" s="93">
        <f t="shared" si="26"/>
        <v>0</v>
      </c>
      <c r="Q143" s="93">
        <f t="shared" si="27"/>
        <v>0</v>
      </c>
      <c r="R143" s="93">
        <f t="shared" si="22"/>
        <v>0</v>
      </c>
      <c r="S143" s="93">
        <f t="shared" si="23"/>
        <v>24</v>
      </c>
      <c r="T143" s="93">
        <f t="shared" si="28"/>
        <v>24</v>
      </c>
      <c r="U143" s="253">
        <f t="shared" si="24"/>
        <v>1636</v>
      </c>
      <c r="V143" s="93">
        <f t="shared" si="29"/>
        <v>0</v>
      </c>
    </row>
    <row r="144" spans="1:22" ht="18" customHeight="1" x14ac:dyDescent="0.2">
      <c r="A144" s="110" t="s">
        <v>269</v>
      </c>
      <c r="B144" s="111"/>
      <c r="C144" s="201" t="s">
        <v>270</v>
      </c>
      <c r="D144" s="91">
        <v>43315</v>
      </c>
      <c r="E144" s="92"/>
      <c r="F144" s="93"/>
      <c r="G144" s="93"/>
      <c r="H144" s="93">
        <v>531.25</v>
      </c>
      <c r="I144" s="93">
        <v>527.25</v>
      </c>
      <c r="J144" s="93"/>
      <c r="K144" s="93">
        <f t="shared" si="20"/>
        <v>0</v>
      </c>
      <c r="L144" s="93">
        <f t="shared" si="21"/>
        <v>0</v>
      </c>
      <c r="M144" s="94">
        <v>2.5</v>
      </c>
      <c r="N144" s="95" t="s">
        <v>17</v>
      </c>
      <c r="O144" s="93">
        <f t="shared" si="25"/>
        <v>0</v>
      </c>
      <c r="P144" s="93">
        <f t="shared" si="26"/>
        <v>0</v>
      </c>
      <c r="Q144" s="93">
        <f t="shared" si="27"/>
        <v>0</v>
      </c>
      <c r="R144" s="93">
        <f t="shared" si="22"/>
        <v>0</v>
      </c>
      <c r="S144" s="93">
        <f t="shared" si="23"/>
        <v>7</v>
      </c>
      <c r="T144" s="93">
        <f t="shared" si="28"/>
        <v>7</v>
      </c>
      <c r="U144" s="253">
        <f t="shared" si="24"/>
        <v>520.25</v>
      </c>
      <c r="V144" s="93">
        <f t="shared" si="29"/>
        <v>0</v>
      </c>
    </row>
    <row r="145" spans="1:22" ht="18" customHeight="1" x14ac:dyDescent="0.2">
      <c r="A145" s="110" t="s">
        <v>271</v>
      </c>
      <c r="B145" s="111"/>
      <c r="C145" s="201" t="s">
        <v>258</v>
      </c>
      <c r="D145" s="91">
        <v>43319</v>
      </c>
      <c r="E145" s="92"/>
      <c r="F145" s="93"/>
      <c r="G145" s="93"/>
      <c r="H145" s="93">
        <v>53941.08</v>
      </c>
      <c r="I145" s="93">
        <v>53512.08</v>
      </c>
      <c r="J145" s="93"/>
      <c r="K145" s="93">
        <f t="shared" si="20"/>
        <v>0</v>
      </c>
      <c r="L145" s="93">
        <f t="shared" si="21"/>
        <v>0</v>
      </c>
      <c r="M145" s="94">
        <v>2.5</v>
      </c>
      <c r="N145" s="95" t="s">
        <v>17</v>
      </c>
      <c r="O145" s="93">
        <f t="shared" si="25"/>
        <v>0</v>
      </c>
      <c r="P145" s="93">
        <f t="shared" si="26"/>
        <v>0</v>
      </c>
      <c r="Q145" s="93">
        <f t="shared" si="27"/>
        <v>0</v>
      </c>
      <c r="R145" s="93">
        <f t="shared" si="22"/>
        <v>0</v>
      </c>
      <c r="S145" s="93">
        <f t="shared" si="23"/>
        <v>786</v>
      </c>
      <c r="T145" s="93">
        <f t="shared" si="28"/>
        <v>786</v>
      </c>
      <c r="U145" s="253">
        <f t="shared" si="24"/>
        <v>52726.080000000002</v>
      </c>
      <c r="V145" s="93">
        <f t="shared" si="29"/>
        <v>0</v>
      </c>
    </row>
    <row r="146" spans="1:22" ht="18" customHeight="1" x14ac:dyDescent="0.2">
      <c r="A146" s="110" t="s">
        <v>272</v>
      </c>
      <c r="B146" s="111"/>
      <c r="C146" s="201" t="s">
        <v>273</v>
      </c>
      <c r="D146" s="91">
        <v>43340</v>
      </c>
      <c r="E146" s="92"/>
      <c r="F146" s="93"/>
      <c r="G146" s="93"/>
      <c r="H146" s="93">
        <v>2565</v>
      </c>
      <c r="I146" s="93">
        <v>2548</v>
      </c>
      <c r="J146" s="93"/>
      <c r="K146" s="93">
        <f t="shared" si="20"/>
        <v>0</v>
      </c>
      <c r="L146" s="93">
        <f t="shared" si="21"/>
        <v>0</v>
      </c>
      <c r="M146" s="94">
        <v>2.5</v>
      </c>
      <c r="N146" s="95" t="s">
        <v>17</v>
      </c>
      <c r="O146" s="93">
        <f t="shared" si="25"/>
        <v>0</v>
      </c>
      <c r="P146" s="93">
        <f t="shared" si="26"/>
        <v>0</v>
      </c>
      <c r="Q146" s="93">
        <f t="shared" si="27"/>
        <v>0</v>
      </c>
      <c r="R146" s="93">
        <f t="shared" si="22"/>
        <v>0</v>
      </c>
      <c r="S146" s="93">
        <f t="shared" si="23"/>
        <v>37</v>
      </c>
      <c r="T146" s="93">
        <f t="shared" si="28"/>
        <v>37</v>
      </c>
      <c r="U146" s="253">
        <f t="shared" si="24"/>
        <v>2511</v>
      </c>
      <c r="V146" s="93">
        <f t="shared" si="29"/>
        <v>0</v>
      </c>
    </row>
    <row r="147" spans="1:22" ht="18" customHeight="1" x14ac:dyDescent="0.2">
      <c r="A147" s="110" t="s">
        <v>274</v>
      </c>
      <c r="B147" s="111"/>
      <c r="C147" s="201" t="s">
        <v>268</v>
      </c>
      <c r="D147" s="91">
        <v>43343</v>
      </c>
      <c r="E147" s="92"/>
      <c r="F147" s="93"/>
      <c r="G147" s="93"/>
      <c r="H147" s="93">
        <v>1798</v>
      </c>
      <c r="I147" s="93">
        <v>1787</v>
      </c>
      <c r="J147" s="93"/>
      <c r="K147" s="93">
        <f t="shared" si="20"/>
        <v>0</v>
      </c>
      <c r="L147" s="93">
        <f t="shared" si="21"/>
        <v>0</v>
      </c>
      <c r="M147" s="94">
        <v>2.5</v>
      </c>
      <c r="N147" s="95" t="s">
        <v>17</v>
      </c>
      <c r="O147" s="93">
        <f t="shared" si="25"/>
        <v>0</v>
      </c>
      <c r="P147" s="93">
        <f t="shared" si="26"/>
        <v>0</v>
      </c>
      <c r="Q147" s="93">
        <f t="shared" si="27"/>
        <v>0</v>
      </c>
      <c r="R147" s="93">
        <f t="shared" si="22"/>
        <v>0</v>
      </c>
      <c r="S147" s="93">
        <f t="shared" si="23"/>
        <v>26</v>
      </c>
      <c r="T147" s="93">
        <f t="shared" si="28"/>
        <v>26</v>
      </c>
      <c r="U147" s="253">
        <f t="shared" si="24"/>
        <v>1761</v>
      </c>
      <c r="V147" s="93">
        <f t="shared" si="29"/>
        <v>0</v>
      </c>
    </row>
    <row r="148" spans="1:22" ht="18" customHeight="1" x14ac:dyDescent="0.2">
      <c r="A148" s="110" t="s">
        <v>275</v>
      </c>
      <c r="B148" s="111"/>
      <c r="C148" s="201" t="s">
        <v>258</v>
      </c>
      <c r="D148" s="91">
        <v>43350</v>
      </c>
      <c r="E148" s="92"/>
      <c r="F148" s="93"/>
      <c r="G148" s="93"/>
      <c r="H148" s="93">
        <v>64500.33</v>
      </c>
      <c r="I148" s="93">
        <v>64124.33</v>
      </c>
      <c r="J148" s="93"/>
      <c r="K148" s="93">
        <f t="shared" si="20"/>
        <v>0</v>
      </c>
      <c r="L148" s="93">
        <f t="shared" si="21"/>
        <v>0</v>
      </c>
      <c r="M148" s="94">
        <v>2.5</v>
      </c>
      <c r="N148" s="95" t="s">
        <v>17</v>
      </c>
      <c r="O148" s="93">
        <f t="shared" si="25"/>
        <v>0</v>
      </c>
      <c r="P148" s="93">
        <f t="shared" si="26"/>
        <v>0</v>
      </c>
      <c r="Q148" s="93">
        <f t="shared" si="27"/>
        <v>0</v>
      </c>
      <c r="R148" s="93">
        <f t="shared" si="22"/>
        <v>0</v>
      </c>
      <c r="S148" s="93">
        <f t="shared" si="23"/>
        <v>940</v>
      </c>
      <c r="T148" s="93">
        <f t="shared" si="28"/>
        <v>940</v>
      </c>
      <c r="U148" s="253">
        <f t="shared" si="24"/>
        <v>63184.33</v>
      </c>
      <c r="V148" s="93">
        <f t="shared" si="29"/>
        <v>0</v>
      </c>
    </row>
    <row r="149" spans="1:22" ht="18" customHeight="1" x14ac:dyDescent="0.2">
      <c r="A149" s="110" t="s">
        <v>276</v>
      </c>
      <c r="B149" s="111"/>
      <c r="C149" s="201" t="s">
        <v>277</v>
      </c>
      <c r="D149" s="91">
        <v>43356</v>
      </c>
      <c r="E149" s="92"/>
      <c r="F149" s="93"/>
      <c r="G149" s="93"/>
      <c r="H149" s="93">
        <v>4874.1500000000005</v>
      </c>
      <c r="I149" s="93">
        <v>4848.1500000000005</v>
      </c>
      <c r="J149" s="93"/>
      <c r="K149" s="93">
        <f t="shared" si="20"/>
        <v>0</v>
      </c>
      <c r="L149" s="93">
        <f t="shared" si="21"/>
        <v>0</v>
      </c>
      <c r="M149" s="94">
        <v>2.5</v>
      </c>
      <c r="N149" s="95" t="s">
        <v>17</v>
      </c>
      <c r="O149" s="93">
        <f t="shared" si="25"/>
        <v>0</v>
      </c>
      <c r="P149" s="93">
        <f t="shared" si="26"/>
        <v>0</v>
      </c>
      <c r="Q149" s="93">
        <f t="shared" si="27"/>
        <v>0</v>
      </c>
      <c r="R149" s="93">
        <f t="shared" si="22"/>
        <v>0</v>
      </c>
      <c r="S149" s="93">
        <f t="shared" si="23"/>
        <v>71</v>
      </c>
      <c r="T149" s="93">
        <f t="shared" si="28"/>
        <v>71</v>
      </c>
      <c r="U149" s="253">
        <f t="shared" si="24"/>
        <v>4777.1500000000005</v>
      </c>
      <c r="V149" s="93">
        <f t="shared" si="29"/>
        <v>0</v>
      </c>
    </row>
    <row r="150" spans="1:22" ht="18" customHeight="1" x14ac:dyDescent="0.2">
      <c r="A150" s="110" t="s">
        <v>278</v>
      </c>
      <c r="B150" s="111"/>
      <c r="C150" s="201" t="s">
        <v>258</v>
      </c>
      <c r="D150" s="91">
        <v>43375</v>
      </c>
      <c r="E150" s="92"/>
      <c r="F150" s="93"/>
      <c r="G150" s="93"/>
      <c r="H150" s="93">
        <v>42752.950000000004</v>
      </c>
      <c r="I150" s="93">
        <v>42576.950000000004</v>
      </c>
      <c r="J150" s="93"/>
      <c r="K150" s="93">
        <f t="shared" si="20"/>
        <v>0</v>
      </c>
      <c r="L150" s="93">
        <f t="shared" si="21"/>
        <v>0</v>
      </c>
      <c r="M150" s="94">
        <v>2.5</v>
      </c>
      <c r="N150" s="95" t="s">
        <v>17</v>
      </c>
      <c r="O150" s="93">
        <f t="shared" si="25"/>
        <v>0</v>
      </c>
      <c r="P150" s="93">
        <f t="shared" si="26"/>
        <v>0</v>
      </c>
      <c r="Q150" s="93">
        <f t="shared" si="27"/>
        <v>0</v>
      </c>
      <c r="R150" s="93">
        <f t="shared" si="22"/>
        <v>0</v>
      </c>
      <c r="S150" s="93">
        <f t="shared" si="23"/>
        <v>623</v>
      </c>
      <c r="T150" s="93">
        <f t="shared" si="28"/>
        <v>623</v>
      </c>
      <c r="U150" s="253">
        <f t="shared" si="24"/>
        <v>41953.950000000004</v>
      </c>
      <c r="V150" s="93">
        <f t="shared" si="29"/>
        <v>0</v>
      </c>
    </row>
    <row r="151" spans="1:22" ht="18" customHeight="1" x14ac:dyDescent="0.2">
      <c r="A151" s="110" t="s">
        <v>279</v>
      </c>
      <c r="B151" s="111"/>
      <c r="C151" s="90" t="s">
        <v>280</v>
      </c>
      <c r="D151" s="91">
        <v>43334</v>
      </c>
      <c r="E151" s="92"/>
      <c r="F151" s="93"/>
      <c r="G151" s="93"/>
      <c r="H151" s="93">
        <v>31700</v>
      </c>
      <c r="I151" s="93">
        <v>31481</v>
      </c>
      <c r="J151" s="93"/>
      <c r="K151" s="93">
        <f t="shared" si="20"/>
        <v>0</v>
      </c>
      <c r="L151" s="93">
        <f t="shared" si="21"/>
        <v>0</v>
      </c>
      <c r="M151" s="94">
        <v>2.5</v>
      </c>
      <c r="N151" s="95" t="s">
        <v>17</v>
      </c>
      <c r="O151" s="93">
        <f t="shared" si="25"/>
        <v>0</v>
      </c>
      <c r="P151" s="93">
        <f t="shared" si="26"/>
        <v>0</v>
      </c>
      <c r="Q151" s="93">
        <f t="shared" si="27"/>
        <v>0</v>
      </c>
      <c r="R151" s="93">
        <f t="shared" si="22"/>
        <v>0</v>
      </c>
      <c r="S151" s="93">
        <f t="shared" si="23"/>
        <v>462</v>
      </c>
      <c r="T151" s="93">
        <f t="shared" si="28"/>
        <v>462</v>
      </c>
      <c r="U151" s="253">
        <f t="shared" si="24"/>
        <v>31019</v>
      </c>
      <c r="V151" s="93">
        <f t="shared" si="29"/>
        <v>0</v>
      </c>
    </row>
    <row r="152" spans="1:22" ht="18" customHeight="1" x14ac:dyDescent="0.2">
      <c r="A152" s="110" t="s">
        <v>281</v>
      </c>
      <c r="B152" s="111"/>
      <c r="C152" s="90" t="s">
        <v>282</v>
      </c>
      <c r="D152" s="91">
        <v>43374</v>
      </c>
      <c r="E152" s="92"/>
      <c r="F152" s="93"/>
      <c r="G152" s="93"/>
      <c r="H152" s="93">
        <v>9587.5</v>
      </c>
      <c r="I152" s="93">
        <v>9547.5</v>
      </c>
      <c r="J152" s="93"/>
      <c r="K152" s="93">
        <f t="shared" si="20"/>
        <v>0</v>
      </c>
      <c r="L152" s="93">
        <f t="shared" si="21"/>
        <v>0</v>
      </c>
      <c r="M152" s="94">
        <v>2.5</v>
      </c>
      <c r="N152" s="95" t="s">
        <v>17</v>
      </c>
      <c r="O152" s="93">
        <f t="shared" si="25"/>
        <v>0</v>
      </c>
      <c r="P152" s="93">
        <f t="shared" si="26"/>
        <v>0</v>
      </c>
      <c r="Q152" s="93">
        <f t="shared" si="27"/>
        <v>0</v>
      </c>
      <c r="R152" s="93">
        <f t="shared" si="22"/>
        <v>0</v>
      </c>
      <c r="S152" s="93">
        <f t="shared" si="23"/>
        <v>139</v>
      </c>
      <c r="T152" s="93">
        <f t="shared" si="28"/>
        <v>139</v>
      </c>
      <c r="U152" s="253">
        <f t="shared" si="24"/>
        <v>9408.5</v>
      </c>
      <c r="V152" s="93">
        <f t="shared" si="29"/>
        <v>0</v>
      </c>
    </row>
    <row r="153" spans="1:22" ht="18" customHeight="1" x14ac:dyDescent="0.2">
      <c r="A153" s="110" t="s">
        <v>283</v>
      </c>
      <c r="B153" s="111"/>
      <c r="C153" s="201" t="s">
        <v>284</v>
      </c>
      <c r="D153" s="91">
        <v>43404</v>
      </c>
      <c r="E153" s="92"/>
      <c r="F153" s="93"/>
      <c r="G153" s="93"/>
      <c r="H153" s="93">
        <v>1040</v>
      </c>
      <c r="I153" s="93">
        <v>1038</v>
      </c>
      <c r="J153" s="93"/>
      <c r="K153" s="93">
        <f t="shared" si="20"/>
        <v>0</v>
      </c>
      <c r="L153" s="93">
        <f t="shared" si="21"/>
        <v>0</v>
      </c>
      <c r="M153" s="94">
        <v>2.5</v>
      </c>
      <c r="N153" s="95" t="s">
        <v>17</v>
      </c>
      <c r="O153" s="93">
        <f t="shared" si="25"/>
        <v>0</v>
      </c>
      <c r="P153" s="93">
        <f t="shared" si="26"/>
        <v>0</v>
      </c>
      <c r="Q153" s="93">
        <f t="shared" si="27"/>
        <v>0</v>
      </c>
      <c r="R153" s="93">
        <f t="shared" si="22"/>
        <v>0</v>
      </c>
      <c r="S153" s="93">
        <f t="shared" si="23"/>
        <v>15</v>
      </c>
      <c r="T153" s="93">
        <f t="shared" si="28"/>
        <v>15</v>
      </c>
      <c r="U153" s="253">
        <f t="shared" si="24"/>
        <v>1023</v>
      </c>
      <c r="V153" s="93">
        <f t="shared" si="29"/>
        <v>0</v>
      </c>
    </row>
    <row r="154" spans="1:22" ht="18" customHeight="1" x14ac:dyDescent="0.2">
      <c r="A154" s="110">
        <v>740147</v>
      </c>
      <c r="B154" s="111"/>
      <c r="C154" s="201" t="s">
        <v>2039</v>
      </c>
      <c r="D154" s="91">
        <v>43502</v>
      </c>
      <c r="E154" s="92"/>
      <c r="F154" s="93"/>
      <c r="G154" s="93"/>
      <c r="H154" s="93"/>
      <c r="I154" s="93"/>
      <c r="J154" s="93">
        <v>31026.7</v>
      </c>
      <c r="K154" s="93">
        <f t="shared" ref="K154:K160" si="30">INT(IF($E154&gt;0,IF(+F154-I154+Q154&lt;0,0,+F154-I154+Q154),0))</f>
        <v>0</v>
      </c>
      <c r="L154" s="93">
        <f t="shared" ref="L154:L160" si="31">INT(IF($E154&gt;0,IF(K154=0,-F154+I154-Q154,0),0))</f>
        <v>0</v>
      </c>
      <c r="M154" s="94">
        <v>2.5</v>
      </c>
      <c r="N154" s="95" t="s">
        <v>17</v>
      </c>
      <c r="O154" s="93">
        <f t="shared" ref="O154:O160" si="32">IF(E154&gt;0,INT(IF($N154="D",IF($D154&lt;$H$3,$I154*($M154/100)*((E154-$H$3)/365),$J154*($M154/100)*($J$3-$D154)/365),0)),0)</f>
        <v>0</v>
      </c>
      <c r="P154" s="93">
        <f t="shared" ref="P154:P160" si="33">IF(E154&gt;0,INT(IF($N154="P",IF($D154&lt;$H$3,$H154*($M154/100)*(E154-$H$3)/365,$J154*($M154/100)*($J$3-$D154)/365),0)),0)</f>
        <v>0</v>
      </c>
      <c r="Q154" s="93">
        <f t="shared" ref="Q154:Q160" si="34">+O154+P154</f>
        <v>0</v>
      </c>
      <c r="R154" s="93">
        <f t="shared" si="22"/>
        <v>0</v>
      </c>
      <c r="S154" s="93">
        <f t="shared" si="23"/>
        <v>306</v>
      </c>
      <c r="T154" s="93">
        <f t="shared" ref="T154:T160" si="35">+R154+S154+Q154</f>
        <v>306</v>
      </c>
      <c r="U154" s="253">
        <f t="shared" ref="U154:U160" si="36">+I154+J154-T154-F154+K154-L154</f>
        <v>30720.7</v>
      </c>
      <c r="V154" s="93">
        <f t="shared" si="29"/>
        <v>0</v>
      </c>
    </row>
    <row r="155" spans="1:22" ht="18" customHeight="1" x14ac:dyDescent="0.2">
      <c r="A155" s="110">
        <v>740148</v>
      </c>
      <c r="B155" s="111"/>
      <c r="C155" s="201" t="s">
        <v>2040</v>
      </c>
      <c r="D155" s="91">
        <v>43566</v>
      </c>
      <c r="E155" s="92"/>
      <c r="F155" s="93"/>
      <c r="G155" s="93"/>
      <c r="H155" s="93"/>
      <c r="I155" s="93"/>
      <c r="J155" s="93">
        <v>13485.26</v>
      </c>
      <c r="K155" s="93">
        <f t="shared" si="30"/>
        <v>0</v>
      </c>
      <c r="L155" s="93">
        <f t="shared" si="31"/>
        <v>0</v>
      </c>
      <c r="M155" s="94">
        <v>2.5</v>
      </c>
      <c r="N155" s="95" t="s">
        <v>17</v>
      </c>
      <c r="O155" s="93">
        <f t="shared" si="32"/>
        <v>0</v>
      </c>
      <c r="P155" s="93">
        <f t="shared" si="33"/>
        <v>0</v>
      </c>
      <c r="Q155" s="93">
        <f t="shared" si="34"/>
        <v>0</v>
      </c>
      <c r="R155" s="93">
        <f t="shared" si="22"/>
        <v>0</v>
      </c>
      <c r="S155" s="93">
        <f t="shared" si="23"/>
        <v>73</v>
      </c>
      <c r="T155" s="93">
        <f t="shared" si="35"/>
        <v>73</v>
      </c>
      <c r="U155" s="253">
        <f t="shared" si="36"/>
        <v>13412.26</v>
      </c>
      <c r="V155" s="93">
        <f t="shared" si="29"/>
        <v>0</v>
      </c>
    </row>
    <row r="156" spans="1:22" ht="18" customHeight="1" x14ac:dyDescent="0.2">
      <c r="A156" s="110">
        <v>740149</v>
      </c>
      <c r="B156" s="111"/>
      <c r="C156" s="201" t="s">
        <v>2041</v>
      </c>
      <c r="D156" s="91">
        <v>43585</v>
      </c>
      <c r="E156" s="92"/>
      <c r="F156" s="93"/>
      <c r="G156" s="93"/>
      <c r="H156" s="93"/>
      <c r="I156" s="93"/>
      <c r="J156" s="93">
        <v>23909.5</v>
      </c>
      <c r="K156" s="93">
        <f t="shared" si="30"/>
        <v>0</v>
      </c>
      <c r="L156" s="93">
        <f t="shared" si="31"/>
        <v>0</v>
      </c>
      <c r="M156" s="94">
        <v>2.5</v>
      </c>
      <c r="N156" s="95" t="s">
        <v>17</v>
      </c>
      <c r="O156" s="93">
        <f t="shared" si="32"/>
        <v>0</v>
      </c>
      <c r="P156" s="93">
        <f t="shared" si="33"/>
        <v>0</v>
      </c>
      <c r="Q156" s="93">
        <f t="shared" si="34"/>
        <v>0</v>
      </c>
      <c r="R156" s="93">
        <f t="shared" si="22"/>
        <v>0</v>
      </c>
      <c r="S156" s="93">
        <f t="shared" si="23"/>
        <v>99</v>
      </c>
      <c r="T156" s="93">
        <f t="shared" si="35"/>
        <v>99</v>
      </c>
      <c r="U156" s="253">
        <f t="shared" si="36"/>
        <v>23810.5</v>
      </c>
      <c r="V156" s="93">
        <f t="shared" si="29"/>
        <v>0</v>
      </c>
    </row>
    <row r="157" spans="1:22" ht="18" customHeight="1" x14ac:dyDescent="0.2">
      <c r="A157" s="110">
        <v>740150</v>
      </c>
      <c r="B157" s="111"/>
      <c r="C157" s="201" t="s">
        <v>53</v>
      </c>
      <c r="D157" s="91">
        <v>43622</v>
      </c>
      <c r="E157" s="92"/>
      <c r="F157" s="93"/>
      <c r="G157" s="93"/>
      <c r="H157" s="93"/>
      <c r="I157" s="93"/>
      <c r="J157" s="93">
        <v>29309.15</v>
      </c>
      <c r="K157" s="93">
        <f t="shared" si="30"/>
        <v>0</v>
      </c>
      <c r="L157" s="93">
        <f t="shared" si="31"/>
        <v>0</v>
      </c>
      <c r="M157" s="94">
        <v>2.5</v>
      </c>
      <c r="N157" s="95" t="s">
        <v>17</v>
      </c>
      <c r="O157" s="93">
        <f t="shared" si="32"/>
        <v>0</v>
      </c>
      <c r="P157" s="93">
        <f t="shared" si="33"/>
        <v>0</v>
      </c>
      <c r="Q157" s="93">
        <f t="shared" si="34"/>
        <v>0</v>
      </c>
      <c r="R157" s="93">
        <f t="shared" si="22"/>
        <v>0</v>
      </c>
      <c r="S157" s="93">
        <f t="shared" si="23"/>
        <v>48</v>
      </c>
      <c r="T157" s="93">
        <f t="shared" si="35"/>
        <v>48</v>
      </c>
      <c r="U157" s="253">
        <f t="shared" si="36"/>
        <v>29261.15</v>
      </c>
      <c r="V157" s="93">
        <f t="shared" si="29"/>
        <v>0</v>
      </c>
    </row>
    <row r="158" spans="1:22" ht="18" customHeight="1" x14ac:dyDescent="0.2">
      <c r="A158" s="110">
        <v>740151</v>
      </c>
      <c r="B158" s="111"/>
      <c r="C158" s="201" t="s">
        <v>2042</v>
      </c>
      <c r="D158" s="91">
        <v>43617</v>
      </c>
      <c r="E158" s="92"/>
      <c r="F158" s="93"/>
      <c r="G158" s="93"/>
      <c r="H158" s="93"/>
      <c r="I158" s="93"/>
      <c r="J158" s="93">
        <v>38976.42</v>
      </c>
      <c r="K158" s="93">
        <f t="shared" si="30"/>
        <v>0</v>
      </c>
      <c r="L158" s="93">
        <f t="shared" si="31"/>
        <v>0</v>
      </c>
      <c r="M158" s="94">
        <v>2.5</v>
      </c>
      <c r="N158" s="95" t="s">
        <v>17</v>
      </c>
      <c r="O158" s="93">
        <f t="shared" si="32"/>
        <v>0</v>
      </c>
      <c r="P158" s="93">
        <f t="shared" si="33"/>
        <v>0</v>
      </c>
      <c r="Q158" s="93">
        <f t="shared" si="34"/>
        <v>0</v>
      </c>
      <c r="R158" s="93">
        <f t="shared" si="22"/>
        <v>0</v>
      </c>
      <c r="S158" s="93">
        <f t="shared" si="23"/>
        <v>77</v>
      </c>
      <c r="T158" s="93">
        <f t="shared" si="35"/>
        <v>77</v>
      </c>
      <c r="U158" s="253">
        <f t="shared" si="36"/>
        <v>38899.42</v>
      </c>
      <c r="V158" s="93">
        <f t="shared" si="29"/>
        <v>0</v>
      </c>
    </row>
    <row r="159" spans="1:22" ht="18" customHeight="1" x14ac:dyDescent="0.2">
      <c r="A159" s="110">
        <v>740152</v>
      </c>
      <c r="B159" s="111"/>
      <c r="C159" s="201" t="s">
        <v>1877</v>
      </c>
      <c r="D159" s="91">
        <v>43497</v>
      </c>
      <c r="E159" s="92"/>
      <c r="F159" s="93"/>
      <c r="G159" s="93"/>
      <c r="H159" s="93"/>
      <c r="I159" s="93"/>
      <c r="J159" s="93">
        <v>14080</v>
      </c>
      <c r="K159" s="93">
        <f t="shared" si="30"/>
        <v>0</v>
      </c>
      <c r="L159" s="93">
        <f t="shared" si="31"/>
        <v>0</v>
      </c>
      <c r="M159" s="94">
        <v>2.5</v>
      </c>
      <c r="N159" s="95" t="s">
        <v>17</v>
      </c>
      <c r="O159" s="93">
        <f t="shared" si="32"/>
        <v>0</v>
      </c>
      <c r="P159" s="93">
        <f t="shared" si="33"/>
        <v>0</v>
      </c>
      <c r="Q159" s="93">
        <f t="shared" si="34"/>
        <v>0</v>
      </c>
      <c r="R159" s="93">
        <f t="shared" si="22"/>
        <v>0</v>
      </c>
      <c r="S159" s="93">
        <f t="shared" si="23"/>
        <v>143</v>
      </c>
      <c r="T159" s="93">
        <f t="shared" si="35"/>
        <v>143</v>
      </c>
      <c r="U159" s="253">
        <f t="shared" si="36"/>
        <v>13937</v>
      </c>
      <c r="V159" s="93">
        <f t="shared" si="29"/>
        <v>0</v>
      </c>
    </row>
    <row r="160" spans="1:22" ht="18" customHeight="1" x14ac:dyDescent="0.2">
      <c r="A160" s="110">
        <v>740153</v>
      </c>
      <c r="B160" s="111"/>
      <c r="C160" s="201"/>
      <c r="D160" s="91"/>
      <c r="E160" s="92"/>
      <c r="F160" s="93"/>
      <c r="G160" s="93"/>
      <c r="H160" s="93"/>
      <c r="I160" s="93"/>
      <c r="J160" s="93"/>
      <c r="K160" s="93">
        <f t="shared" si="30"/>
        <v>0</v>
      </c>
      <c r="L160" s="93">
        <f t="shared" si="31"/>
        <v>0</v>
      </c>
      <c r="M160" s="94">
        <v>2.5</v>
      </c>
      <c r="N160" s="95" t="s">
        <v>17</v>
      </c>
      <c r="O160" s="93">
        <f t="shared" si="32"/>
        <v>0</v>
      </c>
      <c r="P160" s="93">
        <f t="shared" si="33"/>
        <v>0</v>
      </c>
      <c r="Q160" s="93">
        <f t="shared" si="34"/>
        <v>0</v>
      </c>
      <c r="R160" s="93">
        <f t="shared" si="22"/>
        <v>0</v>
      </c>
      <c r="S160" s="93">
        <f t="shared" si="23"/>
        <v>0</v>
      </c>
      <c r="T160" s="93">
        <f t="shared" si="35"/>
        <v>0</v>
      </c>
      <c r="U160" s="253">
        <f t="shared" si="36"/>
        <v>0</v>
      </c>
      <c r="V160" s="93">
        <f t="shared" si="29"/>
        <v>0</v>
      </c>
    </row>
    <row r="161" spans="1:24" ht="18" customHeight="1" x14ac:dyDescent="0.2">
      <c r="A161" s="110"/>
      <c r="B161" s="111"/>
      <c r="C161" s="201"/>
      <c r="D161" s="91"/>
      <c r="E161" s="92"/>
      <c r="F161" s="93"/>
      <c r="G161" s="93"/>
      <c r="H161" s="93"/>
      <c r="I161" s="93"/>
      <c r="J161" s="93"/>
      <c r="K161" s="93"/>
      <c r="L161" s="93"/>
      <c r="M161" s="94"/>
      <c r="N161" s="95"/>
      <c r="O161" s="93"/>
      <c r="P161" s="93"/>
      <c r="Q161" s="93"/>
      <c r="R161" s="93"/>
      <c r="S161" s="93"/>
      <c r="T161" s="93"/>
      <c r="U161" s="253"/>
      <c r="V161" s="93"/>
    </row>
    <row r="162" spans="1:24" ht="18" customHeight="1" x14ac:dyDescent="0.2">
      <c r="A162" s="204"/>
      <c r="B162" s="205"/>
      <c r="C162" s="206" t="s">
        <v>2043</v>
      </c>
      <c r="D162" s="207"/>
      <c r="E162" s="92"/>
      <c r="F162" s="93"/>
      <c r="G162" s="93"/>
      <c r="H162" s="208">
        <f>+J163</f>
        <v>150787.02999999997</v>
      </c>
      <c r="I162" s="209"/>
      <c r="J162" s="209"/>
      <c r="K162" s="209"/>
      <c r="L162" s="209"/>
      <c r="M162" s="210"/>
      <c r="N162" s="95"/>
      <c r="O162" s="95"/>
      <c r="P162" s="209"/>
      <c r="Q162" s="209"/>
      <c r="R162" s="95"/>
      <c r="S162" s="209"/>
      <c r="T162" s="209"/>
      <c r="U162" s="254"/>
      <c r="V162" s="209"/>
    </row>
    <row r="163" spans="1:24" s="14" customFormat="1" ht="18" customHeight="1" x14ac:dyDescent="0.2">
      <c r="A163" s="211"/>
      <c r="B163" s="212"/>
      <c r="C163" s="213" t="s">
        <v>1638</v>
      </c>
      <c r="D163" s="214"/>
      <c r="E163" s="215"/>
      <c r="F163" s="208">
        <f t="shared" ref="F163:L163" si="37">SUM(F8:F162)</f>
        <v>0</v>
      </c>
      <c r="G163" s="208">
        <f t="shared" si="37"/>
        <v>0</v>
      </c>
      <c r="H163" s="208">
        <f t="shared" si="37"/>
        <v>2078367.5</v>
      </c>
      <c r="I163" s="208">
        <f t="shared" si="37"/>
        <v>1842602.4699999997</v>
      </c>
      <c r="J163" s="208">
        <f t="shared" si="37"/>
        <v>150787.02999999997</v>
      </c>
      <c r="K163" s="208">
        <f t="shared" si="37"/>
        <v>0</v>
      </c>
      <c r="L163" s="208">
        <f t="shared" si="37"/>
        <v>0</v>
      </c>
      <c r="M163" s="216"/>
      <c r="N163" s="217"/>
      <c r="O163" s="208">
        <f>SUM(O8:O162)</f>
        <v>0</v>
      </c>
      <c r="P163" s="208">
        <f>SUM(P8:P162)</f>
        <v>0</v>
      </c>
      <c r="Q163" s="208"/>
      <c r="R163" s="208">
        <f>SUM(R8:R162)</f>
        <v>0</v>
      </c>
      <c r="S163" s="208">
        <f>SUM(S8:S162)</f>
        <v>28780</v>
      </c>
      <c r="T163" s="208">
        <f>SUM(T8:T162)</f>
        <v>28780</v>
      </c>
      <c r="U163" s="255">
        <f>SUM(U8:U162)</f>
        <v>1964609.4999999993</v>
      </c>
      <c r="V163" s="208">
        <f>SUM(V8:V162)</f>
        <v>0</v>
      </c>
      <c r="X163" s="14">
        <f>2078367.5-113758</f>
        <v>1964609.5</v>
      </c>
    </row>
    <row r="164" spans="1:24" s="14" customFormat="1" ht="18" customHeight="1" x14ac:dyDescent="0.2">
      <c r="A164" s="211"/>
      <c r="B164" s="212"/>
      <c r="C164" s="218"/>
      <c r="D164" s="206"/>
      <c r="E164" s="219"/>
      <c r="F164" s="208"/>
      <c r="G164" s="208"/>
      <c r="H164" s="220"/>
      <c r="I164" s="220"/>
      <c r="J164" s="208"/>
      <c r="K164" s="208"/>
      <c r="L164" s="220"/>
      <c r="M164" s="216"/>
      <c r="N164" s="217"/>
      <c r="O164" s="217"/>
      <c r="P164" s="208"/>
      <c r="Q164" s="208"/>
      <c r="R164" s="217"/>
      <c r="S164" s="208">
        <v>18420</v>
      </c>
      <c r="T164" s="208"/>
      <c r="U164" s="255"/>
      <c r="V164" s="208"/>
    </row>
    <row r="165" spans="1:24" ht="18" customHeight="1" x14ac:dyDescent="0.2">
      <c r="A165" s="221" t="s">
        <v>285</v>
      </c>
      <c r="B165" s="222"/>
      <c r="C165" s="210"/>
      <c r="D165" s="218"/>
      <c r="E165" s="223"/>
      <c r="F165" s="224"/>
      <c r="G165" s="224"/>
      <c r="H165" s="224"/>
      <c r="I165" s="224"/>
      <c r="J165" s="224"/>
      <c r="K165" s="224"/>
      <c r="L165" s="224"/>
      <c r="M165" s="218"/>
      <c r="N165" s="225"/>
      <c r="O165" s="225"/>
      <c r="P165" s="224"/>
      <c r="Q165" s="224"/>
      <c r="R165" s="225"/>
      <c r="S165" s="224"/>
      <c r="T165" s="224"/>
      <c r="U165" s="254"/>
      <c r="V165" s="209"/>
    </row>
    <row r="166" spans="1:24" ht="18" customHeight="1" x14ac:dyDescent="0.2">
      <c r="A166" s="226" t="s">
        <v>286</v>
      </c>
      <c r="B166" s="205"/>
      <c r="C166" s="210"/>
      <c r="D166" s="210"/>
      <c r="E166" s="227"/>
      <c r="F166" s="209"/>
      <c r="G166" s="209"/>
      <c r="H166" s="209"/>
      <c r="I166" s="209"/>
      <c r="J166" s="209"/>
      <c r="K166" s="209"/>
      <c r="L166" s="209"/>
      <c r="M166" s="210"/>
      <c r="N166" s="95"/>
      <c r="O166" s="95"/>
      <c r="P166" s="209"/>
      <c r="Q166" s="209"/>
      <c r="R166" s="95"/>
      <c r="S166" s="209"/>
      <c r="T166" s="209"/>
      <c r="U166" s="254"/>
      <c r="V166" s="209"/>
    </row>
    <row r="167" spans="1:24" ht="18" customHeight="1" x14ac:dyDescent="0.2">
      <c r="A167" s="110" t="s">
        <v>287</v>
      </c>
      <c r="B167" s="111"/>
      <c r="C167" s="203" t="s">
        <v>288</v>
      </c>
      <c r="D167" s="91">
        <v>37778</v>
      </c>
      <c r="E167" s="92"/>
      <c r="F167" s="93"/>
      <c r="G167" s="209"/>
      <c r="H167" s="93">
        <v>6000</v>
      </c>
      <c r="I167" s="93">
        <v>2710</v>
      </c>
      <c r="J167" s="93"/>
      <c r="K167" s="93">
        <f t="shared" ref="K167:K186" si="38">INT(IF($E167&gt;0,IF(+F167-I167+Q167&lt;0,0,+F167-I167+Q167),0))</f>
        <v>0</v>
      </c>
      <c r="L167" s="93">
        <f t="shared" ref="L167:L186" si="39">INT(IF($E167&gt;0,IF(K167=0,-F167+I167-Q167,0),0))</f>
        <v>0</v>
      </c>
      <c r="M167" s="94">
        <v>5</v>
      </c>
      <c r="N167" s="95" t="s">
        <v>289</v>
      </c>
      <c r="O167" s="93">
        <f>IF(E167&gt;0,INT(IF($N167="D",IF($D167&lt;$H$3,$I167*($M167/100)*((E167-$H$3)/365),$J167*($M167/100)*($J$3-$D167)/365),0)),0)</f>
        <v>0</v>
      </c>
      <c r="P167" s="93">
        <f>IF(E167&gt;0,INT(IF($N167="P",IF($D167&lt;$H$3,$H167*($M167/100)*(E167-$H$3)/365,$J167*($M167/100)*($J$3-$D167)/365),0)),0)</f>
        <v>0</v>
      </c>
      <c r="Q167" s="93">
        <f>+O167+P167</f>
        <v>0</v>
      </c>
      <c r="R167" s="93">
        <f>INT(IF($E167&gt;0,0,(IF($N167="D",IF($D167&lt;$H$3,$I167*($M167/100)*$U$3/12,$J167*($M167/100)*($J$3-$D167)/365),0))))</f>
        <v>79</v>
      </c>
      <c r="S167" s="93">
        <f>INT(IF($E167&gt;0,0,(IF($N167="P",IF($D167&lt;$H$3,$H167*($M167/100)*$U$3/12,$J167*($M167/100)*($J$3-$D167)/365),0))))</f>
        <v>0</v>
      </c>
      <c r="T167" s="93">
        <f t="shared" ref="T167:T186" si="40">+R167+S167+Q167</f>
        <v>79</v>
      </c>
      <c r="U167" s="253">
        <f t="shared" ref="U167:U230" si="41">+I167+J167-T167-F167+K167-L167</f>
        <v>2631</v>
      </c>
      <c r="V167" s="93">
        <f t="shared" ref="V167:V230" si="42">IF(E167&gt;0,+H167+J167,0)</f>
        <v>0</v>
      </c>
    </row>
    <row r="168" spans="1:24" ht="18" customHeight="1" x14ac:dyDescent="0.2">
      <c r="A168" s="110" t="s">
        <v>290</v>
      </c>
      <c r="B168" s="111"/>
      <c r="C168" s="201" t="s">
        <v>291</v>
      </c>
      <c r="D168" s="91">
        <v>37778</v>
      </c>
      <c r="E168" s="92"/>
      <c r="F168" s="93"/>
      <c r="G168" s="93"/>
      <c r="H168" s="93">
        <v>3500</v>
      </c>
      <c r="I168" s="93">
        <v>1581</v>
      </c>
      <c r="J168" s="93"/>
      <c r="K168" s="93">
        <f t="shared" si="38"/>
        <v>0</v>
      </c>
      <c r="L168" s="93">
        <f t="shared" si="39"/>
        <v>0</v>
      </c>
      <c r="M168" s="94">
        <v>5</v>
      </c>
      <c r="N168" s="95" t="s">
        <v>289</v>
      </c>
      <c r="O168" s="93">
        <f t="shared" ref="O168:O230" si="43">IF(E168&gt;0,INT(IF($N168="D",IF($D168&lt;$H$3,$I168*($M168/100)*((E168-$H$3)/365),$J168*($M168/100)*($J$3-$D168)/365),0)),0)</f>
        <v>0</v>
      </c>
      <c r="P168" s="93">
        <f t="shared" ref="P168:P230" si="44">IF(E168&gt;0,INT(IF($N168="P",IF($D168&lt;$H$3,$H168*($M168/100)*(E168-$H$3)/365,$J168*($M168/100)*($J$3-$D168)/365),0)),0)</f>
        <v>0</v>
      </c>
      <c r="Q168" s="93">
        <f t="shared" ref="Q168:Q230" si="45">+O168+P168</f>
        <v>0</v>
      </c>
      <c r="R168" s="93">
        <f t="shared" ref="R168:R230" si="46">INT(IF($E168&gt;0,0,(IF($N168="D",IF($D168&lt;$H$3,$I168*($M168/100)*$U$3/12,$J168*($M168/100)*($J$3-$D168)/365),0))))</f>
        <v>46</v>
      </c>
      <c r="S168" s="93">
        <f t="shared" ref="S168:S230" si="47">INT(IF($E168&gt;0,0,(IF($N168="P",IF($D168&lt;$H$3,$H168*($M168/100)*$U$3/12,$J168*($M168/100)*($J$3-$D168)/365),0))))</f>
        <v>0</v>
      </c>
      <c r="T168" s="93">
        <f t="shared" si="40"/>
        <v>46</v>
      </c>
      <c r="U168" s="253">
        <f t="shared" si="41"/>
        <v>1535</v>
      </c>
      <c r="V168" s="93">
        <f t="shared" si="42"/>
        <v>0</v>
      </c>
    </row>
    <row r="169" spans="1:24" ht="18" customHeight="1" x14ac:dyDescent="0.2">
      <c r="A169" s="110" t="s">
        <v>292</v>
      </c>
      <c r="B169" s="111"/>
      <c r="C169" s="201" t="s">
        <v>293</v>
      </c>
      <c r="D169" s="91">
        <v>37771</v>
      </c>
      <c r="E169" s="92"/>
      <c r="F169" s="93"/>
      <c r="G169" s="93"/>
      <c r="H169" s="93">
        <v>1000</v>
      </c>
      <c r="I169" s="93">
        <v>0</v>
      </c>
      <c r="J169" s="93"/>
      <c r="K169" s="93">
        <f t="shared" si="38"/>
        <v>0</v>
      </c>
      <c r="L169" s="93">
        <f t="shared" si="39"/>
        <v>0</v>
      </c>
      <c r="M169" s="94">
        <v>5</v>
      </c>
      <c r="N169" s="95" t="s">
        <v>289</v>
      </c>
      <c r="O169" s="93">
        <f t="shared" si="43"/>
        <v>0</v>
      </c>
      <c r="P169" s="93">
        <f t="shared" si="44"/>
        <v>0</v>
      </c>
      <c r="Q169" s="93">
        <f t="shared" si="45"/>
        <v>0</v>
      </c>
      <c r="R169" s="93">
        <f t="shared" si="46"/>
        <v>0</v>
      </c>
      <c r="S169" s="93">
        <f t="shared" si="47"/>
        <v>0</v>
      </c>
      <c r="T169" s="93">
        <f t="shared" si="40"/>
        <v>0</v>
      </c>
      <c r="U169" s="253">
        <f t="shared" si="41"/>
        <v>0</v>
      </c>
      <c r="V169" s="93">
        <f t="shared" si="42"/>
        <v>0</v>
      </c>
    </row>
    <row r="170" spans="1:24" ht="18" customHeight="1" x14ac:dyDescent="0.2">
      <c r="A170" s="110" t="s">
        <v>294</v>
      </c>
      <c r="B170" s="111"/>
      <c r="C170" s="201" t="s">
        <v>295</v>
      </c>
      <c r="D170" s="91">
        <v>37802</v>
      </c>
      <c r="E170" s="92">
        <v>43646</v>
      </c>
      <c r="F170" s="93"/>
      <c r="G170" s="93"/>
      <c r="H170" s="93">
        <v>135.81</v>
      </c>
      <c r="I170" s="93">
        <v>0</v>
      </c>
      <c r="J170" s="93"/>
      <c r="K170" s="93">
        <f t="shared" si="38"/>
        <v>0</v>
      </c>
      <c r="L170" s="93">
        <f t="shared" si="39"/>
        <v>0</v>
      </c>
      <c r="M170" s="94">
        <v>20</v>
      </c>
      <c r="N170" s="95" t="s">
        <v>289</v>
      </c>
      <c r="O170" s="93">
        <f t="shared" si="43"/>
        <v>0</v>
      </c>
      <c r="P170" s="93">
        <f t="shared" si="44"/>
        <v>0</v>
      </c>
      <c r="Q170" s="93">
        <f t="shared" si="45"/>
        <v>0</v>
      </c>
      <c r="R170" s="93">
        <f t="shared" si="46"/>
        <v>0</v>
      </c>
      <c r="S170" s="93">
        <f t="shared" si="47"/>
        <v>0</v>
      </c>
      <c r="T170" s="93">
        <f t="shared" si="40"/>
        <v>0</v>
      </c>
      <c r="U170" s="253">
        <f t="shared" si="41"/>
        <v>0</v>
      </c>
      <c r="V170" s="93">
        <f t="shared" si="42"/>
        <v>135.81</v>
      </c>
    </row>
    <row r="171" spans="1:24" ht="18" customHeight="1" x14ac:dyDescent="0.2">
      <c r="A171" s="110" t="s">
        <v>296</v>
      </c>
      <c r="B171" s="111"/>
      <c r="C171" s="201" t="s">
        <v>286</v>
      </c>
      <c r="D171" s="91">
        <v>40360</v>
      </c>
      <c r="E171" s="92"/>
      <c r="F171" s="93"/>
      <c r="G171" s="93"/>
      <c r="H171" s="93">
        <v>1583</v>
      </c>
      <c r="I171" s="93">
        <v>0</v>
      </c>
      <c r="J171" s="93"/>
      <c r="K171" s="93">
        <f t="shared" si="38"/>
        <v>0</v>
      </c>
      <c r="L171" s="93">
        <f t="shared" si="39"/>
        <v>0</v>
      </c>
      <c r="M171" s="94">
        <v>100</v>
      </c>
      <c r="N171" s="95" t="s">
        <v>289</v>
      </c>
      <c r="O171" s="93">
        <f t="shared" si="43"/>
        <v>0</v>
      </c>
      <c r="P171" s="93">
        <f t="shared" si="44"/>
        <v>0</v>
      </c>
      <c r="Q171" s="93">
        <f t="shared" si="45"/>
        <v>0</v>
      </c>
      <c r="R171" s="93">
        <f t="shared" si="46"/>
        <v>0</v>
      </c>
      <c r="S171" s="93">
        <f t="shared" si="47"/>
        <v>0</v>
      </c>
      <c r="T171" s="93">
        <f t="shared" si="40"/>
        <v>0</v>
      </c>
      <c r="U171" s="253">
        <f t="shared" si="41"/>
        <v>0</v>
      </c>
      <c r="V171" s="93">
        <f t="shared" si="42"/>
        <v>0</v>
      </c>
    </row>
    <row r="172" spans="1:24" ht="18" customHeight="1" x14ac:dyDescent="0.2">
      <c r="A172" s="110" t="s">
        <v>297</v>
      </c>
      <c r="B172" s="111"/>
      <c r="C172" s="201" t="s">
        <v>298</v>
      </c>
      <c r="D172" s="91">
        <v>39198</v>
      </c>
      <c r="E172" s="92"/>
      <c r="F172" s="93"/>
      <c r="G172" s="93"/>
      <c r="H172" s="93">
        <v>222.21</v>
      </c>
      <c r="I172" s="93">
        <v>0</v>
      </c>
      <c r="J172" s="93"/>
      <c r="K172" s="93">
        <f t="shared" si="38"/>
        <v>0</v>
      </c>
      <c r="L172" s="93">
        <f t="shared" si="39"/>
        <v>0</v>
      </c>
      <c r="M172" s="94">
        <v>40</v>
      </c>
      <c r="N172" s="95" t="s">
        <v>289</v>
      </c>
      <c r="O172" s="93">
        <f t="shared" si="43"/>
        <v>0</v>
      </c>
      <c r="P172" s="93">
        <f t="shared" si="44"/>
        <v>0</v>
      </c>
      <c r="Q172" s="93">
        <f t="shared" si="45"/>
        <v>0</v>
      </c>
      <c r="R172" s="93">
        <f t="shared" si="46"/>
        <v>0</v>
      </c>
      <c r="S172" s="93">
        <f t="shared" si="47"/>
        <v>0</v>
      </c>
      <c r="T172" s="93">
        <f t="shared" si="40"/>
        <v>0</v>
      </c>
      <c r="U172" s="253">
        <f t="shared" si="41"/>
        <v>0</v>
      </c>
      <c r="V172" s="93">
        <f t="shared" si="42"/>
        <v>0</v>
      </c>
    </row>
    <row r="173" spans="1:24" ht="18" customHeight="1" x14ac:dyDescent="0.2">
      <c r="A173" s="110" t="s">
        <v>299</v>
      </c>
      <c r="B173" s="111"/>
      <c r="C173" s="201" t="s">
        <v>300</v>
      </c>
      <c r="D173" s="91">
        <v>40749</v>
      </c>
      <c r="E173" s="92"/>
      <c r="F173" s="93"/>
      <c r="G173" s="93"/>
      <c r="H173" s="93">
        <v>800</v>
      </c>
      <c r="I173" s="93">
        <v>0</v>
      </c>
      <c r="J173" s="93"/>
      <c r="K173" s="93">
        <f t="shared" si="38"/>
        <v>0</v>
      </c>
      <c r="L173" s="93">
        <f t="shared" si="39"/>
        <v>0</v>
      </c>
      <c r="M173" s="94">
        <v>20</v>
      </c>
      <c r="N173" s="95" t="s">
        <v>289</v>
      </c>
      <c r="O173" s="93">
        <f t="shared" si="43"/>
        <v>0</v>
      </c>
      <c r="P173" s="93">
        <f t="shared" si="44"/>
        <v>0</v>
      </c>
      <c r="Q173" s="93">
        <f t="shared" si="45"/>
        <v>0</v>
      </c>
      <c r="R173" s="93">
        <f t="shared" si="46"/>
        <v>0</v>
      </c>
      <c r="S173" s="93">
        <f t="shared" si="47"/>
        <v>0</v>
      </c>
      <c r="T173" s="93">
        <f t="shared" si="40"/>
        <v>0</v>
      </c>
      <c r="U173" s="253">
        <f t="shared" si="41"/>
        <v>0</v>
      </c>
      <c r="V173" s="93">
        <f t="shared" si="42"/>
        <v>0</v>
      </c>
    </row>
    <row r="174" spans="1:24" ht="18" customHeight="1" x14ac:dyDescent="0.2">
      <c r="A174" s="110" t="s">
        <v>301</v>
      </c>
      <c r="B174" s="111"/>
      <c r="C174" s="201" t="s">
        <v>302</v>
      </c>
      <c r="D174" s="91">
        <v>40757</v>
      </c>
      <c r="E174" s="92"/>
      <c r="F174" s="93"/>
      <c r="G174" s="93"/>
      <c r="H174" s="93">
        <v>499</v>
      </c>
      <c r="I174" s="93">
        <v>0</v>
      </c>
      <c r="J174" s="93"/>
      <c r="K174" s="93">
        <f t="shared" si="38"/>
        <v>0</v>
      </c>
      <c r="L174" s="93">
        <f t="shared" si="39"/>
        <v>0</v>
      </c>
      <c r="M174" s="94">
        <v>20</v>
      </c>
      <c r="N174" s="95" t="s">
        <v>289</v>
      </c>
      <c r="O174" s="93">
        <f t="shared" si="43"/>
        <v>0</v>
      </c>
      <c r="P174" s="93">
        <f t="shared" si="44"/>
        <v>0</v>
      </c>
      <c r="Q174" s="93">
        <f t="shared" si="45"/>
        <v>0</v>
      </c>
      <c r="R174" s="93">
        <f t="shared" si="46"/>
        <v>0</v>
      </c>
      <c r="S174" s="93">
        <f t="shared" si="47"/>
        <v>0</v>
      </c>
      <c r="T174" s="93">
        <f t="shared" si="40"/>
        <v>0</v>
      </c>
      <c r="U174" s="253">
        <f t="shared" si="41"/>
        <v>0</v>
      </c>
      <c r="V174" s="93">
        <f t="shared" si="42"/>
        <v>0</v>
      </c>
    </row>
    <row r="175" spans="1:24" ht="18" customHeight="1" x14ac:dyDescent="0.2">
      <c r="A175" s="110" t="s">
        <v>303</v>
      </c>
      <c r="B175" s="111"/>
      <c r="C175" s="90" t="s">
        <v>304</v>
      </c>
      <c r="D175" s="91">
        <v>40813</v>
      </c>
      <c r="E175" s="92"/>
      <c r="F175" s="93"/>
      <c r="G175" s="93"/>
      <c r="H175" s="93">
        <v>19595</v>
      </c>
      <c r="I175" s="93">
        <v>3986</v>
      </c>
      <c r="J175" s="93"/>
      <c r="K175" s="93">
        <f t="shared" si="38"/>
        <v>0</v>
      </c>
      <c r="L175" s="93">
        <f t="shared" si="39"/>
        <v>0</v>
      </c>
      <c r="M175" s="94">
        <v>20</v>
      </c>
      <c r="N175" s="95" t="s">
        <v>289</v>
      </c>
      <c r="O175" s="93">
        <f t="shared" si="43"/>
        <v>0</v>
      </c>
      <c r="P175" s="93">
        <f t="shared" si="44"/>
        <v>0</v>
      </c>
      <c r="Q175" s="93">
        <f t="shared" si="45"/>
        <v>0</v>
      </c>
      <c r="R175" s="93">
        <f t="shared" si="46"/>
        <v>465</v>
      </c>
      <c r="S175" s="93">
        <f t="shared" si="47"/>
        <v>0</v>
      </c>
      <c r="T175" s="93">
        <f t="shared" si="40"/>
        <v>465</v>
      </c>
      <c r="U175" s="253">
        <f t="shared" si="41"/>
        <v>3521</v>
      </c>
      <c r="V175" s="93">
        <f t="shared" si="42"/>
        <v>0</v>
      </c>
    </row>
    <row r="176" spans="1:24" ht="18" customHeight="1" x14ac:dyDescent="0.2">
      <c r="A176" s="110" t="s">
        <v>305</v>
      </c>
      <c r="B176" s="111"/>
      <c r="C176" s="90" t="s">
        <v>306</v>
      </c>
      <c r="D176" s="91">
        <v>40883</v>
      </c>
      <c r="E176" s="92"/>
      <c r="F176" s="93"/>
      <c r="G176" s="93"/>
      <c r="H176" s="93">
        <v>1058.97</v>
      </c>
      <c r="I176" s="93">
        <v>0</v>
      </c>
      <c r="J176" s="93"/>
      <c r="K176" s="93">
        <f t="shared" si="38"/>
        <v>0</v>
      </c>
      <c r="L176" s="93">
        <f t="shared" si="39"/>
        <v>0</v>
      </c>
      <c r="M176" s="94">
        <v>20</v>
      </c>
      <c r="N176" s="95" t="s">
        <v>289</v>
      </c>
      <c r="O176" s="93">
        <f t="shared" si="43"/>
        <v>0</v>
      </c>
      <c r="P176" s="93">
        <f t="shared" si="44"/>
        <v>0</v>
      </c>
      <c r="Q176" s="93">
        <f t="shared" si="45"/>
        <v>0</v>
      </c>
      <c r="R176" s="93">
        <f t="shared" si="46"/>
        <v>0</v>
      </c>
      <c r="S176" s="93">
        <f t="shared" si="47"/>
        <v>0</v>
      </c>
      <c r="T176" s="93">
        <f t="shared" si="40"/>
        <v>0</v>
      </c>
      <c r="U176" s="253">
        <f t="shared" si="41"/>
        <v>0</v>
      </c>
      <c r="V176" s="93">
        <f t="shared" si="42"/>
        <v>0</v>
      </c>
    </row>
    <row r="177" spans="1:22" ht="18" customHeight="1" x14ac:dyDescent="0.2">
      <c r="A177" s="110" t="s">
        <v>307</v>
      </c>
      <c r="B177" s="111"/>
      <c r="C177" s="201" t="s">
        <v>308</v>
      </c>
      <c r="D177" s="91">
        <v>39003</v>
      </c>
      <c r="E177" s="92">
        <v>43646</v>
      </c>
      <c r="F177" s="93">
        <v>0</v>
      </c>
      <c r="G177" s="93"/>
      <c r="H177" s="93">
        <v>453.64</v>
      </c>
      <c r="I177" s="93">
        <v>0</v>
      </c>
      <c r="J177" s="93"/>
      <c r="K177" s="93">
        <f t="shared" si="38"/>
        <v>0</v>
      </c>
      <c r="L177" s="93">
        <f t="shared" si="39"/>
        <v>0</v>
      </c>
      <c r="M177" s="94">
        <v>50</v>
      </c>
      <c r="N177" s="95" t="s">
        <v>289</v>
      </c>
      <c r="O177" s="93">
        <f t="shared" si="43"/>
        <v>0</v>
      </c>
      <c r="P177" s="93">
        <f t="shared" si="44"/>
        <v>0</v>
      </c>
      <c r="Q177" s="93">
        <f t="shared" si="45"/>
        <v>0</v>
      </c>
      <c r="R177" s="93">
        <f t="shared" si="46"/>
        <v>0</v>
      </c>
      <c r="S177" s="93">
        <f t="shared" si="47"/>
        <v>0</v>
      </c>
      <c r="T177" s="93">
        <f t="shared" si="40"/>
        <v>0</v>
      </c>
      <c r="U177" s="253">
        <f t="shared" si="41"/>
        <v>0</v>
      </c>
      <c r="V177" s="93">
        <f t="shared" si="42"/>
        <v>453.64</v>
      </c>
    </row>
    <row r="178" spans="1:22" ht="18" customHeight="1" x14ac:dyDescent="0.2">
      <c r="A178" s="110" t="s">
        <v>309</v>
      </c>
      <c r="B178" s="111"/>
      <c r="C178" s="201" t="s">
        <v>310</v>
      </c>
      <c r="D178" s="91">
        <v>40956</v>
      </c>
      <c r="E178" s="92"/>
      <c r="F178" s="93"/>
      <c r="G178" s="93"/>
      <c r="H178" s="93">
        <v>2050</v>
      </c>
      <c r="I178" s="93">
        <v>456</v>
      </c>
      <c r="J178" s="93"/>
      <c r="K178" s="93">
        <f t="shared" si="38"/>
        <v>0</v>
      </c>
      <c r="L178" s="93">
        <f t="shared" si="39"/>
        <v>0</v>
      </c>
      <c r="M178" s="94">
        <v>20</v>
      </c>
      <c r="N178" s="95" t="s">
        <v>289</v>
      </c>
      <c r="O178" s="93">
        <f t="shared" si="43"/>
        <v>0</v>
      </c>
      <c r="P178" s="93">
        <f t="shared" si="44"/>
        <v>0</v>
      </c>
      <c r="Q178" s="93">
        <f t="shared" si="45"/>
        <v>0</v>
      </c>
      <c r="R178" s="93">
        <f t="shared" si="46"/>
        <v>53</v>
      </c>
      <c r="S178" s="93">
        <f t="shared" si="47"/>
        <v>0</v>
      </c>
      <c r="T178" s="93">
        <f t="shared" si="40"/>
        <v>53</v>
      </c>
      <c r="U178" s="253">
        <f t="shared" si="41"/>
        <v>403</v>
      </c>
      <c r="V178" s="93">
        <f t="shared" si="42"/>
        <v>0</v>
      </c>
    </row>
    <row r="179" spans="1:22" ht="18" customHeight="1" x14ac:dyDescent="0.2">
      <c r="A179" s="110" t="s">
        <v>311</v>
      </c>
      <c r="B179" s="111"/>
      <c r="C179" s="201" t="s">
        <v>312</v>
      </c>
      <c r="D179" s="91">
        <v>40966</v>
      </c>
      <c r="E179" s="92"/>
      <c r="F179" s="93"/>
      <c r="G179" s="93"/>
      <c r="H179" s="93">
        <v>5000</v>
      </c>
      <c r="I179" s="93">
        <v>1119</v>
      </c>
      <c r="J179" s="93"/>
      <c r="K179" s="93">
        <f t="shared" si="38"/>
        <v>0</v>
      </c>
      <c r="L179" s="93">
        <f t="shared" si="39"/>
        <v>0</v>
      </c>
      <c r="M179" s="94">
        <v>20</v>
      </c>
      <c r="N179" s="95" t="s">
        <v>289</v>
      </c>
      <c r="O179" s="93">
        <f t="shared" si="43"/>
        <v>0</v>
      </c>
      <c r="P179" s="93">
        <f t="shared" si="44"/>
        <v>0</v>
      </c>
      <c r="Q179" s="93">
        <f t="shared" si="45"/>
        <v>0</v>
      </c>
      <c r="R179" s="93">
        <f t="shared" si="46"/>
        <v>130</v>
      </c>
      <c r="S179" s="93">
        <f t="shared" si="47"/>
        <v>0</v>
      </c>
      <c r="T179" s="93">
        <f t="shared" si="40"/>
        <v>130</v>
      </c>
      <c r="U179" s="253">
        <f t="shared" si="41"/>
        <v>989</v>
      </c>
      <c r="V179" s="93">
        <f t="shared" si="42"/>
        <v>0</v>
      </c>
    </row>
    <row r="180" spans="1:22" ht="18" customHeight="1" x14ac:dyDescent="0.2">
      <c r="A180" s="110" t="s">
        <v>313</v>
      </c>
      <c r="B180" s="111"/>
      <c r="C180" s="201" t="s">
        <v>314</v>
      </c>
      <c r="D180" s="91">
        <v>40972</v>
      </c>
      <c r="E180" s="92"/>
      <c r="F180" s="93"/>
      <c r="G180" s="93"/>
      <c r="H180" s="93">
        <v>2045.25</v>
      </c>
      <c r="I180" s="93">
        <v>459.25</v>
      </c>
      <c r="J180" s="93"/>
      <c r="K180" s="93">
        <f t="shared" si="38"/>
        <v>0</v>
      </c>
      <c r="L180" s="93">
        <f t="shared" si="39"/>
        <v>0</v>
      </c>
      <c r="M180" s="94">
        <v>20</v>
      </c>
      <c r="N180" s="95" t="s">
        <v>289</v>
      </c>
      <c r="O180" s="93">
        <f t="shared" si="43"/>
        <v>0</v>
      </c>
      <c r="P180" s="93">
        <f t="shared" si="44"/>
        <v>0</v>
      </c>
      <c r="Q180" s="93">
        <f t="shared" si="45"/>
        <v>0</v>
      </c>
      <c r="R180" s="93">
        <f t="shared" si="46"/>
        <v>53</v>
      </c>
      <c r="S180" s="93">
        <f t="shared" si="47"/>
        <v>0</v>
      </c>
      <c r="T180" s="93">
        <f t="shared" si="40"/>
        <v>53</v>
      </c>
      <c r="U180" s="253">
        <f t="shared" si="41"/>
        <v>406.25</v>
      </c>
      <c r="V180" s="93">
        <f t="shared" si="42"/>
        <v>0</v>
      </c>
    </row>
    <row r="181" spans="1:22" ht="18" customHeight="1" x14ac:dyDescent="0.2">
      <c r="A181" s="110" t="s">
        <v>315</v>
      </c>
      <c r="B181" s="111"/>
      <c r="C181" s="201" t="s">
        <v>316</v>
      </c>
      <c r="D181" s="91">
        <v>39185</v>
      </c>
      <c r="E181" s="92"/>
      <c r="F181" s="93"/>
      <c r="G181" s="93"/>
      <c r="H181" s="93">
        <v>122.16</v>
      </c>
      <c r="I181" s="93">
        <v>0</v>
      </c>
      <c r="J181" s="93"/>
      <c r="K181" s="93">
        <f t="shared" si="38"/>
        <v>0</v>
      </c>
      <c r="L181" s="93">
        <f t="shared" si="39"/>
        <v>0</v>
      </c>
      <c r="M181" s="94">
        <v>20</v>
      </c>
      <c r="N181" s="95" t="s">
        <v>289</v>
      </c>
      <c r="O181" s="93">
        <f t="shared" si="43"/>
        <v>0</v>
      </c>
      <c r="P181" s="93">
        <f t="shared" si="44"/>
        <v>0</v>
      </c>
      <c r="Q181" s="93">
        <f t="shared" si="45"/>
        <v>0</v>
      </c>
      <c r="R181" s="93">
        <f t="shared" si="46"/>
        <v>0</v>
      </c>
      <c r="S181" s="93">
        <f t="shared" si="47"/>
        <v>0</v>
      </c>
      <c r="T181" s="93">
        <f t="shared" si="40"/>
        <v>0</v>
      </c>
      <c r="U181" s="253">
        <f t="shared" si="41"/>
        <v>0</v>
      </c>
      <c r="V181" s="93">
        <f t="shared" si="42"/>
        <v>0</v>
      </c>
    </row>
    <row r="182" spans="1:22" ht="18" customHeight="1" x14ac:dyDescent="0.2">
      <c r="A182" s="110" t="s">
        <v>317</v>
      </c>
      <c r="B182" s="111"/>
      <c r="C182" s="201" t="s">
        <v>295</v>
      </c>
      <c r="D182" s="91">
        <v>37789</v>
      </c>
      <c r="E182" s="92">
        <v>43646</v>
      </c>
      <c r="F182" s="93">
        <v>0</v>
      </c>
      <c r="G182" s="93"/>
      <c r="H182" s="93">
        <v>263.82</v>
      </c>
      <c r="I182" s="93">
        <v>0</v>
      </c>
      <c r="J182" s="93"/>
      <c r="K182" s="93">
        <f t="shared" si="38"/>
        <v>0</v>
      </c>
      <c r="L182" s="93">
        <f t="shared" si="39"/>
        <v>0</v>
      </c>
      <c r="M182" s="94">
        <v>20</v>
      </c>
      <c r="N182" s="95" t="s">
        <v>289</v>
      </c>
      <c r="O182" s="93">
        <f t="shared" si="43"/>
        <v>0</v>
      </c>
      <c r="P182" s="93">
        <f t="shared" si="44"/>
        <v>0</v>
      </c>
      <c r="Q182" s="93">
        <f t="shared" si="45"/>
        <v>0</v>
      </c>
      <c r="R182" s="93">
        <f t="shared" si="46"/>
        <v>0</v>
      </c>
      <c r="S182" s="93">
        <f t="shared" si="47"/>
        <v>0</v>
      </c>
      <c r="T182" s="93">
        <f t="shared" si="40"/>
        <v>0</v>
      </c>
      <c r="U182" s="253">
        <f t="shared" si="41"/>
        <v>0</v>
      </c>
      <c r="V182" s="93">
        <f t="shared" si="42"/>
        <v>263.82</v>
      </c>
    </row>
    <row r="183" spans="1:22" ht="18" customHeight="1" x14ac:dyDescent="0.2">
      <c r="A183" s="110" t="s">
        <v>318</v>
      </c>
      <c r="B183" s="111"/>
      <c r="C183" s="201" t="s">
        <v>319</v>
      </c>
      <c r="D183" s="91">
        <v>37753</v>
      </c>
      <c r="E183" s="92">
        <v>43646</v>
      </c>
      <c r="F183" s="93">
        <v>0</v>
      </c>
      <c r="G183" s="93"/>
      <c r="H183" s="93">
        <v>860.79</v>
      </c>
      <c r="I183" s="93">
        <v>0</v>
      </c>
      <c r="J183" s="93"/>
      <c r="K183" s="93">
        <f t="shared" si="38"/>
        <v>0</v>
      </c>
      <c r="L183" s="93">
        <f t="shared" si="39"/>
        <v>0</v>
      </c>
      <c r="M183" s="94">
        <v>20</v>
      </c>
      <c r="N183" s="95" t="s">
        <v>289</v>
      </c>
      <c r="O183" s="93">
        <f t="shared" si="43"/>
        <v>0</v>
      </c>
      <c r="P183" s="93">
        <f t="shared" si="44"/>
        <v>0</v>
      </c>
      <c r="Q183" s="93">
        <f t="shared" si="45"/>
        <v>0</v>
      </c>
      <c r="R183" s="93">
        <f t="shared" si="46"/>
        <v>0</v>
      </c>
      <c r="S183" s="93">
        <f t="shared" si="47"/>
        <v>0</v>
      </c>
      <c r="T183" s="93">
        <f t="shared" si="40"/>
        <v>0</v>
      </c>
      <c r="U183" s="253">
        <f t="shared" si="41"/>
        <v>0</v>
      </c>
      <c r="V183" s="93">
        <f t="shared" si="42"/>
        <v>860.79</v>
      </c>
    </row>
    <row r="184" spans="1:22" ht="18" customHeight="1" x14ac:dyDescent="0.2">
      <c r="A184" s="110" t="s">
        <v>320</v>
      </c>
      <c r="B184" s="111"/>
      <c r="C184" s="201" t="s">
        <v>321</v>
      </c>
      <c r="D184" s="91">
        <v>41320</v>
      </c>
      <c r="E184" s="92"/>
      <c r="F184" s="93"/>
      <c r="G184" s="93"/>
      <c r="H184" s="93">
        <v>8200</v>
      </c>
      <c r="I184" s="93">
        <v>3604</v>
      </c>
      <c r="J184" s="93"/>
      <c r="K184" s="93">
        <f t="shared" si="38"/>
        <v>0</v>
      </c>
      <c r="L184" s="93">
        <f t="shared" si="39"/>
        <v>0</v>
      </c>
      <c r="M184" s="94">
        <v>13.3</v>
      </c>
      <c r="N184" s="95" t="s">
        <v>289</v>
      </c>
      <c r="O184" s="93">
        <f t="shared" si="43"/>
        <v>0</v>
      </c>
      <c r="P184" s="93">
        <f t="shared" si="44"/>
        <v>0</v>
      </c>
      <c r="Q184" s="93">
        <f t="shared" si="45"/>
        <v>0</v>
      </c>
      <c r="R184" s="93">
        <f t="shared" si="46"/>
        <v>279</v>
      </c>
      <c r="S184" s="93">
        <f t="shared" si="47"/>
        <v>0</v>
      </c>
      <c r="T184" s="93">
        <f t="shared" si="40"/>
        <v>279</v>
      </c>
      <c r="U184" s="253">
        <f t="shared" si="41"/>
        <v>3325</v>
      </c>
      <c r="V184" s="93">
        <f t="shared" si="42"/>
        <v>0</v>
      </c>
    </row>
    <row r="185" spans="1:22" ht="18" customHeight="1" x14ac:dyDescent="0.2">
      <c r="A185" s="110" t="s">
        <v>322</v>
      </c>
      <c r="B185" s="111"/>
      <c r="C185" s="201" t="s">
        <v>323</v>
      </c>
      <c r="D185" s="91">
        <v>39056</v>
      </c>
      <c r="E185" s="92">
        <v>43646</v>
      </c>
      <c r="F185" s="93">
        <v>0</v>
      </c>
      <c r="G185" s="93"/>
      <c r="H185" s="93">
        <v>3791.09</v>
      </c>
      <c r="I185" s="93">
        <v>0</v>
      </c>
      <c r="J185" s="93"/>
      <c r="K185" s="93">
        <f t="shared" si="38"/>
        <v>0</v>
      </c>
      <c r="L185" s="93">
        <f t="shared" si="39"/>
        <v>0</v>
      </c>
      <c r="M185" s="94">
        <v>66.67</v>
      </c>
      <c r="N185" s="95" t="s">
        <v>289</v>
      </c>
      <c r="O185" s="93">
        <f t="shared" si="43"/>
        <v>0</v>
      </c>
      <c r="P185" s="93">
        <f t="shared" si="44"/>
        <v>0</v>
      </c>
      <c r="Q185" s="93">
        <f t="shared" si="45"/>
        <v>0</v>
      </c>
      <c r="R185" s="93">
        <f t="shared" si="46"/>
        <v>0</v>
      </c>
      <c r="S185" s="93">
        <f t="shared" si="47"/>
        <v>0</v>
      </c>
      <c r="T185" s="93">
        <f t="shared" si="40"/>
        <v>0</v>
      </c>
      <c r="U185" s="253">
        <f t="shared" si="41"/>
        <v>0</v>
      </c>
      <c r="V185" s="93">
        <f t="shared" si="42"/>
        <v>3791.09</v>
      </c>
    </row>
    <row r="186" spans="1:22" ht="18" customHeight="1" x14ac:dyDescent="0.2">
      <c r="A186" s="110" t="s">
        <v>324</v>
      </c>
      <c r="B186" s="111"/>
      <c r="C186" s="201" t="s">
        <v>325</v>
      </c>
      <c r="D186" s="91">
        <v>41052</v>
      </c>
      <c r="E186" s="92"/>
      <c r="F186" s="93"/>
      <c r="G186" s="93"/>
      <c r="H186" s="93">
        <v>142000</v>
      </c>
      <c r="I186" s="93">
        <v>33352</v>
      </c>
      <c r="J186" s="93"/>
      <c r="K186" s="93">
        <f t="shared" si="38"/>
        <v>0</v>
      </c>
      <c r="L186" s="93">
        <f t="shared" si="39"/>
        <v>0</v>
      </c>
      <c r="M186" s="94">
        <v>20</v>
      </c>
      <c r="N186" s="95" t="s">
        <v>289</v>
      </c>
      <c r="O186" s="93">
        <f t="shared" si="43"/>
        <v>0</v>
      </c>
      <c r="P186" s="93">
        <f t="shared" si="44"/>
        <v>0</v>
      </c>
      <c r="Q186" s="93">
        <f t="shared" si="45"/>
        <v>0</v>
      </c>
      <c r="R186" s="93">
        <f t="shared" si="46"/>
        <v>3891</v>
      </c>
      <c r="S186" s="93">
        <f t="shared" si="47"/>
        <v>0</v>
      </c>
      <c r="T186" s="93">
        <f t="shared" si="40"/>
        <v>3891</v>
      </c>
      <c r="U186" s="253">
        <f t="shared" si="41"/>
        <v>29461</v>
      </c>
      <c r="V186" s="93">
        <f t="shared" si="42"/>
        <v>0</v>
      </c>
    </row>
    <row r="187" spans="1:22" ht="18" customHeight="1" x14ac:dyDescent="0.2">
      <c r="A187" s="110" t="s">
        <v>328</v>
      </c>
      <c r="B187" s="111"/>
      <c r="C187" s="201" t="s">
        <v>329</v>
      </c>
      <c r="D187" s="91">
        <v>41000</v>
      </c>
      <c r="E187" s="92"/>
      <c r="F187" s="93"/>
      <c r="G187" s="93"/>
      <c r="H187" s="93">
        <v>1386.3600000000001</v>
      </c>
      <c r="I187" s="93">
        <v>316.36</v>
      </c>
      <c r="J187" s="93"/>
      <c r="K187" s="93">
        <f t="shared" ref="K187:K250" si="48">INT(IF($E187&gt;0,IF(+F187-I187+Q187&lt;0,0,+F187-I187+Q187),0))</f>
        <v>0</v>
      </c>
      <c r="L187" s="93">
        <f t="shared" ref="L187:L250" si="49">INT(IF($E187&gt;0,IF(K187=0,-F187+I187-Q187,0),0))</f>
        <v>0</v>
      </c>
      <c r="M187" s="94">
        <v>20</v>
      </c>
      <c r="N187" s="95" t="s">
        <v>289</v>
      </c>
      <c r="O187" s="93">
        <f t="shared" si="43"/>
        <v>0</v>
      </c>
      <c r="P187" s="93">
        <f t="shared" si="44"/>
        <v>0</v>
      </c>
      <c r="Q187" s="93">
        <f t="shared" si="45"/>
        <v>0</v>
      </c>
      <c r="R187" s="93">
        <f t="shared" si="46"/>
        <v>36</v>
      </c>
      <c r="S187" s="93">
        <f t="shared" si="47"/>
        <v>0</v>
      </c>
      <c r="T187" s="93">
        <f>+R187+S187+Q187</f>
        <v>36</v>
      </c>
      <c r="U187" s="253">
        <f t="shared" si="41"/>
        <v>280.36</v>
      </c>
      <c r="V187" s="93">
        <f t="shared" si="42"/>
        <v>0</v>
      </c>
    </row>
    <row r="188" spans="1:22" ht="18" customHeight="1" x14ac:dyDescent="0.2">
      <c r="A188" s="110" t="s">
        <v>330</v>
      </c>
      <c r="B188" s="111"/>
      <c r="C188" s="201" t="s">
        <v>331</v>
      </c>
      <c r="D188" s="91">
        <v>39024</v>
      </c>
      <c r="E188" s="92">
        <v>43646</v>
      </c>
      <c r="F188" s="93">
        <v>0</v>
      </c>
      <c r="G188" s="209"/>
      <c r="H188" s="93">
        <v>536</v>
      </c>
      <c r="I188" s="93">
        <v>0</v>
      </c>
      <c r="J188" s="93"/>
      <c r="K188" s="93">
        <f t="shared" si="48"/>
        <v>0</v>
      </c>
      <c r="L188" s="93">
        <f t="shared" si="49"/>
        <v>0</v>
      </c>
      <c r="M188" s="94">
        <v>30</v>
      </c>
      <c r="N188" s="95" t="s">
        <v>289</v>
      </c>
      <c r="O188" s="93">
        <f t="shared" si="43"/>
        <v>0</v>
      </c>
      <c r="P188" s="93">
        <f t="shared" si="44"/>
        <v>0</v>
      </c>
      <c r="Q188" s="93">
        <f t="shared" si="45"/>
        <v>0</v>
      </c>
      <c r="R188" s="93">
        <f t="shared" si="46"/>
        <v>0</v>
      </c>
      <c r="S188" s="93">
        <f t="shared" si="47"/>
        <v>0</v>
      </c>
      <c r="T188" s="93">
        <f t="shared" ref="T188:T251" si="50">+R188+S188+Q188</f>
        <v>0</v>
      </c>
      <c r="U188" s="253">
        <f t="shared" si="41"/>
        <v>0</v>
      </c>
      <c r="V188" s="93">
        <f t="shared" si="42"/>
        <v>536</v>
      </c>
    </row>
    <row r="189" spans="1:22" ht="18" customHeight="1" x14ac:dyDescent="0.2">
      <c r="A189" s="110" t="s">
        <v>332</v>
      </c>
      <c r="B189" s="111"/>
      <c r="C189" s="201" t="s">
        <v>333</v>
      </c>
      <c r="D189" s="91">
        <v>39264</v>
      </c>
      <c r="E189" s="92">
        <v>43646</v>
      </c>
      <c r="F189" s="93">
        <v>0</v>
      </c>
      <c r="G189" s="93"/>
      <c r="H189" s="93">
        <v>209.45000000000002</v>
      </c>
      <c r="I189" s="93">
        <v>0</v>
      </c>
      <c r="J189" s="93"/>
      <c r="K189" s="93">
        <f t="shared" si="48"/>
        <v>0</v>
      </c>
      <c r="L189" s="93">
        <f t="shared" si="49"/>
        <v>0</v>
      </c>
      <c r="M189" s="94">
        <v>37.5</v>
      </c>
      <c r="N189" s="95" t="s">
        <v>289</v>
      </c>
      <c r="O189" s="93">
        <f t="shared" si="43"/>
        <v>0</v>
      </c>
      <c r="P189" s="93">
        <f t="shared" si="44"/>
        <v>0</v>
      </c>
      <c r="Q189" s="93">
        <f t="shared" si="45"/>
        <v>0</v>
      </c>
      <c r="R189" s="93">
        <f t="shared" si="46"/>
        <v>0</v>
      </c>
      <c r="S189" s="93">
        <f t="shared" si="47"/>
        <v>0</v>
      </c>
      <c r="T189" s="93">
        <f t="shared" si="50"/>
        <v>0</v>
      </c>
      <c r="U189" s="253">
        <f t="shared" si="41"/>
        <v>0</v>
      </c>
      <c r="V189" s="93">
        <f t="shared" si="42"/>
        <v>209.45000000000002</v>
      </c>
    </row>
    <row r="190" spans="1:22" ht="18" customHeight="1" x14ac:dyDescent="0.2">
      <c r="A190" s="110" t="s">
        <v>334</v>
      </c>
      <c r="B190" s="111"/>
      <c r="C190" s="201" t="s">
        <v>335</v>
      </c>
      <c r="D190" s="91">
        <v>39273</v>
      </c>
      <c r="E190" s="92">
        <v>43646</v>
      </c>
      <c r="F190" s="93">
        <v>0</v>
      </c>
      <c r="G190" s="93"/>
      <c r="H190" s="93">
        <v>681.64</v>
      </c>
      <c r="I190" s="93">
        <v>0</v>
      </c>
      <c r="J190" s="93"/>
      <c r="K190" s="93">
        <f t="shared" si="48"/>
        <v>0</v>
      </c>
      <c r="L190" s="93">
        <f t="shared" si="49"/>
        <v>0</v>
      </c>
      <c r="M190" s="94">
        <v>37.5</v>
      </c>
      <c r="N190" s="95" t="s">
        <v>289</v>
      </c>
      <c r="O190" s="93">
        <f t="shared" si="43"/>
        <v>0</v>
      </c>
      <c r="P190" s="93">
        <f t="shared" si="44"/>
        <v>0</v>
      </c>
      <c r="Q190" s="93">
        <f t="shared" si="45"/>
        <v>0</v>
      </c>
      <c r="R190" s="93">
        <f t="shared" si="46"/>
        <v>0</v>
      </c>
      <c r="S190" s="93">
        <f t="shared" si="47"/>
        <v>0</v>
      </c>
      <c r="T190" s="93">
        <f t="shared" si="50"/>
        <v>0</v>
      </c>
      <c r="U190" s="253">
        <f t="shared" si="41"/>
        <v>0</v>
      </c>
      <c r="V190" s="93">
        <f t="shared" si="42"/>
        <v>681.64</v>
      </c>
    </row>
    <row r="191" spans="1:22" ht="18" customHeight="1" x14ac:dyDescent="0.2">
      <c r="A191" s="110" t="s">
        <v>336</v>
      </c>
      <c r="B191" s="111"/>
      <c r="C191" s="201" t="s">
        <v>337</v>
      </c>
      <c r="D191" s="91">
        <v>39423</v>
      </c>
      <c r="E191" s="92">
        <v>43646</v>
      </c>
      <c r="F191" s="93">
        <v>0</v>
      </c>
      <c r="G191" s="93"/>
      <c r="H191" s="93">
        <v>733.66</v>
      </c>
      <c r="I191" s="93">
        <v>0</v>
      </c>
      <c r="J191" s="93"/>
      <c r="K191" s="93">
        <f t="shared" si="48"/>
        <v>0</v>
      </c>
      <c r="L191" s="93">
        <f t="shared" si="49"/>
        <v>0</v>
      </c>
      <c r="M191" s="94">
        <v>37.5</v>
      </c>
      <c r="N191" s="95" t="s">
        <v>289</v>
      </c>
      <c r="O191" s="93">
        <f t="shared" si="43"/>
        <v>0</v>
      </c>
      <c r="P191" s="93">
        <f t="shared" si="44"/>
        <v>0</v>
      </c>
      <c r="Q191" s="93">
        <f t="shared" si="45"/>
        <v>0</v>
      </c>
      <c r="R191" s="93">
        <f t="shared" si="46"/>
        <v>0</v>
      </c>
      <c r="S191" s="93">
        <f t="shared" si="47"/>
        <v>0</v>
      </c>
      <c r="T191" s="93">
        <f t="shared" si="50"/>
        <v>0</v>
      </c>
      <c r="U191" s="253">
        <f t="shared" si="41"/>
        <v>0</v>
      </c>
      <c r="V191" s="93">
        <f t="shared" si="42"/>
        <v>733.66</v>
      </c>
    </row>
    <row r="192" spans="1:22" ht="18" customHeight="1" x14ac:dyDescent="0.2">
      <c r="A192" s="110" t="s">
        <v>338</v>
      </c>
      <c r="B192" s="111"/>
      <c r="C192" s="201" t="s">
        <v>339</v>
      </c>
      <c r="D192" s="91">
        <v>39264</v>
      </c>
      <c r="E192" s="92"/>
      <c r="F192" s="93"/>
      <c r="G192" s="93"/>
      <c r="H192" s="93">
        <v>240</v>
      </c>
      <c r="I192" s="93">
        <v>0</v>
      </c>
      <c r="J192" s="93"/>
      <c r="K192" s="93">
        <f t="shared" si="48"/>
        <v>0</v>
      </c>
      <c r="L192" s="93">
        <f t="shared" si="49"/>
        <v>0</v>
      </c>
      <c r="M192" s="94">
        <v>37.5</v>
      </c>
      <c r="N192" s="95" t="s">
        <v>289</v>
      </c>
      <c r="O192" s="93">
        <f t="shared" si="43"/>
        <v>0</v>
      </c>
      <c r="P192" s="93">
        <f t="shared" si="44"/>
        <v>0</v>
      </c>
      <c r="Q192" s="93">
        <f t="shared" si="45"/>
        <v>0</v>
      </c>
      <c r="R192" s="93">
        <f t="shared" si="46"/>
        <v>0</v>
      </c>
      <c r="S192" s="93">
        <f t="shared" si="47"/>
        <v>0</v>
      </c>
      <c r="T192" s="93">
        <f t="shared" si="50"/>
        <v>0</v>
      </c>
      <c r="U192" s="253">
        <f t="shared" si="41"/>
        <v>0</v>
      </c>
      <c r="V192" s="93">
        <f t="shared" si="42"/>
        <v>0</v>
      </c>
    </row>
    <row r="193" spans="1:22" ht="18" customHeight="1" x14ac:dyDescent="0.2">
      <c r="A193" s="110" t="s">
        <v>340</v>
      </c>
      <c r="B193" s="111"/>
      <c r="C193" s="201" t="s">
        <v>341</v>
      </c>
      <c r="D193" s="91">
        <v>39508</v>
      </c>
      <c r="E193" s="92">
        <v>43646</v>
      </c>
      <c r="F193" s="93">
        <v>0</v>
      </c>
      <c r="G193" s="93"/>
      <c r="H193" s="93">
        <v>108.36</v>
      </c>
      <c r="I193" s="93">
        <v>0</v>
      </c>
      <c r="J193" s="93"/>
      <c r="K193" s="93">
        <f t="shared" si="48"/>
        <v>0</v>
      </c>
      <c r="L193" s="93">
        <f t="shared" si="49"/>
        <v>0</v>
      </c>
      <c r="M193" s="94">
        <v>37.5</v>
      </c>
      <c r="N193" s="95" t="s">
        <v>289</v>
      </c>
      <c r="O193" s="93">
        <f t="shared" si="43"/>
        <v>0</v>
      </c>
      <c r="P193" s="93">
        <f t="shared" si="44"/>
        <v>0</v>
      </c>
      <c r="Q193" s="93">
        <f t="shared" si="45"/>
        <v>0</v>
      </c>
      <c r="R193" s="93">
        <f t="shared" si="46"/>
        <v>0</v>
      </c>
      <c r="S193" s="93">
        <f t="shared" si="47"/>
        <v>0</v>
      </c>
      <c r="T193" s="93">
        <f t="shared" si="50"/>
        <v>0</v>
      </c>
      <c r="U193" s="253">
        <f t="shared" si="41"/>
        <v>0</v>
      </c>
      <c r="V193" s="93">
        <f t="shared" si="42"/>
        <v>108.36</v>
      </c>
    </row>
    <row r="194" spans="1:22" ht="18" customHeight="1" x14ac:dyDescent="0.2">
      <c r="A194" s="110" t="s">
        <v>342</v>
      </c>
      <c r="B194" s="111"/>
      <c r="C194" s="201" t="s">
        <v>343</v>
      </c>
      <c r="D194" s="91">
        <v>37658</v>
      </c>
      <c r="E194" s="92">
        <v>43646</v>
      </c>
      <c r="F194" s="93"/>
      <c r="G194" s="93"/>
      <c r="H194" s="93">
        <v>320</v>
      </c>
      <c r="I194" s="93">
        <v>0</v>
      </c>
      <c r="J194" s="93"/>
      <c r="K194" s="93">
        <f t="shared" si="48"/>
        <v>0</v>
      </c>
      <c r="L194" s="93">
        <f t="shared" si="49"/>
        <v>0</v>
      </c>
      <c r="M194" s="94">
        <v>20</v>
      </c>
      <c r="N194" s="95" t="s">
        <v>289</v>
      </c>
      <c r="O194" s="93">
        <f t="shared" si="43"/>
        <v>0</v>
      </c>
      <c r="P194" s="93">
        <f t="shared" si="44"/>
        <v>0</v>
      </c>
      <c r="Q194" s="93">
        <f t="shared" si="45"/>
        <v>0</v>
      </c>
      <c r="R194" s="93">
        <f t="shared" si="46"/>
        <v>0</v>
      </c>
      <c r="S194" s="93">
        <f t="shared" si="47"/>
        <v>0</v>
      </c>
      <c r="T194" s="93">
        <f t="shared" si="50"/>
        <v>0</v>
      </c>
      <c r="U194" s="253">
        <f t="shared" si="41"/>
        <v>0</v>
      </c>
      <c r="V194" s="93">
        <f t="shared" si="42"/>
        <v>320</v>
      </c>
    </row>
    <row r="195" spans="1:22" ht="18" customHeight="1" x14ac:dyDescent="0.2">
      <c r="A195" s="110" t="s">
        <v>344</v>
      </c>
      <c r="B195" s="111"/>
      <c r="C195" s="201" t="s">
        <v>345</v>
      </c>
      <c r="D195" s="91">
        <v>39611</v>
      </c>
      <c r="E195" s="92"/>
      <c r="F195" s="93"/>
      <c r="G195" s="93"/>
      <c r="H195" s="93">
        <v>140</v>
      </c>
      <c r="I195" s="93">
        <v>0</v>
      </c>
      <c r="J195" s="93"/>
      <c r="K195" s="93">
        <f t="shared" si="48"/>
        <v>0</v>
      </c>
      <c r="L195" s="93">
        <f t="shared" si="49"/>
        <v>0</v>
      </c>
      <c r="M195" s="94">
        <v>37.5</v>
      </c>
      <c r="N195" s="95" t="s">
        <v>289</v>
      </c>
      <c r="O195" s="93">
        <f t="shared" si="43"/>
        <v>0</v>
      </c>
      <c r="P195" s="93">
        <f t="shared" si="44"/>
        <v>0</v>
      </c>
      <c r="Q195" s="93">
        <f t="shared" si="45"/>
        <v>0</v>
      </c>
      <c r="R195" s="93">
        <f t="shared" si="46"/>
        <v>0</v>
      </c>
      <c r="S195" s="93">
        <f t="shared" si="47"/>
        <v>0</v>
      </c>
      <c r="T195" s="93">
        <f t="shared" si="50"/>
        <v>0</v>
      </c>
      <c r="U195" s="253">
        <f t="shared" si="41"/>
        <v>0</v>
      </c>
      <c r="V195" s="93">
        <f t="shared" si="42"/>
        <v>0</v>
      </c>
    </row>
    <row r="196" spans="1:22" ht="18" customHeight="1" x14ac:dyDescent="0.2">
      <c r="A196" s="110" t="s">
        <v>346</v>
      </c>
      <c r="B196" s="111"/>
      <c r="C196" s="201" t="s">
        <v>347</v>
      </c>
      <c r="D196" s="91">
        <v>39617</v>
      </c>
      <c r="E196" s="92">
        <v>43646</v>
      </c>
      <c r="F196" s="93">
        <v>0</v>
      </c>
      <c r="G196" s="93"/>
      <c r="H196" s="93">
        <v>535.04999999999995</v>
      </c>
      <c r="I196" s="93">
        <v>0</v>
      </c>
      <c r="J196" s="93"/>
      <c r="K196" s="93">
        <f t="shared" si="48"/>
        <v>0</v>
      </c>
      <c r="L196" s="93">
        <f t="shared" si="49"/>
        <v>0</v>
      </c>
      <c r="M196" s="94">
        <v>37.5</v>
      </c>
      <c r="N196" s="95" t="s">
        <v>289</v>
      </c>
      <c r="O196" s="93">
        <f t="shared" si="43"/>
        <v>0</v>
      </c>
      <c r="P196" s="93">
        <f t="shared" si="44"/>
        <v>0</v>
      </c>
      <c r="Q196" s="93">
        <f t="shared" si="45"/>
        <v>0</v>
      </c>
      <c r="R196" s="93">
        <f t="shared" si="46"/>
        <v>0</v>
      </c>
      <c r="S196" s="93">
        <f t="shared" si="47"/>
        <v>0</v>
      </c>
      <c r="T196" s="93">
        <f t="shared" si="50"/>
        <v>0</v>
      </c>
      <c r="U196" s="253">
        <f t="shared" si="41"/>
        <v>0</v>
      </c>
      <c r="V196" s="93">
        <f t="shared" si="42"/>
        <v>535.04999999999995</v>
      </c>
    </row>
    <row r="197" spans="1:22" ht="18" customHeight="1" x14ac:dyDescent="0.2">
      <c r="A197" s="110" t="s">
        <v>348</v>
      </c>
      <c r="B197" s="111"/>
      <c r="C197" s="201" t="s">
        <v>349</v>
      </c>
      <c r="D197" s="91">
        <v>39625</v>
      </c>
      <c r="E197" s="92">
        <v>43646</v>
      </c>
      <c r="F197" s="93">
        <v>0</v>
      </c>
      <c r="G197" s="93"/>
      <c r="H197" s="93">
        <v>108.18</v>
      </c>
      <c r="I197" s="93">
        <v>0</v>
      </c>
      <c r="J197" s="93"/>
      <c r="K197" s="93">
        <f t="shared" si="48"/>
        <v>0</v>
      </c>
      <c r="L197" s="93">
        <f t="shared" si="49"/>
        <v>0</v>
      </c>
      <c r="M197" s="94">
        <v>37.5</v>
      </c>
      <c r="N197" s="95" t="s">
        <v>289</v>
      </c>
      <c r="O197" s="93">
        <f t="shared" si="43"/>
        <v>0</v>
      </c>
      <c r="P197" s="93">
        <f t="shared" si="44"/>
        <v>0</v>
      </c>
      <c r="Q197" s="93">
        <f t="shared" si="45"/>
        <v>0</v>
      </c>
      <c r="R197" s="93">
        <f t="shared" si="46"/>
        <v>0</v>
      </c>
      <c r="S197" s="93">
        <f t="shared" si="47"/>
        <v>0</v>
      </c>
      <c r="T197" s="93">
        <f t="shared" si="50"/>
        <v>0</v>
      </c>
      <c r="U197" s="253">
        <f t="shared" si="41"/>
        <v>0</v>
      </c>
      <c r="V197" s="93">
        <f t="shared" si="42"/>
        <v>108.18</v>
      </c>
    </row>
    <row r="198" spans="1:22" ht="18" customHeight="1" x14ac:dyDescent="0.2">
      <c r="A198" s="110" t="s">
        <v>350</v>
      </c>
      <c r="B198" s="111"/>
      <c r="C198" s="201" t="s">
        <v>351</v>
      </c>
      <c r="D198" s="91">
        <v>39304</v>
      </c>
      <c r="E198" s="92">
        <v>43646</v>
      </c>
      <c r="F198" s="93">
        <v>0</v>
      </c>
      <c r="G198" s="93"/>
      <c r="H198" s="93">
        <v>314</v>
      </c>
      <c r="I198" s="93">
        <v>0</v>
      </c>
      <c r="J198" s="93"/>
      <c r="K198" s="93">
        <f t="shared" si="48"/>
        <v>0</v>
      </c>
      <c r="L198" s="93">
        <f t="shared" si="49"/>
        <v>0</v>
      </c>
      <c r="M198" s="94">
        <v>37.5</v>
      </c>
      <c r="N198" s="95" t="s">
        <v>289</v>
      </c>
      <c r="O198" s="93">
        <f t="shared" si="43"/>
        <v>0</v>
      </c>
      <c r="P198" s="93">
        <f t="shared" si="44"/>
        <v>0</v>
      </c>
      <c r="Q198" s="93">
        <f t="shared" si="45"/>
        <v>0</v>
      </c>
      <c r="R198" s="93">
        <f t="shared" si="46"/>
        <v>0</v>
      </c>
      <c r="S198" s="93">
        <f t="shared" si="47"/>
        <v>0</v>
      </c>
      <c r="T198" s="93">
        <f t="shared" si="50"/>
        <v>0</v>
      </c>
      <c r="U198" s="253">
        <f t="shared" si="41"/>
        <v>0</v>
      </c>
      <c r="V198" s="93">
        <f t="shared" si="42"/>
        <v>314</v>
      </c>
    </row>
    <row r="199" spans="1:22" ht="18" customHeight="1" x14ac:dyDescent="0.2">
      <c r="A199" s="110" t="s">
        <v>352</v>
      </c>
      <c r="B199" s="111"/>
      <c r="C199" s="201" t="s">
        <v>353</v>
      </c>
      <c r="D199" s="91">
        <v>39423</v>
      </c>
      <c r="E199" s="92">
        <v>43646</v>
      </c>
      <c r="F199" s="93">
        <v>0</v>
      </c>
      <c r="G199" s="93"/>
      <c r="H199" s="93">
        <v>384.54</v>
      </c>
      <c r="I199" s="93">
        <v>0</v>
      </c>
      <c r="J199" s="93"/>
      <c r="K199" s="93">
        <f t="shared" si="48"/>
        <v>0</v>
      </c>
      <c r="L199" s="93">
        <f t="shared" si="49"/>
        <v>0</v>
      </c>
      <c r="M199" s="94">
        <v>37.5</v>
      </c>
      <c r="N199" s="95" t="s">
        <v>289</v>
      </c>
      <c r="O199" s="93">
        <f t="shared" si="43"/>
        <v>0</v>
      </c>
      <c r="P199" s="93">
        <f t="shared" si="44"/>
        <v>0</v>
      </c>
      <c r="Q199" s="93">
        <f t="shared" si="45"/>
        <v>0</v>
      </c>
      <c r="R199" s="93">
        <f t="shared" si="46"/>
        <v>0</v>
      </c>
      <c r="S199" s="93">
        <f t="shared" si="47"/>
        <v>0</v>
      </c>
      <c r="T199" s="93">
        <f t="shared" si="50"/>
        <v>0</v>
      </c>
      <c r="U199" s="253">
        <f t="shared" si="41"/>
        <v>0</v>
      </c>
      <c r="V199" s="93">
        <f t="shared" si="42"/>
        <v>384.54</v>
      </c>
    </row>
    <row r="200" spans="1:22" ht="18" customHeight="1" x14ac:dyDescent="0.2">
      <c r="A200" s="110" t="s">
        <v>354</v>
      </c>
      <c r="B200" s="111"/>
      <c r="C200" s="201" t="s">
        <v>355</v>
      </c>
      <c r="D200" s="91">
        <v>39418</v>
      </c>
      <c r="E200" s="92">
        <v>43646</v>
      </c>
      <c r="F200" s="93">
        <v>0</v>
      </c>
      <c r="G200" s="93"/>
      <c r="H200" s="93">
        <v>1090</v>
      </c>
      <c r="I200" s="93">
        <v>0</v>
      </c>
      <c r="J200" s="93"/>
      <c r="K200" s="93">
        <f t="shared" si="48"/>
        <v>0</v>
      </c>
      <c r="L200" s="93">
        <f t="shared" si="49"/>
        <v>0</v>
      </c>
      <c r="M200" s="94">
        <v>13.33</v>
      </c>
      <c r="N200" s="95" t="s">
        <v>289</v>
      </c>
      <c r="O200" s="93">
        <f t="shared" si="43"/>
        <v>0</v>
      </c>
      <c r="P200" s="93">
        <f t="shared" si="44"/>
        <v>0</v>
      </c>
      <c r="Q200" s="93">
        <f t="shared" si="45"/>
        <v>0</v>
      </c>
      <c r="R200" s="93">
        <f t="shared" si="46"/>
        <v>0</v>
      </c>
      <c r="S200" s="93">
        <f t="shared" si="47"/>
        <v>0</v>
      </c>
      <c r="T200" s="93">
        <f t="shared" si="50"/>
        <v>0</v>
      </c>
      <c r="U200" s="253">
        <f t="shared" si="41"/>
        <v>0</v>
      </c>
      <c r="V200" s="93">
        <f t="shared" si="42"/>
        <v>1090</v>
      </c>
    </row>
    <row r="201" spans="1:22" ht="18" customHeight="1" x14ac:dyDescent="0.2">
      <c r="A201" s="110" t="s">
        <v>356</v>
      </c>
      <c r="B201" s="111"/>
      <c r="C201" s="201" t="s">
        <v>347</v>
      </c>
      <c r="D201" s="91">
        <v>39388</v>
      </c>
      <c r="E201" s="92"/>
      <c r="F201" s="93"/>
      <c r="G201" s="93"/>
      <c r="H201" s="93">
        <v>1690</v>
      </c>
      <c r="I201" s="93">
        <v>527</v>
      </c>
      <c r="J201" s="93"/>
      <c r="K201" s="93">
        <f t="shared" si="48"/>
        <v>0</v>
      </c>
      <c r="L201" s="93">
        <f t="shared" si="49"/>
        <v>0</v>
      </c>
      <c r="M201" s="94">
        <v>10</v>
      </c>
      <c r="N201" s="95" t="s">
        <v>289</v>
      </c>
      <c r="O201" s="93">
        <f t="shared" si="43"/>
        <v>0</v>
      </c>
      <c r="P201" s="93">
        <f t="shared" si="44"/>
        <v>0</v>
      </c>
      <c r="Q201" s="93">
        <f t="shared" si="45"/>
        <v>0</v>
      </c>
      <c r="R201" s="93">
        <f t="shared" si="46"/>
        <v>30</v>
      </c>
      <c r="S201" s="93">
        <f t="shared" si="47"/>
        <v>0</v>
      </c>
      <c r="T201" s="93">
        <f t="shared" si="50"/>
        <v>30</v>
      </c>
      <c r="U201" s="253">
        <f t="shared" si="41"/>
        <v>497</v>
      </c>
      <c r="V201" s="93">
        <f t="shared" si="42"/>
        <v>0</v>
      </c>
    </row>
    <row r="202" spans="1:22" ht="18" customHeight="1" x14ac:dyDescent="0.2">
      <c r="A202" s="110" t="s">
        <v>357</v>
      </c>
      <c r="B202" s="111"/>
      <c r="C202" s="201" t="s">
        <v>358</v>
      </c>
      <c r="D202" s="91">
        <v>39539</v>
      </c>
      <c r="E202" s="92">
        <v>43646</v>
      </c>
      <c r="F202" s="93">
        <v>0</v>
      </c>
      <c r="G202" s="93"/>
      <c r="H202" s="93">
        <v>1280</v>
      </c>
      <c r="I202" s="93">
        <v>0</v>
      </c>
      <c r="J202" s="93"/>
      <c r="K202" s="93">
        <f t="shared" si="48"/>
        <v>0</v>
      </c>
      <c r="L202" s="93">
        <f t="shared" si="49"/>
        <v>0</v>
      </c>
      <c r="M202" s="94">
        <v>20</v>
      </c>
      <c r="N202" s="95" t="s">
        <v>289</v>
      </c>
      <c r="O202" s="93">
        <f t="shared" si="43"/>
        <v>0</v>
      </c>
      <c r="P202" s="93">
        <f t="shared" si="44"/>
        <v>0</v>
      </c>
      <c r="Q202" s="93">
        <f t="shared" si="45"/>
        <v>0</v>
      </c>
      <c r="R202" s="93">
        <f t="shared" si="46"/>
        <v>0</v>
      </c>
      <c r="S202" s="93">
        <f t="shared" si="47"/>
        <v>0</v>
      </c>
      <c r="T202" s="93">
        <f t="shared" si="50"/>
        <v>0</v>
      </c>
      <c r="U202" s="253">
        <f t="shared" si="41"/>
        <v>0</v>
      </c>
      <c r="V202" s="93">
        <f t="shared" si="42"/>
        <v>1280</v>
      </c>
    </row>
    <row r="203" spans="1:22" ht="18" customHeight="1" x14ac:dyDescent="0.2">
      <c r="A203" s="110" t="s">
        <v>359</v>
      </c>
      <c r="B203" s="111"/>
      <c r="C203" s="201" t="s">
        <v>360</v>
      </c>
      <c r="D203" s="91">
        <v>39379</v>
      </c>
      <c r="E203" s="92"/>
      <c r="F203" s="93"/>
      <c r="G203" s="93"/>
      <c r="H203" s="93">
        <v>2727.27</v>
      </c>
      <c r="I203" s="93">
        <v>848.27</v>
      </c>
      <c r="J203" s="93"/>
      <c r="K203" s="93">
        <f t="shared" si="48"/>
        <v>0</v>
      </c>
      <c r="L203" s="93">
        <f t="shared" si="49"/>
        <v>0</v>
      </c>
      <c r="M203" s="94">
        <v>10</v>
      </c>
      <c r="N203" s="95" t="s">
        <v>289</v>
      </c>
      <c r="O203" s="93">
        <f t="shared" si="43"/>
        <v>0</v>
      </c>
      <c r="P203" s="93">
        <f t="shared" si="44"/>
        <v>0</v>
      </c>
      <c r="Q203" s="93">
        <f t="shared" si="45"/>
        <v>0</v>
      </c>
      <c r="R203" s="93">
        <f t="shared" si="46"/>
        <v>49</v>
      </c>
      <c r="S203" s="93">
        <f t="shared" si="47"/>
        <v>0</v>
      </c>
      <c r="T203" s="93">
        <f t="shared" si="50"/>
        <v>49</v>
      </c>
      <c r="U203" s="253">
        <f t="shared" si="41"/>
        <v>799.27</v>
      </c>
      <c r="V203" s="93">
        <f t="shared" si="42"/>
        <v>0</v>
      </c>
    </row>
    <row r="204" spans="1:22" ht="18" customHeight="1" x14ac:dyDescent="0.2">
      <c r="A204" s="110" t="s">
        <v>361</v>
      </c>
      <c r="B204" s="111"/>
      <c r="C204" s="201" t="s">
        <v>362</v>
      </c>
      <c r="D204" s="91">
        <v>37669</v>
      </c>
      <c r="E204" s="92">
        <v>43646</v>
      </c>
      <c r="F204" s="93">
        <v>0</v>
      </c>
      <c r="G204" s="93"/>
      <c r="H204" s="93">
        <v>600</v>
      </c>
      <c r="I204" s="93">
        <v>0</v>
      </c>
      <c r="J204" s="93"/>
      <c r="K204" s="93">
        <f t="shared" si="48"/>
        <v>0</v>
      </c>
      <c r="L204" s="93">
        <f t="shared" si="49"/>
        <v>0</v>
      </c>
      <c r="M204" s="94">
        <v>20</v>
      </c>
      <c r="N204" s="95" t="s">
        <v>289</v>
      </c>
      <c r="O204" s="93">
        <f t="shared" si="43"/>
        <v>0</v>
      </c>
      <c r="P204" s="93">
        <f t="shared" si="44"/>
        <v>0</v>
      </c>
      <c r="Q204" s="93">
        <f t="shared" si="45"/>
        <v>0</v>
      </c>
      <c r="R204" s="93">
        <f t="shared" si="46"/>
        <v>0</v>
      </c>
      <c r="S204" s="93">
        <f t="shared" si="47"/>
        <v>0</v>
      </c>
      <c r="T204" s="93">
        <f t="shared" si="50"/>
        <v>0</v>
      </c>
      <c r="U204" s="253">
        <f t="shared" si="41"/>
        <v>0</v>
      </c>
      <c r="V204" s="93">
        <f t="shared" si="42"/>
        <v>600</v>
      </c>
    </row>
    <row r="205" spans="1:22" ht="18" customHeight="1" x14ac:dyDescent="0.2">
      <c r="A205" s="110" t="s">
        <v>363</v>
      </c>
      <c r="B205" s="111"/>
      <c r="C205" s="201" t="s">
        <v>364</v>
      </c>
      <c r="D205" s="91">
        <v>39386</v>
      </c>
      <c r="E205" s="92"/>
      <c r="F205" s="93"/>
      <c r="G205" s="93"/>
      <c r="H205" s="93">
        <v>22704.55</v>
      </c>
      <c r="I205" s="93">
        <v>12864.550000000001</v>
      </c>
      <c r="J205" s="93"/>
      <c r="K205" s="93">
        <f t="shared" si="48"/>
        <v>0</v>
      </c>
      <c r="L205" s="93">
        <f t="shared" si="49"/>
        <v>0</v>
      </c>
      <c r="M205" s="94">
        <v>5</v>
      </c>
      <c r="N205" s="95" t="s">
        <v>289</v>
      </c>
      <c r="O205" s="93">
        <f t="shared" si="43"/>
        <v>0</v>
      </c>
      <c r="P205" s="93">
        <f t="shared" si="44"/>
        <v>0</v>
      </c>
      <c r="Q205" s="93">
        <f t="shared" si="45"/>
        <v>0</v>
      </c>
      <c r="R205" s="93">
        <f t="shared" si="46"/>
        <v>375</v>
      </c>
      <c r="S205" s="93">
        <f t="shared" si="47"/>
        <v>0</v>
      </c>
      <c r="T205" s="93">
        <f t="shared" si="50"/>
        <v>375</v>
      </c>
      <c r="U205" s="253">
        <f t="shared" si="41"/>
        <v>12489.550000000001</v>
      </c>
      <c r="V205" s="93">
        <f t="shared" si="42"/>
        <v>0</v>
      </c>
    </row>
    <row r="206" spans="1:22" ht="18" customHeight="1" x14ac:dyDescent="0.2">
      <c r="A206" s="110" t="s">
        <v>365</v>
      </c>
      <c r="B206" s="111"/>
      <c r="C206" s="201" t="s">
        <v>366</v>
      </c>
      <c r="D206" s="91">
        <v>39465</v>
      </c>
      <c r="E206" s="92"/>
      <c r="F206" s="93"/>
      <c r="G206" s="93"/>
      <c r="H206" s="93">
        <v>3640</v>
      </c>
      <c r="I206" s="93">
        <v>325</v>
      </c>
      <c r="J206" s="93"/>
      <c r="K206" s="93">
        <f t="shared" si="48"/>
        <v>0</v>
      </c>
      <c r="L206" s="93">
        <f t="shared" si="49"/>
        <v>0</v>
      </c>
      <c r="M206" s="94">
        <v>20</v>
      </c>
      <c r="N206" s="95" t="s">
        <v>289</v>
      </c>
      <c r="O206" s="93">
        <f t="shared" si="43"/>
        <v>0</v>
      </c>
      <c r="P206" s="93">
        <f t="shared" si="44"/>
        <v>0</v>
      </c>
      <c r="Q206" s="93">
        <f t="shared" si="45"/>
        <v>0</v>
      </c>
      <c r="R206" s="93">
        <f t="shared" si="46"/>
        <v>37</v>
      </c>
      <c r="S206" s="93">
        <f t="shared" si="47"/>
        <v>0</v>
      </c>
      <c r="T206" s="93">
        <f t="shared" si="50"/>
        <v>37</v>
      </c>
      <c r="U206" s="253">
        <f t="shared" si="41"/>
        <v>288</v>
      </c>
      <c r="V206" s="93">
        <f t="shared" si="42"/>
        <v>0</v>
      </c>
    </row>
    <row r="207" spans="1:22" ht="18" customHeight="1" x14ac:dyDescent="0.2">
      <c r="A207" s="110" t="s">
        <v>367</v>
      </c>
      <c r="B207" s="111"/>
      <c r="C207" s="201" t="s">
        <v>368</v>
      </c>
      <c r="D207" s="91">
        <v>39470</v>
      </c>
      <c r="E207" s="92"/>
      <c r="F207" s="93"/>
      <c r="G207" s="93"/>
      <c r="H207" s="93">
        <v>4495</v>
      </c>
      <c r="I207" s="93">
        <v>403</v>
      </c>
      <c r="J207" s="93"/>
      <c r="K207" s="93">
        <f t="shared" si="48"/>
        <v>0</v>
      </c>
      <c r="L207" s="93">
        <f t="shared" si="49"/>
        <v>0</v>
      </c>
      <c r="M207" s="94">
        <v>20</v>
      </c>
      <c r="N207" s="95" t="s">
        <v>289</v>
      </c>
      <c r="O207" s="93">
        <f t="shared" si="43"/>
        <v>0</v>
      </c>
      <c r="P207" s="93">
        <f t="shared" si="44"/>
        <v>0</v>
      </c>
      <c r="Q207" s="93">
        <f t="shared" si="45"/>
        <v>0</v>
      </c>
      <c r="R207" s="93">
        <f t="shared" si="46"/>
        <v>47</v>
      </c>
      <c r="S207" s="93">
        <f t="shared" si="47"/>
        <v>0</v>
      </c>
      <c r="T207" s="93">
        <f t="shared" si="50"/>
        <v>47</v>
      </c>
      <c r="U207" s="253">
        <f t="shared" si="41"/>
        <v>356</v>
      </c>
      <c r="V207" s="93">
        <f t="shared" si="42"/>
        <v>0</v>
      </c>
    </row>
    <row r="208" spans="1:22" ht="18" customHeight="1" x14ac:dyDescent="0.2">
      <c r="A208" s="110" t="s">
        <v>369</v>
      </c>
      <c r="B208" s="111"/>
      <c r="C208" s="201" t="s">
        <v>370</v>
      </c>
      <c r="D208" s="91">
        <v>39498</v>
      </c>
      <c r="E208" s="92"/>
      <c r="F208" s="93"/>
      <c r="G208" s="93"/>
      <c r="H208" s="93">
        <v>10468.09</v>
      </c>
      <c r="I208" s="93">
        <v>3370.09</v>
      </c>
      <c r="J208" s="93"/>
      <c r="K208" s="93">
        <f t="shared" si="48"/>
        <v>0</v>
      </c>
      <c r="L208" s="93">
        <f t="shared" si="49"/>
        <v>0</v>
      </c>
      <c r="M208" s="94">
        <v>10</v>
      </c>
      <c r="N208" s="95" t="s">
        <v>289</v>
      </c>
      <c r="O208" s="93">
        <f t="shared" si="43"/>
        <v>0</v>
      </c>
      <c r="P208" s="93">
        <f t="shared" si="44"/>
        <v>0</v>
      </c>
      <c r="Q208" s="93">
        <f t="shared" si="45"/>
        <v>0</v>
      </c>
      <c r="R208" s="93">
        <f t="shared" si="46"/>
        <v>196</v>
      </c>
      <c r="S208" s="93">
        <f t="shared" si="47"/>
        <v>0</v>
      </c>
      <c r="T208" s="93">
        <f t="shared" si="50"/>
        <v>196</v>
      </c>
      <c r="U208" s="253">
        <f t="shared" si="41"/>
        <v>3174.09</v>
      </c>
      <c r="V208" s="93">
        <f t="shared" si="42"/>
        <v>0</v>
      </c>
    </row>
    <row r="209" spans="1:22" ht="18" customHeight="1" x14ac:dyDescent="0.2">
      <c r="A209" s="110" t="s">
        <v>371</v>
      </c>
      <c r="B209" s="111"/>
      <c r="C209" s="90" t="s">
        <v>372</v>
      </c>
      <c r="D209" s="91">
        <v>39499</v>
      </c>
      <c r="E209" s="92"/>
      <c r="F209" s="93"/>
      <c r="G209" s="93"/>
      <c r="H209" s="93">
        <v>13392.5</v>
      </c>
      <c r="I209" s="93">
        <v>5788.5</v>
      </c>
      <c r="J209" s="93"/>
      <c r="K209" s="93">
        <f t="shared" si="48"/>
        <v>0</v>
      </c>
      <c r="L209" s="93">
        <f t="shared" si="49"/>
        <v>0</v>
      </c>
      <c r="M209" s="94">
        <v>7.5</v>
      </c>
      <c r="N209" s="95" t="s">
        <v>289</v>
      </c>
      <c r="O209" s="93">
        <f t="shared" si="43"/>
        <v>0</v>
      </c>
      <c r="P209" s="93">
        <f t="shared" si="44"/>
        <v>0</v>
      </c>
      <c r="Q209" s="93">
        <f t="shared" si="45"/>
        <v>0</v>
      </c>
      <c r="R209" s="93">
        <f t="shared" si="46"/>
        <v>253</v>
      </c>
      <c r="S209" s="93">
        <f t="shared" si="47"/>
        <v>0</v>
      </c>
      <c r="T209" s="93">
        <f t="shared" si="50"/>
        <v>253</v>
      </c>
      <c r="U209" s="253">
        <f t="shared" si="41"/>
        <v>5535.5</v>
      </c>
      <c r="V209" s="93">
        <f t="shared" si="42"/>
        <v>0</v>
      </c>
    </row>
    <row r="210" spans="1:22" ht="18" customHeight="1" x14ac:dyDescent="0.2">
      <c r="A210" s="110" t="s">
        <v>373</v>
      </c>
      <c r="B210" s="111"/>
      <c r="C210" s="201" t="s">
        <v>374</v>
      </c>
      <c r="D210" s="91">
        <v>39540</v>
      </c>
      <c r="E210" s="92"/>
      <c r="F210" s="93"/>
      <c r="G210" s="93"/>
      <c r="H210" s="93">
        <v>2372</v>
      </c>
      <c r="I210" s="93">
        <v>771</v>
      </c>
      <c r="J210" s="93"/>
      <c r="K210" s="93">
        <f t="shared" si="48"/>
        <v>0</v>
      </c>
      <c r="L210" s="93">
        <f t="shared" si="49"/>
        <v>0</v>
      </c>
      <c r="M210" s="94">
        <v>10</v>
      </c>
      <c r="N210" s="95" t="s">
        <v>289</v>
      </c>
      <c r="O210" s="93">
        <f t="shared" si="43"/>
        <v>0</v>
      </c>
      <c r="P210" s="93">
        <f t="shared" si="44"/>
        <v>0</v>
      </c>
      <c r="Q210" s="93">
        <f t="shared" si="45"/>
        <v>0</v>
      </c>
      <c r="R210" s="93">
        <f t="shared" si="46"/>
        <v>44</v>
      </c>
      <c r="S210" s="93">
        <f t="shared" si="47"/>
        <v>0</v>
      </c>
      <c r="T210" s="93">
        <f t="shared" si="50"/>
        <v>44</v>
      </c>
      <c r="U210" s="253">
        <f t="shared" si="41"/>
        <v>727</v>
      </c>
      <c r="V210" s="93">
        <f t="shared" si="42"/>
        <v>0</v>
      </c>
    </row>
    <row r="211" spans="1:22" ht="18" customHeight="1" x14ac:dyDescent="0.2">
      <c r="A211" s="110" t="s">
        <v>375</v>
      </c>
      <c r="B211" s="111"/>
      <c r="C211" s="201" t="s">
        <v>376</v>
      </c>
      <c r="D211" s="91">
        <v>39448</v>
      </c>
      <c r="E211" s="92">
        <v>43646</v>
      </c>
      <c r="F211" s="93">
        <v>0</v>
      </c>
      <c r="G211" s="93"/>
      <c r="H211" s="93">
        <v>226</v>
      </c>
      <c r="I211" s="93">
        <v>0</v>
      </c>
      <c r="J211" s="93"/>
      <c r="K211" s="93">
        <f t="shared" si="48"/>
        <v>0</v>
      </c>
      <c r="L211" s="93">
        <f t="shared" si="49"/>
        <v>0</v>
      </c>
      <c r="M211" s="94">
        <v>37.5</v>
      </c>
      <c r="N211" s="95" t="s">
        <v>289</v>
      </c>
      <c r="O211" s="93">
        <f t="shared" si="43"/>
        <v>0</v>
      </c>
      <c r="P211" s="93">
        <f t="shared" si="44"/>
        <v>0</v>
      </c>
      <c r="Q211" s="93">
        <f t="shared" si="45"/>
        <v>0</v>
      </c>
      <c r="R211" s="93">
        <f t="shared" si="46"/>
        <v>0</v>
      </c>
      <c r="S211" s="93">
        <f t="shared" si="47"/>
        <v>0</v>
      </c>
      <c r="T211" s="93">
        <f t="shared" si="50"/>
        <v>0</v>
      </c>
      <c r="U211" s="253">
        <f t="shared" si="41"/>
        <v>0</v>
      </c>
      <c r="V211" s="93">
        <f t="shared" si="42"/>
        <v>226</v>
      </c>
    </row>
    <row r="212" spans="1:22" ht="18" customHeight="1" x14ac:dyDescent="0.2">
      <c r="A212" s="110" t="s">
        <v>377</v>
      </c>
      <c r="B212" s="111"/>
      <c r="C212" s="201" t="s">
        <v>378</v>
      </c>
      <c r="D212" s="91">
        <v>39507</v>
      </c>
      <c r="E212" s="92"/>
      <c r="F212" s="93"/>
      <c r="G212" s="93"/>
      <c r="H212" s="93">
        <v>950</v>
      </c>
      <c r="I212" s="93">
        <v>0</v>
      </c>
      <c r="J212" s="93"/>
      <c r="K212" s="93">
        <f t="shared" si="48"/>
        <v>0</v>
      </c>
      <c r="L212" s="93">
        <f t="shared" si="49"/>
        <v>0</v>
      </c>
      <c r="M212" s="94">
        <v>37.5</v>
      </c>
      <c r="N212" s="95" t="s">
        <v>289</v>
      </c>
      <c r="O212" s="93">
        <f t="shared" si="43"/>
        <v>0</v>
      </c>
      <c r="P212" s="93">
        <f t="shared" si="44"/>
        <v>0</v>
      </c>
      <c r="Q212" s="93">
        <f t="shared" si="45"/>
        <v>0</v>
      </c>
      <c r="R212" s="93">
        <f t="shared" si="46"/>
        <v>0</v>
      </c>
      <c r="S212" s="93">
        <f t="shared" si="47"/>
        <v>0</v>
      </c>
      <c r="T212" s="93">
        <f t="shared" si="50"/>
        <v>0</v>
      </c>
      <c r="U212" s="253">
        <f t="shared" si="41"/>
        <v>0</v>
      </c>
      <c r="V212" s="93">
        <f t="shared" si="42"/>
        <v>0</v>
      </c>
    </row>
    <row r="213" spans="1:22" ht="18" customHeight="1" x14ac:dyDescent="0.2">
      <c r="A213" s="110" t="s">
        <v>379</v>
      </c>
      <c r="B213" s="111"/>
      <c r="C213" s="201" t="s">
        <v>380</v>
      </c>
      <c r="D213" s="91">
        <v>37677</v>
      </c>
      <c r="E213" s="92">
        <v>43646</v>
      </c>
      <c r="F213" s="93"/>
      <c r="G213" s="93"/>
      <c r="H213" s="93">
        <v>106</v>
      </c>
      <c r="I213" s="93">
        <v>0</v>
      </c>
      <c r="J213" s="93"/>
      <c r="K213" s="93">
        <f t="shared" si="48"/>
        <v>0</v>
      </c>
      <c r="L213" s="93">
        <f t="shared" si="49"/>
        <v>0</v>
      </c>
      <c r="M213" s="94">
        <v>20</v>
      </c>
      <c r="N213" s="95" t="s">
        <v>289</v>
      </c>
      <c r="O213" s="93">
        <f t="shared" si="43"/>
        <v>0</v>
      </c>
      <c r="P213" s="93">
        <f t="shared" si="44"/>
        <v>0</v>
      </c>
      <c r="Q213" s="93">
        <f t="shared" si="45"/>
        <v>0</v>
      </c>
      <c r="R213" s="93">
        <f t="shared" si="46"/>
        <v>0</v>
      </c>
      <c r="S213" s="93">
        <f t="shared" si="47"/>
        <v>0</v>
      </c>
      <c r="T213" s="93">
        <f t="shared" si="50"/>
        <v>0</v>
      </c>
      <c r="U213" s="253">
        <f t="shared" si="41"/>
        <v>0</v>
      </c>
      <c r="V213" s="93">
        <f t="shared" si="42"/>
        <v>106</v>
      </c>
    </row>
    <row r="214" spans="1:22" ht="18" customHeight="1" x14ac:dyDescent="0.2">
      <c r="A214" s="110" t="s">
        <v>381</v>
      </c>
      <c r="B214" s="111"/>
      <c r="C214" s="201" t="s">
        <v>382</v>
      </c>
      <c r="D214" s="91">
        <v>39555</v>
      </c>
      <c r="E214" s="92">
        <v>43646</v>
      </c>
      <c r="F214" s="93"/>
      <c r="G214" s="93"/>
      <c r="H214" s="93">
        <v>700</v>
      </c>
      <c r="I214" s="93">
        <v>0</v>
      </c>
      <c r="J214" s="93"/>
      <c r="K214" s="93">
        <f t="shared" si="48"/>
        <v>0</v>
      </c>
      <c r="L214" s="93">
        <f t="shared" si="49"/>
        <v>0</v>
      </c>
      <c r="M214" s="94">
        <v>37.5</v>
      </c>
      <c r="N214" s="95" t="s">
        <v>289</v>
      </c>
      <c r="O214" s="93">
        <f t="shared" si="43"/>
        <v>0</v>
      </c>
      <c r="P214" s="93">
        <f t="shared" si="44"/>
        <v>0</v>
      </c>
      <c r="Q214" s="93">
        <f t="shared" si="45"/>
        <v>0</v>
      </c>
      <c r="R214" s="93">
        <f t="shared" si="46"/>
        <v>0</v>
      </c>
      <c r="S214" s="93">
        <f t="shared" si="47"/>
        <v>0</v>
      </c>
      <c r="T214" s="93">
        <f t="shared" si="50"/>
        <v>0</v>
      </c>
      <c r="U214" s="253">
        <f t="shared" si="41"/>
        <v>0</v>
      </c>
      <c r="V214" s="93">
        <f t="shared" si="42"/>
        <v>700</v>
      </c>
    </row>
    <row r="215" spans="1:22" ht="18" customHeight="1" x14ac:dyDescent="0.2">
      <c r="A215" s="110" t="s">
        <v>383</v>
      </c>
      <c r="B215" s="111"/>
      <c r="C215" s="201" t="s">
        <v>382</v>
      </c>
      <c r="D215" s="91">
        <v>39559</v>
      </c>
      <c r="E215" s="92">
        <v>43646</v>
      </c>
      <c r="F215" s="93"/>
      <c r="G215" s="93"/>
      <c r="H215" s="93">
        <v>950</v>
      </c>
      <c r="I215" s="93">
        <v>0</v>
      </c>
      <c r="J215" s="93"/>
      <c r="K215" s="93">
        <f t="shared" si="48"/>
        <v>0</v>
      </c>
      <c r="L215" s="93">
        <f t="shared" si="49"/>
        <v>0</v>
      </c>
      <c r="M215" s="94">
        <v>37.5</v>
      </c>
      <c r="N215" s="95" t="s">
        <v>289</v>
      </c>
      <c r="O215" s="93">
        <f t="shared" si="43"/>
        <v>0</v>
      </c>
      <c r="P215" s="93">
        <f t="shared" si="44"/>
        <v>0</v>
      </c>
      <c r="Q215" s="93">
        <f t="shared" si="45"/>
        <v>0</v>
      </c>
      <c r="R215" s="93">
        <f t="shared" si="46"/>
        <v>0</v>
      </c>
      <c r="S215" s="93">
        <f t="shared" si="47"/>
        <v>0</v>
      </c>
      <c r="T215" s="93">
        <f t="shared" si="50"/>
        <v>0</v>
      </c>
      <c r="U215" s="253">
        <f t="shared" si="41"/>
        <v>0</v>
      </c>
      <c r="V215" s="93">
        <f t="shared" si="42"/>
        <v>950</v>
      </c>
    </row>
    <row r="216" spans="1:22" ht="18" customHeight="1" x14ac:dyDescent="0.2">
      <c r="A216" s="110" t="s">
        <v>384</v>
      </c>
      <c r="B216" s="111"/>
      <c r="C216" s="201" t="s">
        <v>385</v>
      </c>
      <c r="D216" s="91">
        <v>39479</v>
      </c>
      <c r="E216" s="92"/>
      <c r="F216" s="93"/>
      <c r="G216" s="93"/>
      <c r="H216" s="93">
        <v>950</v>
      </c>
      <c r="I216" s="93">
        <v>0</v>
      </c>
      <c r="J216" s="93"/>
      <c r="K216" s="93">
        <f t="shared" si="48"/>
        <v>0</v>
      </c>
      <c r="L216" s="93">
        <f t="shared" si="49"/>
        <v>0</v>
      </c>
      <c r="M216" s="94">
        <v>37.5</v>
      </c>
      <c r="N216" s="95" t="s">
        <v>289</v>
      </c>
      <c r="O216" s="93">
        <f t="shared" si="43"/>
        <v>0</v>
      </c>
      <c r="P216" s="93">
        <f t="shared" si="44"/>
        <v>0</v>
      </c>
      <c r="Q216" s="93">
        <f t="shared" si="45"/>
        <v>0</v>
      </c>
      <c r="R216" s="93">
        <f t="shared" si="46"/>
        <v>0</v>
      </c>
      <c r="S216" s="93">
        <f t="shared" si="47"/>
        <v>0</v>
      </c>
      <c r="T216" s="93">
        <f t="shared" si="50"/>
        <v>0</v>
      </c>
      <c r="U216" s="253">
        <f t="shared" si="41"/>
        <v>0</v>
      </c>
      <c r="V216" s="93">
        <f t="shared" si="42"/>
        <v>0</v>
      </c>
    </row>
    <row r="217" spans="1:22" ht="18" customHeight="1" x14ac:dyDescent="0.2">
      <c r="A217" s="110" t="s">
        <v>386</v>
      </c>
      <c r="B217" s="111"/>
      <c r="C217" s="201" t="s">
        <v>380</v>
      </c>
      <c r="D217" s="91">
        <v>37678</v>
      </c>
      <c r="E217" s="92">
        <v>43646</v>
      </c>
      <c r="F217" s="93">
        <v>0</v>
      </c>
      <c r="G217" s="93"/>
      <c r="H217" s="93">
        <v>16.34</v>
      </c>
      <c r="I217" s="93">
        <v>0</v>
      </c>
      <c r="J217" s="93"/>
      <c r="K217" s="93">
        <f t="shared" si="48"/>
        <v>0</v>
      </c>
      <c r="L217" s="93">
        <f t="shared" si="49"/>
        <v>0</v>
      </c>
      <c r="M217" s="94">
        <v>20</v>
      </c>
      <c r="N217" s="95" t="s">
        <v>289</v>
      </c>
      <c r="O217" s="93">
        <f t="shared" si="43"/>
        <v>0</v>
      </c>
      <c r="P217" s="93">
        <f t="shared" si="44"/>
        <v>0</v>
      </c>
      <c r="Q217" s="93">
        <f t="shared" si="45"/>
        <v>0</v>
      </c>
      <c r="R217" s="93">
        <f t="shared" si="46"/>
        <v>0</v>
      </c>
      <c r="S217" s="93">
        <f t="shared" si="47"/>
        <v>0</v>
      </c>
      <c r="T217" s="93">
        <f t="shared" si="50"/>
        <v>0</v>
      </c>
      <c r="U217" s="253">
        <f t="shared" si="41"/>
        <v>0</v>
      </c>
      <c r="V217" s="93">
        <f t="shared" si="42"/>
        <v>16.34</v>
      </c>
    </row>
    <row r="218" spans="1:22" ht="18" customHeight="1" x14ac:dyDescent="0.2">
      <c r="A218" s="110" t="s">
        <v>387</v>
      </c>
      <c r="B218" s="111"/>
      <c r="C218" s="90" t="s">
        <v>388</v>
      </c>
      <c r="D218" s="91">
        <v>39679</v>
      </c>
      <c r="E218" s="92"/>
      <c r="F218" s="93"/>
      <c r="G218" s="93"/>
      <c r="H218" s="93">
        <v>59090.91</v>
      </c>
      <c r="I218" s="93">
        <v>20022.91</v>
      </c>
      <c r="J218" s="93"/>
      <c r="K218" s="93">
        <f t="shared" si="48"/>
        <v>0</v>
      </c>
      <c r="L218" s="93">
        <f t="shared" si="49"/>
        <v>0</v>
      </c>
      <c r="M218" s="94">
        <v>10</v>
      </c>
      <c r="N218" s="95" t="s">
        <v>289</v>
      </c>
      <c r="O218" s="93">
        <f t="shared" si="43"/>
        <v>0</v>
      </c>
      <c r="P218" s="93">
        <f t="shared" si="44"/>
        <v>0</v>
      </c>
      <c r="Q218" s="93">
        <f t="shared" si="45"/>
        <v>0</v>
      </c>
      <c r="R218" s="93">
        <f t="shared" si="46"/>
        <v>1168</v>
      </c>
      <c r="S218" s="93">
        <f t="shared" si="47"/>
        <v>0</v>
      </c>
      <c r="T218" s="93">
        <f t="shared" si="50"/>
        <v>1168</v>
      </c>
      <c r="U218" s="253">
        <f t="shared" si="41"/>
        <v>18854.91</v>
      </c>
      <c r="V218" s="93">
        <f t="shared" si="42"/>
        <v>0</v>
      </c>
    </row>
    <row r="219" spans="1:22" ht="18" customHeight="1" x14ac:dyDescent="0.2">
      <c r="A219" s="110" t="s">
        <v>389</v>
      </c>
      <c r="B219" s="111"/>
      <c r="C219" s="201" t="s">
        <v>390</v>
      </c>
      <c r="D219" s="91">
        <v>39679</v>
      </c>
      <c r="E219" s="92"/>
      <c r="F219" s="93"/>
      <c r="G219" s="93"/>
      <c r="H219" s="93">
        <v>91279.2</v>
      </c>
      <c r="I219" s="93">
        <v>30928.2</v>
      </c>
      <c r="J219" s="93"/>
      <c r="K219" s="93">
        <f t="shared" si="48"/>
        <v>0</v>
      </c>
      <c r="L219" s="93">
        <f t="shared" si="49"/>
        <v>0</v>
      </c>
      <c r="M219" s="94">
        <v>10</v>
      </c>
      <c r="N219" s="95" t="s">
        <v>289</v>
      </c>
      <c r="O219" s="93">
        <f t="shared" si="43"/>
        <v>0</v>
      </c>
      <c r="P219" s="93">
        <f t="shared" si="44"/>
        <v>0</v>
      </c>
      <c r="Q219" s="93">
        <f t="shared" si="45"/>
        <v>0</v>
      </c>
      <c r="R219" s="93">
        <f t="shared" si="46"/>
        <v>1804</v>
      </c>
      <c r="S219" s="93">
        <f t="shared" si="47"/>
        <v>0</v>
      </c>
      <c r="T219" s="93">
        <f t="shared" si="50"/>
        <v>1804</v>
      </c>
      <c r="U219" s="253">
        <f t="shared" si="41"/>
        <v>29124.2</v>
      </c>
      <c r="V219" s="93">
        <f t="shared" si="42"/>
        <v>0</v>
      </c>
    </row>
    <row r="220" spans="1:22" ht="18" customHeight="1" x14ac:dyDescent="0.2">
      <c r="A220" s="110" t="s">
        <v>391</v>
      </c>
      <c r="B220" s="111"/>
      <c r="C220" s="201" t="s">
        <v>392</v>
      </c>
      <c r="D220" s="91">
        <v>39707</v>
      </c>
      <c r="E220" s="92"/>
      <c r="F220" s="93"/>
      <c r="G220" s="93"/>
      <c r="H220" s="93">
        <v>19690</v>
      </c>
      <c r="I220" s="93">
        <v>6731</v>
      </c>
      <c r="J220" s="93"/>
      <c r="K220" s="93">
        <f t="shared" si="48"/>
        <v>0</v>
      </c>
      <c r="L220" s="93">
        <f t="shared" si="49"/>
        <v>0</v>
      </c>
      <c r="M220" s="94">
        <v>10</v>
      </c>
      <c r="N220" s="95" t="s">
        <v>289</v>
      </c>
      <c r="O220" s="93">
        <f t="shared" si="43"/>
        <v>0</v>
      </c>
      <c r="P220" s="93">
        <f t="shared" si="44"/>
        <v>0</v>
      </c>
      <c r="Q220" s="93">
        <f t="shared" si="45"/>
        <v>0</v>
      </c>
      <c r="R220" s="93">
        <f t="shared" si="46"/>
        <v>392</v>
      </c>
      <c r="S220" s="93">
        <f t="shared" si="47"/>
        <v>0</v>
      </c>
      <c r="T220" s="93">
        <f t="shared" si="50"/>
        <v>392</v>
      </c>
      <c r="U220" s="253">
        <f t="shared" si="41"/>
        <v>6339</v>
      </c>
      <c r="V220" s="93">
        <f t="shared" si="42"/>
        <v>0</v>
      </c>
    </row>
    <row r="221" spans="1:22" ht="18" customHeight="1" x14ac:dyDescent="0.2">
      <c r="A221" s="110" t="s">
        <v>393</v>
      </c>
      <c r="B221" s="111"/>
      <c r="C221" s="201" t="s">
        <v>394</v>
      </c>
      <c r="D221" s="91">
        <v>39720</v>
      </c>
      <c r="E221" s="92"/>
      <c r="F221" s="93"/>
      <c r="G221" s="93"/>
      <c r="H221" s="93">
        <v>575.45000000000005</v>
      </c>
      <c r="I221" s="93">
        <v>0</v>
      </c>
      <c r="J221" s="93"/>
      <c r="K221" s="93">
        <f t="shared" si="48"/>
        <v>0</v>
      </c>
      <c r="L221" s="93">
        <f t="shared" si="49"/>
        <v>0</v>
      </c>
      <c r="M221" s="94">
        <v>18.75</v>
      </c>
      <c r="N221" s="95" t="s">
        <v>289</v>
      </c>
      <c r="O221" s="93">
        <f t="shared" si="43"/>
        <v>0</v>
      </c>
      <c r="P221" s="93">
        <f t="shared" si="44"/>
        <v>0</v>
      </c>
      <c r="Q221" s="93">
        <f t="shared" si="45"/>
        <v>0</v>
      </c>
      <c r="R221" s="93">
        <f t="shared" si="46"/>
        <v>0</v>
      </c>
      <c r="S221" s="93">
        <f t="shared" si="47"/>
        <v>0</v>
      </c>
      <c r="T221" s="93">
        <f t="shared" si="50"/>
        <v>0</v>
      </c>
      <c r="U221" s="253">
        <f t="shared" si="41"/>
        <v>0</v>
      </c>
      <c r="V221" s="93">
        <f t="shared" si="42"/>
        <v>0</v>
      </c>
    </row>
    <row r="222" spans="1:22" ht="18" customHeight="1" x14ac:dyDescent="0.2">
      <c r="A222" s="110" t="s">
        <v>395</v>
      </c>
      <c r="B222" s="111"/>
      <c r="C222" s="201" t="s">
        <v>396</v>
      </c>
      <c r="D222" s="91">
        <v>39720</v>
      </c>
      <c r="E222" s="92"/>
      <c r="F222" s="93"/>
      <c r="G222" s="93"/>
      <c r="H222" s="93">
        <v>1055</v>
      </c>
      <c r="I222" s="93">
        <v>0</v>
      </c>
      <c r="J222" s="93"/>
      <c r="K222" s="93">
        <f t="shared" si="48"/>
        <v>0</v>
      </c>
      <c r="L222" s="93">
        <f t="shared" si="49"/>
        <v>0</v>
      </c>
      <c r="M222" s="94">
        <v>10</v>
      </c>
      <c r="N222" s="95" t="s">
        <v>289</v>
      </c>
      <c r="O222" s="93">
        <f t="shared" si="43"/>
        <v>0</v>
      </c>
      <c r="P222" s="93">
        <f t="shared" si="44"/>
        <v>0</v>
      </c>
      <c r="Q222" s="93">
        <f t="shared" si="45"/>
        <v>0</v>
      </c>
      <c r="R222" s="93">
        <f t="shared" si="46"/>
        <v>0</v>
      </c>
      <c r="S222" s="93">
        <f t="shared" si="47"/>
        <v>0</v>
      </c>
      <c r="T222" s="93">
        <f t="shared" si="50"/>
        <v>0</v>
      </c>
      <c r="U222" s="253">
        <f t="shared" si="41"/>
        <v>0</v>
      </c>
      <c r="V222" s="93">
        <f t="shared" si="42"/>
        <v>0</v>
      </c>
    </row>
    <row r="223" spans="1:22" ht="18" customHeight="1" x14ac:dyDescent="0.2">
      <c r="A223" s="110" t="s">
        <v>397</v>
      </c>
      <c r="B223" s="111"/>
      <c r="C223" s="201" t="s">
        <v>398</v>
      </c>
      <c r="D223" s="91">
        <v>39720</v>
      </c>
      <c r="E223" s="92">
        <v>43646</v>
      </c>
      <c r="F223" s="93">
        <v>0</v>
      </c>
      <c r="G223" s="93"/>
      <c r="H223" s="93">
        <v>1150.9100000000001</v>
      </c>
      <c r="I223" s="93">
        <v>0</v>
      </c>
      <c r="J223" s="93"/>
      <c r="K223" s="93">
        <f t="shared" si="48"/>
        <v>0</v>
      </c>
      <c r="L223" s="93">
        <f t="shared" si="49"/>
        <v>0</v>
      </c>
      <c r="M223" s="94">
        <v>10</v>
      </c>
      <c r="N223" s="95" t="s">
        <v>289</v>
      </c>
      <c r="O223" s="93">
        <f t="shared" si="43"/>
        <v>0</v>
      </c>
      <c r="P223" s="93">
        <f t="shared" si="44"/>
        <v>0</v>
      </c>
      <c r="Q223" s="93">
        <f t="shared" si="45"/>
        <v>0</v>
      </c>
      <c r="R223" s="93">
        <f t="shared" si="46"/>
        <v>0</v>
      </c>
      <c r="S223" s="93">
        <f t="shared" si="47"/>
        <v>0</v>
      </c>
      <c r="T223" s="93">
        <f t="shared" si="50"/>
        <v>0</v>
      </c>
      <c r="U223" s="253">
        <f t="shared" si="41"/>
        <v>0</v>
      </c>
      <c r="V223" s="93">
        <f t="shared" si="42"/>
        <v>1150.9100000000001</v>
      </c>
    </row>
    <row r="224" spans="1:22" ht="18" customHeight="1" x14ac:dyDescent="0.2">
      <c r="A224" s="110" t="s">
        <v>399</v>
      </c>
      <c r="B224" s="111"/>
      <c r="C224" s="201" t="s">
        <v>400</v>
      </c>
      <c r="D224" s="91">
        <v>39720</v>
      </c>
      <c r="E224" s="92"/>
      <c r="F224" s="93"/>
      <c r="G224" s="93"/>
      <c r="H224" s="93">
        <v>3644.55</v>
      </c>
      <c r="I224" s="93">
        <v>1250.55</v>
      </c>
      <c r="J224" s="93"/>
      <c r="K224" s="93">
        <f t="shared" si="48"/>
        <v>0</v>
      </c>
      <c r="L224" s="93">
        <f t="shared" si="49"/>
        <v>0</v>
      </c>
      <c r="M224" s="94">
        <v>10</v>
      </c>
      <c r="N224" s="95" t="s">
        <v>289</v>
      </c>
      <c r="O224" s="93">
        <f t="shared" si="43"/>
        <v>0</v>
      </c>
      <c r="P224" s="93">
        <f t="shared" si="44"/>
        <v>0</v>
      </c>
      <c r="Q224" s="93">
        <f t="shared" si="45"/>
        <v>0</v>
      </c>
      <c r="R224" s="93">
        <f t="shared" si="46"/>
        <v>72</v>
      </c>
      <c r="S224" s="93">
        <f t="shared" si="47"/>
        <v>0</v>
      </c>
      <c r="T224" s="93">
        <f t="shared" si="50"/>
        <v>72</v>
      </c>
      <c r="U224" s="253">
        <f t="shared" si="41"/>
        <v>1178.55</v>
      </c>
      <c r="V224" s="93">
        <f t="shared" si="42"/>
        <v>0</v>
      </c>
    </row>
    <row r="225" spans="1:22" ht="18" customHeight="1" x14ac:dyDescent="0.2">
      <c r="A225" s="110" t="s">
        <v>401</v>
      </c>
      <c r="B225" s="111"/>
      <c r="C225" s="201" t="s">
        <v>380</v>
      </c>
      <c r="D225" s="91">
        <v>37711</v>
      </c>
      <c r="E225" s="92">
        <v>43646</v>
      </c>
      <c r="F225" s="93">
        <v>0</v>
      </c>
      <c r="G225" s="93"/>
      <c r="H225" s="93">
        <v>218.55</v>
      </c>
      <c r="I225" s="93">
        <v>0</v>
      </c>
      <c r="J225" s="93"/>
      <c r="K225" s="93">
        <f t="shared" si="48"/>
        <v>0</v>
      </c>
      <c r="L225" s="93">
        <f t="shared" si="49"/>
        <v>0</v>
      </c>
      <c r="M225" s="94">
        <v>20</v>
      </c>
      <c r="N225" s="95" t="s">
        <v>289</v>
      </c>
      <c r="O225" s="93">
        <f t="shared" si="43"/>
        <v>0</v>
      </c>
      <c r="P225" s="93">
        <f t="shared" si="44"/>
        <v>0</v>
      </c>
      <c r="Q225" s="93">
        <f t="shared" si="45"/>
        <v>0</v>
      </c>
      <c r="R225" s="93">
        <f t="shared" si="46"/>
        <v>0</v>
      </c>
      <c r="S225" s="93">
        <f t="shared" si="47"/>
        <v>0</v>
      </c>
      <c r="T225" s="93">
        <f t="shared" si="50"/>
        <v>0</v>
      </c>
      <c r="U225" s="253">
        <f t="shared" si="41"/>
        <v>0</v>
      </c>
      <c r="V225" s="93">
        <f t="shared" si="42"/>
        <v>218.55</v>
      </c>
    </row>
    <row r="226" spans="1:22" ht="18" customHeight="1" x14ac:dyDescent="0.2">
      <c r="A226" s="110" t="s">
        <v>402</v>
      </c>
      <c r="B226" s="111"/>
      <c r="C226" s="201" t="s">
        <v>403</v>
      </c>
      <c r="D226" s="91">
        <v>39720</v>
      </c>
      <c r="E226" s="92"/>
      <c r="F226" s="93"/>
      <c r="G226" s="93"/>
      <c r="H226" s="93">
        <v>13331.36</v>
      </c>
      <c r="I226" s="93">
        <v>4574.3599999999997</v>
      </c>
      <c r="J226" s="93"/>
      <c r="K226" s="93">
        <f t="shared" si="48"/>
        <v>0</v>
      </c>
      <c r="L226" s="93">
        <f t="shared" si="49"/>
        <v>0</v>
      </c>
      <c r="M226" s="94">
        <v>10</v>
      </c>
      <c r="N226" s="95" t="s">
        <v>289</v>
      </c>
      <c r="O226" s="93">
        <f t="shared" si="43"/>
        <v>0</v>
      </c>
      <c r="P226" s="93">
        <f t="shared" si="44"/>
        <v>0</v>
      </c>
      <c r="Q226" s="93">
        <f t="shared" si="45"/>
        <v>0</v>
      </c>
      <c r="R226" s="93">
        <f t="shared" si="46"/>
        <v>266</v>
      </c>
      <c r="S226" s="93">
        <f t="shared" si="47"/>
        <v>0</v>
      </c>
      <c r="T226" s="93">
        <f t="shared" si="50"/>
        <v>266</v>
      </c>
      <c r="U226" s="253">
        <f t="shared" si="41"/>
        <v>4308.3599999999997</v>
      </c>
      <c r="V226" s="93">
        <f t="shared" si="42"/>
        <v>0</v>
      </c>
    </row>
    <row r="227" spans="1:22" ht="18" customHeight="1" x14ac:dyDescent="0.2">
      <c r="A227" s="110" t="s">
        <v>404</v>
      </c>
      <c r="B227" s="111"/>
      <c r="C227" s="201" t="s">
        <v>405</v>
      </c>
      <c r="D227" s="91">
        <v>39720</v>
      </c>
      <c r="E227" s="92"/>
      <c r="F227" s="93"/>
      <c r="G227" s="93"/>
      <c r="H227" s="93">
        <v>633</v>
      </c>
      <c r="I227" s="93">
        <v>0</v>
      </c>
      <c r="J227" s="93"/>
      <c r="K227" s="93">
        <f t="shared" si="48"/>
        <v>0</v>
      </c>
      <c r="L227" s="93">
        <f t="shared" si="49"/>
        <v>0</v>
      </c>
      <c r="M227" s="94">
        <v>18.75</v>
      </c>
      <c r="N227" s="95" t="s">
        <v>289</v>
      </c>
      <c r="O227" s="93">
        <f t="shared" si="43"/>
        <v>0</v>
      </c>
      <c r="P227" s="93">
        <f t="shared" si="44"/>
        <v>0</v>
      </c>
      <c r="Q227" s="93">
        <f t="shared" si="45"/>
        <v>0</v>
      </c>
      <c r="R227" s="93">
        <f t="shared" si="46"/>
        <v>0</v>
      </c>
      <c r="S227" s="93">
        <f t="shared" si="47"/>
        <v>0</v>
      </c>
      <c r="T227" s="93">
        <f t="shared" si="50"/>
        <v>0</v>
      </c>
      <c r="U227" s="253">
        <f t="shared" si="41"/>
        <v>0</v>
      </c>
      <c r="V227" s="93">
        <f t="shared" si="42"/>
        <v>0</v>
      </c>
    </row>
    <row r="228" spans="1:22" ht="18" customHeight="1" x14ac:dyDescent="0.2">
      <c r="A228" s="110" t="s">
        <v>406</v>
      </c>
      <c r="B228" s="111"/>
      <c r="C228" s="201" t="s">
        <v>323</v>
      </c>
      <c r="D228" s="91">
        <v>39744</v>
      </c>
      <c r="E228" s="92">
        <v>43646</v>
      </c>
      <c r="F228" s="93">
        <v>0</v>
      </c>
      <c r="G228" s="93"/>
      <c r="H228" s="93">
        <v>1635.45</v>
      </c>
      <c r="I228" s="93">
        <v>0</v>
      </c>
      <c r="J228" s="93"/>
      <c r="K228" s="93">
        <f t="shared" si="48"/>
        <v>0</v>
      </c>
      <c r="L228" s="93">
        <f t="shared" si="49"/>
        <v>0</v>
      </c>
      <c r="M228" s="94">
        <v>66.67</v>
      </c>
      <c r="N228" s="95" t="s">
        <v>289</v>
      </c>
      <c r="O228" s="93">
        <f t="shared" si="43"/>
        <v>0</v>
      </c>
      <c r="P228" s="93">
        <f t="shared" si="44"/>
        <v>0</v>
      </c>
      <c r="Q228" s="93">
        <f t="shared" si="45"/>
        <v>0</v>
      </c>
      <c r="R228" s="93">
        <f t="shared" si="46"/>
        <v>0</v>
      </c>
      <c r="S228" s="93">
        <f t="shared" si="47"/>
        <v>0</v>
      </c>
      <c r="T228" s="93">
        <f t="shared" si="50"/>
        <v>0</v>
      </c>
      <c r="U228" s="253">
        <f t="shared" si="41"/>
        <v>0</v>
      </c>
      <c r="V228" s="93">
        <f t="shared" si="42"/>
        <v>1635.45</v>
      </c>
    </row>
    <row r="229" spans="1:22" ht="18" customHeight="1" x14ac:dyDescent="0.2">
      <c r="A229" s="110" t="s">
        <v>407</v>
      </c>
      <c r="B229" s="111"/>
      <c r="C229" s="201" t="s">
        <v>323</v>
      </c>
      <c r="D229" s="91">
        <v>39755</v>
      </c>
      <c r="E229" s="92">
        <v>43646</v>
      </c>
      <c r="F229" s="93">
        <v>0</v>
      </c>
      <c r="G229" s="93"/>
      <c r="H229" s="93">
        <v>1726.3600000000001</v>
      </c>
      <c r="I229" s="93">
        <v>0</v>
      </c>
      <c r="J229" s="93"/>
      <c r="K229" s="93">
        <f t="shared" si="48"/>
        <v>0</v>
      </c>
      <c r="L229" s="93">
        <f t="shared" si="49"/>
        <v>0</v>
      </c>
      <c r="M229" s="94">
        <v>66.67</v>
      </c>
      <c r="N229" s="95" t="s">
        <v>289</v>
      </c>
      <c r="O229" s="93">
        <f t="shared" si="43"/>
        <v>0</v>
      </c>
      <c r="P229" s="93">
        <f t="shared" si="44"/>
        <v>0</v>
      </c>
      <c r="Q229" s="93">
        <f t="shared" si="45"/>
        <v>0</v>
      </c>
      <c r="R229" s="93">
        <f t="shared" si="46"/>
        <v>0</v>
      </c>
      <c r="S229" s="93">
        <f t="shared" si="47"/>
        <v>0</v>
      </c>
      <c r="T229" s="93">
        <f t="shared" si="50"/>
        <v>0</v>
      </c>
      <c r="U229" s="253">
        <f t="shared" si="41"/>
        <v>0</v>
      </c>
      <c r="V229" s="93">
        <f t="shared" si="42"/>
        <v>1726.3600000000001</v>
      </c>
    </row>
    <row r="230" spans="1:22" ht="18" customHeight="1" x14ac:dyDescent="0.2">
      <c r="A230" s="110" t="s">
        <v>408</v>
      </c>
      <c r="B230" s="111"/>
      <c r="C230" s="201" t="s">
        <v>409</v>
      </c>
      <c r="D230" s="91">
        <v>39769</v>
      </c>
      <c r="E230" s="92"/>
      <c r="F230" s="93"/>
      <c r="G230" s="93"/>
      <c r="H230" s="93">
        <v>940</v>
      </c>
      <c r="I230" s="93">
        <v>0</v>
      </c>
      <c r="J230" s="93"/>
      <c r="K230" s="93">
        <f t="shared" si="48"/>
        <v>0</v>
      </c>
      <c r="L230" s="93">
        <f t="shared" si="49"/>
        <v>0</v>
      </c>
      <c r="M230" s="94">
        <v>18.75</v>
      </c>
      <c r="N230" s="95" t="s">
        <v>289</v>
      </c>
      <c r="O230" s="93">
        <f t="shared" si="43"/>
        <v>0</v>
      </c>
      <c r="P230" s="93">
        <f t="shared" si="44"/>
        <v>0</v>
      </c>
      <c r="Q230" s="93">
        <f t="shared" si="45"/>
        <v>0</v>
      </c>
      <c r="R230" s="93">
        <f t="shared" si="46"/>
        <v>0</v>
      </c>
      <c r="S230" s="93">
        <f t="shared" si="47"/>
        <v>0</v>
      </c>
      <c r="T230" s="93">
        <f t="shared" si="50"/>
        <v>0</v>
      </c>
      <c r="U230" s="253">
        <f t="shared" si="41"/>
        <v>0</v>
      </c>
      <c r="V230" s="93">
        <f t="shared" si="42"/>
        <v>0</v>
      </c>
    </row>
    <row r="231" spans="1:22" ht="18" customHeight="1" x14ac:dyDescent="0.2">
      <c r="A231" s="110" t="s">
        <v>410</v>
      </c>
      <c r="B231" s="111"/>
      <c r="C231" s="201" t="s">
        <v>411</v>
      </c>
      <c r="D231" s="91">
        <v>39806</v>
      </c>
      <c r="E231" s="92">
        <v>43646</v>
      </c>
      <c r="F231" s="93"/>
      <c r="G231" s="93"/>
      <c r="H231" s="93">
        <v>2220</v>
      </c>
      <c r="I231" s="93">
        <v>0</v>
      </c>
      <c r="J231" s="93"/>
      <c r="K231" s="93">
        <f t="shared" si="48"/>
        <v>0</v>
      </c>
      <c r="L231" s="93">
        <f t="shared" si="49"/>
        <v>0</v>
      </c>
      <c r="M231" s="94">
        <v>66.67</v>
      </c>
      <c r="N231" s="95" t="s">
        <v>289</v>
      </c>
      <c r="O231" s="93">
        <f t="shared" ref="O231:O293" si="51">IF(E231&gt;0,INT(IF($N231="D",IF($D231&lt;$H$3,$I231*($M231/100)*((E231-$H$3)/365),$J231*($M231/100)*($J$3-$D231)/365),0)),0)</f>
        <v>0</v>
      </c>
      <c r="P231" s="93">
        <f t="shared" ref="P231:P293" si="52">IF(E231&gt;0,INT(IF($N231="P",IF($D231&lt;$H$3,$H231*($M231/100)*(E231-$H$3)/365,$J231*($M231/100)*($J$3-$D231)/365),0)),0)</f>
        <v>0</v>
      </c>
      <c r="Q231" s="93">
        <f t="shared" ref="Q231:Q293" si="53">+O231+P231</f>
        <v>0</v>
      </c>
      <c r="R231" s="93">
        <f t="shared" ref="R231:R293" si="54">INT(IF($E231&gt;0,0,(IF($N231="D",IF($D231&lt;$H$3,$I231*($M231/100)*$U$3/12,$J231*($M231/100)*($J$3-$D231)/365),0))))</f>
        <v>0</v>
      </c>
      <c r="S231" s="93">
        <f t="shared" ref="S231:S293" si="55">INT(IF($E231&gt;0,0,(IF($N231="P",IF($D231&lt;$H$3,$H231*($M231/100)*$U$3/12,$J231*($M231/100)*($J$3-$D231)/365),0))))</f>
        <v>0</v>
      </c>
      <c r="T231" s="93">
        <f t="shared" si="50"/>
        <v>0</v>
      </c>
      <c r="U231" s="253">
        <f t="shared" ref="U231:U294" si="56">+I231+J231-T231-F231+K231-L231</f>
        <v>0</v>
      </c>
      <c r="V231" s="93">
        <f t="shared" ref="V231:V294" si="57">IF(E231&gt;0,+H231+J231,0)</f>
        <v>2220</v>
      </c>
    </row>
    <row r="232" spans="1:22" ht="18" customHeight="1" x14ac:dyDescent="0.2">
      <c r="A232" s="110" t="s">
        <v>412</v>
      </c>
      <c r="B232" s="111"/>
      <c r="C232" s="201" t="s">
        <v>413</v>
      </c>
      <c r="D232" s="91">
        <v>39829</v>
      </c>
      <c r="E232" s="92"/>
      <c r="F232" s="93"/>
      <c r="G232" s="93"/>
      <c r="H232" s="93">
        <v>39099</v>
      </c>
      <c r="I232" s="93">
        <v>4370</v>
      </c>
      <c r="J232" s="93"/>
      <c r="K232" s="93">
        <f t="shared" si="48"/>
        <v>0</v>
      </c>
      <c r="L232" s="93">
        <f t="shared" si="49"/>
        <v>0</v>
      </c>
      <c r="M232" s="94">
        <v>20</v>
      </c>
      <c r="N232" s="95" t="s">
        <v>289</v>
      </c>
      <c r="O232" s="93">
        <f t="shared" si="51"/>
        <v>0</v>
      </c>
      <c r="P232" s="93">
        <f t="shared" si="52"/>
        <v>0</v>
      </c>
      <c r="Q232" s="93">
        <f t="shared" si="53"/>
        <v>0</v>
      </c>
      <c r="R232" s="93">
        <f t="shared" si="54"/>
        <v>509</v>
      </c>
      <c r="S232" s="93">
        <f t="shared" si="55"/>
        <v>0</v>
      </c>
      <c r="T232" s="93">
        <f t="shared" si="50"/>
        <v>509</v>
      </c>
      <c r="U232" s="253">
        <f t="shared" si="56"/>
        <v>3861</v>
      </c>
      <c r="V232" s="93">
        <f t="shared" si="57"/>
        <v>0</v>
      </c>
    </row>
    <row r="233" spans="1:22" ht="18" customHeight="1" x14ac:dyDescent="0.2">
      <c r="A233" s="110" t="s">
        <v>414</v>
      </c>
      <c r="B233" s="111"/>
      <c r="C233" s="201" t="s">
        <v>380</v>
      </c>
      <c r="D233" s="91">
        <v>37725</v>
      </c>
      <c r="E233" s="92">
        <v>43646</v>
      </c>
      <c r="F233" s="93"/>
      <c r="G233" s="93"/>
      <c r="H233" s="93">
        <v>490.91</v>
      </c>
      <c r="I233" s="93">
        <v>0</v>
      </c>
      <c r="J233" s="93"/>
      <c r="K233" s="93">
        <f t="shared" si="48"/>
        <v>0</v>
      </c>
      <c r="L233" s="93">
        <f t="shared" si="49"/>
        <v>0</v>
      </c>
      <c r="M233" s="94">
        <v>20</v>
      </c>
      <c r="N233" s="95" t="s">
        <v>289</v>
      </c>
      <c r="O233" s="93">
        <f t="shared" si="51"/>
        <v>0</v>
      </c>
      <c r="P233" s="93">
        <f t="shared" si="52"/>
        <v>0</v>
      </c>
      <c r="Q233" s="93">
        <f t="shared" si="53"/>
        <v>0</v>
      </c>
      <c r="R233" s="93">
        <f t="shared" si="54"/>
        <v>0</v>
      </c>
      <c r="S233" s="93">
        <f t="shared" si="55"/>
        <v>0</v>
      </c>
      <c r="T233" s="93">
        <f t="shared" si="50"/>
        <v>0</v>
      </c>
      <c r="U233" s="253">
        <f t="shared" si="56"/>
        <v>0</v>
      </c>
      <c r="V233" s="93">
        <f t="shared" si="57"/>
        <v>490.91</v>
      </c>
    </row>
    <row r="234" spans="1:22" ht="18" customHeight="1" x14ac:dyDescent="0.2">
      <c r="A234" s="110" t="s">
        <v>415</v>
      </c>
      <c r="B234" s="111"/>
      <c r="C234" s="201" t="s">
        <v>416</v>
      </c>
      <c r="D234" s="91">
        <v>39835</v>
      </c>
      <c r="E234" s="92"/>
      <c r="F234" s="93"/>
      <c r="G234" s="93"/>
      <c r="H234" s="93">
        <v>2014.73</v>
      </c>
      <c r="I234" s="93">
        <v>0</v>
      </c>
      <c r="J234" s="93"/>
      <c r="K234" s="93">
        <f t="shared" si="48"/>
        <v>0</v>
      </c>
      <c r="L234" s="93">
        <f t="shared" si="49"/>
        <v>0</v>
      </c>
      <c r="M234" s="94">
        <v>20</v>
      </c>
      <c r="N234" s="95" t="s">
        <v>289</v>
      </c>
      <c r="O234" s="93">
        <f t="shared" si="51"/>
        <v>0</v>
      </c>
      <c r="P234" s="93">
        <f t="shared" si="52"/>
        <v>0</v>
      </c>
      <c r="Q234" s="93">
        <f t="shared" si="53"/>
        <v>0</v>
      </c>
      <c r="R234" s="93">
        <f t="shared" si="54"/>
        <v>0</v>
      </c>
      <c r="S234" s="93">
        <f t="shared" si="55"/>
        <v>0</v>
      </c>
      <c r="T234" s="93">
        <f t="shared" si="50"/>
        <v>0</v>
      </c>
      <c r="U234" s="253">
        <f t="shared" si="56"/>
        <v>0</v>
      </c>
      <c r="V234" s="93">
        <f t="shared" si="57"/>
        <v>0</v>
      </c>
    </row>
    <row r="235" spans="1:22" ht="18" customHeight="1" x14ac:dyDescent="0.2">
      <c r="A235" s="110" t="s">
        <v>417</v>
      </c>
      <c r="B235" s="111"/>
      <c r="C235" s="201" t="s">
        <v>418</v>
      </c>
      <c r="D235" s="91">
        <v>39833</v>
      </c>
      <c r="E235" s="92"/>
      <c r="F235" s="93"/>
      <c r="G235" s="93"/>
      <c r="H235" s="93">
        <v>7283.5</v>
      </c>
      <c r="I235" s="93">
        <v>2583.5</v>
      </c>
      <c r="J235" s="93"/>
      <c r="K235" s="93">
        <f t="shared" si="48"/>
        <v>0</v>
      </c>
      <c r="L235" s="93">
        <f t="shared" si="49"/>
        <v>0</v>
      </c>
      <c r="M235" s="94">
        <v>10</v>
      </c>
      <c r="N235" s="95" t="s">
        <v>289</v>
      </c>
      <c r="O235" s="93">
        <f t="shared" si="51"/>
        <v>0</v>
      </c>
      <c r="P235" s="93">
        <f t="shared" si="52"/>
        <v>0</v>
      </c>
      <c r="Q235" s="93">
        <f t="shared" si="53"/>
        <v>0</v>
      </c>
      <c r="R235" s="93">
        <f t="shared" si="54"/>
        <v>150</v>
      </c>
      <c r="S235" s="93">
        <f t="shared" si="55"/>
        <v>0</v>
      </c>
      <c r="T235" s="93">
        <f t="shared" si="50"/>
        <v>150</v>
      </c>
      <c r="U235" s="253">
        <f t="shared" si="56"/>
        <v>2433.5</v>
      </c>
      <c r="V235" s="93">
        <f t="shared" si="57"/>
        <v>0</v>
      </c>
    </row>
    <row r="236" spans="1:22" ht="18" customHeight="1" x14ac:dyDescent="0.2">
      <c r="A236" s="110" t="s">
        <v>419</v>
      </c>
      <c r="B236" s="111"/>
      <c r="C236" s="201" t="s">
        <v>420</v>
      </c>
      <c r="D236" s="91">
        <v>39854</v>
      </c>
      <c r="E236" s="92">
        <v>43646</v>
      </c>
      <c r="F236" s="93"/>
      <c r="G236" s="93"/>
      <c r="H236" s="93">
        <v>1520</v>
      </c>
      <c r="I236" s="93">
        <v>0</v>
      </c>
      <c r="J236" s="93"/>
      <c r="K236" s="93">
        <f t="shared" si="48"/>
        <v>0</v>
      </c>
      <c r="L236" s="93">
        <f t="shared" si="49"/>
        <v>0</v>
      </c>
      <c r="M236" s="94">
        <v>20</v>
      </c>
      <c r="N236" s="95" t="s">
        <v>289</v>
      </c>
      <c r="O236" s="93">
        <f t="shared" si="51"/>
        <v>0</v>
      </c>
      <c r="P236" s="93">
        <f t="shared" si="52"/>
        <v>0</v>
      </c>
      <c r="Q236" s="93">
        <f t="shared" si="53"/>
        <v>0</v>
      </c>
      <c r="R236" s="93">
        <f t="shared" si="54"/>
        <v>0</v>
      </c>
      <c r="S236" s="93">
        <f t="shared" si="55"/>
        <v>0</v>
      </c>
      <c r="T236" s="93">
        <f t="shared" si="50"/>
        <v>0</v>
      </c>
      <c r="U236" s="253">
        <f t="shared" si="56"/>
        <v>0</v>
      </c>
      <c r="V236" s="93">
        <f t="shared" si="57"/>
        <v>1520</v>
      </c>
    </row>
    <row r="237" spans="1:22" ht="18" customHeight="1" x14ac:dyDescent="0.2">
      <c r="A237" s="110" t="s">
        <v>421</v>
      </c>
      <c r="B237" s="111"/>
      <c r="C237" s="201" t="s">
        <v>422</v>
      </c>
      <c r="D237" s="91">
        <v>39867</v>
      </c>
      <c r="E237" s="92"/>
      <c r="F237" s="93"/>
      <c r="G237" s="93"/>
      <c r="H237" s="93">
        <v>2965.46</v>
      </c>
      <c r="I237" s="93">
        <v>339.46</v>
      </c>
      <c r="J237" s="93"/>
      <c r="K237" s="93">
        <f t="shared" si="48"/>
        <v>0</v>
      </c>
      <c r="L237" s="93">
        <f t="shared" si="49"/>
        <v>0</v>
      </c>
      <c r="M237" s="94">
        <v>20</v>
      </c>
      <c r="N237" s="95" t="s">
        <v>289</v>
      </c>
      <c r="O237" s="93">
        <f t="shared" si="51"/>
        <v>0</v>
      </c>
      <c r="P237" s="93">
        <f t="shared" si="52"/>
        <v>0</v>
      </c>
      <c r="Q237" s="93">
        <f t="shared" si="53"/>
        <v>0</v>
      </c>
      <c r="R237" s="93">
        <f t="shared" si="54"/>
        <v>39</v>
      </c>
      <c r="S237" s="93">
        <f t="shared" si="55"/>
        <v>0</v>
      </c>
      <c r="T237" s="93">
        <f t="shared" si="50"/>
        <v>39</v>
      </c>
      <c r="U237" s="253">
        <f t="shared" si="56"/>
        <v>300.45999999999998</v>
      </c>
      <c r="V237" s="93">
        <f t="shared" si="57"/>
        <v>0</v>
      </c>
    </row>
    <row r="238" spans="1:22" ht="18" customHeight="1" x14ac:dyDescent="0.2">
      <c r="A238" s="110" t="s">
        <v>423</v>
      </c>
      <c r="B238" s="111"/>
      <c r="C238" s="201" t="s">
        <v>424</v>
      </c>
      <c r="D238" s="91">
        <v>39905</v>
      </c>
      <c r="E238" s="92"/>
      <c r="F238" s="93"/>
      <c r="G238" s="93"/>
      <c r="H238" s="93">
        <v>1900</v>
      </c>
      <c r="I238" s="93">
        <v>0</v>
      </c>
      <c r="J238" s="93"/>
      <c r="K238" s="93">
        <f t="shared" si="48"/>
        <v>0</v>
      </c>
      <c r="L238" s="93">
        <f t="shared" si="49"/>
        <v>0</v>
      </c>
      <c r="M238" s="94">
        <v>20</v>
      </c>
      <c r="N238" s="95" t="s">
        <v>289</v>
      </c>
      <c r="O238" s="93">
        <f t="shared" si="51"/>
        <v>0</v>
      </c>
      <c r="P238" s="93">
        <f t="shared" si="52"/>
        <v>0</v>
      </c>
      <c r="Q238" s="93">
        <f t="shared" si="53"/>
        <v>0</v>
      </c>
      <c r="R238" s="93">
        <f t="shared" si="54"/>
        <v>0</v>
      </c>
      <c r="S238" s="93">
        <f t="shared" si="55"/>
        <v>0</v>
      </c>
      <c r="T238" s="93">
        <f t="shared" si="50"/>
        <v>0</v>
      </c>
      <c r="U238" s="253">
        <f t="shared" si="56"/>
        <v>0</v>
      </c>
      <c r="V238" s="93">
        <f t="shared" si="57"/>
        <v>0</v>
      </c>
    </row>
    <row r="239" spans="1:22" ht="18" customHeight="1" x14ac:dyDescent="0.2">
      <c r="A239" s="110" t="s">
        <v>425</v>
      </c>
      <c r="B239" s="111"/>
      <c r="C239" s="201" t="s">
        <v>362</v>
      </c>
      <c r="D239" s="91">
        <v>37746</v>
      </c>
      <c r="E239" s="92">
        <v>43646</v>
      </c>
      <c r="F239" s="93"/>
      <c r="G239" s="93"/>
      <c r="H239" s="93">
        <v>185.70000000000002</v>
      </c>
      <c r="I239" s="93">
        <v>0</v>
      </c>
      <c r="J239" s="93"/>
      <c r="K239" s="93">
        <f t="shared" si="48"/>
        <v>0</v>
      </c>
      <c r="L239" s="93">
        <f t="shared" si="49"/>
        <v>0</v>
      </c>
      <c r="M239" s="94">
        <v>20</v>
      </c>
      <c r="N239" s="95" t="s">
        <v>289</v>
      </c>
      <c r="O239" s="93">
        <f t="shared" si="51"/>
        <v>0</v>
      </c>
      <c r="P239" s="93">
        <f t="shared" si="52"/>
        <v>0</v>
      </c>
      <c r="Q239" s="93">
        <f t="shared" si="53"/>
        <v>0</v>
      </c>
      <c r="R239" s="93">
        <f t="shared" si="54"/>
        <v>0</v>
      </c>
      <c r="S239" s="93">
        <f t="shared" si="55"/>
        <v>0</v>
      </c>
      <c r="T239" s="93">
        <f t="shared" si="50"/>
        <v>0</v>
      </c>
      <c r="U239" s="253">
        <f t="shared" si="56"/>
        <v>0</v>
      </c>
      <c r="V239" s="93">
        <f t="shared" si="57"/>
        <v>185.70000000000002</v>
      </c>
    </row>
    <row r="240" spans="1:22" ht="18" customHeight="1" x14ac:dyDescent="0.2">
      <c r="A240" s="110" t="s">
        <v>426</v>
      </c>
      <c r="B240" s="111"/>
      <c r="C240" s="90" t="s">
        <v>427</v>
      </c>
      <c r="D240" s="91">
        <v>39955</v>
      </c>
      <c r="E240" s="92"/>
      <c r="F240" s="93"/>
      <c r="G240" s="93"/>
      <c r="H240" s="93">
        <v>2737.55</v>
      </c>
      <c r="I240" s="93">
        <v>329.55</v>
      </c>
      <c r="J240" s="93"/>
      <c r="K240" s="93">
        <f t="shared" si="48"/>
        <v>0</v>
      </c>
      <c r="L240" s="93">
        <f t="shared" si="49"/>
        <v>0</v>
      </c>
      <c r="M240" s="94">
        <v>20</v>
      </c>
      <c r="N240" s="95" t="s">
        <v>289</v>
      </c>
      <c r="O240" s="93">
        <f t="shared" si="51"/>
        <v>0</v>
      </c>
      <c r="P240" s="93">
        <f t="shared" si="52"/>
        <v>0</v>
      </c>
      <c r="Q240" s="93">
        <f t="shared" si="53"/>
        <v>0</v>
      </c>
      <c r="R240" s="93">
        <f t="shared" si="54"/>
        <v>38</v>
      </c>
      <c r="S240" s="93">
        <f t="shared" si="55"/>
        <v>0</v>
      </c>
      <c r="T240" s="93">
        <f t="shared" si="50"/>
        <v>38</v>
      </c>
      <c r="U240" s="253">
        <f t="shared" si="56"/>
        <v>291.55</v>
      </c>
      <c r="V240" s="93">
        <f t="shared" si="57"/>
        <v>0</v>
      </c>
    </row>
    <row r="241" spans="1:22" ht="18" customHeight="1" x14ac:dyDescent="0.2">
      <c r="A241" s="110" t="s">
        <v>428</v>
      </c>
      <c r="B241" s="111"/>
      <c r="C241" s="201" t="s">
        <v>429</v>
      </c>
      <c r="D241" s="91">
        <v>39981</v>
      </c>
      <c r="E241" s="92"/>
      <c r="F241" s="93"/>
      <c r="G241" s="93"/>
      <c r="H241" s="93">
        <v>1430.91</v>
      </c>
      <c r="I241" s="93">
        <v>0</v>
      </c>
      <c r="J241" s="93"/>
      <c r="K241" s="93">
        <f t="shared" si="48"/>
        <v>0</v>
      </c>
      <c r="L241" s="93">
        <f t="shared" si="49"/>
        <v>0</v>
      </c>
      <c r="M241" s="94">
        <v>20</v>
      </c>
      <c r="N241" s="95" t="s">
        <v>289</v>
      </c>
      <c r="O241" s="93">
        <f t="shared" si="51"/>
        <v>0</v>
      </c>
      <c r="P241" s="93">
        <f t="shared" si="52"/>
        <v>0</v>
      </c>
      <c r="Q241" s="93">
        <f t="shared" si="53"/>
        <v>0</v>
      </c>
      <c r="R241" s="93">
        <f t="shared" si="54"/>
        <v>0</v>
      </c>
      <c r="S241" s="93">
        <f t="shared" si="55"/>
        <v>0</v>
      </c>
      <c r="T241" s="93">
        <f t="shared" si="50"/>
        <v>0</v>
      </c>
      <c r="U241" s="253">
        <f t="shared" si="56"/>
        <v>0</v>
      </c>
      <c r="V241" s="93">
        <f t="shared" si="57"/>
        <v>0</v>
      </c>
    </row>
    <row r="242" spans="1:22" ht="18" customHeight="1" x14ac:dyDescent="0.2">
      <c r="A242" s="110" t="s">
        <v>430</v>
      </c>
      <c r="B242" s="111"/>
      <c r="C242" s="201" t="s">
        <v>431</v>
      </c>
      <c r="D242" s="91">
        <v>39981</v>
      </c>
      <c r="E242" s="92">
        <v>43646</v>
      </c>
      <c r="F242" s="93"/>
      <c r="G242" s="93"/>
      <c r="H242" s="93">
        <v>1635.45</v>
      </c>
      <c r="I242" s="93">
        <v>0</v>
      </c>
      <c r="J242" s="93"/>
      <c r="K242" s="93">
        <f t="shared" si="48"/>
        <v>0</v>
      </c>
      <c r="L242" s="93">
        <f t="shared" si="49"/>
        <v>0</v>
      </c>
      <c r="M242" s="94">
        <v>20</v>
      </c>
      <c r="N242" s="95" t="s">
        <v>289</v>
      </c>
      <c r="O242" s="93">
        <f t="shared" si="51"/>
        <v>0</v>
      </c>
      <c r="P242" s="93">
        <f t="shared" si="52"/>
        <v>0</v>
      </c>
      <c r="Q242" s="93">
        <f t="shared" si="53"/>
        <v>0</v>
      </c>
      <c r="R242" s="93">
        <f t="shared" si="54"/>
        <v>0</v>
      </c>
      <c r="S242" s="93">
        <f t="shared" si="55"/>
        <v>0</v>
      </c>
      <c r="T242" s="93">
        <f t="shared" si="50"/>
        <v>0</v>
      </c>
      <c r="U242" s="253">
        <f t="shared" si="56"/>
        <v>0</v>
      </c>
      <c r="V242" s="93">
        <f t="shared" si="57"/>
        <v>1635.45</v>
      </c>
    </row>
    <row r="243" spans="1:22" ht="18" customHeight="1" x14ac:dyDescent="0.2">
      <c r="A243" s="110" t="s">
        <v>432</v>
      </c>
      <c r="B243" s="111"/>
      <c r="C243" s="201" t="s">
        <v>433</v>
      </c>
      <c r="D243" s="91">
        <v>39988</v>
      </c>
      <c r="E243" s="92"/>
      <c r="F243" s="93"/>
      <c r="G243" s="93"/>
      <c r="H243" s="93">
        <v>36880</v>
      </c>
      <c r="I243" s="93">
        <v>7974</v>
      </c>
      <c r="J243" s="93"/>
      <c r="K243" s="93">
        <f t="shared" si="48"/>
        <v>0</v>
      </c>
      <c r="L243" s="93">
        <f t="shared" si="49"/>
        <v>0</v>
      </c>
      <c r="M243" s="94">
        <v>15</v>
      </c>
      <c r="N243" s="95" t="s">
        <v>289</v>
      </c>
      <c r="O243" s="93">
        <f t="shared" si="51"/>
        <v>0</v>
      </c>
      <c r="P243" s="93">
        <f t="shared" si="52"/>
        <v>0</v>
      </c>
      <c r="Q243" s="93">
        <f t="shared" si="53"/>
        <v>0</v>
      </c>
      <c r="R243" s="93">
        <f t="shared" si="54"/>
        <v>697</v>
      </c>
      <c r="S243" s="93">
        <f t="shared" si="55"/>
        <v>0</v>
      </c>
      <c r="T243" s="93">
        <f t="shared" si="50"/>
        <v>697</v>
      </c>
      <c r="U243" s="253">
        <f t="shared" si="56"/>
        <v>7277</v>
      </c>
      <c r="V243" s="93">
        <f t="shared" si="57"/>
        <v>0</v>
      </c>
    </row>
    <row r="244" spans="1:22" ht="18" customHeight="1" x14ac:dyDescent="0.2">
      <c r="A244" s="110" t="s">
        <v>434</v>
      </c>
      <c r="B244" s="111"/>
      <c r="C244" s="201" t="s">
        <v>380</v>
      </c>
      <c r="D244" s="91">
        <v>37792</v>
      </c>
      <c r="E244" s="92">
        <v>43646</v>
      </c>
      <c r="F244" s="93"/>
      <c r="G244" s="93"/>
      <c r="H244" s="93">
        <v>229.17000000000002</v>
      </c>
      <c r="I244" s="93">
        <v>0</v>
      </c>
      <c r="J244" s="93"/>
      <c r="K244" s="93">
        <f t="shared" si="48"/>
        <v>0</v>
      </c>
      <c r="L244" s="93">
        <f t="shared" si="49"/>
        <v>0</v>
      </c>
      <c r="M244" s="94">
        <v>20</v>
      </c>
      <c r="N244" s="95" t="s">
        <v>289</v>
      </c>
      <c r="O244" s="93">
        <f t="shared" si="51"/>
        <v>0</v>
      </c>
      <c r="P244" s="93">
        <f t="shared" si="52"/>
        <v>0</v>
      </c>
      <c r="Q244" s="93">
        <f t="shared" si="53"/>
        <v>0</v>
      </c>
      <c r="R244" s="93">
        <f t="shared" si="54"/>
        <v>0</v>
      </c>
      <c r="S244" s="93">
        <f t="shared" si="55"/>
        <v>0</v>
      </c>
      <c r="T244" s="93">
        <f t="shared" si="50"/>
        <v>0</v>
      </c>
      <c r="U244" s="253">
        <f t="shared" si="56"/>
        <v>0</v>
      </c>
      <c r="V244" s="93">
        <f t="shared" si="57"/>
        <v>229.17000000000002</v>
      </c>
    </row>
    <row r="245" spans="1:22" ht="18" customHeight="1" x14ac:dyDescent="0.2">
      <c r="A245" s="110" t="s">
        <v>435</v>
      </c>
      <c r="B245" s="111"/>
      <c r="C245" s="201" t="s">
        <v>436</v>
      </c>
      <c r="D245" s="91">
        <v>39692</v>
      </c>
      <c r="E245" s="92"/>
      <c r="F245" s="93"/>
      <c r="G245" s="93"/>
      <c r="H245" s="93">
        <v>375.90000000000003</v>
      </c>
      <c r="I245" s="93">
        <v>0</v>
      </c>
      <c r="J245" s="93"/>
      <c r="K245" s="93">
        <f t="shared" si="48"/>
        <v>0</v>
      </c>
      <c r="L245" s="93">
        <f t="shared" si="49"/>
        <v>0</v>
      </c>
      <c r="M245" s="94">
        <v>18.75</v>
      </c>
      <c r="N245" s="95" t="s">
        <v>289</v>
      </c>
      <c r="O245" s="93">
        <f t="shared" si="51"/>
        <v>0</v>
      </c>
      <c r="P245" s="93">
        <f t="shared" si="52"/>
        <v>0</v>
      </c>
      <c r="Q245" s="93">
        <f t="shared" si="53"/>
        <v>0</v>
      </c>
      <c r="R245" s="93">
        <f t="shared" si="54"/>
        <v>0</v>
      </c>
      <c r="S245" s="93">
        <f t="shared" si="55"/>
        <v>0</v>
      </c>
      <c r="T245" s="93">
        <f t="shared" si="50"/>
        <v>0</v>
      </c>
      <c r="U245" s="253">
        <f t="shared" si="56"/>
        <v>0</v>
      </c>
      <c r="V245" s="93">
        <f t="shared" si="57"/>
        <v>0</v>
      </c>
    </row>
    <row r="246" spans="1:22" ht="18" customHeight="1" x14ac:dyDescent="0.2">
      <c r="A246" s="110" t="s">
        <v>437</v>
      </c>
      <c r="B246" s="111"/>
      <c r="C246" s="201" t="s">
        <v>438</v>
      </c>
      <c r="D246" s="91">
        <v>39750</v>
      </c>
      <c r="E246" s="92"/>
      <c r="F246" s="93"/>
      <c r="G246" s="93"/>
      <c r="H246" s="93">
        <v>427</v>
      </c>
      <c r="I246" s="93">
        <v>0</v>
      </c>
      <c r="J246" s="93"/>
      <c r="K246" s="93">
        <f t="shared" si="48"/>
        <v>0</v>
      </c>
      <c r="L246" s="93">
        <f t="shared" si="49"/>
        <v>0</v>
      </c>
      <c r="M246" s="94">
        <v>18.75</v>
      </c>
      <c r="N246" s="95" t="s">
        <v>289</v>
      </c>
      <c r="O246" s="93">
        <f t="shared" si="51"/>
        <v>0</v>
      </c>
      <c r="P246" s="93">
        <f t="shared" si="52"/>
        <v>0</v>
      </c>
      <c r="Q246" s="93">
        <f t="shared" si="53"/>
        <v>0</v>
      </c>
      <c r="R246" s="93">
        <f t="shared" si="54"/>
        <v>0</v>
      </c>
      <c r="S246" s="93">
        <f t="shared" si="55"/>
        <v>0</v>
      </c>
      <c r="T246" s="93">
        <f t="shared" si="50"/>
        <v>0</v>
      </c>
      <c r="U246" s="253">
        <f t="shared" si="56"/>
        <v>0</v>
      </c>
      <c r="V246" s="93">
        <f t="shared" si="57"/>
        <v>0</v>
      </c>
    </row>
    <row r="247" spans="1:22" ht="18" customHeight="1" x14ac:dyDescent="0.2">
      <c r="A247" s="110" t="s">
        <v>439</v>
      </c>
      <c r="B247" s="111"/>
      <c r="C247" s="201" t="s">
        <v>440</v>
      </c>
      <c r="D247" s="91">
        <v>39765</v>
      </c>
      <c r="E247" s="92"/>
      <c r="F247" s="93"/>
      <c r="G247" s="93"/>
      <c r="H247" s="93">
        <v>442</v>
      </c>
      <c r="I247" s="93">
        <v>0</v>
      </c>
      <c r="J247" s="93"/>
      <c r="K247" s="93">
        <f t="shared" si="48"/>
        <v>0</v>
      </c>
      <c r="L247" s="93">
        <f t="shared" si="49"/>
        <v>0</v>
      </c>
      <c r="M247" s="94">
        <v>18.75</v>
      </c>
      <c r="N247" s="95" t="s">
        <v>289</v>
      </c>
      <c r="O247" s="93">
        <f t="shared" si="51"/>
        <v>0</v>
      </c>
      <c r="P247" s="93">
        <f t="shared" si="52"/>
        <v>0</v>
      </c>
      <c r="Q247" s="93">
        <f t="shared" si="53"/>
        <v>0</v>
      </c>
      <c r="R247" s="93">
        <f t="shared" si="54"/>
        <v>0</v>
      </c>
      <c r="S247" s="93">
        <f t="shared" si="55"/>
        <v>0</v>
      </c>
      <c r="T247" s="93">
        <f t="shared" si="50"/>
        <v>0</v>
      </c>
      <c r="U247" s="253">
        <f t="shared" si="56"/>
        <v>0</v>
      </c>
      <c r="V247" s="93">
        <f t="shared" si="57"/>
        <v>0</v>
      </c>
    </row>
    <row r="248" spans="1:22" ht="18" customHeight="1" x14ac:dyDescent="0.2">
      <c r="A248" s="110" t="s">
        <v>441</v>
      </c>
      <c r="B248" s="111"/>
      <c r="C248" s="201" t="s">
        <v>442</v>
      </c>
      <c r="D248" s="91">
        <v>39787</v>
      </c>
      <c r="E248" s="92"/>
      <c r="F248" s="93"/>
      <c r="G248" s="93"/>
      <c r="H248" s="93">
        <v>233.96</v>
      </c>
      <c r="I248" s="93">
        <v>0</v>
      </c>
      <c r="J248" s="93"/>
      <c r="K248" s="93">
        <f t="shared" si="48"/>
        <v>0</v>
      </c>
      <c r="L248" s="93">
        <f t="shared" si="49"/>
        <v>0</v>
      </c>
      <c r="M248" s="94">
        <v>18.75</v>
      </c>
      <c r="N248" s="95" t="s">
        <v>289</v>
      </c>
      <c r="O248" s="93">
        <f t="shared" si="51"/>
        <v>0</v>
      </c>
      <c r="P248" s="93">
        <f t="shared" si="52"/>
        <v>0</v>
      </c>
      <c r="Q248" s="93">
        <f t="shared" si="53"/>
        <v>0</v>
      </c>
      <c r="R248" s="93">
        <f t="shared" si="54"/>
        <v>0</v>
      </c>
      <c r="S248" s="93">
        <f t="shared" si="55"/>
        <v>0</v>
      </c>
      <c r="T248" s="93">
        <f t="shared" si="50"/>
        <v>0</v>
      </c>
      <c r="U248" s="253">
        <f t="shared" si="56"/>
        <v>0</v>
      </c>
      <c r="V248" s="93">
        <f t="shared" si="57"/>
        <v>0</v>
      </c>
    </row>
    <row r="249" spans="1:22" ht="18" customHeight="1" x14ac:dyDescent="0.2">
      <c r="A249" s="110" t="s">
        <v>443</v>
      </c>
      <c r="B249" s="111"/>
      <c r="C249" s="201" t="s">
        <v>362</v>
      </c>
      <c r="D249" s="91">
        <v>37802</v>
      </c>
      <c r="E249" s="92">
        <v>43646</v>
      </c>
      <c r="F249" s="93"/>
      <c r="G249" s="93"/>
      <c r="H249" s="93">
        <v>318.18</v>
      </c>
      <c r="I249" s="93">
        <v>0</v>
      </c>
      <c r="J249" s="93"/>
      <c r="K249" s="93">
        <f t="shared" si="48"/>
        <v>0</v>
      </c>
      <c r="L249" s="93">
        <f t="shared" si="49"/>
        <v>0</v>
      </c>
      <c r="M249" s="94">
        <v>20</v>
      </c>
      <c r="N249" s="95" t="s">
        <v>289</v>
      </c>
      <c r="O249" s="93">
        <f t="shared" si="51"/>
        <v>0</v>
      </c>
      <c r="P249" s="93">
        <f t="shared" si="52"/>
        <v>0</v>
      </c>
      <c r="Q249" s="93">
        <f t="shared" si="53"/>
        <v>0</v>
      </c>
      <c r="R249" s="93">
        <f t="shared" si="54"/>
        <v>0</v>
      </c>
      <c r="S249" s="93">
        <f t="shared" si="55"/>
        <v>0</v>
      </c>
      <c r="T249" s="93">
        <f t="shared" si="50"/>
        <v>0</v>
      </c>
      <c r="U249" s="253">
        <f t="shared" si="56"/>
        <v>0</v>
      </c>
      <c r="V249" s="93">
        <f t="shared" si="57"/>
        <v>318.18</v>
      </c>
    </row>
    <row r="250" spans="1:22" ht="18" customHeight="1" x14ac:dyDescent="0.2">
      <c r="A250" s="110" t="s">
        <v>444</v>
      </c>
      <c r="B250" s="111"/>
      <c r="C250" s="201" t="s">
        <v>445</v>
      </c>
      <c r="D250" s="91">
        <v>39790</v>
      </c>
      <c r="E250" s="92"/>
      <c r="F250" s="93"/>
      <c r="G250" s="93"/>
      <c r="H250" s="93">
        <v>1077.75</v>
      </c>
      <c r="I250" s="93">
        <v>0</v>
      </c>
      <c r="J250" s="93"/>
      <c r="K250" s="93">
        <f t="shared" si="48"/>
        <v>0</v>
      </c>
      <c r="L250" s="93">
        <f t="shared" si="49"/>
        <v>0</v>
      </c>
      <c r="M250" s="94">
        <v>18.75</v>
      </c>
      <c r="N250" s="95" t="s">
        <v>289</v>
      </c>
      <c r="O250" s="93">
        <f t="shared" si="51"/>
        <v>0</v>
      </c>
      <c r="P250" s="93">
        <f t="shared" si="52"/>
        <v>0</v>
      </c>
      <c r="Q250" s="93">
        <f t="shared" si="53"/>
        <v>0</v>
      </c>
      <c r="R250" s="93">
        <f t="shared" si="54"/>
        <v>0</v>
      </c>
      <c r="S250" s="93">
        <f t="shared" si="55"/>
        <v>0</v>
      </c>
      <c r="T250" s="93">
        <f t="shared" si="50"/>
        <v>0</v>
      </c>
      <c r="U250" s="253">
        <f t="shared" si="56"/>
        <v>0</v>
      </c>
      <c r="V250" s="93">
        <f t="shared" si="57"/>
        <v>0</v>
      </c>
    </row>
    <row r="251" spans="1:22" ht="18" customHeight="1" x14ac:dyDescent="0.2">
      <c r="A251" s="110" t="s">
        <v>446</v>
      </c>
      <c r="B251" s="111"/>
      <c r="C251" s="201" t="s">
        <v>380</v>
      </c>
      <c r="D251" s="91">
        <v>39814</v>
      </c>
      <c r="E251" s="92"/>
      <c r="F251" s="93"/>
      <c r="G251" s="93"/>
      <c r="H251" s="93">
        <v>1099.52</v>
      </c>
      <c r="I251" s="93">
        <v>0</v>
      </c>
      <c r="J251" s="93"/>
      <c r="K251" s="93">
        <f t="shared" ref="K251:K313" si="58">INT(IF($E251&gt;0,IF(+F251-I251+Q251&lt;0,0,+F251-I251+Q251),0))</f>
        <v>0</v>
      </c>
      <c r="L251" s="93">
        <f t="shared" ref="L251:L313" si="59">INT(IF($E251&gt;0,IF(K251=0,-F251+I251-Q251,0),0))</f>
        <v>0</v>
      </c>
      <c r="M251" s="94">
        <v>18.75</v>
      </c>
      <c r="N251" s="95" t="s">
        <v>289</v>
      </c>
      <c r="O251" s="93">
        <f t="shared" si="51"/>
        <v>0</v>
      </c>
      <c r="P251" s="93">
        <f t="shared" si="52"/>
        <v>0</v>
      </c>
      <c r="Q251" s="93">
        <f t="shared" si="53"/>
        <v>0</v>
      </c>
      <c r="R251" s="93">
        <f t="shared" si="54"/>
        <v>0</v>
      </c>
      <c r="S251" s="93">
        <f t="shared" si="55"/>
        <v>0</v>
      </c>
      <c r="T251" s="93">
        <f t="shared" si="50"/>
        <v>0</v>
      </c>
      <c r="U251" s="253">
        <f t="shared" si="56"/>
        <v>0</v>
      </c>
      <c r="V251" s="93">
        <f t="shared" si="57"/>
        <v>0</v>
      </c>
    </row>
    <row r="252" spans="1:22" ht="18" customHeight="1" x14ac:dyDescent="0.2">
      <c r="A252" s="110" t="s">
        <v>447</v>
      </c>
      <c r="B252" s="111"/>
      <c r="C252" s="201" t="s">
        <v>418</v>
      </c>
      <c r="D252" s="91">
        <v>39821</v>
      </c>
      <c r="E252" s="92"/>
      <c r="F252" s="93"/>
      <c r="G252" s="93"/>
      <c r="H252" s="93">
        <v>373.25</v>
      </c>
      <c r="I252" s="93">
        <v>0</v>
      </c>
      <c r="J252" s="93"/>
      <c r="K252" s="93">
        <f t="shared" si="58"/>
        <v>0</v>
      </c>
      <c r="L252" s="93">
        <f t="shared" si="59"/>
        <v>0</v>
      </c>
      <c r="M252" s="94">
        <v>18.75</v>
      </c>
      <c r="N252" s="95" t="s">
        <v>289</v>
      </c>
      <c r="O252" s="93">
        <f t="shared" si="51"/>
        <v>0</v>
      </c>
      <c r="P252" s="93">
        <f t="shared" si="52"/>
        <v>0</v>
      </c>
      <c r="Q252" s="93">
        <f t="shared" si="53"/>
        <v>0</v>
      </c>
      <c r="R252" s="93">
        <f t="shared" si="54"/>
        <v>0</v>
      </c>
      <c r="S252" s="93">
        <f t="shared" si="55"/>
        <v>0</v>
      </c>
      <c r="T252" s="93">
        <f t="shared" ref="T252:T314" si="60">+R252+S252+Q252</f>
        <v>0</v>
      </c>
      <c r="U252" s="253">
        <f t="shared" si="56"/>
        <v>0</v>
      </c>
      <c r="V252" s="93">
        <f t="shared" si="57"/>
        <v>0</v>
      </c>
    </row>
    <row r="253" spans="1:22" ht="18" customHeight="1" x14ac:dyDescent="0.2">
      <c r="A253" s="110" t="s">
        <v>448</v>
      </c>
      <c r="B253" s="111"/>
      <c r="C253" s="201" t="s">
        <v>449</v>
      </c>
      <c r="D253" s="91">
        <v>39855</v>
      </c>
      <c r="E253" s="92"/>
      <c r="F253" s="93"/>
      <c r="G253" s="93"/>
      <c r="H253" s="93">
        <v>327.93</v>
      </c>
      <c r="I253" s="93">
        <v>0</v>
      </c>
      <c r="J253" s="93"/>
      <c r="K253" s="93">
        <f t="shared" si="58"/>
        <v>0</v>
      </c>
      <c r="L253" s="93">
        <f t="shared" si="59"/>
        <v>0</v>
      </c>
      <c r="M253" s="94">
        <v>18.75</v>
      </c>
      <c r="N253" s="95" t="s">
        <v>289</v>
      </c>
      <c r="O253" s="93">
        <f t="shared" si="51"/>
        <v>0</v>
      </c>
      <c r="P253" s="93">
        <f t="shared" si="52"/>
        <v>0</v>
      </c>
      <c r="Q253" s="93">
        <f t="shared" si="53"/>
        <v>0</v>
      </c>
      <c r="R253" s="93">
        <f t="shared" si="54"/>
        <v>0</v>
      </c>
      <c r="S253" s="93">
        <f t="shared" si="55"/>
        <v>0</v>
      </c>
      <c r="T253" s="93">
        <f t="shared" si="60"/>
        <v>0</v>
      </c>
      <c r="U253" s="253">
        <f t="shared" si="56"/>
        <v>0</v>
      </c>
      <c r="V253" s="93">
        <f t="shared" si="57"/>
        <v>0</v>
      </c>
    </row>
    <row r="254" spans="1:22" ht="18" customHeight="1" x14ac:dyDescent="0.2">
      <c r="A254" s="110" t="s">
        <v>450</v>
      </c>
      <c r="B254" s="111"/>
      <c r="C254" s="201" t="s">
        <v>451</v>
      </c>
      <c r="D254" s="91">
        <v>39874</v>
      </c>
      <c r="E254" s="92">
        <v>43646</v>
      </c>
      <c r="F254" s="93"/>
      <c r="G254" s="93"/>
      <c r="H254" s="93">
        <v>971.09</v>
      </c>
      <c r="I254" s="93">
        <v>0</v>
      </c>
      <c r="J254" s="93"/>
      <c r="K254" s="93">
        <f t="shared" si="58"/>
        <v>0</v>
      </c>
      <c r="L254" s="93">
        <f t="shared" si="59"/>
        <v>0</v>
      </c>
      <c r="M254" s="94">
        <v>18.75</v>
      </c>
      <c r="N254" s="95" t="s">
        <v>289</v>
      </c>
      <c r="O254" s="93">
        <f t="shared" si="51"/>
        <v>0</v>
      </c>
      <c r="P254" s="93">
        <f t="shared" si="52"/>
        <v>0</v>
      </c>
      <c r="Q254" s="93">
        <f t="shared" si="53"/>
        <v>0</v>
      </c>
      <c r="R254" s="93">
        <f t="shared" si="54"/>
        <v>0</v>
      </c>
      <c r="S254" s="93">
        <f t="shared" si="55"/>
        <v>0</v>
      </c>
      <c r="T254" s="93">
        <f t="shared" si="60"/>
        <v>0</v>
      </c>
      <c r="U254" s="253">
        <f t="shared" si="56"/>
        <v>0</v>
      </c>
      <c r="V254" s="93">
        <f t="shared" si="57"/>
        <v>971.09</v>
      </c>
    </row>
    <row r="255" spans="1:22" ht="18" customHeight="1" x14ac:dyDescent="0.2">
      <c r="A255" s="110" t="s">
        <v>452</v>
      </c>
      <c r="B255" s="111"/>
      <c r="C255" s="201" t="s">
        <v>453</v>
      </c>
      <c r="D255" s="91">
        <v>39956</v>
      </c>
      <c r="E255" s="92">
        <v>43646</v>
      </c>
      <c r="F255" s="93"/>
      <c r="G255" s="93"/>
      <c r="H255" s="93">
        <v>104.32000000000001</v>
      </c>
      <c r="I255" s="93">
        <v>0</v>
      </c>
      <c r="J255" s="93"/>
      <c r="K255" s="93">
        <f t="shared" si="58"/>
        <v>0</v>
      </c>
      <c r="L255" s="93">
        <f t="shared" si="59"/>
        <v>0</v>
      </c>
      <c r="M255" s="94">
        <v>18.75</v>
      </c>
      <c r="N255" s="95" t="s">
        <v>289</v>
      </c>
      <c r="O255" s="93">
        <f t="shared" si="51"/>
        <v>0</v>
      </c>
      <c r="P255" s="93">
        <f t="shared" si="52"/>
        <v>0</v>
      </c>
      <c r="Q255" s="93">
        <f t="shared" si="53"/>
        <v>0</v>
      </c>
      <c r="R255" s="93">
        <f t="shared" si="54"/>
        <v>0</v>
      </c>
      <c r="S255" s="93">
        <f t="shared" si="55"/>
        <v>0</v>
      </c>
      <c r="T255" s="93">
        <f t="shared" si="60"/>
        <v>0</v>
      </c>
      <c r="U255" s="253">
        <f t="shared" si="56"/>
        <v>0</v>
      </c>
      <c r="V255" s="93">
        <f t="shared" si="57"/>
        <v>104.32000000000001</v>
      </c>
    </row>
    <row r="256" spans="1:22" ht="18" customHeight="1" x14ac:dyDescent="0.2">
      <c r="A256" s="110" t="s">
        <v>454</v>
      </c>
      <c r="B256" s="111"/>
      <c r="C256" s="201" t="s">
        <v>455</v>
      </c>
      <c r="D256" s="91">
        <v>39966</v>
      </c>
      <c r="E256" s="92"/>
      <c r="F256" s="93"/>
      <c r="G256" s="93"/>
      <c r="H256" s="93">
        <v>301.8</v>
      </c>
      <c r="I256" s="93">
        <v>0</v>
      </c>
      <c r="J256" s="93"/>
      <c r="K256" s="93">
        <f t="shared" si="58"/>
        <v>0</v>
      </c>
      <c r="L256" s="93">
        <f t="shared" si="59"/>
        <v>0</v>
      </c>
      <c r="M256" s="94">
        <v>18.75</v>
      </c>
      <c r="N256" s="95" t="s">
        <v>289</v>
      </c>
      <c r="O256" s="93">
        <f t="shared" si="51"/>
        <v>0</v>
      </c>
      <c r="P256" s="93">
        <f t="shared" si="52"/>
        <v>0</v>
      </c>
      <c r="Q256" s="93">
        <f t="shared" si="53"/>
        <v>0</v>
      </c>
      <c r="R256" s="93">
        <f t="shared" si="54"/>
        <v>0</v>
      </c>
      <c r="S256" s="93">
        <f t="shared" si="55"/>
        <v>0</v>
      </c>
      <c r="T256" s="93">
        <f t="shared" si="60"/>
        <v>0</v>
      </c>
      <c r="U256" s="253">
        <f t="shared" si="56"/>
        <v>0</v>
      </c>
      <c r="V256" s="93">
        <f t="shared" si="57"/>
        <v>0</v>
      </c>
    </row>
    <row r="257" spans="1:24" ht="18" customHeight="1" x14ac:dyDescent="0.2">
      <c r="A257" s="110" t="s">
        <v>456</v>
      </c>
      <c r="B257" s="111"/>
      <c r="C257" s="201" t="s">
        <v>331</v>
      </c>
      <c r="D257" s="91">
        <v>39987</v>
      </c>
      <c r="E257" s="92"/>
      <c r="F257" s="93"/>
      <c r="G257" s="93"/>
      <c r="H257" s="93">
        <v>1582.6000000000001</v>
      </c>
      <c r="I257" s="93">
        <v>0</v>
      </c>
      <c r="J257" s="93"/>
      <c r="K257" s="93">
        <f t="shared" si="58"/>
        <v>0</v>
      </c>
      <c r="L257" s="93">
        <f t="shared" si="59"/>
        <v>0</v>
      </c>
      <c r="M257" s="94">
        <v>18.75</v>
      </c>
      <c r="N257" s="95" t="s">
        <v>289</v>
      </c>
      <c r="O257" s="93">
        <f t="shared" si="51"/>
        <v>0</v>
      </c>
      <c r="P257" s="93">
        <f t="shared" si="52"/>
        <v>0</v>
      </c>
      <c r="Q257" s="93">
        <f t="shared" si="53"/>
        <v>0</v>
      </c>
      <c r="R257" s="93">
        <f t="shared" si="54"/>
        <v>0</v>
      </c>
      <c r="S257" s="93">
        <f t="shared" si="55"/>
        <v>0</v>
      </c>
      <c r="T257" s="93">
        <f t="shared" si="60"/>
        <v>0</v>
      </c>
      <c r="U257" s="253">
        <f t="shared" si="56"/>
        <v>0</v>
      </c>
      <c r="V257" s="93">
        <f t="shared" si="57"/>
        <v>0</v>
      </c>
    </row>
    <row r="258" spans="1:24" ht="18" customHeight="1" x14ac:dyDescent="0.2">
      <c r="A258" s="110" t="s">
        <v>457</v>
      </c>
      <c r="B258" s="111"/>
      <c r="C258" s="201" t="s">
        <v>380</v>
      </c>
      <c r="D258" s="91">
        <v>37670</v>
      </c>
      <c r="E258" s="92">
        <v>43646</v>
      </c>
      <c r="F258" s="93"/>
      <c r="G258" s="93"/>
      <c r="H258" s="93">
        <v>932.27</v>
      </c>
      <c r="I258" s="93">
        <v>0</v>
      </c>
      <c r="J258" s="93"/>
      <c r="K258" s="93">
        <f t="shared" si="58"/>
        <v>0</v>
      </c>
      <c r="L258" s="93">
        <f t="shared" si="59"/>
        <v>0</v>
      </c>
      <c r="M258" s="94">
        <v>20</v>
      </c>
      <c r="N258" s="95" t="s">
        <v>289</v>
      </c>
      <c r="O258" s="93">
        <f t="shared" si="51"/>
        <v>0</v>
      </c>
      <c r="P258" s="93">
        <f t="shared" si="52"/>
        <v>0</v>
      </c>
      <c r="Q258" s="93">
        <f t="shared" si="53"/>
        <v>0</v>
      </c>
      <c r="R258" s="93">
        <f t="shared" si="54"/>
        <v>0</v>
      </c>
      <c r="S258" s="93">
        <f t="shared" si="55"/>
        <v>0</v>
      </c>
      <c r="T258" s="93">
        <f t="shared" si="60"/>
        <v>0</v>
      </c>
      <c r="U258" s="253">
        <f t="shared" si="56"/>
        <v>0</v>
      </c>
      <c r="V258" s="93">
        <f t="shared" si="57"/>
        <v>932.27</v>
      </c>
    </row>
    <row r="259" spans="1:24" ht="18" customHeight="1" x14ac:dyDescent="0.2">
      <c r="A259" s="110" t="s">
        <v>458</v>
      </c>
      <c r="B259" s="111"/>
      <c r="C259" s="201" t="s">
        <v>459</v>
      </c>
      <c r="D259" s="91">
        <v>40021</v>
      </c>
      <c r="E259" s="92">
        <v>43646</v>
      </c>
      <c r="F259" s="93"/>
      <c r="G259" s="93"/>
      <c r="H259" s="93">
        <v>1502.45</v>
      </c>
      <c r="I259" s="93">
        <v>0</v>
      </c>
      <c r="J259" s="93"/>
      <c r="K259" s="93">
        <f t="shared" si="58"/>
        <v>0</v>
      </c>
      <c r="L259" s="93">
        <f t="shared" si="59"/>
        <v>0</v>
      </c>
      <c r="M259" s="94">
        <v>25</v>
      </c>
      <c r="N259" s="95" t="s">
        <v>289</v>
      </c>
      <c r="O259" s="93">
        <f t="shared" si="51"/>
        <v>0</v>
      </c>
      <c r="P259" s="93">
        <f t="shared" si="52"/>
        <v>0</v>
      </c>
      <c r="Q259" s="93">
        <f t="shared" si="53"/>
        <v>0</v>
      </c>
      <c r="R259" s="93">
        <f t="shared" si="54"/>
        <v>0</v>
      </c>
      <c r="S259" s="93">
        <f t="shared" si="55"/>
        <v>0</v>
      </c>
      <c r="T259" s="93">
        <f t="shared" si="60"/>
        <v>0</v>
      </c>
      <c r="U259" s="253">
        <f t="shared" si="56"/>
        <v>0</v>
      </c>
      <c r="V259" s="93">
        <f t="shared" si="57"/>
        <v>1502.45</v>
      </c>
    </row>
    <row r="260" spans="1:24" ht="18" customHeight="1" x14ac:dyDescent="0.2">
      <c r="A260" s="110" t="s">
        <v>460</v>
      </c>
      <c r="B260" s="111"/>
      <c r="C260" s="201" t="s">
        <v>461</v>
      </c>
      <c r="D260" s="91">
        <v>40028</v>
      </c>
      <c r="E260" s="92"/>
      <c r="F260" s="93"/>
      <c r="G260" s="93"/>
      <c r="H260" s="93">
        <v>2060</v>
      </c>
      <c r="I260" s="93">
        <v>259</v>
      </c>
      <c r="J260" s="93"/>
      <c r="K260" s="93">
        <f t="shared" si="58"/>
        <v>0</v>
      </c>
      <c r="L260" s="93">
        <f t="shared" si="59"/>
        <v>0</v>
      </c>
      <c r="M260" s="94">
        <v>20</v>
      </c>
      <c r="N260" s="95" t="s">
        <v>289</v>
      </c>
      <c r="O260" s="93">
        <f t="shared" si="51"/>
        <v>0</v>
      </c>
      <c r="P260" s="93">
        <f t="shared" si="52"/>
        <v>0</v>
      </c>
      <c r="Q260" s="93">
        <f t="shared" si="53"/>
        <v>0</v>
      </c>
      <c r="R260" s="93">
        <f t="shared" si="54"/>
        <v>30</v>
      </c>
      <c r="S260" s="93">
        <f t="shared" si="55"/>
        <v>0</v>
      </c>
      <c r="T260" s="93">
        <f t="shared" si="60"/>
        <v>30</v>
      </c>
      <c r="U260" s="253">
        <f t="shared" si="56"/>
        <v>229</v>
      </c>
      <c r="V260" s="93">
        <f t="shared" si="57"/>
        <v>0</v>
      </c>
    </row>
    <row r="261" spans="1:24" ht="18" customHeight="1" x14ac:dyDescent="0.2">
      <c r="A261" s="110" t="s">
        <v>462</v>
      </c>
      <c r="B261" s="111"/>
      <c r="C261" s="201" t="s">
        <v>463</v>
      </c>
      <c r="D261" s="91">
        <v>40030</v>
      </c>
      <c r="E261" s="92">
        <v>43646</v>
      </c>
      <c r="F261" s="93"/>
      <c r="G261" s="93"/>
      <c r="H261" s="93">
        <v>318.18</v>
      </c>
      <c r="I261" s="93">
        <v>0</v>
      </c>
      <c r="J261" s="93"/>
      <c r="K261" s="93">
        <f t="shared" si="58"/>
        <v>0</v>
      </c>
      <c r="L261" s="93">
        <f t="shared" si="59"/>
        <v>0</v>
      </c>
      <c r="M261" s="94">
        <v>33.33</v>
      </c>
      <c r="N261" s="95" t="s">
        <v>289</v>
      </c>
      <c r="O261" s="93">
        <f t="shared" si="51"/>
        <v>0</v>
      </c>
      <c r="P261" s="93">
        <f t="shared" si="52"/>
        <v>0</v>
      </c>
      <c r="Q261" s="93">
        <f t="shared" si="53"/>
        <v>0</v>
      </c>
      <c r="R261" s="93">
        <f t="shared" si="54"/>
        <v>0</v>
      </c>
      <c r="S261" s="93">
        <f t="shared" si="55"/>
        <v>0</v>
      </c>
      <c r="T261" s="93">
        <f t="shared" si="60"/>
        <v>0</v>
      </c>
      <c r="U261" s="253">
        <f t="shared" si="56"/>
        <v>0</v>
      </c>
      <c r="V261" s="93">
        <f t="shared" si="57"/>
        <v>318.18</v>
      </c>
    </row>
    <row r="262" spans="1:24" ht="18" customHeight="1" x14ac:dyDescent="0.2">
      <c r="A262" s="110" t="s">
        <v>464</v>
      </c>
      <c r="B262" s="111"/>
      <c r="C262" s="90" t="s">
        <v>465</v>
      </c>
      <c r="D262" s="91">
        <v>40039</v>
      </c>
      <c r="E262" s="92">
        <v>43646</v>
      </c>
      <c r="F262" s="93"/>
      <c r="G262" s="93"/>
      <c r="H262" s="93">
        <v>760</v>
      </c>
      <c r="I262" s="93">
        <v>0</v>
      </c>
      <c r="J262" s="93"/>
      <c r="K262" s="93">
        <f t="shared" si="58"/>
        <v>0</v>
      </c>
      <c r="L262" s="93">
        <f t="shared" si="59"/>
        <v>0</v>
      </c>
      <c r="M262" s="94">
        <v>40</v>
      </c>
      <c r="N262" s="95" t="s">
        <v>289</v>
      </c>
      <c r="O262" s="93">
        <f t="shared" si="51"/>
        <v>0</v>
      </c>
      <c r="P262" s="93">
        <f t="shared" si="52"/>
        <v>0</v>
      </c>
      <c r="Q262" s="93">
        <f t="shared" si="53"/>
        <v>0</v>
      </c>
      <c r="R262" s="93">
        <f t="shared" si="54"/>
        <v>0</v>
      </c>
      <c r="S262" s="93">
        <f t="shared" si="55"/>
        <v>0</v>
      </c>
      <c r="T262" s="93">
        <f t="shared" si="60"/>
        <v>0</v>
      </c>
      <c r="U262" s="253">
        <f t="shared" si="56"/>
        <v>0</v>
      </c>
      <c r="V262" s="93">
        <f t="shared" si="57"/>
        <v>760</v>
      </c>
    </row>
    <row r="263" spans="1:24" ht="18" customHeight="1" x14ac:dyDescent="0.2">
      <c r="A263" s="110" t="s">
        <v>466</v>
      </c>
      <c r="B263" s="111"/>
      <c r="C263" s="201" t="s">
        <v>467</v>
      </c>
      <c r="D263" s="91">
        <v>40045</v>
      </c>
      <c r="E263" s="92">
        <v>43646</v>
      </c>
      <c r="F263" s="93"/>
      <c r="G263" s="93"/>
      <c r="H263" s="93">
        <v>1020</v>
      </c>
      <c r="I263" s="93">
        <v>0</v>
      </c>
      <c r="J263" s="93"/>
      <c r="K263" s="93">
        <f t="shared" si="58"/>
        <v>0</v>
      </c>
      <c r="L263" s="93">
        <f t="shared" si="59"/>
        <v>0</v>
      </c>
      <c r="M263" s="94">
        <v>20</v>
      </c>
      <c r="N263" s="95" t="s">
        <v>289</v>
      </c>
      <c r="O263" s="93">
        <f t="shared" si="51"/>
        <v>0</v>
      </c>
      <c r="P263" s="93">
        <f t="shared" si="52"/>
        <v>0</v>
      </c>
      <c r="Q263" s="93">
        <f t="shared" si="53"/>
        <v>0</v>
      </c>
      <c r="R263" s="93">
        <f t="shared" si="54"/>
        <v>0</v>
      </c>
      <c r="S263" s="93">
        <f t="shared" si="55"/>
        <v>0</v>
      </c>
      <c r="T263" s="93">
        <f t="shared" si="60"/>
        <v>0</v>
      </c>
      <c r="U263" s="253">
        <f t="shared" si="56"/>
        <v>0</v>
      </c>
      <c r="V263" s="93">
        <f t="shared" si="57"/>
        <v>1020</v>
      </c>
    </row>
    <row r="264" spans="1:24" ht="18" customHeight="1" x14ac:dyDescent="0.2">
      <c r="A264" s="110" t="s">
        <v>468</v>
      </c>
      <c r="B264" s="111"/>
      <c r="C264" s="201" t="s">
        <v>469</v>
      </c>
      <c r="D264" s="91">
        <v>40017</v>
      </c>
      <c r="E264" s="92">
        <v>43646</v>
      </c>
      <c r="F264" s="93"/>
      <c r="G264" s="93"/>
      <c r="H264" s="93">
        <v>409.86</v>
      </c>
      <c r="I264" s="93">
        <v>0</v>
      </c>
      <c r="J264" s="93"/>
      <c r="K264" s="93">
        <f t="shared" si="58"/>
        <v>0</v>
      </c>
      <c r="L264" s="93">
        <f t="shared" si="59"/>
        <v>0</v>
      </c>
      <c r="M264" s="94">
        <v>20</v>
      </c>
      <c r="N264" s="95" t="s">
        <v>289</v>
      </c>
      <c r="O264" s="93">
        <f t="shared" si="51"/>
        <v>0</v>
      </c>
      <c r="P264" s="93">
        <f t="shared" si="52"/>
        <v>0</v>
      </c>
      <c r="Q264" s="93">
        <f t="shared" si="53"/>
        <v>0</v>
      </c>
      <c r="R264" s="93">
        <f t="shared" si="54"/>
        <v>0</v>
      </c>
      <c r="S264" s="93">
        <f t="shared" si="55"/>
        <v>0</v>
      </c>
      <c r="T264" s="93">
        <f t="shared" si="60"/>
        <v>0</v>
      </c>
      <c r="U264" s="253">
        <f t="shared" si="56"/>
        <v>0</v>
      </c>
      <c r="V264" s="93">
        <f t="shared" si="57"/>
        <v>409.86</v>
      </c>
    </row>
    <row r="265" spans="1:24" ht="18" customHeight="1" x14ac:dyDescent="0.2">
      <c r="A265" s="110" t="s">
        <v>470</v>
      </c>
      <c r="B265" s="111"/>
      <c r="C265" s="201" t="s">
        <v>469</v>
      </c>
      <c r="D265" s="91">
        <v>40087</v>
      </c>
      <c r="E265" s="92">
        <v>43646</v>
      </c>
      <c r="F265" s="93"/>
      <c r="G265" s="93"/>
      <c r="H265" s="93">
        <v>298.3</v>
      </c>
      <c r="I265" s="93">
        <v>0</v>
      </c>
      <c r="J265" s="93"/>
      <c r="K265" s="93">
        <f t="shared" si="58"/>
        <v>0</v>
      </c>
      <c r="L265" s="93">
        <f t="shared" si="59"/>
        <v>0</v>
      </c>
      <c r="M265" s="94">
        <v>20</v>
      </c>
      <c r="N265" s="95" t="s">
        <v>289</v>
      </c>
      <c r="O265" s="93">
        <f t="shared" si="51"/>
        <v>0</v>
      </c>
      <c r="P265" s="93">
        <f t="shared" si="52"/>
        <v>0</v>
      </c>
      <c r="Q265" s="93">
        <f t="shared" si="53"/>
        <v>0</v>
      </c>
      <c r="R265" s="93">
        <f t="shared" si="54"/>
        <v>0</v>
      </c>
      <c r="S265" s="93">
        <f t="shared" si="55"/>
        <v>0</v>
      </c>
      <c r="T265" s="93">
        <f t="shared" si="60"/>
        <v>0</v>
      </c>
      <c r="U265" s="253">
        <f t="shared" si="56"/>
        <v>0</v>
      </c>
      <c r="V265" s="93">
        <f t="shared" si="57"/>
        <v>298.3</v>
      </c>
    </row>
    <row r="266" spans="1:24" ht="18" customHeight="1" x14ac:dyDescent="0.2">
      <c r="A266" s="110" t="s">
        <v>471</v>
      </c>
      <c r="B266" s="111"/>
      <c r="C266" s="201" t="s">
        <v>469</v>
      </c>
      <c r="D266" s="91">
        <v>40087</v>
      </c>
      <c r="E266" s="92">
        <v>43646</v>
      </c>
      <c r="F266" s="93"/>
      <c r="G266" s="93"/>
      <c r="H266" s="93">
        <v>293.85000000000002</v>
      </c>
      <c r="I266" s="93">
        <v>0</v>
      </c>
      <c r="J266" s="93"/>
      <c r="K266" s="93">
        <f t="shared" si="58"/>
        <v>0</v>
      </c>
      <c r="L266" s="93">
        <f t="shared" si="59"/>
        <v>0</v>
      </c>
      <c r="M266" s="94">
        <v>20</v>
      </c>
      <c r="N266" s="95" t="s">
        <v>289</v>
      </c>
      <c r="O266" s="93">
        <f t="shared" si="51"/>
        <v>0</v>
      </c>
      <c r="P266" s="93">
        <f t="shared" si="52"/>
        <v>0</v>
      </c>
      <c r="Q266" s="93">
        <f t="shared" si="53"/>
        <v>0</v>
      </c>
      <c r="R266" s="93">
        <f t="shared" si="54"/>
        <v>0</v>
      </c>
      <c r="S266" s="93">
        <f t="shared" si="55"/>
        <v>0</v>
      </c>
      <c r="T266" s="93">
        <f t="shared" si="60"/>
        <v>0</v>
      </c>
      <c r="U266" s="253">
        <f t="shared" si="56"/>
        <v>0</v>
      </c>
      <c r="V266" s="93">
        <f t="shared" si="57"/>
        <v>293.85000000000002</v>
      </c>
    </row>
    <row r="267" spans="1:24" ht="18" customHeight="1" x14ac:dyDescent="0.2">
      <c r="A267" s="110" t="s">
        <v>472</v>
      </c>
      <c r="B267" s="111"/>
      <c r="C267" s="201" t="s">
        <v>473</v>
      </c>
      <c r="D267" s="91">
        <v>38103</v>
      </c>
      <c r="E267" s="92">
        <v>43627</v>
      </c>
      <c r="F267" s="93">
        <v>7500</v>
      </c>
      <c r="G267" s="93"/>
      <c r="H267" s="93">
        <v>11678.49</v>
      </c>
      <c r="I267" s="93">
        <v>5525.49</v>
      </c>
      <c r="J267" s="93"/>
      <c r="K267" s="93">
        <f t="shared" si="58"/>
        <v>2119</v>
      </c>
      <c r="L267" s="93">
        <f t="shared" si="59"/>
        <v>0</v>
      </c>
      <c r="M267" s="94">
        <v>5</v>
      </c>
      <c r="N267" s="95" t="s">
        <v>289</v>
      </c>
      <c r="O267" s="93">
        <f t="shared" si="51"/>
        <v>145</v>
      </c>
      <c r="P267" s="93">
        <f t="shared" si="52"/>
        <v>0</v>
      </c>
      <c r="Q267" s="93">
        <f t="shared" si="53"/>
        <v>145</v>
      </c>
      <c r="R267" s="93">
        <f t="shared" si="54"/>
        <v>0</v>
      </c>
      <c r="S267" s="93">
        <f t="shared" si="55"/>
        <v>0</v>
      </c>
      <c r="T267" s="93">
        <f t="shared" si="60"/>
        <v>145</v>
      </c>
      <c r="U267" s="253">
        <v>0</v>
      </c>
      <c r="V267" s="93">
        <f t="shared" si="57"/>
        <v>11678.49</v>
      </c>
      <c r="W267" s="159"/>
      <c r="X267" s="159"/>
    </row>
    <row r="268" spans="1:24" ht="18" customHeight="1" x14ac:dyDescent="0.2">
      <c r="A268" s="110" t="s">
        <v>474</v>
      </c>
      <c r="B268" s="111"/>
      <c r="C268" s="201" t="s">
        <v>475</v>
      </c>
      <c r="D268" s="91">
        <v>40129</v>
      </c>
      <c r="E268" s="92">
        <v>43646</v>
      </c>
      <c r="F268" s="93"/>
      <c r="G268" s="93"/>
      <c r="H268" s="93">
        <v>628.86</v>
      </c>
      <c r="I268" s="93">
        <v>0</v>
      </c>
      <c r="J268" s="93"/>
      <c r="K268" s="93">
        <f t="shared" si="58"/>
        <v>0</v>
      </c>
      <c r="L268" s="93">
        <f t="shared" si="59"/>
        <v>0</v>
      </c>
      <c r="M268" s="94">
        <v>20</v>
      </c>
      <c r="N268" s="95" t="s">
        <v>289</v>
      </c>
      <c r="O268" s="93">
        <f t="shared" si="51"/>
        <v>0</v>
      </c>
      <c r="P268" s="93">
        <f t="shared" si="52"/>
        <v>0</v>
      </c>
      <c r="Q268" s="93">
        <f t="shared" si="53"/>
        <v>0</v>
      </c>
      <c r="R268" s="93">
        <f t="shared" si="54"/>
        <v>0</v>
      </c>
      <c r="S268" s="93">
        <f t="shared" si="55"/>
        <v>0</v>
      </c>
      <c r="T268" s="93">
        <f t="shared" si="60"/>
        <v>0</v>
      </c>
      <c r="U268" s="253">
        <f t="shared" si="56"/>
        <v>0</v>
      </c>
      <c r="V268" s="93">
        <f t="shared" si="57"/>
        <v>628.86</v>
      </c>
      <c r="X268" s="159"/>
    </row>
    <row r="269" spans="1:24" ht="18" customHeight="1" x14ac:dyDescent="0.2">
      <c r="A269" s="110" t="s">
        <v>476</v>
      </c>
      <c r="B269" s="111"/>
      <c r="C269" s="201" t="s">
        <v>475</v>
      </c>
      <c r="D269" s="91">
        <v>40359</v>
      </c>
      <c r="E269" s="92">
        <v>43646</v>
      </c>
      <c r="F269" s="93"/>
      <c r="G269" s="93"/>
      <c r="H269" s="93">
        <v>1299.6000000000001</v>
      </c>
      <c r="I269" s="93">
        <v>0</v>
      </c>
      <c r="J269" s="93"/>
      <c r="K269" s="93">
        <f t="shared" si="58"/>
        <v>0</v>
      </c>
      <c r="L269" s="93">
        <f t="shared" si="59"/>
        <v>0</v>
      </c>
      <c r="M269" s="94">
        <v>20</v>
      </c>
      <c r="N269" s="95" t="s">
        <v>289</v>
      </c>
      <c r="O269" s="93">
        <f t="shared" si="51"/>
        <v>0</v>
      </c>
      <c r="P269" s="93">
        <f t="shared" si="52"/>
        <v>0</v>
      </c>
      <c r="Q269" s="93">
        <f t="shared" si="53"/>
        <v>0</v>
      </c>
      <c r="R269" s="93">
        <f t="shared" si="54"/>
        <v>0</v>
      </c>
      <c r="S269" s="93">
        <f t="shared" si="55"/>
        <v>0</v>
      </c>
      <c r="T269" s="93">
        <f t="shared" si="60"/>
        <v>0</v>
      </c>
      <c r="U269" s="253">
        <f t="shared" si="56"/>
        <v>0</v>
      </c>
      <c r="V269" s="93">
        <f t="shared" si="57"/>
        <v>1299.6000000000001</v>
      </c>
    </row>
    <row r="270" spans="1:24" ht="18" customHeight="1" x14ac:dyDescent="0.2">
      <c r="A270" s="110" t="s">
        <v>477</v>
      </c>
      <c r="B270" s="111"/>
      <c r="C270" s="201" t="s">
        <v>478</v>
      </c>
      <c r="D270" s="91">
        <v>40095</v>
      </c>
      <c r="E270" s="92"/>
      <c r="F270" s="93"/>
      <c r="G270" s="93"/>
      <c r="H270" s="93">
        <v>2986.6</v>
      </c>
      <c r="I270" s="93">
        <v>392.6</v>
      </c>
      <c r="J270" s="93"/>
      <c r="K270" s="93">
        <f t="shared" si="58"/>
        <v>0</v>
      </c>
      <c r="L270" s="93">
        <f t="shared" si="59"/>
        <v>0</v>
      </c>
      <c r="M270" s="94">
        <v>20</v>
      </c>
      <c r="N270" s="95" t="s">
        <v>289</v>
      </c>
      <c r="O270" s="93">
        <f t="shared" si="51"/>
        <v>0</v>
      </c>
      <c r="P270" s="93">
        <f t="shared" si="52"/>
        <v>0</v>
      </c>
      <c r="Q270" s="93">
        <f t="shared" si="53"/>
        <v>0</v>
      </c>
      <c r="R270" s="93">
        <f t="shared" si="54"/>
        <v>45</v>
      </c>
      <c r="S270" s="93">
        <f t="shared" si="55"/>
        <v>0</v>
      </c>
      <c r="T270" s="93">
        <f t="shared" si="60"/>
        <v>45</v>
      </c>
      <c r="U270" s="253">
        <f t="shared" si="56"/>
        <v>347.6</v>
      </c>
      <c r="V270" s="93">
        <f t="shared" si="57"/>
        <v>0</v>
      </c>
    </row>
    <row r="271" spans="1:24" ht="18" customHeight="1" x14ac:dyDescent="0.2">
      <c r="A271" s="110" t="s">
        <v>479</v>
      </c>
      <c r="B271" s="111"/>
      <c r="C271" s="201" t="s">
        <v>480</v>
      </c>
      <c r="D271" s="91">
        <v>40149</v>
      </c>
      <c r="E271" s="92">
        <v>43646</v>
      </c>
      <c r="F271" s="93"/>
      <c r="G271" s="93"/>
      <c r="H271" s="93">
        <v>1200</v>
      </c>
      <c r="I271" s="93">
        <v>0</v>
      </c>
      <c r="J271" s="93"/>
      <c r="K271" s="93">
        <f t="shared" si="58"/>
        <v>0</v>
      </c>
      <c r="L271" s="93">
        <f t="shared" si="59"/>
        <v>0</v>
      </c>
      <c r="M271" s="94">
        <v>40</v>
      </c>
      <c r="N271" s="95" t="s">
        <v>289</v>
      </c>
      <c r="O271" s="93">
        <f t="shared" si="51"/>
        <v>0</v>
      </c>
      <c r="P271" s="93">
        <f t="shared" si="52"/>
        <v>0</v>
      </c>
      <c r="Q271" s="93">
        <f t="shared" si="53"/>
        <v>0</v>
      </c>
      <c r="R271" s="93">
        <f t="shared" si="54"/>
        <v>0</v>
      </c>
      <c r="S271" s="93">
        <f t="shared" si="55"/>
        <v>0</v>
      </c>
      <c r="T271" s="93">
        <f t="shared" si="60"/>
        <v>0</v>
      </c>
      <c r="U271" s="253">
        <f t="shared" si="56"/>
        <v>0</v>
      </c>
      <c r="V271" s="93">
        <f t="shared" si="57"/>
        <v>1200</v>
      </c>
    </row>
    <row r="272" spans="1:24" ht="18" customHeight="1" x14ac:dyDescent="0.2">
      <c r="A272" s="110" t="s">
        <v>481</v>
      </c>
      <c r="B272" s="111"/>
      <c r="C272" s="201" t="s">
        <v>355</v>
      </c>
      <c r="D272" s="91">
        <v>40150</v>
      </c>
      <c r="E272" s="92">
        <v>43646</v>
      </c>
      <c r="F272" s="93"/>
      <c r="G272" s="93"/>
      <c r="H272" s="93">
        <v>618.18000000000006</v>
      </c>
      <c r="I272" s="93">
        <v>0</v>
      </c>
      <c r="J272" s="93"/>
      <c r="K272" s="93">
        <f t="shared" si="58"/>
        <v>0</v>
      </c>
      <c r="L272" s="93">
        <f t="shared" si="59"/>
        <v>0</v>
      </c>
      <c r="M272" s="94">
        <v>20</v>
      </c>
      <c r="N272" s="95" t="s">
        <v>289</v>
      </c>
      <c r="O272" s="93">
        <f t="shared" si="51"/>
        <v>0</v>
      </c>
      <c r="P272" s="93">
        <f t="shared" si="52"/>
        <v>0</v>
      </c>
      <c r="Q272" s="93">
        <f t="shared" si="53"/>
        <v>0</v>
      </c>
      <c r="R272" s="93">
        <f t="shared" si="54"/>
        <v>0</v>
      </c>
      <c r="S272" s="93">
        <f t="shared" si="55"/>
        <v>0</v>
      </c>
      <c r="T272" s="93">
        <f t="shared" si="60"/>
        <v>0</v>
      </c>
      <c r="U272" s="253">
        <f t="shared" si="56"/>
        <v>0</v>
      </c>
      <c r="V272" s="93">
        <f t="shared" si="57"/>
        <v>618.18000000000006</v>
      </c>
    </row>
    <row r="273" spans="1:22" ht="18" customHeight="1" x14ac:dyDescent="0.2">
      <c r="A273" s="110" t="s">
        <v>482</v>
      </c>
      <c r="B273" s="111"/>
      <c r="C273" s="201" t="s">
        <v>483</v>
      </c>
      <c r="D273" s="91">
        <v>40162</v>
      </c>
      <c r="E273" s="92"/>
      <c r="F273" s="93"/>
      <c r="G273" s="93"/>
      <c r="H273" s="93">
        <v>3500</v>
      </c>
      <c r="I273" s="93">
        <v>0</v>
      </c>
      <c r="J273" s="93"/>
      <c r="K273" s="93">
        <f t="shared" si="58"/>
        <v>0</v>
      </c>
      <c r="L273" s="93">
        <f t="shared" si="59"/>
        <v>0</v>
      </c>
      <c r="M273" s="94">
        <v>40</v>
      </c>
      <c r="N273" s="95" t="s">
        <v>289</v>
      </c>
      <c r="O273" s="93">
        <f t="shared" si="51"/>
        <v>0</v>
      </c>
      <c r="P273" s="93">
        <f t="shared" si="52"/>
        <v>0</v>
      </c>
      <c r="Q273" s="93">
        <f t="shared" si="53"/>
        <v>0</v>
      </c>
      <c r="R273" s="93">
        <f t="shared" si="54"/>
        <v>0</v>
      </c>
      <c r="S273" s="93">
        <f t="shared" si="55"/>
        <v>0</v>
      </c>
      <c r="T273" s="93">
        <f t="shared" si="60"/>
        <v>0</v>
      </c>
      <c r="U273" s="253">
        <f t="shared" si="56"/>
        <v>0</v>
      </c>
      <c r="V273" s="93">
        <f t="shared" si="57"/>
        <v>0</v>
      </c>
    </row>
    <row r="274" spans="1:22" ht="18" customHeight="1" x14ac:dyDescent="0.2">
      <c r="A274" s="110" t="s">
        <v>484</v>
      </c>
      <c r="B274" s="111"/>
      <c r="C274" s="201" t="s">
        <v>485</v>
      </c>
      <c r="D274" s="91">
        <v>40190</v>
      </c>
      <c r="E274" s="92"/>
      <c r="F274" s="93"/>
      <c r="G274" s="93"/>
      <c r="H274" s="93">
        <v>1110</v>
      </c>
      <c r="I274" s="93">
        <v>0</v>
      </c>
      <c r="J274" s="93"/>
      <c r="K274" s="93">
        <f t="shared" si="58"/>
        <v>0</v>
      </c>
      <c r="L274" s="93">
        <f t="shared" si="59"/>
        <v>0</v>
      </c>
      <c r="M274" s="94">
        <v>40</v>
      </c>
      <c r="N274" s="95" t="s">
        <v>289</v>
      </c>
      <c r="O274" s="93">
        <f t="shared" si="51"/>
        <v>0</v>
      </c>
      <c r="P274" s="93">
        <f t="shared" si="52"/>
        <v>0</v>
      </c>
      <c r="Q274" s="93">
        <f t="shared" si="53"/>
        <v>0</v>
      </c>
      <c r="R274" s="93">
        <f t="shared" si="54"/>
        <v>0</v>
      </c>
      <c r="S274" s="93">
        <f t="shared" si="55"/>
        <v>0</v>
      </c>
      <c r="T274" s="93">
        <f t="shared" si="60"/>
        <v>0</v>
      </c>
      <c r="U274" s="253">
        <f t="shared" si="56"/>
        <v>0</v>
      </c>
      <c r="V274" s="93">
        <f t="shared" si="57"/>
        <v>0</v>
      </c>
    </row>
    <row r="275" spans="1:22" ht="18" customHeight="1" x14ac:dyDescent="0.2">
      <c r="A275" s="110" t="s">
        <v>486</v>
      </c>
      <c r="B275" s="111"/>
      <c r="C275" s="201" t="s">
        <v>487</v>
      </c>
      <c r="D275" s="91">
        <v>40210</v>
      </c>
      <c r="E275" s="92"/>
      <c r="F275" s="93"/>
      <c r="G275" s="93"/>
      <c r="H275" s="93">
        <v>1113</v>
      </c>
      <c r="I275" s="93">
        <v>0</v>
      </c>
      <c r="J275" s="93"/>
      <c r="K275" s="93">
        <f t="shared" si="58"/>
        <v>0</v>
      </c>
      <c r="L275" s="93">
        <f t="shared" si="59"/>
        <v>0</v>
      </c>
      <c r="M275" s="94">
        <v>10</v>
      </c>
      <c r="N275" s="95" t="s">
        <v>289</v>
      </c>
      <c r="O275" s="93">
        <f t="shared" si="51"/>
        <v>0</v>
      </c>
      <c r="P275" s="93">
        <f t="shared" si="52"/>
        <v>0</v>
      </c>
      <c r="Q275" s="93">
        <f t="shared" si="53"/>
        <v>0</v>
      </c>
      <c r="R275" s="93">
        <f t="shared" si="54"/>
        <v>0</v>
      </c>
      <c r="S275" s="93">
        <f t="shared" si="55"/>
        <v>0</v>
      </c>
      <c r="T275" s="93">
        <f t="shared" si="60"/>
        <v>0</v>
      </c>
      <c r="U275" s="253">
        <f t="shared" si="56"/>
        <v>0</v>
      </c>
      <c r="V275" s="93">
        <f t="shared" si="57"/>
        <v>0</v>
      </c>
    </row>
    <row r="276" spans="1:22" ht="18" customHeight="1" x14ac:dyDescent="0.2">
      <c r="A276" s="110" t="s">
        <v>488</v>
      </c>
      <c r="B276" s="111"/>
      <c r="C276" s="201" t="s">
        <v>489</v>
      </c>
      <c r="D276" s="91">
        <v>40213</v>
      </c>
      <c r="E276" s="92">
        <v>43646</v>
      </c>
      <c r="F276" s="93"/>
      <c r="G276" s="93"/>
      <c r="H276" s="93">
        <v>1200</v>
      </c>
      <c r="I276" s="93">
        <v>0</v>
      </c>
      <c r="J276" s="93"/>
      <c r="K276" s="93">
        <f t="shared" si="58"/>
        <v>0</v>
      </c>
      <c r="L276" s="93">
        <f t="shared" si="59"/>
        <v>0</v>
      </c>
      <c r="M276" s="94">
        <v>20</v>
      </c>
      <c r="N276" s="95" t="s">
        <v>289</v>
      </c>
      <c r="O276" s="93">
        <f t="shared" si="51"/>
        <v>0</v>
      </c>
      <c r="P276" s="93">
        <f t="shared" si="52"/>
        <v>0</v>
      </c>
      <c r="Q276" s="93">
        <f t="shared" si="53"/>
        <v>0</v>
      </c>
      <c r="R276" s="93">
        <f t="shared" si="54"/>
        <v>0</v>
      </c>
      <c r="S276" s="93">
        <f t="shared" si="55"/>
        <v>0</v>
      </c>
      <c r="T276" s="93">
        <f t="shared" si="60"/>
        <v>0</v>
      </c>
      <c r="U276" s="253">
        <f t="shared" si="56"/>
        <v>0</v>
      </c>
      <c r="V276" s="93">
        <f t="shared" si="57"/>
        <v>1200</v>
      </c>
    </row>
    <row r="277" spans="1:22" ht="18" customHeight="1" x14ac:dyDescent="0.2">
      <c r="A277" s="110" t="s">
        <v>490</v>
      </c>
      <c r="B277" s="111"/>
      <c r="C277" s="201" t="s">
        <v>491</v>
      </c>
      <c r="D277" s="91">
        <v>40205</v>
      </c>
      <c r="E277" s="92">
        <v>43646</v>
      </c>
      <c r="F277" s="93"/>
      <c r="G277" s="93"/>
      <c r="H277" s="93">
        <v>74.02</v>
      </c>
      <c r="I277" s="93">
        <v>0</v>
      </c>
      <c r="J277" s="93"/>
      <c r="K277" s="93">
        <f t="shared" si="58"/>
        <v>0</v>
      </c>
      <c r="L277" s="93">
        <f t="shared" si="59"/>
        <v>0</v>
      </c>
      <c r="M277" s="94">
        <v>13.33</v>
      </c>
      <c r="N277" s="95" t="s">
        <v>289</v>
      </c>
      <c r="O277" s="93">
        <f t="shared" si="51"/>
        <v>0</v>
      </c>
      <c r="P277" s="93">
        <f t="shared" si="52"/>
        <v>0</v>
      </c>
      <c r="Q277" s="93">
        <f t="shared" si="53"/>
        <v>0</v>
      </c>
      <c r="R277" s="93">
        <f t="shared" si="54"/>
        <v>0</v>
      </c>
      <c r="S277" s="93">
        <f t="shared" si="55"/>
        <v>0</v>
      </c>
      <c r="T277" s="93">
        <f t="shared" si="60"/>
        <v>0</v>
      </c>
      <c r="U277" s="253">
        <f t="shared" si="56"/>
        <v>0</v>
      </c>
      <c r="V277" s="93">
        <f t="shared" si="57"/>
        <v>74.02</v>
      </c>
    </row>
    <row r="278" spans="1:22" ht="18" customHeight="1" x14ac:dyDescent="0.2">
      <c r="A278" s="110" t="s">
        <v>492</v>
      </c>
      <c r="B278" s="111"/>
      <c r="C278" s="201" t="s">
        <v>493</v>
      </c>
      <c r="D278" s="91">
        <v>40221</v>
      </c>
      <c r="E278" s="92">
        <v>43646</v>
      </c>
      <c r="F278" s="93"/>
      <c r="G278" s="93"/>
      <c r="H278" s="93">
        <v>1146.8399999999999</v>
      </c>
      <c r="I278" s="93">
        <v>0</v>
      </c>
      <c r="J278" s="93"/>
      <c r="K278" s="93">
        <f t="shared" si="58"/>
        <v>0</v>
      </c>
      <c r="L278" s="93">
        <f t="shared" si="59"/>
        <v>0</v>
      </c>
      <c r="M278" s="94">
        <v>13.33</v>
      </c>
      <c r="N278" s="95" t="s">
        <v>289</v>
      </c>
      <c r="O278" s="93">
        <f t="shared" si="51"/>
        <v>0</v>
      </c>
      <c r="P278" s="93">
        <f t="shared" si="52"/>
        <v>0</v>
      </c>
      <c r="Q278" s="93">
        <f t="shared" si="53"/>
        <v>0</v>
      </c>
      <c r="R278" s="93">
        <f t="shared" si="54"/>
        <v>0</v>
      </c>
      <c r="S278" s="93">
        <f t="shared" si="55"/>
        <v>0</v>
      </c>
      <c r="T278" s="93">
        <f t="shared" si="60"/>
        <v>0</v>
      </c>
      <c r="U278" s="253">
        <f t="shared" si="56"/>
        <v>0</v>
      </c>
      <c r="V278" s="93">
        <f t="shared" si="57"/>
        <v>1146.8399999999999</v>
      </c>
    </row>
    <row r="279" spans="1:22" ht="18" customHeight="1" x14ac:dyDescent="0.2">
      <c r="A279" s="110" t="s">
        <v>494</v>
      </c>
      <c r="B279" s="111"/>
      <c r="C279" s="201" t="s">
        <v>495</v>
      </c>
      <c r="D279" s="91">
        <v>40188</v>
      </c>
      <c r="E279" s="92"/>
      <c r="F279" s="93"/>
      <c r="G279" s="93"/>
      <c r="H279" s="93">
        <v>360</v>
      </c>
      <c r="I279" s="93">
        <v>0</v>
      </c>
      <c r="J279" s="93"/>
      <c r="K279" s="93">
        <f t="shared" si="58"/>
        <v>0</v>
      </c>
      <c r="L279" s="93">
        <f t="shared" si="59"/>
        <v>0</v>
      </c>
      <c r="M279" s="94">
        <v>13.33</v>
      </c>
      <c r="N279" s="95" t="s">
        <v>289</v>
      </c>
      <c r="O279" s="93">
        <f t="shared" si="51"/>
        <v>0</v>
      </c>
      <c r="P279" s="93">
        <f t="shared" si="52"/>
        <v>0</v>
      </c>
      <c r="Q279" s="93">
        <f t="shared" si="53"/>
        <v>0</v>
      </c>
      <c r="R279" s="93">
        <f t="shared" si="54"/>
        <v>0</v>
      </c>
      <c r="S279" s="93">
        <f t="shared" si="55"/>
        <v>0</v>
      </c>
      <c r="T279" s="93">
        <f t="shared" si="60"/>
        <v>0</v>
      </c>
      <c r="U279" s="253">
        <f t="shared" si="56"/>
        <v>0</v>
      </c>
      <c r="V279" s="93">
        <f t="shared" si="57"/>
        <v>0</v>
      </c>
    </row>
    <row r="280" spans="1:22" ht="18" customHeight="1" x14ac:dyDescent="0.2">
      <c r="A280" s="110" t="s">
        <v>496</v>
      </c>
      <c r="B280" s="111"/>
      <c r="C280" s="201" t="s">
        <v>497</v>
      </c>
      <c r="D280" s="91">
        <v>40269</v>
      </c>
      <c r="E280" s="92"/>
      <c r="F280" s="93"/>
      <c r="G280" s="93"/>
      <c r="H280" s="93">
        <v>7900</v>
      </c>
      <c r="I280" s="93">
        <v>3177</v>
      </c>
      <c r="J280" s="93"/>
      <c r="K280" s="93">
        <f t="shared" si="58"/>
        <v>0</v>
      </c>
      <c r="L280" s="93">
        <f t="shared" si="59"/>
        <v>0</v>
      </c>
      <c r="M280" s="94">
        <v>10</v>
      </c>
      <c r="N280" s="95" t="s">
        <v>289</v>
      </c>
      <c r="O280" s="93">
        <f t="shared" si="51"/>
        <v>0</v>
      </c>
      <c r="P280" s="93">
        <f t="shared" si="52"/>
        <v>0</v>
      </c>
      <c r="Q280" s="93">
        <f t="shared" si="53"/>
        <v>0</v>
      </c>
      <c r="R280" s="93">
        <f t="shared" si="54"/>
        <v>185</v>
      </c>
      <c r="S280" s="93">
        <f t="shared" si="55"/>
        <v>0</v>
      </c>
      <c r="T280" s="93">
        <f t="shared" si="60"/>
        <v>185</v>
      </c>
      <c r="U280" s="253">
        <f t="shared" si="56"/>
        <v>2992</v>
      </c>
      <c r="V280" s="93">
        <f t="shared" si="57"/>
        <v>0</v>
      </c>
    </row>
    <row r="281" spans="1:22" ht="18" customHeight="1" x14ac:dyDescent="0.2">
      <c r="A281" s="110" t="s">
        <v>498</v>
      </c>
      <c r="B281" s="111"/>
      <c r="C281" s="201" t="s">
        <v>499</v>
      </c>
      <c r="D281" s="91">
        <v>40284</v>
      </c>
      <c r="E281" s="92"/>
      <c r="F281" s="93"/>
      <c r="G281" s="93"/>
      <c r="H281" s="93">
        <v>1683.64</v>
      </c>
      <c r="I281" s="93">
        <v>0</v>
      </c>
      <c r="J281" s="93"/>
      <c r="K281" s="93">
        <f t="shared" si="58"/>
        <v>0</v>
      </c>
      <c r="L281" s="93">
        <f t="shared" si="59"/>
        <v>0</v>
      </c>
      <c r="M281" s="94">
        <v>66.67</v>
      </c>
      <c r="N281" s="95" t="s">
        <v>289</v>
      </c>
      <c r="O281" s="93">
        <f t="shared" si="51"/>
        <v>0</v>
      </c>
      <c r="P281" s="93">
        <f t="shared" si="52"/>
        <v>0</v>
      </c>
      <c r="Q281" s="93">
        <f t="shared" si="53"/>
        <v>0</v>
      </c>
      <c r="R281" s="93">
        <f t="shared" si="54"/>
        <v>0</v>
      </c>
      <c r="S281" s="93">
        <f t="shared" si="55"/>
        <v>0</v>
      </c>
      <c r="T281" s="93">
        <f t="shared" si="60"/>
        <v>0</v>
      </c>
      <c r="U281" s="253">
        <f t="shared" si="56"/>
        <v>0</v>
      </c>
      <c r="V281" s="93">
        <f t="shared" si="57"/>
        <v>0</v>
      </c>
    </row>
    <row r="282" spans="1:22" ht="18" customHeight="1" x14ac:dyDescent="0.2">
      <c r="A282" s="110" t="s">
        <v>502</v>
      </c>
      <c r="B282" s="111"/>
      <c r="C282" s="201" t="s">
        <v>360</v>
      </c>
      <c r="D282" s="91">
        <v>38056</v>
      </c>
      <c r="E282" s="92"/>
      <c r="F282" s="93"/>
      <c r="G282" s="93"/>
      <c r="H282" s="93">
        <v>600</v>
      </c>
      <c r="I282" s="93">
        <v>0</v>
      </c>
      <c r="J282" s="93"/>
      <c r="K282" s="93">
        <f t="shared" si="58"/>
        <v>0</v>
      </c>
      <c r="L282" s="93">
        <f t="shared" si="59"/>
        <v>0</v>
      </c>
      <c r="M282" s="94">
        <v>5</v>
      </c>
      <c r="N282" s="95" t="s">
        <v>289</v>
      </c>
      <c r="O282" s="93">
        <f t="shared" si="51"/>
        <v>0</v>
      </c>
      <c r="P282" s="93">
        <f t="shared" si="52"/>
        <v>0</v>
      </c>
      <c r="Q282" s="93">
        <f t="shared" si="53"/>
        <v>0</v>
      </c>
      <c r="R282" s="93">
        <f t="shared" si="54"/>
        <v>0</v>
      </c>
      <c r="S282" s="93">
        <f t="shared" si="55"/>
        <v>0</v>
      </c>
      <c r="T282" s="93">
        <f t="shared" si="60"/>
        <v>0</v>
      </c>
      <c r="U282" s="253">
        <f t="shared" si="56"/>
        <v>0</v>
      </c>
      <c r="V282" s="93">
        <f t="shared" si="57"/>
        <v>0</v>
      </c>
    </row>
    <row r="283" spans="1:22" ht="18" customHeight="1" x14ac:dyDescent="0.2">
      <c r="A283" s="110" t="s">
        <v>503</v>
      </c>
      <c r="B283" s="111"/>
      <c r="C283" s="201" t="s">
        <v>504</v>
      </c>
      <c r="D283" s="91">
        <v>40359</v>
      </c>
      <c r="E283" s="92"/>
      <c r="F283" s="93"/>
      <c r="G283" s="93"/>
      <c r="H283" s="93">
        <v>669.4</v>
      </c>
      <c r="I283" s="93">
        <v>0</v>
      </c>
      <c r="J283" s="93"/>
      <c r="K283" s="93">
        <f t="shared" si="58"/>
        <v>0</v>
      </c>
      <c r="L283" s="93">
        <f t="shared" si="59"/>
        <v>0</v>
      </c>
      <c r="M283" s="94">
        <v>10</v>
      </c>
      <c r="N283" s="95" t="s">
        <v>289</v>
      </c>
      <c r="O283" s="93">
        <f t="shared" si="51"/>
        <v>0</v>
      </c>
      <c r="P283" s="93">
        <f t="shared" si="52"/>
        <v>0</v>
      </c>
      <c r="Q283" s="93">
        <f t="shared" si="53"/>
        <v>0</v>
      </c>
      <c r="R283" s="93">
        <f t="shared" si="54"/>
        <v>0</v>
      </c>
      <c r="S283" s="93">
        <f t="shared" si="55"/>
        <v>0</v>
      </c>
      <c r="T283" s="93">
        <f t="shared" si="60"/>
        <v>0</v>
      </c>
      <c r="U283" s="253">
        <f t="shared" si="56"/>
        <v>0</v>
      </c>
      <c r="V283" s="93">
        <f t="shared" si="57"/>
        <v>0</v>
      </c>
    </row>
    <row r="284" spans="1:22" ht="18" customHeight="1" x14ac:dyDescent="0.2">
      <c r="A284" s="110" t="s">
        <v>505</v>
      </c>
      <c r="B284" s="111"/>
      <c r="C284" s="203" t="s">
        <v>506</v>
      </c>
      <c r="D284" s="91">
        <v>38065</v>
      </c>
      <c r="E284" s="92">
        <v>43646</v>
      </c>
      <c r="F284" s="93"/>
      <c r="G284" s="209"/>
      <c r="H284" s="93">
        <v>587.27</v>
      </c>
      <c r="I284" s="93">
        <v>0</v>
      </c>
      <c r="J284" s="93"/>
      <c r="K284" s="93">
        <f t="shared" si="58"/>
        <v>0</v>
      </c>
      <c r="L284" s="93">
        <f t="shared" si="59"/>
        <v>0</v>
      </c>
      <c r="M284" s="94">
        <v>33.33</v>
      </c>
      <c r="N284" s="95" t="s">
        <v>289</v>
      </c>
      <c r="O284" s="93">
        <f t="shared" si="51"/>
        <v>0</v>
      </c>
      <c r="P284" s="93">
        <f t="shared" si="52"/>
        <v>0</v>
      </c>
      <c r="Q284" s="93">
        <f t="shared" si="53"/>
        <v>0</v>
      </c>
      <c r="R284" s="93">
        <f t="shared" si="54"/>
        <v>0</v>
      </c>
      <c r="S284" s="93">
        <f t="shared" si="55"/>
        <v>0</v>
      </c>
      <c r="T284" s="93">
        <f t="shared" si="60"/>
        <v>0</v>
      </c>
      <c r="U284" s="253">
        <f t="shared" si="56"/>
        <v>0</v>
      </c>
      <c r="V284" s="93">
        <f t="shared" si="57"/>
        <v>587.27</v>
      </c>
    </row>
    <row r="285" spans="1:22" ht="18" customHeight="1" x14ac:dyDescent="0.2">
      <c r="A285" s="110" t="s">
        <v>507</v>
      </c>
      <c r="B285" s="111"/>
      <c r="C285" s="201" t="s">
        <v>508</v>
      </c>
      <c r="D285" s="91">
        <v>40020</v>
      </c>
      <c r="E285" s="92">
        <v>43646</v>
      </c>
      <c r="F285" s="93"/>
      <c r="G285" s="93"/>
      <c r="H285" s="93">
        <v>290.91000000000003</v>
      </c>
      <c r="I285" s="93">
        <v>0</v>
      </c>
      <c r="J285" s="93"/>
      <c r="K285" s="93">
        <f t="shared" si="58"/>
        <v>0</v>
      </c>
      <c r="L285" s="93">
        <f t="shared" si="59"/>
        <v>0</v>
      </c>
      <c r="M285" s="94">
        <v>20</v>
      </c>
      <c r="N285" s="95" t="s">
        <v>289</v>
      </c>
      <c r="O285" s="93">
        <f t="shared" si="51"/>
        <v>0</v>
      </c>
      <c r="P285" s="93">
        <f t="shared" si="52"/>
        <v>0</v>
      </c>
      <c r="Q285" s="93">
        <f t="shared" si="53"/>
        <v>0</v>
      </c>
      <c r="R285" s="93">
        <f t="shared" si="54"/>
        <v>0</v>
      </c>
      <c r="S285" s="93">
        <f t="shared" si="55"/>
        <v>0</v>
      </c>
      <c r="T285" s="93">
        <f t="shared" si="60"/>
        <v>0</v>
      </c>
      <c r="U285" s="253">
        <f t="shared" si="56"/>
        <v>0</v>
      </c>
      <c r="V285" s="93">
        <f t="shared" si="57"/>
        <v>290.91000000000003</v>
      </c>
    </row>
    <row r="286" spans="1:22" ht="18" customHeight="1" x14ac:dyDescent="0.2">
      <c r="A286" s="110" t="s">
        <v>509</v>
      </c>
      <c r="B286" s="111"/>
      <c r="C286" s="201" t="s">
        <v>510</v>
      </c>
      <c r="D286" s="91">
        <v>40021</v>
      </c>
      <c r="E286" s="92">
        <v>43646</v>
      </c>
      <c r="F286" s="93"/>
      <c r="G286" s="93"/>
      <c r="H286" s="93">
        <v>909.09</v>
      </c>
      <c r="I286" s="93">
        <v>0</v>
      </c>
      <c r="J286" s="93"/>
      <c r="K286" s="93">
        <f t="shared" si="58"/>
        <v>0</v>
      </c>
      <c r="L286" s="93">
        <f t="shared" si="59"/>
        <v>0</v>
      </c>
      <c r="M286" s="94">
        <v>20</v>
      </c>
      <c r="N286" s="95" t="s">
        <v>289</v>
      </c>
      <c r="O286" s="93">
        <f t="shared" si="51"/>
        <v>0</v>
      </c>
      <c r="P286" s="93">
        <f t="shared" si="52"/>
        <v>0</v>
      </c>
      <c r="Q286" s="93">
        <f t="shared" si="53"/>
        <v>0</v>
      </c>
      <c r="R286" s="93">
        <f t="shared" si="54"/>
        <v>0</v>
      </c>
      <c r="S286" s="93">
        <f t="shared" si="55"/>
        <v>0</v>
      </c>
      <c r="T286" s="93">
        <f t="shared" si="60"/>
        <v>0</v>
      </c>
      <c r="U286" s="253">
        <f t="shared" si="56"/>
        <v>0</v>
      </c>
      <c r="V286" s="93">
        <f t="shared" si="57"/>
        <v>909.09</v>
      </c>
    </row>
    <row r="287" spans="1:22" ht="18" customHeight="1" x14ac:dyDescent="0.2">
      <c r="A287" s="110" t="s">
        <v>511</v>
      </c>
      <c r="B287" s="111"/>
      <c r="C287" s="201" t="s">
        <v>512</v>
      </c>
      <c r="D287" s="91">
        <v>40079</v>
      </c>
      <c r="E287" s="92"/>
      <c r="F287" s="93"/>
      <c r="G287" s="93"/>
      <c r="H287" s="93">
        <v>679.22</v>
      </c>
      <c r="I287" s="93">
        <v>0</v>
      </c>
      <c r="J287" s="93"/>
      <c r="K287" s="93">
        <f t="shared" si="58"/>
        <v>0</v>
      </c>
      <c r="L287" s="93">
        <f t="shared" si="59"/>
        <v>0</v>
      </c>
      <c r="M287" s="94">
        <v>28.5</v>
      </c>
      <c r="N287" s="95" t="s">
        <v>289</v>
      </c>
      <c r="O287" s="93">
        <f t="shared" si="51"/>
        <v>0</v>
      </c>
      <c r="P287" s="93">
        <f t="shared" si="52"/>
        <v>0</v>
      </c>
      <c r="Q287" s="93">
        <f t="shared" si="53"/>
        <v>0</v>
      </c>
      <c r="R287" s="93">
        <f t="shared" si="54"/>
        <v>0</v>
      </c>
      <c r="S287" s="93">
        <f t="shared" si="55"/>
        <v>0</v>
      </c>
      <c r="T287" s="93">
        <f t="shared" si="60"/>
        <v>0</v>
      </c>
      <c r="U287" s="253">
        <f t="shared" si="56"/>
        <v>0</v>
      </c>
      <c r="V287" s="93">
        <f t="shared" si="57"/>
        <v>0</v>
      </c>
    </row>
    <row r="288" spans="1:22" ht="18" customHeight="1" x14ac:dyDescent="0.2">
      <c r="A288" s="110" t="s">
        <v>513</v>
      </c>
      <c r="B288" s="111"/>
      <c r="C288" s="201" t="s">
        <v>514</v>
      </c>
      <c r="D288" s="91">
        <v>40086</v>
      </c>
      <c r="E288" s="92"/>
      <c r="F288" s="93"/>
      <c r="G288" s="93"/>
      <c r="H288" s="93">
        <v>844.27</v>
      </c>
      <c r="I288" s="93">
        <v>0</v>
      </c>
      <c r="J288" s="93"/>
      <c r="K288" s="93">
        <f t="shared" si="58"/>
        <v>0</v>
      </c>
      <c r="L288" s="93">
        <f t="shared" si="59"/>
        <v>0</v>
      </c>
      <c r="M288" s="94">
        <v>28.5</v>
      </c>
      <c r="N288" s="95" t="s">
        <v>289</v>
      </c>
      <c r="O288" s="93">
        <f t="shared" si="51"/>
        <v>0</v>
      </c>
      <c r="P288" s="93">
        <f t="shared" si="52"/>
        <v>0</v>
      </c>
      <c r="Q288" s="93">
        <f t="shared" si="53"/>
        <v>0</v>
      </c>
      <c r="R288" s="93">
        <f t="shared" si="54"/>
        <v>0</v>
      </c>
      <c r="S288" s="93">
        <f t="shared" si="55"/>
        <v>0</v>
      </c>
      <c r="T288" s="93">
        <f t="shared" si="60"/>
        <v>0</v>
      </c>
      <c r="U288" s="253">
        <f t="shared" si="56"/>
        <v>0</v>
      </c>
      <c r="V288" s="93">
        <f t="shared" si="57"/>
        <v>0</v>
      </c>
    </row>
    <row r="289" spans="1:22" ht="18" customHeight="1" x14ac:dyDescent="0.2">
      <c r="A289" s="110" t="s">
        <v>515</v>
      </c>
      <c r="B289" s="111"/>
      <c r="C289" s="201" t="s">
        <v>516</v>
      </c>
      <c r="D289" s="91">
        <v>40098</v>
      </c>
      <c r="E289" s="92"/>
      <c r="F289" s="93"/>
      <c r="G289" s="93"/>
      <c r="H289" s="93">
        <v>189.41</v>
      </c>
      <c r="I289" s="93">
        <v>0</v>
      </c>
      <c r="J289" s="93"/>
      <c r="K289" s="93">
        <f t="shared" si="58"/>
        <v>0</v>
      </c>
      <c r="L289" s="93">
        <f t="shared" si="59"/>
        <v>0</v>
      </c>
      <c r="M289" s="94">
        <v>20</v>
      </c>
      <c r="N289" s="95" t="s">
        <v>289</v>
      </c>
      <c r="O289" s="93">
        <f t="shared" si="51"/>
        <v>0</v>
      </c>
      <c r="P289" s="93">
        <f t="shared" si="52"/>
        <v>0</v>
      </c>
      <c r="Q289" s="93">
        <f t="shared" si="53"/>
        <v>0</v>
      </c>
      <c r="R289" s="93">
        <f t="shared" si="54"/>
        <v>0</v>
      </c>
      <c r="S289" s="93">
        <f t="shared" si="55"/>
        <v>0</v>
      </c>
      <c r="T289" s="93">
        <f t="shared" si="60"/>
        <v>0</v>
      </c>
      <c r="U289" s="253">
        <f t="shared" si="56"/>
        <v>0</v>
      </c>
      <c r="V289" s="93">
        <f t="shared" si="57"/>
        <v>0</v>
      </c>
    </row>
    <row r="290" spans="1:22" ht="18" customHeight="1" x14ac:dyDescent="0.2">
      <c r="A290" s="110" t="s">
        <v>517</v>
      </c>
      <c r="B290" s="111"/>
      <c r="C290" s="201" t="s">
        <v>518</v>
      </c>
      <c r="D290" s="91">
        <v>40164</v>
      </c>
      <c r="E290" s="92">
        <v>43646</v>
      </c>
      <c r="F290" s="93"/>
      <c r="G290" s="93"/>
      <c r="H290" s="93">
        <v>342.8</v>
      </c>
      <c r="I290" s="93">
        <v>0</v>
      </c>
      <c r="J290" s="93"/>
      <c r="K290" s="93">
        <f t="shared" si="58"/>
        <v>0</v>
      </c>
      <c r="L290" s="93">
        <f t="shared" si="59"/>
        <v>0</v>
      </c>
      <c r="M290" s="94">
        <v>20</v>
      </c>
      <c r="N290" s="95" t="s">
        <v>289</v>
      </c>
      <c r="O290" s="93">
        <f t="shared" si="51"/>
        <v>0</v>
      </c>
      <c r="P290" s="93">
        <f t="shared" si="52"/>
        <v>0</v>
      </c>
      <c r="Q290" s="93">
        <f t="shared" si="53"/>
        <v>0</v>
      </c>
      <c r="R290" s="93">
        <f t="shared" si="54"/>
        <v>0</v>
      </c>
      <c r="S290" s="93">
        <f t="shared" si="55"/>
        <v>0</v>
      </c>
      <c r="T290" s="93">
        <f t="shared" si="60"/>
        <v>0</v>
      </c>
      <c r="U290" s="253">
        <f t="shared" si="56"/>
        <v>0</v>
      </c>
      <c r="V290" s="93">
        <f t="shared" si="57"/>
        <v>342.8</v>
      </c>
    </row>
    <row r="291" spans="1:22" ht="18" customHeight="1" x14ac:dyDescent="0.2">
      <c r="A291" s="110" t="s">
        <v>519</v>
      </c>
      <c r="B291" s="111"/>
      <c r="C291" s="201" t="s">
        <v>520</v>
      </c>
      <c r="D291" s="91">
        <v>40179</v>
      </c>
      <c r="E291" s="92">
        <v>43646</v>
      </c>
      <c r="F291" s="93"/>
      <c r="G291" s="93"/>
      <c r="H291" s="93">
        <v>828.80000000000007</v>
      </c>
      <c r="I291" s="93">
        <v>0</v>
      </c>
      <c r="J291" s="93"/>
      <c r="K291" s="93">
        <f t="shared" si="58"/>
        <v>0</v>
      </c>
      <c r="L291" s="93">
        <f t="shared" si="59"/>
        <v>0</v>
      </c>
      <c r="M291" s="94">
        <v>10</v>
      </c>
      <c r="N291" s="95" t="s">
        <v>289</v>
      </c>
      <c r="O291" s="93">
        <f t="shared" si="51"/>
        <v>0</v>
      </c>
      <c r="P291" s="93">
        <f t="shared" si="52"/>
        <v>0</v>
      </c>
      <c r="Q291" s="93">
        <f t="shared" si="53"/>
        <v>0</v>
      </c>
      <c r="R291" s="93">
        <f t="shared" si="54"/>
        <v>0</v>
      </c>
      <c r="S291" s="93">
        <f t="shared" si="55"/>
        <v>0</v>
      </c>
      <c r="T291" s="93">
        <f t="shared" si="60"/>
        <v>0</v>
      </c>
      <c r="U291" s="253">
        <f t="shared" si="56"/>
        <v>0</v>
      </c>
      <c r="V291" s="93">
        <f t="shared" si="57"/>
        <v>828.80000000000007</v>
      </c>
    </row>
    <row r="292" spans="1:22" ht="18" customHeight="1" x14ac:dyDescent="0.2">
      <c r="A292" s="110" t="s">
        <v>521</v>
      </c>
      <c r="B292" s="111"/>
      <c r="C292" s="201" t="s">
        <v>522</v>
      </c>
      <c r="D292" s="91">
        <v>40179</v>
      </c>
      <c r="E292" s="92"/>
      <c r="F292" s="93"/>
      <c r="G292" s="93"/>
      <c r="H292" s="93">
        <v>485</v>
      </c>
      <c r="I292" s="93">
        <v>0</v>
      </c>
      <c r="J292" s="93"/>
      <c r="K292" s="93">
        <f t="shared" si="58"/>
        <v>0</v>
      </c>
      <c r="L292" s="93">
        <f t="shared" si="59"/>
        <v>0</v>
      </c>
      <c r="M292" s="94">
        <v>20</v>
      </c>
      <c r="N292" s="95" t="s">
        <v>289</v>
      </c>
      <c r="O292" s="93">
        <f t="shared" si="51"/>
        <v>0</v>
      </c>
      <c r="P292" s="93">
        <f t="shared" si="52"/>
        <v>0</v>
      </c>
      <c r="Q292" s="93">
        <f t="shared" si="53"/>
        <v>0</v>
      </c>
      <c r="R292" s="93">
        <f t="shared" si="54"/>
        <v>0</v>
      </c>
      <c r="S292" s="93">
        <f t="shared" si="55"/>
        <v>0</v>
      </c>
      <c r="T292" s="93">
        <f t="shared" si="60"/>
        <v>0</v>
      </c>
      <c r="U292" s="253">
        <f t="shared" si="56"/>
        <v>0</v>
      </c>
      <c r="V292" s="93">
        <f t="shared" si="57"/>
        <v>0</v>
      </c>
    </row>
    <row r="293" spans="1:22" ht="18" customHeight="1" x14ac:dyDescent="0.2">
      <c r="A293" s="110" t="s">
        <v>523</v>
      </c>
      <c r="B293" s="111"/>
      <c r="C293" s="201" t="s">
        <v>524</v>
      </c>
      <c r="D293" s="91">
        <v>38085</v>
      </c>
      <c r="E293" s="92"/>
      <c r="F293" s="93"/>
      <c r="G293" s="93"/>
      <c r="H293" s="93">
        <v>400</v>
      </c>
      <c r="I293" s="93">
        <v>0</v>
      </c>
      <c r="J293" s="93"/>
      <c r="K293" s="93">
        <f t="shared" si="58"/>
        <v>0</v>
      </c>
      <c r="L293" s="93">
        <f t="shared" si="59"/>
        <v>0</v>
      </c>
      <c r="M293" s="94">
        <v>5</v>
      </c>
      <c r="N293" s="95" t="s">
        <v>289</v>
      </c>
      <c r="O293" s="93">
        <f t="shared" si="51"/>
        <v>0</v>
      </c>
      <c r="P293" s="93">
        <f t="shared" si="52"/>
        <v>0</v>
      </c>
      <c r="Q293" s="93">
        <f t="shared" si="53"/>
        <v>0</v>
      </c>
      <c r="R293" s="93">
        <f t="shared" si="54"/>
        <v>0</v>
      </c>
      <c r="S293" s="93">
        <f t="shared" si="55"/>
        <v>0</v>
      </c>
      <c r="T293" s="93">
        <f t="shared" si="60"/>
        <v>0</v>
      </c>
      <c r="U293" s="253">
        <f t="shared" si="56"/>
        <v>0</v>
      </c>
      <c r="V293" s="93">
        <f t="shared" si="57"/>
        <v>0</v>
      </c>
    </row>
    <row r="294" spans="1:22" ht="18" customHeight="1" x14ac:dyDescent="0.2">
      <c r="A294" s="110" t="s">
        <v>525</v>
      </c>
      <c r="B294" s="111"/>
      <c r="C294" s="201" t="s">
        <v>526</v>
      </c>
      <c r="D294" s="91">
        <v>40205</v>
      </c>
      <c r="E294" s="92"/>
      <c r="F294" s="93"/>
      <c r="G294" s="93"/>
      <c r="H294" s="93">
        <v>455</v>
      </c>
      <c r="I294" s="93">
        <v>0</v>
      </c>
      <c r="J294" s="93"/>
      <c r="K294" s="93">
        <f t="shared" si="58"/>
        <v>0</v>
      </c>
      <c r="L294" s="93">
        <f t="shared" si="59"/>
        <v>0</v>
      </c>
      <c r="M294" s="94">
        <v>20</v>
      </c>
      <c r="N294" s="95" t="s">
        <v>289</v>
      </c>
      <c r="O294" s="93">
        <f t="shared" ref="O294:O356" si="61">IF(E294&gt;0,INT(IF($N294="D",IF($D294&lt;$H$3,$I294*($M294/100)*((E294-$H$3)/365),$J294*($M294/100)*($J$3-$D294)/365),0)),0)</f>
        <v>0</v>
      </c>
      <c r="P294" s="93">
        <f t="shared" ref="P294:P356" si="62">IF(E294&gt;0,INT(IF($N294="P",IF($D294&lt;$H$3,$H294*($M294/100)*(E294-$H$3)/365,$J294*($M294/100)*($J$3-$D294)/365),0)),0)</f>
        <v>0</v>
      </c>
      <c r="Q294" s="93">
        <f t="shared" ref="Q294:Q356" si="63">+O294+P294</f>
        <v>0</v>
      </c>
      <c r="R294" s="93">
        <f t="shared" ref="R294:R356" si="64">INT(IF($E294&gt;0,0,(IF($N294="D",IF($D294&lt;$H$3,$I294*($M294/100)*$U$3/12,$J294*($M294/100)*($J$3-$D294)/365),0))))</f>
        <v>0</v>
      </c>
      <c r="S294" s="93">
        <f t="shared" ref="S294:S356" si="65">INT(IF($E294&gt;0,0,(IF($N294="P",IF($D294&lt;$H$3,$H294*($M294/100)*$U$3/12,$J294*($M294/100)*($J$3-$D294)/365),0))))</f>
        <v>0</v>
      </c>
      <c r="T294" s="93">
        <f t="shared" si="60"/>
        <v>0</v>
      </c>
      <c r="U294" s="253">
        <f t="shared" si="56"/>
        <v>0</v>
      </c>
      <c r="V294" s="93">
        <f t="shared" si="57"/>
        <v>0</v>
      </c>
    </row>
    <row r="295" spans="1:22" ht="18" customHeight="1" x14ac:dyDescent="0.2">
      <c r="A295" s="110" t="s">
        <v>527</v>
      </c>
      <c r="B295" s="111"/>
      <c r="C295" s="201" t="s">
        <v>528</v>
      </c>
      <c r="D295" s="91">
        <v>40214</v>
      </c>
      <c r="E295" s="92"/>
      <c r="F295" s="93"/>
      <c r="G295" s="93"/>
      <c r="H295" s="93">
        <v>581.82000000000005</v>
      </c>
      <c r="I295" s="93">
        <v>0</v>
      </c>
      <c r="J295" s="93"/>
      <c r="K295" s="93">
        <f t="shared" si="58"/>
        <v>0</v>
      </c>
      <c r="L295" s="93">
        <f t="shared" si="59"/>
        <v>0</v>
      </c>
      <c r="M295" s="94">
        <v>50</v>
      </c>
      <c r="N295" s="95" t="s">
        <v>289</v>
      </c>
      <c r="O295" s="93">
        <f t="shared" si="61"/>
        <v>0</v>
      </c>
      <c r="P295" s="93">
        <f t="shared" si="62"/>
        <v>0</v>
      </c>
      <c r="Q295" s="93">
        <f t="shared" si="63"/>
        <v>0</v>
      </c>
      <c r="R295" s="93">
        <f t="shared" si="64"/>
        <v>0</v>
      </c>
      <c r="S295" s="93">
        <f t="shared" si="65"/>
        <v>0</v>
      </c>
      <c r="T295" s="93">
        <f t="shared" si="60"/>
        <v>0</v>
      </c>
      <c r="U295" s="253">
        <f t="shared" ref="U295:U358" si="66">+I295+J295-T295-F295+K295-L295</f>
        <v>0</v>
      </c>
      <c r="V295" s="93">
        <f t="shared" ref="V295:V358" si="67">IF(E295&gt;0,+H295+J295,0)</f>
        <v>0</v>
      </c>
    </row>
    <row r="296" spans="1:22" ht="18" customHeight="1" x14ac:dyDescent="0.2">
      <c r="A296" s="110" t="s">
        <v>529</v>
      </c>
      <c r="B296" s="111"/>
      <c r="C296" s="201" t="s">
        <v>530</v>
      </c>
      <c r="D296" s="91">
        <v>40226</v>
      </c>
      <c r="E296" s="92"/>
      <c r="F296" s="93"/>
      <c r="G296" s="93"/>
      <c r="H296" s="93">
        <v>141.88</v>
      </c>
      <c r="I296" s="93">
        <v>0</v>
      </c>
      <c r="J296" s="93"/>
      <c r="K296" s="93">
        <f t="shared" si="58"/>
        <v>0</v>
      </c>
      <c r="L296" s="93">
        <f t="shared" si="59"/>
        <v>0</v>
      </c>
      <c r="M296" s="94">
        <v>28.5</v>
      </c>
      <c r="N296" s="95" t="s">
        <v>289</v>
      </c>
      <c r="O296" s="93">
        <f t="shared" si="61"/>
        <v>0</v>
      </c>
      <c r="P296" s="93">
        <f t="shared" si="62"/>
        <v>0</v>
      </c>
      <c r="Q296" s="93">
        <f t="shared" si="63"/>
        <v>0</v>
      </c>
      <c r="R296" s="93">
        <f t="shared" si="64"/>
        <v>0</v>
      </c>
      <c r="S296" s="93">
        <f t="shared" si="65"/>
        <v>0</v>
      </c>
      <c r="T296" s="93">
        <f t="shared" si="60"/>
        <v>0</v>
      </c>
      <c r="U296" s="253">
        <f t="shared" si="66"/>
        <v>0</v>
      </c>
      <c r="V296" s="93">
        <f t="shared" si="67"/>
        <v>0</v>
      </c>
    </row>
    <row r="297" spans="1:22" ht="18" customHeight="1" x14ac:dyDescent="0.2">
      <c r="A297" s="110" t="s">
        <v>531</v>
      </c>
      <c r="B297" s="111"/>
      <c r="C297" s="201" t="s">
        <v>530</v>
      </c>
      <c r="D297" s="91">
        <v>40234</v>
      </c>
      <c r="E297" s="92"/>
      <c r="F297" s="93"/>
      <c r="G297" s="93"/>
      <c r="H297" s="93">
        <v>240.54</v>
      </c>
      <c r="I297" s="93">
        <v>0</v>
      </c>
      <c r="J297" s="93"/>
      <c r="K297" s="93">
        <f t="shared" si="58"/>
        <v>0</v>
      </c>
      <c r="L297" s="93">
        <f t="shared" si="59"/>
        <v>0</v>
      </c>
      <c r="M297" s="94">
        <v>28.5</v>
      </c>
      <c r="N297" s="95" t="s">
        <v>289</v>
      </c>
      <c r="O297" s="93">
        <f t="shared" si="61"/>
        <v>0</v>
      </c>
      <c r="P297" s="93">
        <f t="shared" si="62"/>
        <v>0</v>
      </c>
      <c r="Q297" s="93">
        <f t="shared" si="63"/>
        <v>0</v>
      </c>
      <c r="R297" s="93">
        <f t="shared" si="64"/>
        <v>0</v>
      </c>
      <c r="S297" s="93">
        <f t="shared" si="65"/>
        <v>0</v>
      </c>
      <c r="T297" s="93">
        <f t="shared" si="60"/>
        <v>0</v>
      </c>
      <c r="U297" s="253">
        <f t="shared" si="66"/>
        <v>0</v>
      </c>
      <c r="V297" s="93">
        <f t="shared" si="67"/>
        <v>0</v>
      </c>
    </row>
    <row r="298" spans="1:22" ht="18" customHeight="1" x14ac:dyDescent="0.2">
      <c r="A298" s="110" t="s">
        <v>532</v>
      </c>
      <c r="B298" s="111"/>
      <c r="C298" s="201" t="s">
        <v>514</v>
      </c>
      <c r="D298" s="91">
        <v>40235</v>
      </c>
      <c r="E298" s="92"/>
      <c r="F298" s="93"/>
      <c r="G298" s="93"/>
      <c r="H298" s="93">
        <v>721.32</v>
      </c>
      <c r="I298" s="93">
        <v>0</v>
      </c>
      <c r="J298" s="93"/>
      <c r="K298" s="93">
        <f t="shared" si="58"/>
        <v>0</v>
      </c>
      <c r="L298" s="93">
        <f t="shared" si="59"/>
        <v>0</v>
      </c>
      <c r="M298" s="94">
        <v>28.5</v>
      </c>
      <c r="N298" s="95" t="s">
        <v>289</v>
      </c>
      <c r="O298" s="93">
        <f t="shared" si="61"/>
        <v>0</v>
      </c>
      <c r="P298" s="93">
        <f t="shared" si="62"/>
        <v>0</v>
      </c>
      <c r="Q298" s="93">
        <f t="shared" si="63"/>
        <v>0</v>
      </c>
      <c r="R298" s="93">
        <f t="shared" si="64"/>
        <v>0</v>
      </c>
      <c r="S298" s="93">
        <f t="shared" si="65"/>
        <v>0</v>
      </c>
      <c r="T298" s="93">
        <f t="shared" si="60"/>
        <v>0</v>
      </c>
      <c r="U298" s="253">
        <f t="shared" si="66"/>
        <v>0</v>
      </c>
      <c r="V298" s="93">
        <f t="shared" si="67"/>
        <v>0</v>
      </c>
    </row>
    <row r="299" spans="1:22" ht="18" customHeight="1" x14ac:dyDescent="0.2">
      <c r="A299" s="110" t="s">
        <v>533</v>
      </c>
      <c r="B299" s="111"/>
      <c r="C299" s="201" t="s">
        <v>514</v>
      </c>
      <c r="D299" s="91">
        <v>40241</v>
      </c>
      <c r="E299" s="92"/>
      <c r="F299" s="93"/>
      <c r="G299" s="93"/>
      <c r="H299" s="93">
        <v>262.04000000000002</v>
      </c>
      <c r="I299" s="93">
        <v>0</v>
      </c>
      <c r="J299" s="93"/>
      <c r="K299" s="93">
        <f t="shared" si="58"/>
        <v>0</v>
      </c>
      <c r="L299" s="93">
        <f t="shared" si="59"/>
        <v>0</v>
      </c>
      <c r="M299" s="94">
        <v>28.5</v>
      </c>
      <c r="N299" s="95" t="s">
        <v>289</v>
      </c>
      <c r="O299" s="93">
        <f t="shared" si="61"/>
        <v>0</v>
      </c>
      <c r="P299" s="93">
        <f t="shared" si="62"/>
        <v>0</v>
      </c>
      <c r="Q299" s="93">
        <f t="shared" si="63"/>
        <v>0</v>
      </c>
      <c r="R299" s="93">
        <f t="shared" si="64"/>
        <v>0</v>
      </c>
      <c r="S299" s="93">
        <f t="shared" si="65"/>
        <v>0</v>
      </c>
      <c r="T299" s="93">
        <f t="shared" si="60"/>
        <v>0</v>
      </c>
      <c r="U299" s="253">
        <f t="shared" si="66"/>
        <v>0</v>
      </c>
      <c r="V299" s="93">
        <f t="shared" si="67"/>
        <v>0</v>
      </c>
    </row>
    <row r="300" spans="1:22" ht="18" customHeight="1" x14ac:dyDescent="0.2">
      <c r="A300" s="110" t="s">
        <v>534</v>
      </c>
      <c r="B300" s="111"/>
      <c r="C300" s="201" t="s">
        <v>535</v>
      </c>
      <c r="D300" s="91">
        <v>40259</v>
      </c>
      <c r="E300" s="92"/>
      <c r="F300" s="93"/>
      <c r="G300" s="93"/>
      <c r="H300" s="93">
        <v>1796.3600000000001</v>
      </c>
      <c r="I300" s="93">
        <v>0</v>
      </c>
      <c r="J300" s="93"/>
      <c r="K300" s="93">
        <f t="shared" si="58"/>
        <v>0</v>
      </c>
      <c r="L300" s="93">
        <f t="shared" si="59"/>
        <v>0</v>
      </c>
      <c r="M300" s="94">
        <v>50</v>
      </c>
      <c r="N300" s="95" t="s">
        <v>289</v>
      </c>
      <c r="O300" s="93">
        <f t="shared" si="61"/>
        <v>0</v>
      </c>
      <c r="P300" s="93">
        <f t="shared" si="62"/>
        <v>0</v>
      </c>
      <c r="Q300" s="93">
        <f t="shared" si="63"/>
        <v>0</v>
      </c>
      <c r="R300" s="93">
        <f t="shared" si="64"/>
        <v>0</v>
      </c>
      <c r="S300" s="93">
        <f t="shared" si="65"/>
        <v>0</v>
      </c>
      <c r="T300" s="93">
        <f t="shared" si="60"/>
        <v>0</v>
      </c>
      <c r="U300" s="253">
        <f t="shared" si="66"/>
        <v>0</v>
      </c>
      <c r="V300" s="93">
        <f t="shared" si="67"/>
        <v>0</v>
      </c>
    </row>
    <row r="301" spans="1:22" ht="18" customHeight="1" x14ac:dyDescent="0.2">
      <c r="A301" s="110" t="s">
        <v>536</v>
      </c>
      <c r="B301" s="111"/>
      <c r="C301" s="201" t="s">
        <v>537</v>
      </c>
      <c r="D301" s="91">
        <v>40282</v>
      </c>
      <c r="E301" s="92"/>
      <c r="F301" s="93"/>
      <c r="G301" s="93"/>
      <c r="H301" s="93">
        <v>325</v>
      </c>
      <c r="I301" s="93">
        <v>0</v>
      </c>
      <c r="J301" s="93"/>
      <c r="K301" s="93">
        <f t="shared" si="58"/>
        <v>0</v>
      </c>
      <c r="L301" s="93">
        <f t="shared" si="59"/>
        <v>0</v>
      </c>
      <c r="M301" s="94">
        <v>20</v>
      </c>
      <c r="N301" s="95" t="s">
        <v>289</v>
      </c>
      <c r="O301" s="93">
        <f t="shared" si="61"/>
        <v>0</v>
      </c>
      <c r="P301" s="93">
        <f t="shared" si="62"/>
        <v>0</v>
      </c>
      <c r="Q301" s="93">
        <f t="shared" si="63"/>
        <v>0</v>
      </c>
      <c r="R301" s="93">
        <f t="shared" si="64"/>
        <v>0</v>
      </c>
      <c r="S301" s="93">
        <f t="shared" si="65"/>
        <v>0</v>
      </c>
      <c r="T301" s="93">
        <f t="shared" si="60"/>
        <v>0</v>
      </c>
      <c r="U301" s="253">
        <f t="shared" si="66"/>
        <v>0</v>
      </c>
      <c r="V301" s="93">
        <f t="shared" si="67"/>
        <v>0</v>
      </c>
    </row>
    <row r="302" spans="1:22" ht="18" customHeight="1" x14ac:dyDescent="0.2">
      <c r="A302" s="110" t="s">
        <v>538</v>
      </c>
      <c r="B302" s="111"/>
      <c r="C302" s="201" t="s">
        <v>539</v>
      </c>
      <c r="D302" s="91">
        <v>40303</v>
      </c>
      <c r="E302" s="92"/>
      <c r="F302" s="93"/>
      <c r="G302" s="93"/>
      <c r="H302" s="93">
        <v>1590.91</v>
      </c>
      <c r="I302" s="93">
        <v>0</v>
      </c>
      <c r="J302" s="93"/>
      <c r="K302" s="93">
        <f t="shared" si="58"/>
        <v>0</v>
      </c>
      <c r="L302" s="93">
        <f t="shared" si="59"/>
        <v>0</v>
      </c>
      <c r="M302" s="94">
        <v>10</v>
      </c>
      <c r="N302" s="95" t="s">
        <v>289</v>
      </c>
      <c r="O302" s="93">
        <f t="shared" si="61"/>
        <v>0</v>
      </c>
      <c r="P302" s="93">
        <f t="shared" si="62"/>
        <v>0</v>
      </c>
      <c r="Q302" s="93">
        <f t="shared" si="63"/>
        <v>0</v>
      </c>
      <c r="R302" s="93">
        <f t="shared" si="64"/>
        <v>0</v>
      </c>
      <c r="S302" s="93">
        <f t="shared" si="65"/>
        <v>0</v>
      </c>
      <c r="T302" s="93">
        <f t="shared" si="60"/>
        <v>0</v>
      </c>
      <c r="U302" s="253">
        <f t="shared" si="66"/>
        <v>0</v>
      </c>
      <c r="V302" s="93">
        <f t="shared" si="67"/>
        <v>0</v>
      </c>
    </row>
    <row r="303" spans="1:22" ht="18" customHeight="1" x14ac:dyDescent="0.2">
      <c r="A303" s="110" t="s">
        <v>540</v>
      </c>
      <c r="B303" s="111"/>
      <c r="C303" s="201" t="s">
        <v>541</v>
      </c>
      <c r="D303" s="91">
        <v>40303</v>
      </c>
      <c r="E303" s="92"/>
      <c r="F303" s="93"/>
      <c r="G303" s="93"/>
      <c r="H303" s="93">
        <v>3490.91</v>
      </c>
      <c r="I303" s="93">
        <v>0</v>
      </c>
      <c r="J303" s="93"/>
      <c r="K303" s="93">
        <f t="shared" si="58"/>
        <v>0</v>
      </c>
      <c r="L303" s="93">
        <f t="shared" si="59"/>
        <v>0</v>
      </c>
      <c r="M303" s="94">
        <v>50</v>
      </c>
      <c r="N303" s="95" t="s">
        <v>289</v>
      </c>
      <c r="O303" s="93">
        <f t="shared" si="61"/>
        <v>0</v>
      </c>
      <c r="P303" s="93">
        <f t="shared" si="62"/>
        <v>0</v>
      </c>
      <c r="Q303" s="93">
        <f t="shared" si="63"/>
        <v>0</v>
      </c>
      <c r="R303" s="93">
        <f t="shared" si="64"/>
        <v>0</v>
      </c>
      <c r="S303" s="93">
        <f t="shared" si="65"/>
        <v>0</v>
      </c>
      <c r="T303" s="93">
        <f t="shared" si="60"/>
        <v>0</v>
      </c>
      <c r="U303" s="253">
        <f t="shared" si="66"/>
        <v>0</v>
      </c>
      <c r="V303" s="93">
        <f t="shared" si="67"/>
        <v>0</v>
      </c>
    </row>
    <row r="304" spans="1:22" ht="18" customHeight="1" x14ac:dyDescent="0.2">
      <c r="A304" s="110" t="s">
        <v>542</v>
      </c>
      <c r="B304" s="111"/>
      <c r="C304" s="201" t="s">
        <v>418</v>
      </c>
      <c r="D304" s="91">
        <v>38111</v>
      </c>
      <c r="E304" s="92"/>
      <c r="F304" s="93"/>
      <c r="G304" s="93"/>
      <c r="H304" s="93">
        <v>890.74</v>
      </c>
      <c r="I304" s="93">
        <v>0</v>
      </c>
      <c r="J304" s="93"/>
      <c r="K304" s="93">
        <f t="shared" si="58"/>
        <v>0</v>
      </c>
      <c r="L304" s="93">
        <f t="shared" si="59"/>
        <v>0</v>
      </c>
      <c r="M304" s="94">
        <v>10</v>
      </c>
      <c r="N304" s="95" t="s">
        <v>289</v>
      </c>
      <c r="O304" s="93">
        <f t="shared" si="61"/>
        <v>0</v>
      </c>
      <c r="P304" s="93">
        <f t="shared" si="62"/>
        <v>0</v>
      </c>
      <c r="Q304" s="93">
        <f t="shared" si="63"/>
        <v>0</v>
      </c>
      <c r="R304" s="93">
        <f t="shared" si="64"/>
        <v>0</v>
      </c>
      <c r="S304" s="93">
        <f t="shared" si="65"/>
        <v>0</v>
      </c>
      <c r="T304" s="93">
        <f t="shared" si="60"/>
        <v>0</v>
      </c>
      <c r="U304" s="253">
        <f t="shared" si="66"/>
        <v>0</v>
      </c>
      <c r="V304" s="93">
        <f t="shared" si="67"/>
        <v>0</v>
      </c>
    </row>
    <row r="305" spans="1:22" ht="18" customHeight="1" x14ac:dyDescent="0.2">
      <c r="A305" s="110" t="s">
        <v>543</v>
      </c>
      <c r="B305" s="111"/>
      <c r="C305" s="201" t="s">
        <v>544</v>
      </c>
      <c r="D305" s="91">
        <v>40316</v>
      </c>
      <c r="E305" s="92"/>
      <c r="F305" s="93"/>
      <c r="G305" s="93"/>
      <c r="H305" s="93">
        <v>496.91</v>
      </c>
      <c r="I305" s="93">
        <v>0</v>
      </c>
      <c r="J305" s="93"/>
      <c r="K305" s="93">
        <f t="shared" si="58"/>
        <v>0</v>
      </c>
      <c r="L305" s="93">
        <f t="shared" si="59"/>
        <v>0</v>
      </c>
      <c r="M305" s="94">
        <v>20</v>
      </c>
      <c r="N305" s="95" t="s">
        <v>289</v>
      </c>
      <c r="O305" s="93">
        <f t="shared" si="61"/>
        <v>0</v>
      </c>
      <c r="P305" s="93">
        <f t="shared" si="62"/>
        <v>0</v>
      </c>
      <c r="Q305" s="93">
        <f t="shared" si="63"/>
        <v>0</v>
      </c>
      <c r="R305" s="93">
        <f t="shared" si="64"/>
        <v>0</v>
      </c>
      <c r="S305" s="93">
        <f t="shared" si="65"/>
        <v>0</v>
      </c>
      <c r="T305" s="93">
        <f t="shared" si="60"/>
        <v>0</v>
      </c>
      <c r="U305" s="253">
        <f t="shared" si="66"/>
        <v>0</v>
      </c>
      <c r="V305" s="93">
        <f t="shared" si="67"/>
        <v>0</v>
      </c>
    </row>
    <row r="306" spans="1:22" ht="18" customHeight="1" x14ac:dyDescent="0.2">
      <c r="A306" s="110" t="s">
        <v>545</v>
      </c>
      <c r="B306" s="111"/>
      <c r="C306" s="90" t="s">
        <v>546</v>
      </c>
      <c r="D306" s="91">
        <v>40324</v>
      </c>
      <c r="E306" s="92"/>
      <c r="F306" s="93"/>
      <c r="G306" s="93"/>
      <c r="H306" s="93">
        <v>3500</v>
      </c>
      <c r="I306" s="93">
        <v>0</v>
      </c>
      <c r="J306" s="93"/>
      <c r="K306" s="93">
        <f t="shared" si="58"/>
        <v>0</v>
      </c>
      <c r="L306" s="93">
        <f t="shared" si="59"/>
        <v>0</v>
      </c>
      <c r="M306" s="94">
        <v>66.66</v>
      </c>
      <c r="N306" s="95" t="s">
        <v>289</v>
      </c>
      <c r="O306" s="93">
        <f t="shared" si="61"/>
        <v>0</v>
      </c>
      <c r="P306" s="93">
        <f t="shared" si="62"/>
        <v>0</v>
      </c>
      <c r="Q306" s="93">
        <f t="shared" si="63"/>
        <v>0</v>
      </c>
      <c r="R306" s="93">
        <f t="shared" si="64"/>
        <v>0</v>
      </c>
      <c r="S306" s="93">
        <f t="shared" si="65"/>
        <v>0</v>
      </c>
      <c r="T306" s="93">
        <f t="shared" si="60"/>
        <v>0</v>
      </c>
      <c r="U306" s="253">
        <f t="shared" si="66"/>
        <v>0</v>
      </c>
      <c r="V306" s="93">
        <f t="shared" si="67"/>
        <v>0</v>
      </c>
    </row>
    <row r="307" spans="1:22" ht="18" customHeight="1" x14ac:dyDescent="0.2">
      <c r="A307" s="110" t="s">
        <v>547</v>
      </c>
      <c r="B307" s="111"/>
      <c r="C307" s="201" t="s">
        <v>518</v>
      </c>
      <c r="D307" s="91">
        <v>40330</v>
      </c>
      <c r="E307" s="92"/>
      <c r="F307" s="93"/>
      <c r="G307" s="93"/>
      <c r="H307" s="93">
        <v>1800.97</v>
      </c>
      <c r="I307" s="93">
        <v>0</v>
      </c>
      <c r="J307" s="93"/>
      <c r="K307" s="93">
        <f t="shared" si="58"/>
        <v>0</v>
      </c>
      <c r="L307" s="93">
        <f t="shared" si="59"/>
        <v>0</v>
      </c>
      <c r="M307" s="94">
        <v>20</v>
      </c>
      <c r="N307" s="95" t="s">
        <v>289</v>
      </c>
      <c r="O307" s="93">
        <f t="shared" si="61"/>
        <v>0</v>
      </c>
      <c r="P307" s="93">
        <f t="shared" si="62"/>
        <v>0</v>
      </c>
      <c r="Q307" s="93">
        <f t="shared" si="63"/>
        <v>0</v>
      </c>
      <c r="R307" s="93">
        <f t="shared" si="64"/>
        <v>0</v>
      </c>
      <c r="S307" s="93">
        <f t="shared" si="65"/>
        <v>0</v>
      </c>
      <c r="T307" s="93">
        <f t="shared" si="60"/>
        <v>0</v>
      </c>
      <c r="U307" s="253">
        <f t="shared" si="66"/>
        <v>0</v>
      </c>
      <c r="V307" s="93">
        <f t="shared" si="67"/>
        <v>0</v>
      </c>
    </row>
    <row r="308" spans="1:22" ht="18" customHeight="1" x14ac:dyDescent="0.2">
      <c r="A308" s="110" t="s">
        <v>548</v>
      </c>
      <c r="B308" s="111"/>
      <c r="C308" s="201" t="s">
        <v>549</v>
      </c>
      <c r="D308" s="91">
        <v>40332</v>
      </c>
      <c r="E308" s="92"/>
      <c r="F308" s="93"/>
      <c r="G308" s="93"/>
      <c r="H308" s="93">
        <v>1672.73</v>
      </c>
      <c r="I308" s="93">
        <v>0</v>
      </c>
      <c r="J308" s="93"/>
      <c r="K308" s="93">
        <f t="shared" si="58"/>
        <v>0</v>
      </c>
      <c r="L308" s="93">
        <f t="shared" si="59"/>
        <v>0</v>
      </c>
      <c r="M308" s="94">
        <v>10</v>
      </c>
      <c r="N308" s="95" t="s">
        <v>289</v>
      </c>
      <c r="O308" s="93">
        <f t="shared" si="61"/>
        <v>0</v>
      </c>
      <c r="P308" s="93">
        <f t="shared" si="62"/>
        <v>0</v>
      </c>
      <c r="Q308" s="93">
        <f t="shared" si="63"/>
        <v>0</v>
      </c>
      <c r="R308" s="93">
        <f t="shared" si="64"/>
        <v>0</v>
      </c>
      <c r="S308" s="93">
        <f t="shared" si="65"/>
        <v>0</v>
      </c>
      <c r="T308" s="93">
        <f t="shared" si="60"/>
        <v>0</v>
      </c>
      <c r="U308" s="253">
        <f t="shared" si="66"/>
        <v>0</v>
      </c>
      <c r="V308" s="93">
        <f t="shared" si="67"/>
        <v>0</v>
      </c>
    </row>
    <row r="309" spans="1:22" ht="18" customHeight="1" x14ac:dyDescent="0.2">
      <c r="A309" s="110" t="s">
        <v>550</v>
      </c>
      <c r="B309" s="111"/>
      <c r="C309" s="201" t="s">
        <v>551</v>
      </c>
      <c r="D309" s="91">
        <v>40385</v>
      </c>
      <c r="E309" s="92"/>
      <c r="F309" s="93"/>
      <c r="G309" s="93"/>
      <c r="H309" s="93">
        <v>1585</v>
      </c>
      <c r="I309" s="93">
        <v>0</v>
      </c>
      <c r="J309" s="93"/>
      <c r="K309" s="93">
        <f t="shared" si="58"/>
        <v>0</v>
      </c>
      <c r="L309" s="93">
        <f t="shared" si="59"/>
        <v>0</v>
      </c>
      <c r="M309" s="94">
        <v>28.57</v>
      </c>
      <c r="N309" s="95" t="s">
        <v>289</v>
      </c>
      <c r="O309" s="93">
        <f t="shared" si="61"/>
        <v>0</v>
      </c>
      <c r="P309" s="93">
        <f t="shared" si="62"/>
        <v>0</v>
      </c>
      <c r="Q309" s="93">
        <f t="shared" si="63"/>
        <v>0</v>
      </c>
      <c r="R309" s="93">
        <f t="shared" si="64"/>
        <v>0</v>
      </c>
      <c r="S309" s="93">
        <f t="shared" si="65"/>
        <v>0</v>
      </c>
      <c r="T309" s="93">
        <f t="shared" si="60"/>
        <v>0</v>
      </c>
      <c r="U309" s="253">
        <f t="shared" si="66"/>
        <v>0</v>
      </c>
      <c r="V309" s="93">
        <f t="shared" si="67"/>
        <v>0</v>
      </c>
    </row>
    <row r="310" spans="1:22" ht="18" customHeight="1" x14ac:dyDescent="0.2">
      <c r="A310" s="110" t="s">
        <v>552</v>
      </c>
      <c r="B310" s="111"/>
      <c r="C310" s="90" t="s">
        <v>553</v>
      </c>
      <c r="D310" s="91">
        <v>40392</v>
      </c>
      <c r="E310" s="92"/>
      <c r="F310" s="93"/>
      <c r="G310" s="93"/>
      <c r="H310" s="93">
        <v>58788.82</v>
      </c>
      <c r="I310" s="93">
        <v>30500.82</v>
      </c>
      <c r="J310" s="93"/>
      <c r="K310" s="93">
        <f t="shared" si="58"/>
        <v>0</v>
      </c>
      <c r="L310" s="93">
        <f t="shared" si="59"/>
        <v>0</v>
      </c>
      <c r="M310" s="94">
        <v>7.5</v>
      </c>
      <c r="N310" s="95" t="s">
        <v>289</v>
      </c>
      <c r="O310" s="93">
        <f t="shared" si="61"/>
        <v>0</v>
      </c>
      <c r="P310" s="93">
        <f t="shared" si="62"/>
        <v>0</v>
      </c>
      <c r="Q310" s="93">
        <f t="shared" si="63"/>
        <v>0</v>
      </c>
      <c r="R310" s="93">
        <f t="shared" si="64"/>
        <v>1334</v>
      </c>
      <c r="S310" s="93">
        <f t="shared" si="65"/>
        <v>0</v>
      </c>
      <c r="T310" s="93">
        <f t="shared" si="60"/>
        <v>1334</v>
      </c>
      <c r="U310" s="253">
        <f t="shared" si="66"/>
        <v>29166.82</v>
      </c>
      <c r="V310" s="93">
        <f t="shared" si="67"/>
        <v>0</v>
      </c>
    </row>
    <row r="311" spans="1:22" ht="18" customHeight="1" x14ac:dyDescent="0.2">
      <c r="A311" s="110" t="s">
        <v>554</v>
      </c>
      <c r="B311" s="111"/>
      <c r="C311" s="201" t="s">
        <v>555</v>
      </c>
      <c r="D311" s="91">
        <v>40449</v>
      </c>
      <c r="E311" s="92"/>
      <c r="F311" s="93"/>
      <c r="G311" s="93"/>
      <c r="H311" s="93">
        <v>1176.1400000000001</v>
      </c>
      <c r="I311" s="93">
        <v>0</v>
      </c>
      <c r="J311" s="93"/>
      <c r="K311" s="93">
        <f t="shared" si="58"/>
        <v>0</v>
      </c>
      <c r="L311" s="93">
        <f t="shared" si="59"/>
        <v>0</v>
      </c>
      <c r="M311" s="94">
        <v>28.57</v>
      </c>
      <c r="N311" s="95" t="s">
        <v>289</v>
      </c>
      <c r="O311" s="93">
        <f t="shared" si="61"/>
        <v>0</v>
      </c>
      <c r="P311" s="93">
        <f t="shared" si="62"/>
        <v>0</v>
      </c>
      <c r="Q311" s="93">
        <f t="shared" si="63"/>
        <v>0</v>
      </c>
      <c r="R311" s="93">
        <f t="shared" si="64"/>
        <v>0</v>
      </c>
      <c r="S311" s="93">
        <f t="shared" si="65"/>
        <v>0</v>
      </c>
      <c r="T311" s="93">
        <f t="shared" si="60"/>
        <v>0</v>
      </c>
      <c r="U311" s="253">
        <f t="shared" si="66"/>
        <v>0</v>
      </c>
      <c r="V311" s="93">
        <f t="shared" si="67"/>
        <v>0</v>
      </c>
    </row>
    <row r="312" spans="1:22" ht="18" customHeight="1" x14ac:dyDescent="0.2">
      <c r="A312" s="110" t="s">
        <v>556</v>
      </c>
      <c r="B312" s="111"/>
      <c r="C312" s="201" t="s">
        <v>506</v>
      </c>
      <c r="D312" s="91">
        <v>38154</v>
      </c>
      <c r="E312" s="92">
        <v>43646</v>
      </c>
      <c r="F312" s="93"/>
      <c r="G312" s="93"/>
      <c r="H312" s="93">
        <v>650</v>
      </c>
      <c r="I312" s="93">
        <v>0</v>
      </c>
      <c r="J312" s="93"/>
      <c r="K312" s="93">
        <f t="shared" si="58"/>
        <v>0</v>
      </c>
      <c r="L312" s="93">
        <f t="shared" si="59"/>
        <v>0</v>
      </c>
      <c r="M312" s="94">
        <v>33.33</v>
      </c>
      <c r="N312" s="95" t="s">
        <v>289</v>
      </c>
      <c r="O312" s="93">
        <f t="shared" si="61"/>
        <v>0</v>
      </c>
      <c r="P312" s="93">
        <f t="shared" si="62"/>
        <v>0</v>
      </c>
      <c r="Q312" s="93">
        <f t="shared" si="63"/>
        <v>0</v>
      </c>
      <c r="R312" s="93">
        <f t="shared" si="64"/>
        <v>0</v>
      </c>
      <c r="S312" s="93">
        <f t="shared" si="65"/>
        <v>0</v>
      </c>
      <c r="T312" s="93">
        <f t="shared" si="60"/>
        <v>0</v>
      </c>
      <c r="U312" s="253">
        <f t="shared" si="66"/>
        <v>0</v>
      </c>
      <c r="V312" s="93">
        <f t="shared" si="67"/>
        <v>650</v>
      </c>
    </row>
    <row r="313" spans="1:22" ht="18" customHeight="1" x14ac:dyDescent="0.2">
      <c r="A313" s="110" t="s">
        <v>557</v>
      </c>
      <c r="B313" s="111"/>
      <c r="C313" s="201" t="s">
        <v>558</v>
      </c>
      <c r="D313" s="91">
        <v>40522</v>
      </c>
      <c r="E313" s="92">
        <v>43646</v>
      </c>
      <c r="F313" s="93"/>
      <c r="G313" s="93"/>
      <c r="H313" s="93">
        <v>1179.0899999999999</v>
      </c>
      <c r="I313" s="93">
        <v>0</v>
      </c>
      <c r="J313" s="93"/>
      <c r="K313" s="93">
        <f t="shared" si="58"/>
        <v>0</v>
      </c>
      <c r="L313" s="93">
        <f t="shared" si="59"/>
        <v>0</v>
      </c>
      <c r="M313" s="94">
        <v>66.67</v>
      </c>
      <c r="N313" s="95" t="s">
        <v>289</v>
      </c>
      <c r="O313" s="93">
        <f t="shared" si="61"/>
        <v>0</v>
      </c>
      <c r="P313" s="93">
        <f t="shared" si="62"/>
        <v>0</v>
      </c>
      <c r="Q313" s="93">
        <f t="shared" si="63"/>
        <v>0</v>
      </c>
      <c r="R313" s="93">
        <f t="shared" si="64"/>
        <v>0</v>
      </c>
      <c r="S313" s="93">
        <f t="shared" si="65"/>
        <v>0</v>
      </c>
      <c r="T313" s="93">
        <f t="shared" si="60"/>
        <v>0</v>
      </c>
      <c r="U313" s="253">
        <f t="shared" si="66"/>
        <v>0</v>
      </c>
      <c r="V313" s="93">
        <f t="shared" si="67"/>
        <v>1179.0899999999999</v>
      </c>
    </row>
    <row r="314" spans="1:22" ht="18" customHeight="1" x14ac:dyDescent="0.2">
      <c r="A314" s="110" t="s">
        <v>559</v>
      </c>
      <c r="B314" s="111"/>
      <c r="C314" s="201" t="s">
        <v>560</v>
      </c>
      <c r="D314" s="91">
        <v>40528</v>
      </c>
      <c r="E314" s="92"/>
      <c r="F314" s="93"/>
      <c r="G314" s="93"/>
      <c r="H314" s="93">
        <v>1140</v>
      </c>
      <c r="I314" s="93">
        <v>0</v>
      </c>
      <c r="J314" s="93"/>
      <c r="K314" s="93">
        <f t="shared" ref="K314:K376" si="68">INT(IF($E314&gt;0,IF(+F314-I314+Q314&lt;0,0,+F314-I314+Q314),0))</f>
        <v>0</v>
      </c>
      <c r="L314" s="93">
        <f t="shared" ref="L314:L376" si="69">INT(IF($E314&gt;0,IF(K314=0,-F314+I314-Q314,0),0))</f>
        <v>0</v>
      </c>
      <c r="M314" s="94">
        <v>20</v>
      </c>
      <c r="N314" s="95" t="s">
        <v>289</v>
      </c>
      <c r="O314" s="93">
        <f t="shared" si="61"/>
        <v>0</v>
      </c>
      <c r="P314" s="93">
        <f t="shared" si="62"/>
        <v>0</v>
      </c>
      <c r="Q314" s="93">
        <f t="shared" si="63"/>
        <v>0</v>
      </c>
      <c r="R314" s="93">
        <f t="shared" si="64"/>
        <v>0</v>
      </c>
      <c r="S314" s="93">
        <f t="shared" si="65"/>
        <v>0</v>
      </c>
      <c r="T314" s="93">
        <f t="shared" si="60"/>
        <v>0</v>
      </c>
      <c r="U314" s="253">
        <f t="shared" si="66"/>
        <v>0</v>
      </c>
      <c r="V314" s="93">
        <f t="shared" si="67"/>
        <v>0</v>
      </c>
    </row>
    <row r="315" spans="1:22" ht="18" customHeight="1" x14ac:dyDescent="0.2">
      <c r="A315" s="110" t="s">
        <v>561</v>
      </c>
      <c r="B315" s="111"/>
      <c r="C315" s="201" t="s">
        <v>562</v>
      </c>
      <c r="D315" s="91">
        <v>40605</v>
      </c>
      <c r="E315" s="92"/>
      <c r="F315" s="93"/>
      <c r="G315" s="93"/>
      <c r="H315" s="93">
        <v>5818.18</v>
      </c>
      <c r="I315" s="93">
        <v>1044.18</v>
      </c>
      <c r="J315" s="93"/>
      <c r="K315" s="93">
        <f t="shared" si="68"/>
        <v>0</v>
      </c>
      <c r="L315" s="93">
        <f t="shared" si="69"/>
        <v>0</v>
      </c>
      <c r="M315" s="94">
        <v>20</v>
      </c>
      <c r="N315" s="95" t="s">
        <v>289</v>
      </c>
      <c r="O315" s="93">
        <f t="shared" si="61"/>
        <v>0</v>
      </c>
      <c r="P315" s="93">
        <f t="shared" si="62"/>
        <v>0</v>
      </c>
      <c r="Q315" s="93">
        <f t="shared" si="63"/>
        <v>0</v>
      </c>
      <c r="R315" s="93">
        <f t="shared" si="64"/>
        <v>121</v>
      </c>
      <c r="S315" s="93">
        <f t="shared" si="65"/>
        <v>0</v>
      </c>
      <c r="T315" s="93">
        <f t="shared" ref="T315:T377" si="70">+R315+S315+Q315</f>
        <v>121</v>
      </c>
      <c r="U315" s="253">
        <f t="shared" si="66"/>
        <v>923.18000000000006</v>
      </c>
      <c r="V315" s="93">
        <f t="shared" si="67"/>
        <v>0</v>
      </c>
    </row>
    <row r="316" spans="1:22" ht="18" customHeight="1" x14ac:dyDescent="0.2">
      <c r="A316" s="110" t="s">
        <v>563</v>
      </c>
      <c r="B316" s="111"/>
      <c r="C316" s="201" t="s">
        <v>564</v>
      </c>
      <c r="D316" s="91">
        <v>38167</v>
      </c>
      <c r="E316" s="92">
        <v>43646</v>
      </c>
      <c r="F316" s="93"/>
      <c r="G316" s="93"/>
      <c r="H316" s="93">
        <v>100.5</v>
      </c>
      <c r="I316" s="93">
        <v>0</v>
      </c>
      <c r="J316" s="93"/>
      <c r="K316" s="93">
        <f t="shared" si="68"/>
        <v>0</v>
      </c>
      <c r="L316" s="93">
        <f t="shared" si="69"/>
        <v>0</v>
      </c>
      <c r="M316" s="94">
        <v>33.33</v>
      </c>
      <c r="N316" s="95" t="s">
        <v>289</v>
      </c>
      <c r="O316" s="93">
        <f t="shared" si="61"/>
        <v>0</v>
      </c>
      <c r="P316" s="93">
        <f t="shared" si="62"/>
        <v>0</v>
      </c>
      <c r="Q316" s="93">
        <f t="shared" si="63"/>
        <v>0</v>
      </c>
      <c r="R316" s="93">
        <f t="shared" si="64"/>
        <v>0</v>
      </c>
      <c r="S316" s="93">
        <f t="shared" si="65"/>
        <v>0</v>
      </c>
      <c r="T316" s="93">
        <f t="shared" si="70"/>
        <v>0</v>
      </c>
      <c r="U316" s="253">
        <f t="shared" si="66"/>
        <v>0</v>
      </c>
      <c r="V316" s="93">
        <f t="shared" si="67"/>
        <v>100.5</v>
      </c>
    </row>
    <row r="317" spans="1:22" ht="18" customHeight="1" x14ac:dyDescent="0.2">
      <c r="A317" s="110" t="s">
        <v>565</v>
      </c>
      <c r="B317" s="111"/>
      <c r="C317" s="201" t="s">
        <v>566</v>
      </c>
      <c r="D317" s="91">
        <v>40627</v>
      </c>
      <c r="E317" s="92"/>
      <c r="F317" s="93"/>
      <c r="G317" s="93"/>
      <c r="H317" s="93">
        <v>727.27</v>
      </c>
      <c r="I317" s="93">
        <v>0</v>
      </c>
      <c r="J317" s="93"/>
      <c r="K317" s="93">
        <f t="shared" si="68"/>
        <v>0</v>
      </c>
      <c r="L317" s="93">
        <f t="shared" si="69"/>
        <v>0</v>
      </c>
      <c r="M317" s="94">
        <v>10</v>
      </c>
      <c r="N317" s="95" t="s">
        <v>289</v>
      </c>
      <c r="O317" s="93">
        <f t="shared" si="61"/>
        <v>0</v>
      </c>
      <c r="P317" s="93">
        <f t="shared" si="62"/>
        <v>0</v>
      </c>
      <c r="Q317" s="93">
        <f t="shared" si="63"/>
        <v>0</v>
      </c>
      <c r="R317" s="93">
        <f t="shared" si="64"/>
        <v>0</v>
      </c>
      <c r="S317" s="93">
        <f t="shared" si="65"/>
        <v>0</v>
      </c>
      <c r="T317" s="93">
        <f t="shared" si="70"/>
        <v>0</v>
      </c>
      <c r="U317" s="253">
        <f t="shared" si="66"/>
        <v>0</v>
      </c>
      <c r="V317" s="93">
        <f t="shared" si="67"/>
        <v>0</v>
      </c>
    </row>
    <row r="318" spans="1:22" ht="18" customHeight="1" x14ac:dyDescent="0.2">
      <c r="A318" s="110" t="s">
        <v>567</v>
      </c>
      <c r="B318" s="111"/>
      <c r="C318" s="201" t="s">
        <v>568</v>
      </c>
      <c r="D318" s="91">
        <v>40629</v>
      </c>
      <c r="E318" s="92"/>
      <c r="F318" s="93"/>
      <c r="G318" s="93"/>
      <c r="H318" s="93">
        <v>7000</v>
      </c>
      <c r="I318" s="93">
        <v>3851</v>
      </c>
      <c r="J318" s="93"/>
      <c r="K318" s="93">
        <f t="shared" si="68"/>
        <v>0</v>
      </c>
      <c r="L318" s="93">
        <f t="shared" si="69"/>
        <v>0</v>
      </c>
      <c r="M318" s="94">
        <v>7.5</v>
      </c>
      <c r="N318" s="95" t="s">
        <v>289</v>
      </c>
      <c r="O318" s="93">
        <f t="shared" si="61"/>
        <v>0</v>
      </c>
      <c r="P318" s="93">
        <f t="shared" si="62"/>
        <v>0</v>
      </c>
      <c r="Q318" s="93">
        <f t="shared" si="63"/>
        <v>0</v>
      </c>
      <c r="R318" s="93">
        <f t="shared" si="64"/>
        <v>168</v>
      </c>
      <c r="S318" s="93">
        <f t="shared" si="65"/>
        <v>0</v>
      </c>
      <c r="T318" s="93">
        <f t="shared" si="70"/>
        <v>168</v>
      </c>
      <c r="U318" s="253">
        <f t="shared" si="66"/>
        <v>3683</v>
      </c>
      <c r="V318" s="93">
        <f t="shared" si="67"/>
        <v>0</v>
      </c>
    </row>
    <row r="319" spans="1:22" ht="18" customHeight="1" x14ac:dyDescent="0.2">
      <c r="A319" s="110" t="s">
        <v>569</v>
      </c>
      <c r="B319" s="111"/>
      <c r="C319" s="90" t="s">
        <v>570</v>
      </c>
      <c r="D319" s="91">
        <v>40639</v>
      </c>
      <c r="E319" s="92"/>
      <c r="F319" s="93"/>
      <c r="G319" s="93"/>
      <c r="H319" s="93">
        <v>66600</v>
      </c>
      <c r="I319" s="93">
        <v>39287.79</v>
      </c>
      <c r="J319" s="93"/>
      <c r="K319" s="93">
        <f t="shared" si="68"/>
        <v>0</v>
      </c>
      <c r="L319" s="93">
        <f t="shared" si="69"/>
        <v>0</v>
      </c>
      <c r="M319" s="94">
        <v>6.67</v>
      </c>
      <c r="N319" s="95" t="s">
        <v>289</v>
      </c>
      <c r="O319" s="93">
        <f t="shared" si="61"/>
        <v>0</v>
      </c>
      <c r="P319" s="93">
        <f t="shared" si="62"/>
        <v>0</v>
      </c>
      <c r="Q319" s="93">
        <f t="shared" si="63"/>
        <v>0</v>
      </c>
      <c r="R319" s="93">
        <f t="shared" si="64"/>
        <v>1528</v>
      </c>
      <c r="S319" s="93">
        <f t="shared" si="65"/>
        <v>0</v>
      </c>
      <c r="T319" s="93">
        <f t="shared" si="70"/>
        <v>1528</v>
      </c>
      <c r="U319" s="253">
        <f t="shared" si="66"/>
        <v>37759.79</v>
      </c>
      <c r="V319" s="93">
        <f t="shared" si="67"/>
        <v>0</v>
      </c>
    </row>
    <row r="320" spans="1:22" ht="18" customHeight="1" x14ac:dyDescent="0.2">
      <c r="A320" s="110" t="s">
        <v>573</v>
      </c>
      <c r="B320" s="111"/>
      <c r="C320" s="201" t="s">
        <v>574</v>
      </c>
      <c r="D320" s="91">
        <v>40714</v>
      </c>
      <c r="E320" s="92"/>
      <c r="F320" s="93"/>
      <c r="G320" s="93"/>
      <c r="H320" s="93">
        <v>5000</v>
      </c>
      <c r="I320" s="93">
        <v>2284</v>
      </c>
      <c r="J320" s="93"/>
      <c r="K320" s="93">
        <f t="shared" si="68"/>
        <v>0</v>
      </c>
      <c r="L320" s="93">
        <f t="shared" si="69"/>
        <v>0</v>
      </c>
      <c r="M320" s="94">
        <v>10</v>
      </c>
      <c r="N320" s="95" t="s">
        <v>289</v>
      </c>
      <c r="O320" s="93">
        <f t="shared" si="61"/>
        <v>0</v>
      </c>
      <c r="P320" s="93">
        <f t="shared" si="62"/>
        <v>0</v>
      </c>
      <c r="Q320" s="93">
        <f t="shared" si="63"/>
        <v>0</v>
      </c>
      <c r="R320" s="93">
        <f t="shared" si="64"/>
        <v>133</v>
      </c>
      <c r="S320" s="93">
        <f t="shared" si="65"/>
        <v>0</v>
      </c>
      <c r="T320" s="93">
        <f t="shared" si="70"/>
        <v>133</v>
      </c>
      <c r="U320" s="253">
        <f t="shared" si="66"/>
        <v>2151</v>
      </c>
      <c r="V320" s="93">
        <f t="shared" si="67"/>
        <v>0</v>
      </c>
    </row>
    <row r="321" spans="1:22" ht="18" customHeight="1" x14ac:dyDescent="0.2">
      <c r="A321" s="110" t="s">
        <v>575</v>
      </c>
      <c r="B321" s="111"/>
      <c r="C321" s="201" t="s">
        <v>576</v>
      </c>
      <c r="D321" s="91">
        <v>40449</v>
      </c>
      <c r="E321" s="92">
        <v>43646</v>
      </c>
      <c r="F321" s="93"/>
      <c r="G321" s="93"/>
      <c r="H321" s="93">
        <v>490.90000000000003</v>
      </c>
      <c r="I321" s="93">
        <v>0</v>
      </c>
      <c r="J321" s="93"/>
      <c r="K321" s="93">
        <f t="shared" si="68"/>
        <v>0</v>
      </c>
      <c r="L321" s="93">
        <f t="shared" si="69"/>
        <v>0</v>
      </c>
      <c r="M321" s="94">
        <v>20</v>
      </c>
      <c r="N321" s="95" t="s">
        <v>289</v>
      </c>
      <c r="O321" s="93">
        <f t="shared" si="61"/>
        <v>0</v>
      </c>
      <c r="P321" s="93">
        <f t="shared" si="62"/>
        <v>0</v>
      </c>
      <c r="Q321" s="93">
        <f t="shared" si="63"/>
        <v>0</v>
      </c>
      <c r="R321" s="93">
        <f t="shared" si="64"/>
        <v>0</v>
      </c>
      <c r="S321" s="93">
        <f t="shared" si="65"/>
        <v>0</v>
      </c>
      <c r="T321" s="93">
        <f t="shared" si="70"/>
        <v>0</v>
      </c>
      <c r="U321" s="253">
        <f t="shared" si="66"/>
        <v>0</v>
      </c>
      <c r="V321" s="93">
        <f t="shared" si="67"/>
        <v>490.90000000000003</v>
      </c>
    </row>
    <row r="322" spans="1:22" ht="18" customHeight="1" x14ac:dyDescent="0.2">
      <c r="A322" s="110" t="s">
        <v>577</v>
      </c>
      <c r="B322" s="111"/>
      <c r="C322" s="201" t="s">
        <v>578</v>
      </c>
      <c r="D322" s="91">
        <v>40449</v>
      </c>
      <c r="E322" s="92"/>
      <c r="F322" s="93"/>
      <c r="G322" s="93"/>
      <c r="H322" s="93">
        <v>485.77</v>
      </c>
      <c r="I322" s="93">
        <v>0</v>
      </c>
      <c r="J322" s="93"/>
      <c r="K322" s="93">
        <f t="shared" si="68"/>
        <v>0</v>
      </c>
      <c r="L322" s="93">
        <f t="shared" si="69"/>
        <v>0</v>
      </c>
      <c r="M322" s="94">
        <v>20</v>
      </c>
      <c r="N322" s="95" t="s">
        <v>289</v>
      </c>
      <c r="O322" s="93">
        <f t="shared" si="61"/>
        <v>0</v>
      </c>
      <c r="P322" s="93">
        <f t="shared" si="62"/>
        <v>0</v>
      </c>
      <c r="Q322" s="93">
        <f t="shared" si="63"/>
        <v>0</v>
      </c>
      <c r="R322" s="93">
        <f t="shared" si="64"/>
        <v>0</v>
      </c>
      <c r="S322" s="93">
        <f t="shared" si="65"/>
        <v>0</v>
      </c>
      <c r="T322" s="93">
        <f t="shared" si="70"/>
        <v>0</v>
      </c>
      <c r="U322" s="253">
        <f t="shared" si="66"/>
        <v>0</v>
      </c>
      <c r="V322" s="93">
        <f t="shared" si="67"/>
        <v>0</v>
      </c>
    </row>
    <row r="323" spans="1:22" ht="18" customHeight="1" x14ac:dyDescent="0.2">
      <c r="A323" s="110" t="s">
        <v>579</v>
      </c>
      <c r="B323" s="111"/>
      <c r="C323" s="203" t="s">
        <v>580</v>
      </c>
      <c r="D323" s="91">
        <v>40449</v>
      </c>
      <c r="E323" s="92">
        <v>43646</v>
      </c>
      <c r="F323" s="93"/>
      <c r="G323" s="209"/>
      <c r="H323" s="93">
        <v>460.23</v>
      </c>
      <c r="I323" s="93">
        <v>0</v>
      </c>
      <c r="J323" s="93"/>
      <c r="K323" s="93">
        <f t="shared" si="68"/>
        <v>0</v>
      </c>
      <c r="L323" s="93">
        <f t="shared" si="69"/>
        <v>0</v>
      </c>
      <c r="M323" s="94">
        <v>20</v>
      </c>
      <c r="N323" s="95" t="s">
        <v>289</v>
      </c>
      <c r="O323" s="93">
        <f t="shared" si="61"/>
        <v>0</v>
      </c>
      <c r="P323" s="93">
        <f t="shared" si="62"/>
        <v>0</v>
      </c>
      <c r="Q323" s="93">
        <f t="shared" si="63"/>
        <v>0</v>
      </c>
      <c r="R323" s="93">
        <f t="shared" si="64"/>
        <v>0</v>
      </c>
      <c r="S323" s="93">
        <f t="shared" si="65"/>
        <v>0</v>
      </c>
      <c r="T323" s="93">
        <f t="shared" si="70"/>
        <v>0</v>
      </c>
      <c r="U323" s="253">
        <f t="shared" si="66"/>
        <v>0</v>
      </c>
      <c r="V323" s="93">
        <f t="shared" si="67"/>
        <v>460.23</v>
      </c>
    </row>
    <row r="324" spans="1:22" ht="18" customHeight="1" x14ac:dyDescent="0.2">
      <c r="A324" s="110" t="s">
        <v>581</v>
      </c>
      <c r="B324" s="111"/>
      <c r="C324" s="201" t="s">
        <v>582</v>
      </c>
      <c r="D324" s="91">
        <v>40360</v>
      </c>
      <c r="E324" s="92">
        <v>43646</v>
      </c>
      <c r="F324" s="93"/>
      <c r="G324" s="93"/>
      <c r="H324" s="93">
        <v>980</v>
      </c>
      <c r="I324" s="93">
        <v>0</v>
      </c>
      <c r="J324" s="93"/>
      <c r="K324" s="93">
        <f t="shared" si="68"/>
        <v>0</v>
      </c>
      <c r="L324" s="93">
        <f t="shared" si="69"/>
        <v>0</v>
      </c>
      <c r="M324" s="94">
        <v>20</v>
      </c>
      <c r="N324" s="95" t="s">
        <v>289</v>
      </c>
      <c r="O324" s="93">
        <f t="shared" si="61"/>
        <v>0</v>
      </c>
      <c r="P324" s="93">
        <f t="shared" si="62"/>
        <v>0</v>
      </c>
      <c r="Q324" s="93">
        <f t="shared" si="63"/>
        <v>0</v>
      </c>
      <c r="R324" s="93">
        <f t="shared" si="64"/>
        <v>0</v>
      </c>
      <c r="S324" s="93">
        <f t="shared" si="65"/>
        <v>0</v>
      </c>
      <c r="T324" s="93">
        <f t="shared" si="70"/>
        <v>0</v>
      </c>
      <c r="U324" s="253">
        <f t="shared" si="66"/>
        <v>0</v>
      </c>
      <c r="V324" s="93">
        <f t="shared" si="67"/>
        <v>980</v>
      </c>
    </row>
    <row r="325" spans="1:22" ht="18" customHeight="1" x14ac:dyDescent="0.2">
      <c r="A325" s="110" t="s">
        <v>583</v>
      </c>
      <c r="B325" s="111"/>
      <c r="C325" s="201" t="s">
        <v>506</v>
      </c>
      <c r="D325" s="91">
        <v>38168</v>
      </c>
      <c r="E325" s="92">
        <v>43646</v>
      </c>
      <c r="F325" s="93"/>
      <c r="G325" s="93"/>
      <c r="H325" s="93">
        <v>350</v>
      </c>
      <c r="I325" s="93">
        <v>0</v>
      </c>
      <c r="J325" s="93"/>
      <c r="K325" s="93">
        <f t="shared" si="68"/>
        <v>0</v>
      </c>
      <c r="L325" s="93">
        <f t="shared" si="69"/>
        <v>0</v>
      </c>
      <c r="M325" s="94">
        <v>33.33</v>
      </c>
      <c r="N325" s="95" t="s">
        <v>289</v>
      </c>
      <c r="O325" s="93">
        <f t="shared" si="61"/>
        <v>0</v>
      </c>
      <c r="P325" s="93">
        <f t="shared" si="62"/>
        <v>0</v>
      </c>
      <c r="Q325" s="93">
        <f t="shared" si="63"/>
        <v>0</v>
      </c>
      <c r="R325" s="93">
        <f t="shared" si="64"/>
        <v>0</v>
      </c>
      <c r="S325" s="93">
        <f t="shared" si="65"/>
        <v>0</v>
      </c>
      <c r="T325" s="93">
        <f t="shared" si="70"/>
        <v>0</v>
      </c>
      <c r="U325" s="253">
        <f t="shared" si="66"/>
        <v>0</v>
      </c>
      <c r="V325" s="93">
        <f t="shared" si="67"/>
        <v>350</v>
      </c>
    </row>
    <row r="326" spans="1:22" ht="18" customHeight="1" x14ac:dyDescent="0.2">
      <c r="A326" s="110" t="s">
        <v>584</v>
      </c>
      <c r="B326" s="111"/>
      <c r="C326" s="201" t="s">
        <v>585</v>
      </c>
      <c r="D326" s="91">
        <v>40464</v>
      </c>
      <c r="E326" s="92">
        <v>43646</v>
      </c>
      <c r="F326" s="93"/>
      <c r="G326" s="93"/>
      <c r="H326" s="93">
        <v>487.91</v>
      </c>
      <c r="I326" s="93">
        <v>0</v>
      </c>
      <c r="J326" s="93"/>
      <c r="K326" s="93">
        <f t="shared" si="68"/>
        <v>0</v>
      </c>
      <c r="L326" s="93">
        <f t="shared" si="69"/>
        <v>0</v>
      </c>
      <c r="M326" s="94">
        <v>20</v>
      </c>
      <c r="N326" s="95" t="s">
        <v>289</v>
      </c>
      <c r="O326" s="93">
        <f t="shared" si="61"/>
        <v>0</v>
      </c>
      <c r="P326" s="93">
        <f t="shared" si="62"/>
        <v>0</v>
      </c>
      <c r="Q326" s="93">
        <f t="shared" si="63"/>
        <v>0</v>
      </c>
      <c r="R326" s="93">
        <f t="shared" si="64"/>
        <v>0</v>
      </c>
      <c r="S326" s="93">
        <f t="shared" si="65"/>
        <v>0</v>
      </c>
      <c r="T326" s="93">
        <f t="shared" si="70"/>
        <v>0</v>
      </c>
      <c r="U326" s="253">
        <f t="shared" si="66"/>
        <v>0</v>
      </c>
      <c r="V326" s="93">
        <f t="shared" si="67"/>
        <v>487.91</v>
      </c>
    </row>
    <row r="327" spans="1:22" ht="18" customHeight="1" x14ac:dyDescent="0.2">
      <c r="A327" s="110" t="s">
        <v>586</v>
      </c>
      <c r="B327" s="111"/>
      <c r="C327" s="90" t="s">
        <v>587</v>
      </c>
      <c r="D327" s="91">
        <v>40492</v>
      </c>
      <c r="E327" s="92">
        <v>43646</v>
      </c>
      <c r="F327" s="93"/>
      <c r="G327" s="93"/>
      <c r="H327" s="93">
        <v>279.86</v>
      </c>
      <c r="I327" s="93">
        <v>0</v>
      </c>
      <c r="J327" s="93"/>
      <c r="K327" s="93">
        <f t="shared" si="68"/>
        <v>0</v>
      </c>
      <c r="L327" s="93">
        <f t="shared" si="69"/>
        <v>0</v>
      </c>
      <c r="M327" s="94">
        <v>20</v>
      </c>
      <c r="N327" s="95" t="s">
        <v>289</v>
      </c>
      <c r="O327" s="93">
        <f t="shared" si="61"/>
        <v>0</v>
      </c>
      <c r="P327" s="93">
        <f t="shared" si="62"/>
        <v>0</v>
      </c>
      <c r="Q327" s="93">
        <f t="shared" si="63"/>
        <v>0</v>
      </c>
      <c r="R327" s="93">
        <f t="shared" si="64"/>
        <v>0</v>
      </c>
      <c r="S327" s="93">
        <f t="shared" si="65"/>
        <v>0</v>
      </c>
      <c r="T327" s="93">
        <f t="shared" si="70"/>
        <v>0</v>
      </c>
      <c r="U327" s="253">
        <f t="shared" si="66"/>
        <v>0</v>
      </c>
      <c r="V327" s="93">
        <f t="shared" si="67"/>
        <v>279.86</v>
      </c>
    </row>
    <row r="328" spans="1:22" ht="18" customHeight="1" x14ac:dyDescent="0.2">
      <c r="A328" s="110" t="s">
        <v>588</v>
      </c>
      <c r="B328" s="111"/>
      <c r="C328" s="90" t="s">
        <v>589</v>
      </c>
      <c r="D328" s="91">
        <v>40513</v>
      </c>
      <c r="E328" s="92"/>
      <c r="F328" s="93"/>
      <c r="G328" s="93"/>
      <c r="H328" s="93">
        <v>239.96</v>
      </c>
      <c r="I328" s="93">
        <v>0</v>
      </c>
      <c r="J328" s="93"/>
      <c r="K328" s="93">
        <f t="shared" si="68"/>
        <v>0</v>
      </c>
      <c r="L328" s="93">
        <f t="shared" si="69"/>
        <v>0</v>
      </c>
      <c r="M328" s="94">
        <v>20</v>
      </c>
      <c r="N328" s="95" t="s">
        <v>289</v>
      </c>
      <c r="O328" s="93">
        <f t="shared" si="61"/>
        <v>0</v>
      </c>
      <c r="P328" s="93">
        <f t="shared" si="62"/>
        <v>0</v>
      </c>
      <c r="Q328" s="93">
        <f t="shared" si="63"/>
        <v>0</v>
      </c>
      <c r="R328" s="93">
        <f t="shared" si="64"/>
        <v>0</v>
      </c>
      <c r="S328" s="93">
        <f t="shared" si="65"/>
        <v>0</v>
      </c>
      <c r="T328" s="93">
        <f t="shared" si="70"/>
        <v>0</v>
      </c>
      <c r="U328" s="253">
        <f t="shared" si="66"/>
        <v>0</v>
      </c>
      <c r="V328" s="93">
        <f t="shared" si="67"/>
        <v>0</v>
      </c>
    </row>
    <row r="329" spans="1:22" ht="18" customHeight="1" x14ac:dyDescent="0.2">
      <c r="A329" s="110" t="s">
        <v>590</v>
      </c>
      <c r="B329" s="111"/>
      <c r="C329" s="201" t="s">
        <v>591</v>
      </c>
      <c r="D329" s="91">
        <v>40522</v>
      </c>
      <c r="E329" s="92">
        <v>43646</v>
      </c>
      <c r="F329" s="93"/>
      <c r="G329" s="93"/>
      <c r="H329" s="93">
        <v>830</v>
      </c>
      <c r="I329" s="93">
        <v>0</v>
      </c>
      <c r="J329" s="93"/>
      <c r="K329" s="93">
        <f t="shared" si="68"/>
        <v>0</v>
      </c>
      <c r="L329" s="93">
        <f t="shared" si="69"/>
        <v>0</v>
      </c>
      <c r="M329" s="94">
        <v>20</v>
      </c>
      <c r="N329" s="95" t="s">
        <v>289</v>
      </c>
      <c r="O329" s="93">
        <f t="shared" si="61"/>
        <v>0</v>
      </c>
      <c r="P329" s="93">
        <f t="shared" si="62"/>
        <v>0</v>
      </c>
      <c r="Q329" s="93">
        <f t="shared" si="63"/>
        <v>0</v>
      </c>
      <c r="R329" s="93">
        <f t="shared" si="64"/>
        <v>0</v>
      </c>
      <c r="S329" s="93">
        <f t="shared" si="65"/>
        <v>0</v>
      </c>
      <c r="T329" s="93">
        <f t="shared" si="70"/>
        <v>0</v>
      </c>
      <c r="U329" s="253">
        <f t="shared" si="66"/>
        <v>0</v>
      </c>
      <c r="V329" s="93">
        <f t="shared" si="67"/>
        <v>830</v>
      </c>
    </row>
    <row r="330" spans="1:22" ht="18" customHeight="1" x14ac:dyDescent="0.2">
      <c r="A330" s="110" t="s">
        <v>592</v>
      </c>
      <c r="B330" s="111"/>
      <c r="C330" s="201" t="s">
        <v>593</v>
      </c>
      <c r="D330" s="91">
        <v>40528</v>
      </c>
      <c r="E330" s="92"/>
      <c r="F330" s="93"/>
      <c r="G330" s="93"/>
      <c r="H330" s="93">
        <v>685.64</v>
      </c>
      <c r="I330" s="93">
        <v>0</v>
      </c>
      <c r="J330" s="93"/>
      <c r="K330" s="93">
        <f t="shared" si="68"/>
        <v>0</v>
      </c>
      <c r="L330" s="93">
        <f t="shared" si="69"/>
        <v>0</v>
      </c>
      <c r="M330" s="94">
        <v>20</v>
      </c>
      <c r="N330" s="95" t="s">
        <v>289</v>
      </c>
      <c r="O330" s="93">
        <f t="shared" si="61"/>
        <v>0</v>
      </c>
      <c r="P330" s="93">
        <f t="shared" si="62"/>
        <v>0</v>
      </c>
      <c r="Q330" s="93">
        <f t="shared" si="63"/>
        <v>0</v>
      </c>
      <c r="R330" s="93">
        <f t="shared" si="64"/>
        <v>0</v>
      </c>
      <c r="S330" s="93">
        <f t="shared" si="65"/>
        <v>0</v>
      </c>
      <c r="T330" s="93">
        <f t="shared" si="70"/>
        <v>0</v>
      </c>
      <c r="U330" s="253">
        <f t="shared" si="66"/>
        <v>0</v>
      </c>
      <c r="V330" s="93">
        <f t="shared" si="67"/>
        <v>0</v>
      </c>
    </row>
    <row r="331" spans="1:22" ht="18" customHeight="1" x14ac:dyDescent="0.2">
      <c r="A331" s="110" t="s">
        <v>594</v>
      </c>
      <c r="B331" s="111"/>
      <c r="C331" s="201" t="s">
        <v>595</v>
      </c>
      <c r="D331" s="91">
        <v>40528</v>
      </c>
      <c r="E331" s="92"/>
      <c r="F331" s="93"/>
      <c r="G331" s="93"/>
      <c r="H331" s="93">
        <v>221.82</v>
      </c>
      <c r="I331" s="93">
        <v>0</v>
      </c>
      <c r="J331" s="93"/>
      <c r="K331" s="93">
        <f t="shared" si="68"/>
        <v>0</v>
      </c>
      <c r="L331" s="93">
        <f t="shared" si="69"/>
        <v>0</v>
      </c>
      <c r="M331" s="94">
        <v>20</v>
      </c>
      <c r="N331" s="95" t="s">
        <v>289</v>
      </c>
      <c r="O331" s="93">
        <f t="shared" si="61"/>
        <v>0</v>
      </c>
      <c r="P331" s="93">
        <f t="shared" si="62"/>
        <v>0</v>
      </c>
      <c r="Q331" s="93">
        <f t="shared" si="63"/>
        <v>0</v>
      </c>
      <c r="R331" s="93">
        <f t="shared" si="64"/>
        <v>0</v>
      </c>
      <c r="S331" s="93">
        <f t="shared" si="65"/>
        <v>0</v>
      </c>
      <c r="T331" s="93">
        <f t="shared" si="70"/>
        <v>0</v>
      </c>
      <c r="U331" s="253">
        <f t="shared" si="66"/>
        <v>0</v>
      </c>
      <c r="V331" s="93">
        <f t="shared" si="67"/>
        <v>0</v>
      </c>
    </row>
    <row r="332" spans="1:22" ht="18" customHeight="1" x14ac:dyDescent="0.2">
      <c r="A332" s="110" t="s">
        <v>596</v>
      </c>
      <c r="B332" s="111"/>
      <c r="C332" s="201" t="s">
        <v>597</v>
      </c>
      <c r="D332" s="91">
        <v>40528</v>
      </c>
      <c r="E332" s="92">
        <v>43646</v>
      </c>
      <c r="F332" s="93"/>
      <c r="G332" s="93"/>
      <c r="H332" s="93">
        <v>216.82</v>
      </c>
      <c r="I332" s="93">
        <v>0</v>
      </c>
      <c r="J332" s="93"/>
      <c r="K332" s="93">
        <f t="shared" si="68"/>
        <v>0</v>
      </c>
      <c r="L332" s="93">
        <f t="shared" si="69"/>
        <v>0</v>
      </c>
      <c r="M332" s="94">
        <v>20</v>
      </c>
      <c r="N332" s="95" t="s">
        <v>289</v>
      </c>
      <c r="O332" s="93">
        <f t="shared" si="61"/>
        <v>0</v>
      </c>
      <c r="P332" s="93">
        <f t="shared" si="62"/>
        <v>0</v>
      </c>
      <c r="Q332" s="93">
        <f t="shared" si="63"/>
        <v>0</v>
      </c>
      <c r="R332" s="93">
        <f t="shared" si="64"/>
        <v>0</v>
      </c>
      <c r="S332" s="93">
        <f t="shared" si="65"/>
        <v>0</v>
      </c>
      <c r="T332" s="93">
        <f t="shared" si="70"/>
        <v>0</v>
      </c>
      <c r="U332" s="253">
        <f t="shared" si="66"/>
        <v>0</v>
      </c>
      <c r="V332" s="93">
        <f t="shared" si="67"/>
        <v>216.82</v>
      </c>
    </row>
    <row r="333" spans="1:22" ht="18" customHeight="1" x14ac:dyDescent="0.2">
      <c r="A333" s="110" t="s">
        <v>598</v>
      </c>
      <c r="B333" s="111"/>
      <c r="C333" s="201" t="s">
        <v>599</v>
      </c>
      <c r="D333" s="91">
        <v>40632</v>
      </c>
      <c r="E333" s="92"/>
      <c r="F333" s="93"/>
      <c r="G333" s="93"/>
      <c r="H333" s="93">
        <v>770</v>
      </c>
      <c r="I333" s="93">
        <v>0</v>
      </c>
      <c r="J333" s="93"/>
      <c r="K333" s="93">
        <f t="shared" si="68"/>
        <v>0</v>
      </c>
      <c r="L333" s="93">
        <f t="shared" si="69"/>
        <v>0</v>
      </c>
      <c r="M333" s="94">
        <v>20</v>
      </c>
      <c r="N333" s="95" t="s">
        <v>289</v>
      </c>
      <c r="O333" s="93">
        <f t="shared" si="61"/>
        <v>0</v>
      </c>
      <c r="P333" s="93">
        <f t="shared" si="62"/>
        <v>0</v>
      </c>
      <c r="Q333" s="93">
        <f t="shared" si="63"/>
        <v>0</v>
      </c>
      <c r="R333" s="93">
        <f t="shared" si="64"/>
        <v>0</v>
      </c>
      <c r="S333" s="93">
        <f t="shared" si="65"/>
        <v>0</v>
      </c>
      <c r="T333" s="93">
        <f t="shared" si="70"/>
        <v>0</v>
      </c>
      <c r="U333" s="253">
        <f t="shared" si="66"/>
        <v>0</v>
      </c>
      <c r="V333" s="93">
        <f t="shared" si="67"/>
        <v>0</v>
      </c>
    </row>
    <row r="334" spans="1:22" ht="18" customHeight="1" x14ac:dyDescent="0.2">
      <c r="A334" s="110" t="s">
        <v>600</v>
      </c>
      <c r="B334" s="111"/>
      <c r="C334" s="201" t="s">
        <v>601</v>
      </c>
      <c r="D334" s="91">
        <v>40688</v>
      </c>
      <c r="E334" s="92"/>
      <c r="F334" s="93"/>
      <c r="G334" s="93"/>
      <c r="H334" s="93">
        <v>300</v>
      </c>
      <c r="I334" s="93">
        <v>0</v>
      </c>
      <c r="J334" s="93"/>
      <c r="K334" s="93">
        <f t="shared" si="68"/>
        <v>0</v>
      </c>
      <c r="L334" s="93">
        <f t="shared" si="69"/>
        <v>0</v>
      </c>
      <c r="M334" s="94">
        <v>20</v>
      </c>
      <c r="N334" s="95" t="s">
        <v>289</v>
      </c>
      <c r="O334" s="93">
        <f t="shared" si="61"/>
        <v>0</v>
      </c>
      <c r="P334" s="93">
        <f t="shared" si="62"/>
        <v>0</v>
      </c>
      <c r="Q334" s="93">
        <f t="shared" si="63"/>
        <v>0</v>
      </c>
      <c r="R334" s="93">
        <f t="shared" si="64"/>
        <v>0</v>
      </c>
      <c r="S334" s="93">
        <f t="shared" si="65"/>
        <v>0</v>
      </c>
      <c r="T334" s="93">
        <f t="shared" si="70"/>
        <v>0</v>
      </c>
      <c r="U334" s="253">
        <f t="shared" si="66"/>
        <v>0</v>
      </c>
      <c r="V334" s="93">
        <f t="shared" si="67"/>
        <v>0</v>
      </c>
    </row>
    <row r="335" spans="1:22" ht="18" customHeight="1" x14ac:dyDescent="0.2">
      <c r="A335" s="110" t="s">
        <v>602</v>
      </c>
      <c r="B335" s="111"/>
      <c r="C335" s="201" t="s">
        <v>603</v>
      </c>
      <c r="D335" s="91">
        <v>40585</v>
      </c>
      <c r="E335" s="92"/>
      <c r="F335" s="93"/>
      <c r="G335" s="93"/>
      <c r="H335" s="93">
        <v>772.73</v>
      </c>
      <c r="I335" s="93">
        <v>0</v>
      </c>
      <c r="J335" s="93"/>
      <c r="K335" s="93">
        <f t="shared" si="68"/>
        <v>0</v>
      </c>
      <c r="L335" s="93">
        <f t="shared" si="69"/>
        <v>0</v>
      </c>
      <c r="M335" s="94">
        <v>20</v>
      </c>
      <c r="N335" s="95" t="s">
        <v>289</v>
      </c>
      <c r="O335" s="93">
        <f t="shared" si="61"/>
        <v>0</v>
      </c>
      <c r="P335" s="93">
        <f t="shared" si="62"/>
        <v>0</v>
      </c>
      <c r="Q335" s="93">
        <f t="shared" si="63"/>
        <v>0</v>
      </c>
      <c r="R335" s="93">
        <f t="shared" si="64"/>
        <v>0</v>
      </c>
      <c r="S335" s="93">
        <f t="shared" si="65"/>
        <v>0</v>
      </c>
      <c r="T335" s="93">
        <f t="shared" si="70"/>
        <v>0</v>
      </c>
      <c r="U335" s="253">
        <f t="shared" si="66"/>
        <v>0</v>
      </c>
      <c r="V335" s="93">
        <f t="shared" si="67"/>
        <v>0</v>
      </c>
    </row>
    <row r="336" spans="1:22" ht="18" customHeight="1" x14ac:dyDescent="0.2">
      <c r="A336" s="110" t="s">
        <v>604</v>
      </c>
      <c r="B336" s="111"/>
      <c r="C336" s="201" t="s">
        <v>605</v>
      </c>
      <c r="D336" s="91">
        <v>38168</v>
      </c>
      <c r="E336" s="92">
        <v>43646</v>
      </c>
      <c r="F336" s="93"/>
      <c r="G336" s="93"/>
      <c r="H336" s="93">
        <v>135.42000000000002</v>
      </c>
      <c r="I336" s="93">
        <v>0</v>
      </c>
      <c r="J336" s="93"/>
      <c r="K336" s="93">
        <f t="shared" si="68"/>
        <v>0</v>
      </c>
      <c r="L336" s="93">
        <f t="shared" si="69"/>
        <v>0</v>
      </c>
      <c r="M336" s="94">
        <v>10</v>
      </c>
      <c r="N336" s="95" t="s">
        <v>289</v>
      </c>
      <c r="O336" s="93">
        <f t="shared" si="61"/>
        <v>0</v>
      </c>
      <c r="P336" s="93">
        <f t="shared" si="62"/>
        <v>0</v>
      </c>
      <c r="Q336" s="93">
        <f t="shared" si="63"/>
        <v>0</v>
      </c>
      <c r="R336" s="93">
        <f t="shared" si="64"/>
        <v>0</v>
      </c>
      <c r="S336" s="93">
        <f t="shared" si="65"/>
        <v>0</v>
      </c>
      <c r="T336" s="93">
        <f t="shared" si="70"/>
        <v>0</v>
      </c>
      <c r="U336" s="253">
        <f t="shared" si="66"/>
        <v>0</v>
      </c>
      <c r="V336" s="93">
        <f t="shared" si="67"/>
        <v>135.42000000000002</v>
      </c>
    </row>
    <row r="337" spans="1:22" ht="18" customHeight="1" x14ac:dyDescent="0.2">
      <c r="A337" s="110" t="s">
        <v>606</v>
      </c>
      <c r="B337" s="111"/>
      <c r="C337" s="201" t="s">
        <v>607</v>
      </c>
      <c r="D337" s="91">
        <v>38168</v>
      </c>
      <c r="E337" s="92">
        <v>43646</v>
      </c>
      <c r="F337" s="93"/>
      <c r="G337" s="93"/>
      <c r="H337" s="93">
        <v>450</v>
      </c>
      <c r="I337" s="93">
        <v>0</v>
      </c>
      <c r="J337" s="93"/>
      <c r="K337" s="93">
        <f t="shared" si="68"/>
        <v>0</v>
      </c>
      <c r="L337" s="93">
        <f t="shared" si="69"/>
        <v>0</v>
      </c>
      <c r="M337" s="94">
        <v>20</v>
      </c>
      <c r="N337" s="95" t="s">
        <v>289</v>
      </c>
      <c r="O337" s="93">
        <f t="shared" si="61"/>
        <v>0</v>
      </c>
      <c r="P337" s="93">
        <f t="shared" si="62"/>
        <v>0</v>
      </c>
      <c r="Q337" s="93">
        <f t="shared" si="63"/>
        <v>0</v>
      </c>
      <c r="R337" s="93">
        <f t="shared" si="64"/>
        <v>0</v>
      </c>
      <c r="S337" s="93">
        <f t="shared" si="65"/>
        <v>0</v>
      </c>
      <c r="T337" s="93">
        <f t="shared" si="70"/>
        <v>0</v>
      </c>
      <c r="U337" s="253">
        <f t="shared" si="66"/>
        <v>0</v>
      </c>
      <c r="V337" s="93">
        <f t="shared" si="67"/>
        <v>450</v>
      </c>
    </row>
    <row r="338" spans="1:22" ht="18" customHeight="1" x14ac:dyDescent="0.2">
      <c r="A338" s="110" t="s">
        <v>608</v>
      </c>
      <c r="B338" s="111"/>
      <c r="C338" s="201" t="s">
        <v>609</v>
      </c>
      <c r="D338" s="91">
        <v>38253</v>
      </c>
      <c r="E338" s="92">
        <v>43646</v>
      </c>
      <c r="F338" s="93"/>
      <c r="G338" s="93"/>
      <c r="H338" s="93">
        <v>181</v>
      </c>
      <c r="I338" s="93">
        <v>0</v>
      </c>
      <c r="J338" s="93"/>
      <c r="K338" s="93">
        <f t="shared" si="68"/>
        <v>0</v>
      </c>
      <c r="L338" s="93">
        <f t="shared" si="69"/>
        <v>0</v>
      </c>
      <c r="M338" s="94">
        <v>20</v>
      </c>
      <c r="N338" s="95" t="s">
        <v>289</v>
      </c>
      <c r="O338" s="93">
        <f t="shared" si="61"/>
        <v>0</v>
      </c>
      <c r="P338" s="93">
        <f t="shared" si="62"/>
        <v>0</v>
      </c>
      <c r="Q338" s="93">
        <f t="shared" si="63"/>
        <v>0</v>
      </c>
      <c r="R338" s="93">
        <f t="shared" si="64"/>
        <v>0</v>
      </c>
      <c r="S338" s="93">
        <f t="shared" si="65"/>
        <v>0</v>
      </c>
      <c r="T338" s="93">
        <f t="shared" si="70"/>
        <v>0</v>
      </c>
      <c r="U338" s="253">
        <f t="shared" si="66"/>
        <v>0</v>
      </c>
      <c r="V338" s="93">
        <f t="shared" si="67"/>
        <v>181</v>
      </c>
    </row>
    <row r="339" spans="1:22" ht="18" customHeight="1" x14ac:dyDescent="0.2">
      <c r="A339" s="110" t="s">
        <v>610</v>
      </c>
      <c r="B339" s="111"/>
      <c r="C339" s="201" t="s">
        <v>611</v>
      </c>
      <c r="D339" s="91">
        <v>38328</v>
      </c>
      <c r="E339" s="92"/>
      <c r="F339" s="93"/>
      <c r="G339" s="93"/>
      <c r="H339" s="93">
        <v>1000</v>
      </c>
      <c r="I339" s="93">
        <v>0</v>
      </c>
      <c r="J339" s="93"/>
      <c r="K339" s="93">
        <f t="shared" si="68"/>
        <v>0</v>
      </c>
      <c r="L339" s="93">
        <f t="shared" si="69"/>
        <v>0</v>
      </c>
      <c r="M339" s="94">
        <v>5</v>
      </c>
      <c r="N339" s="95" t="s">
        <v>289</v>
      </c>
      <c r="O339" s="93">
        <f t="shared" si="61"/>
        <v>0</v>
      </c>
      <c r="P339" s="93">
        <f t="shared" si="62"/>
        <v>0</v>
      </c>
      <c r="Q339" s="93">
        <f t="shared" si="63"/>
        <v>0</v>
      </c>
      <c r="R339" s="93">
        <f t="shared" si="64"/>
        <v>0</v>
      </c>
      <c r="S339" s="93">
        <f t="shared" si="65"/>
        <v>0</v>
      </c>
      <c r="T339" s="93">
        <f t="shared" si="70"/>
        <v>0</v>
      </c>
      <c r="U339" s="253">
        <f t="shared" si="66"/>
        <v>0</v>
      </c>
      <c r="V339" s="93">
        <f t="shared" si="67"/>
        <v>0</v>
      </c>
    </row>
    <row r="340" spans="1:22" ht="18" customHeight="1" x14ac:dyDescent="0.2">
      <c r="A340" s="110" t="s">
        <v>612</v>
      </c>
      <c r="B340" s="111"/>
      <c r="C340" s="201" t="s">
        <v>613</v>
      </c>
      <c r="D340" s="91">
        <v>38413</v>
      </c>
      <c r="E340" s="92"/>
      <c r="F340" s="93"/>
      <c r="G340" s="93"/>
      <c r="H340" s="93">
        <v>3750</v>
      </c>
      <c r="I340" s="93">
        <v>1854</v>
      </c>
      <c r="J340" s="93"/>
      <c r="K340" s="93">
        <f t="shared" si="68"/>
        <v>0</v>
      </c>
      <c r="L340" s="93">
        <f t="shared" si="69"/>
        <v>0</v>
      </c>
      <c r="M340" s="94">
        <v>5</v>
      </c>
      <c r="N340" s="95" t="s">
        <v>289</v>
      </c>
      <c r="O340" s="93">
        <f t="shared" si="61"/>
        <v>0</v>
      </c>
      <c r="P340" s="93">
        <f t="shared" si="62"/>
        <v>0</v>
      </c>
      <c r="Q340" s="93">
        <f t="shared" si="63"/>
        <v>0</v>
      </c>
      <c r="R340" s="93">
        <f t="shared" si="64"/>
        <v>54</v>
      </c>
      <c r="S340" s="93">
        <f t="shared" si="65"/>
        <v>0</v>
      </c>
      <c r="T340" s="93">
        <f t="shared" si="70"/>
        <v>54</v>
      </c>
      <c r="U340" s="253">
        <f t="shared" si="66"/>
        <v>1800</v>
      </c>
      <c r="V340" s="93">
        <f t="shared" si="67"/>
        <v>0</v>
      </c>
    </row>
    <row r="341" spans="1:22" ht="18" customHeight="1" x14ac:dyDescent="0.2">
      <c r="A341" s="110" t="s">
        <v>614</v>
      </c>
      <c r="B341" s="111"/>
      <c r="C341" s="201" t="s">
        <v>615</v>
      </c>
      <c r="D341" s="91">
        <v>38486</v>
      </c>
      <c r="E341" s="92">
        <v>43646</v>
      </c>
      <c r="F341" s="93"/>
      <c r="G341" s="93"/>
      <c r="H341" s="93">
        <v>690.91</v>
      </c>
      <c r="I341" s="93">
        <v>0</v>
      </c>
      <c r="J341" s="93"/>
      <c r="K341" s="93">
        <f t="shared" si="68"/>
        <v>0</v>
      </c>
      <c r="L341" s="93">
        <f t="shared" si="69"/>
        <v>0</v>
      </c>
      <c r="M341" s="94">
        <v>37.5</v>
      </c>
      <c r="N341" s="95" t="s">
        <v>289</v>
      </c>
      <c r="O341" s="93">
        <f t="shared" si="61"/>
        <v>0</v>
      </c>
      <c r="P341" s="93">
        <f t="shared" si="62"/>
        <v>0</v>
      </c>
      <c r="Q341" s="93">
        <f t="shared" si="63"/>
        <v>0</v>
      </c>
      <c r="R341" s="93">
        <f t="shared" si="64"/>
        <v>0</v>
      </c>
      <c r="S341" s="93">
        <f t="shared" si="65"/>
        <v>0</v>
      </c>
      <c r="T341" s="93">
        <f t="shared" si="70"/>
        <v>0</v>
      </c>
      <c r="U341" s="253">
        <f t="shared" si="66"/>
        <v>0</v>
      </c>
      <c r="V341" s="93">
        <f t="shared" si="67"/>
        <v>690.91</v>
      </c>
    </row>
    <row r="342" spans="1:22" ht="18" customHeight="1" x14ac:dyDescent="0.2">
      <c r="A342" s="110" t="s">
        <v>616</v>
      </c>
      <c r="B342" s="111"/>
      <c r="C342" s="201" t="s">
        <v>617</v>
      </c>
      <c r="D342" s="91">
        <v>40653</v>
      </c>
      <c r="E342" s="92"/>
      <c r="F342" s="93"/>
      <c r="G342" s="93"/>
      <c r="H342" s="93">
        <v>955.55000000000007</v>
      </c>
      <c r="I342" s="93">
        <v>0</v>
      </c>
      <c r="J342" s="93"/>
      <c r="K342" s="93">
        <f t="shared" si="68"/>
        <v>0</v>
      </c>
      <c r="L342" s="93">
        <f t="shared" si="69"/>
        <v>0</v>
      </c>
      <c r="M342" s="94">
        <v>20</v>
      </c>
      <c r="N342" s="95" t="s">
        <v>289</v>
      </c>
      <c r="O342" s="93">
        <f t="shared" si="61"/>
        <v>0</v>
      </c>
      <c r="P342" s="93">
        <f t="shared" si="62"/>
        <v>0</v>
      </c>
      <c r="Q342" s="93">
        <f t="shared" si="63"/>
        <v>0</v>
      </c>
      <c r="R342" s="93">
        <f t="shared" si="64"/>
        <v>0</v>
      </c>
      <c r="S342" s="93">
        <f t="shared" si="65"/>
        <v>0</v>
      </c>
      <c r="T342" s="93">
        <f t="shared" si="70"/>
        <v>0</v>
      </c>
      <c r="U342" s="253">
        <f t="shared" si="66"/>
        <v>0</v>
      </c>
      <c r="V342" s="93">
        <f t="shared" si="67"/>
        <v>0</v>
      </c>
    </row>
    <row r="343" spans="1:22" ht="18" customHeight="1" x14ac:dyDescent="0.2">
      <c r="A343" s="110" t="s">
        <v>618</v>
      </c>
      <c r="B343" s="111"/>
      <c r="C343" s="201" t="s">
        <v>619</v>
      </c>
      <c r="D343" s="91">
        <v>40653</v>
      </c>
      <c r="E343" s="92"/>
      <c r="F343" s="93"/>
      <c r="G343" s="93"/>
      <c r="H343" s="93">
        <v>914</v>
      </c>
      <c r="I343" s="93">
        <v>0</v>
      </c>
      <c r="J343" s="93"/>
      <c r="K343" s="93">
        <f t="shared" si="68"/>
        <v>0</v>
      </c>
      <c r="L343" s="93">
        <f t="shared" si="69"/>
        <v>0</v>
      </c>
      <c r="M343" s="94">
        <v>20</v>
      </c>
      <c r="N343" s="95" t="s">
        <v>289</v>
      </c>
      <c r="O343" s="93">
        <f t="shared" si="61"/>
        <v>0</v>
      </c>
      <c r="P343" s="93">
        <f t="shared" si="62"/>
        <v>0</v>
      </c>
      <c r="Q343" s="93">
        <f t="shared" si="63"/>
        <v>0</v>
      </c>
      <c r="R343" s="93">
        <f t="shared" si="64"/>
        <v>0</v>
      </c>
      <c r="S343" s="93">
        <f t="shared" si="65"/>
        <v>0</v>
      </c>
      <c r="T343" s="93">
        <f t="shared" si="70"/>
        <v>0</v>
      </c>
      <c r="U343" s="253">
        <f t="shared" si="66"/>
        <v>0</v>
      </c>
      <c r="V343" s="93">
        <f t="shared" si="67"/>
        <v>0</v>
      </c>
    </row>
    <row r="344" spans="1:22" ht="18" customHeight="1" x14ac:dyDescent="0.2">
      <c r="A344" s="110" t="s">
        <v>620</v>
      </c>
      <c r="B344" s="111"/>
      <c r="C344" s="201" t="s">
        <v>621</v>
      </c>
      <c r="D344" s="91">
        <v>38448</v>
      </c>
      <c r="E344" s="92"/>
      <c r="F344" s="93"/>
      <c r="G344" s="93"/>
      <c r="H344" s="93">
        <v>1613.23</v>
      </c>
      <c r="I344" s="93">
        <v>0</v>
      </c>
      <c r="J344" s="93"/>
      <c r="K344" s="93">
        <f t="shared" si="68"/>
        <v>0</v>
      </c>
      <c r="L344" s="93">
        <f t="shared" si="69"/>
        <v>0</v>
      </c>
      <c r="M344" s="94">
        <v>7.5</v>
      </c>
      <c r="N344" s="95" t="s">
        <v>289</v>
      </c>
      <c r="O344" s="93">
        <f t="shared" si="61"/>
        <v>0</v>
      </c>
      <c r="P344" s="93">
        <f t="shared" si="62"/>
        <v>0</v>
      </c>
      <c r="Q344" s="93">
        <f t="shared" si="63"/>
        <v>0</v>
      </c>
      <c r="R344" s="93">
        <f t="shared" si="64"/>
        <v>0</v>
      </c>
      <c r="S344" s="93">
        <f t="shared" si="65"/>
        <v>0</v>
      </c>
      <c r="T344" s="93">
        <f t="shared" si="70"/>
        <v>0</v>
      </c>
      <c r="U344" s="253">
        <f t="shared" si="66"/>
        <v>0</v>
      </c>
      <c r="V344" s="93">
        <f t="shared" si="67"/>
        <v>0</v>
      </c>
    </row>
    <row r="345" spans="1:22" ht="18" customHeight="1" x14ac:dyDescent="0.2">
      <c r="A345" s="110" t="s">
        <v>622</v>
      </c>
      <c r="B345" s="111"/>
      <c r="C345" s="201" t="s">
        <v>623</v>
      </c>
      <c r="D345" s="91">
        <v>38432</v>
      </c>
      <c r="E345" s="92"/>
      <c r="F345" s="93"/>
      <c r="G345" s="93"/>
      <c r="H345" s="93">
        <v>825</v>
      </c>
      <c r="I345" s="93">
        <v>0</v>
      </c>
      <c r="J345" s="93"/>
      <c r="K345" s="93">
        <f t="shared" si="68"/>
        <v>0</v>
      </c>
      <c r="L345" s="93">
        <f t="shared" si="69"/>
        <v>0</v>
      </c>
      <c r="M345" s="94">
        <v>7.5</v>
      </c>
      <c r="N345" s="95" t="s">
        <v>289</v>
      </c>
      <c r="O345" s="93">
        <f t="shared" si="61"/>
        <v>0</v>
      </c>
      <c r="P345" s="93">
        <f t="shared" si="62"/>
        <v>0</v>
      </c>
      <c r="Q345" s="93">
        <f t="shared" si="63"/>
        <v>0</v>
      </c>
      <c r="R345" s="93">
        <f t="shared" si="64"/>
        <v>0</v>
      </c>
      <c r="S345" s="93">
        <f t="shared" si="65"/>
        <v>0</v>
      </c>
      <c r="T345" s="93">
        <f t="shared" si="70"/>
        <v>0</v>
      </c>
      <c r="U345" s="253">
        <f t="shared" si="66"/>
        <v>0</v>
      </c>
      <c r="V345" s="93">
        <f t="shared" si="67"/>
        <v>0</v>
      </c>
    </row>
    <row r="346" spans="1:22" ht="18" customHeight="1" x14ac:dyDescent="0.2">
      <c r="A346" s="110" t="s">
        <v>624</v>
      </c>
      <c r="B346" s="111"/>
      <c r="C346" s="201" t="s">
        <v>380</v>
      </c>
      <c r="D346" s="91">
        <v>38477</v>
      </c>
      <c r="E346" s="92"/>
      <c r="F346" s="93"/>
      <c r="G346" s="93"/>
      <c r="H346" s="93">
        <v>407.88</v>
      </c>
      <c r="I346" s="93">
        <v>0</v>
      </c>
      <c r="J346" s="93"/>
      <c r="K346" s="93">
        <f t="shared" si="68"/>
        <v>0</v>
      </c>
      <c r="L346" s="93">
        <f t="shared" si="69"/>
        <v>0</v>
      </c>
      <c r="M346" s="94">
        <v>7.5</v>
      </c>
      <c r="N346" s="95" t="s">
        <v>289</v>
      </c>
      <c r="O346" s="93">
        <f t="shared" si="61"/>
        <v>0</v>
      </c>
      <c r="P346" s="93">
        <f t="shared" si="62"/>
        <v>0</v>
      </c>
      <c r="Q346" s="93">
        <f t="shared" si="63"/>
        <v>0</v>
      </c>
      <c r="R346" s="93">
        <f t="shared" si="64"/>
        <v>0</v>
      </c>
      <c r="S346" s="93">
        <f t="shared" si="65"/>
        <v>0</v>
      </c>
      <c r="T346" s="93">
        <f t="shared" si="70"/>
        <v>0</v>
      </c>
      <c r="U346" s="253">
        <f t="shared" si="66"/>
        <v>0</v>
      </c>
      <c r="V346" s="93">
        <f t="shared" si="67"/>
        <v>0</v>
      </c>
    </row>
    <row r="347" spans="1:22" ht="18" customHeight="1" x14ac:dyDescent="0.2">
      <c r="A347" s="110" t="s">
        <v>625</v>
      </c>
      <c r="B347" s="111"/>
      <c r="C347" s="201" t="s">
        <v>626</v>
      </c>
      <c r="D347" s="91">
        <v>38567</v>
      </c>
      <c r="E347" s="92"/>
      <c r="F347" s="93"/>
      <c r="G347" s="93"/>
      <c r="H347" s="93">
        <v>2100</v>
      </c>
      <c r="I347" s="93">
        <v>1060</v>
      </c>
      <c r="J347" s="93"/>
      <c r="K347" s="93">
        <f t="shared" si="68"/>
        <v>0</v>
      </c>
      <c r="L347" s="93">
        <f t="shared" si="69"/>
        <v>0</v>
      </c>
      <c r="M347" s="94">
        <v>5</v>
      </c>
      <c r="N347" s="95" t="s">
        <v>289</v>
      </c>
      <c r="O347" s="93">
        <f t="shared" si="61"/>
        <v>0</v>
      </c>
      <c r="P347" s="93">
        <f t="shared" si="62"/>
        <v>0</v>
      </c>
      <c r="Q347" s="93">
        <f t="shared" si="63"/>
        <v>0</v>
      </c>
      <c r="R347" s="93">
        <f t="shared" si="64"/>
        <v>30</v>
      </c>
      <c r="S347" s="93">
        <f t="shared" si="65"/>
        <v>0</v>
      </c>
      <c r="T347" s="93">
        <f t="shared" si="70"/>
        <v>30</v>
      </c>
      <c r="U347" s="253">
        <f t="shared" si="66"/>
        <v>1030</v>
      </c>
      <c r="V347" s="93">
        <f t="shared" si="67"/>
        <v>0</v>
      </c>
    </row>
    <row r="348" spans="1:22" ht="18" customHeight="1" x14ac:dyDescent="0.2">
      <c r="A348" s="110" t="s">
        <v>627</v>
      </c>
      <c r="B348" s="111"/>
      <c r="C348" s="201" t="s">
        <v>628</v>
      </c>
      <c r="D348" s="91">
        <v>38726</v>
      </c>
      <c r="E348" s="92"/>
      <c r="F348" s="93"/>
      <c r="G348" s="93"/>
      <c r="H348" s="93">
        <v>23400</v>
      </c>
      <c r="I348" s="93">
        <v>12085</v>
      </c>
      <c r="J348" s="93"/>
      <c r="K348" s="93">
        <f t="shared" si="68"/>
        <v>0</v>
      </c>
      <c r="L348" s="93">
        <f t="shared" si="69"/>
        <v>0</v>
      </c>
      <c r="M348" s="94">
        <v>5</v>
      </c>
      <c r="N348" s="95" t="s">
        <v>289</v>
      </c>
      <c r="O348" s="93">
        <f t="shared" si="61"/>
        <v>0</v>
      </c>
      <c r="P348" s="93">
        <f t="shared" si="62"/>
        <v>0</v>
      </c>
      <c r="Q348" s="93">
        <f t="shared" si="63"/>
        <v>0</v>
      </c>
      <c r="R348" s="93">
        <f t="shared" si="64"/>
        <v>352</v>
      </c>
      <c r="S348" s="93">
        <f t="shared" si="65"/>
        <v>0</v>
      </c>
      <c r="T348" s="93">
        <f t="shared" si="70"/>
        <v>352</v>
      </c>
      <c r="U348" s="253">
        <f t="shared" si="66"/>
        <v>11733</v>
      </c>
      <c r="V348" s="93">
        <f t="shared" si="67"/>
        <v>0</v>
      </c>
    </row>
    <row r="349" spans="1:22" ht="18" customHeight="1" x14ac:dyDescent="0.2">
      <c r="A349" s="110" t="s">
        <v>629</v>
      </c>
      <c r="B349" s="111"/>
      <c r="C349" s="201" t="s">
        <v>630</v>
      </c>
      <c r="D349" s="91">
        <v>38730</v>
      </c>
      <c r="E349" s="92"/>
      <c r="F349" s="93"/>
      <c r="G349" s="93"/>
      <c r="H349" s="93">
        <v>19000</v>
      </c>
      <c r="I349" s="93">
        <v>4249</v>
      </c>
      <c r="J349" s="93"/>
      <c r="K349" s="93">
        <f t="shared" si="68"/>
        <v>0</v>
      </c>
      <c r="L349" s="93">
        <f t="shared" si="69"/>
        <v>0</v>
      </c>
      <c r="M349" s="94">
        <v>11</v>
      </c>
      <c r="N349" s="95" t="s">
        <v>289</v>
      </c>
      <c r="O349" s="93">
        <f t="shared" si="61"/>
        <v>0</v>
      </c>
      <c r="P349" s="93">
        <f t="shared" si="62"/>
        <v>0</v>
      </c>
      <c r="Q349" s="93">
        <f t="shared" si="63"/>
        <v>0</v>
      </c>
      <c r="R349" s="93">
        <f t="shared" si="64"/>
        <v>272</v>
      </c>
      <c r="S349" s="93">
        <f t="shared" si="65"/>
        <v>0</v>
      </c>
      <c r="T349" s="93">
        <f t="shared" si="70"/>
        <v>272</v>
      </c>
      <c r="U349" s="253">
        <f t="shared" si="66"/>
        <v>3977</v>
      </c>
      <c r="V349" s="93">
        <f t="shared" si="67"/>
        <v>0</v>
      </c>
    </row>
    <row r="350" spans="1:22" ht="18" customHeight="1" x14ac:dyDescent="0.2">
      <c r="A350" s="110" t="s">
        <v>631</v>
      </c>
      <c r="B350" s="111"/>
      <c r="C350" s="201" t="s">
        <v>632</v>
      </c>
      <c r="D350" s="91">
        <v>38747</v>
      </c>
      <c r="E350" s="92">
        <v>43646</v>
      </c>
      <c r="F350" s="93"/>
      <c r="G350" s="93"/>
      <c r="H350" s="93">
        <v>304.45</v>
      </c>
      <c r="I350" s="93">
        <v>0</v>
      </c>
      <c r="J350" s="93"/>
      <c r="K350" s="93">
        <f t="shared" si="68"/>
        <v>0</v>
      </c>
      <c r="L350" s="93">
        <f t="shared" si="69"/>
        <v>0</v>
      </c>
      <c r="M350" s="94">
        <v>10</v>
      </c>
      <c r="N350" s="95" t="s">
        <v>289</v>
      </c>
      <c r="O350" s="93">
        <f t="shared" si="61"/>
        <v>0</v>
      </c>
      <c r="P350" s="93">
        <f t="shared" si="62"/>
        <v>0</v>
      </c>
      <c r="Q350" s="93">
        <f t="shared" si="63"/>
        <v>0</v>
      </c>
      <c r="R350" s="93">
        <f t="shared" si="64"/>
        <v>0</v>
      </c>
      <c r="S350" s="93">
        <f t="shared" si="65"/>
        <v>0</v>
      </c>
      <c r="T350" s="93">
        <f t="shared" si="70"/>
        <v>0</v>
      </c>
      <c r="U350" s="253">
        <f t="shared" si="66"/>
        <v>0</v>
      </c>
      <c r="V350" s="93">
        <f t="shared" si="67"/>
        <v>304.45</v>
      </c>
    </row>
    <row r="351" spans="1:22" ht="18" customHeight="1" x14ac:dyDescent="0.2">
      <c r="A351" s="110" t="s">
        <v>633</v>
      </c>
      <c r="B351" s="111"/>
      <c r="C351" s="201" t="s">
        <v>634</v>
      </c>
      <c r="D351" s="91">
        <v>38763</v>
      </c>
      <c r="E351" s="92">
        <v>43646</v>
      </c>
      <c r="F351" s="93"/>
      <c r="G351" s="93"/>
      <c r="H351" s="93">
        <v>330</v>
      </c>
      <c r="I351" s="93">
        <v>0</v>
      </c>
      <c r="J351" s="93"/>
      <c r="K351" s="93">
        <f t="shared" si="68"/>
        <v>0</v>
      </c>
      <c r="L351" s="93">
        <f t="shared" si="69"/>
        <v>0</v>
      </c>
      <c r="M351" s="94">
        <v>37.5</v>
      </c>
      <c r="N351" s="95" t="s">
        <v>289</v>
      </c>
      <c r="O351" s="93">
        <f t="shared" si="61"/>
        <v>0</v>
      </c>
      <c r="P351" s="93">
        <f t="shared" si="62"/>
        <v>0</v>
      </c>
      <c r="Q351" s="93">
        <f t="shared" si="63"/>
        <v>0</v>
      </c>
      <c r="R351" s="93">
        <f t="shared" si="64"/>
        <v>0</v>
      </c>
      <c r="S351" s="93">
        <f t="shared" si="65"/>
        <v>0</v>
      </c>
      <c r="T351" s="93">
        <f t="shared" si="70"/>
        <v>0</v>
      </c>
      <c r="U351" s="253">
        <f t="shared" si="66"/>
        <v>0</v>
      </c>
      <c r="V351" s="93">
        <f t="shared" si="67"/>
        <v>330</v>
      </c>
    </row>
    <row r="352" spans="1:22" ht="18" customHeight="1" x14ac:dyDescent="0.2">
      <c r="A352" s="110" t="s">
        <v>635</v>
      </c>
      <c r="B352" s="111"/>
      <c r="C352" s="201" t="s">
        <v>636</v>
      </c>
      <c r="D352" s="91">
        <v>38763</v>
      </c>
      <c r="E352" s="92">
        <v>43646</v>
      </c>
      <c r="F352" s="93"/>
      <c r="G352" s="93"/>
      <c r="H352" s="93">
        <v>117</v>
      </c>
      <c r="I352" s="93">
        <v>0</v>
      </c>
      <c r="J352" s="93"/>
      <c r="K352" s="93">
        <f t="shared" si="68"/>
        <v>0</v>
      </c>
      <c r="L352" s="93">
        <f t="shared" si="69"/>
        <v>0</v>
      </c>
      <c r="M352" s="94">
        <v>37.5</v>
      </c>
      <c r="N352" s="95" t="s">
        <v>289</v>
      </c>
      <c r="O352" s="93">
        <f t="shared" si="61"/>
        <v>0</v>
      </c>
      <c r="P352" s="93">
        <f t="shared" si="62"/>
        <v>0</v>
      </c>
      <c r="Q352" s="93">
        <f t="shared" si="63"/>
        <v>0</v>
      </c>
      <c r="R352" s="93">
        <f t="shared" si="64"/>
        <v>0</v>
      </c>
      <c r="S352" s="93">
        <f t="shared" si="65"/>
        <v>0</v>
      </c>
      <c r="T352" s="93">
        <f t="shared" si="70"/>
        <v>0</v>
      </c>
      <c r="U352" s="253">
        <f t="shared" si="66"/>
        <v>0</v>
      </c>
      <c r="V352" s="93">
        <f t="shared" si="67"/>
        <v>117</v>
      </c>
    </row>
    <row r="353" spans="1:22" ht="18" customHeight="1" x14ac:dyDescent="0.2">
      <c r="A353" s="110" t="s">
        <v>637</v>
      </c>
      <c r="B353" s="111"/>
      <c r="C353" s="201" t="s">
        <v>638</v>
      </c>
      <c r="D353" s="91">
        <v>38799</v>
      </c>
      <c r="E353" s="92"/>
      <c r="F353" s="93"/>
      <c r="G353" s="93"/>
      <c r="H353" s="93">
        <v>261.82</v>
      </c>
      <c r="I353" s="93">
        <v>0</v>
      </c>
      <c r="J353" s="93"/>
      <c r="K353" s="93">
        <f t="shared" si="68"/>
        <v>0</v>
      </c>
      <c r="L353" s="93">
        <f t="shared" si="69"/>
        <v>0</v>
      </c>
      <c r="M353" s="94">
        <v>37.5</v>
      </c>
      <c r="N353" s="95" t="s">
        <v>289</v>
      </c>
      <c r="O353" s="93">
        <f t="shared" si="61"/>
        <v>0</v>
      </c>
      <c r="P353" s="93">
        <f t="shared" si="62"/>
        <v>0</v>
      </c>
      <c r="Q353" s="93">
        <f t="shared" si="63"/>
        <v>0</v>
      </c>
      <c r="R353" s="93">
        <f t="shared" si="64"/>
        <v>0</v>
      </c>
      <c r="S353" s="93">
        <f t="shared" si="65"/>
        <v>0</v>
      </c>
      <c r="T353" s="93">
        <f t="shared" si="70"/>
        <v>0</v>
      </c>
      <c r="U353" s="253">
        <f t="shared" si="66"/>
        <v>0</v>
      </c>
      <c r="V353" s="93">
        <f t="shared" si="67"/>
        <v>0</v>
      </c>
    </row>
    <row r="354" spans="1:22" ht="18" customHeight="1" x14ac:dyDescent="0.2">
      <c r="A354" s="110" t="s">
        <v>639</v>
      </c>
      <c r="B354" s="111"/>
      <c r="C354" s="201" t="s">
        <v>640</v>
      </c>
      <c r="D354" s="91">
        <v>38810</v>
      </c>
      <c r="E354" s="92"/>
      <c r="F354" s="93"/>
      <c r="G354" s="93"/>
      <c r="H354" s="93">
        <v>1250</v>
      </c>
      <c r="I354" s="93">
        <v>0</v>
      </c>
      <c r="J354" s="93"/>
      <c r="K354" s="93">
        <f t="shared" si="68"/>
        <v>0</v>
      </c>
      <c r="L354" s="93">
        <f t="shared" si="69"/>
        <v>0</v>
      </c>
      <c r="M354" s="94">
        <v>5</v>
      </c>
      <c r="N354" s="95" t="s">
        <v>289</v>
      </c>
      <c r="O354" s="93">
        <f t="shared" si="61"/>
        <v>0</v>
      </c>
      <c r="P354" s="93">
        <f t="shared" si="62"/>
        <v>0</v>
      </c>
      <c r="Q354" s="93">
        <f t="shared" si="63"/>
        <v>0</v>
      </c>
      <c r="R354" s="93">
        <f t="shared" si="64"/>
        <v>0</v>
      </c>
      <c r="S354" s="93">
        <f t="shared" si="65"/>
        <v>0</v>
      </c>
      <c r="T354" s="93">
        <f t="shared" si="70"/>
        <v>0</v>
      </c>
      <c r="U354" s="253">
        <f t="shared" si="66"/>
        <v>0</v>
      </c>
      <c r="V354" s="93">
        <f t="shared" si="67"/>
        <v>0</v>
      </c>
    </row>
    <row r="355" spans="1:22" ht="18" customHeight="1" x14ac:dyDescent="0.2">
      <c r="A355" s="110" t="s">
        <v>641</v>
      </c>
      <c r="B355" s="111"/>
      <c r="C355" s="201" t="s">
        <v>640</v>
      </c>
      <c r="D355" s="91">
        <v>38813</v>
      </c>
      <c r="E355" s="92"/>
      <c r="F355" s="93"/>
      <c r="G355" s="93"/>
      <c r="H355" s="93">
        <v>1250</v>
      </c>
      <c r="I355" s="93">
        <v>0</v>
      </c>
      <c r="J355" s="93"/>
      <c r="K355" s="93">
        <f t="shared" si="68"/>
        <v>0</v>
      </c>
      <c r="L355" s="93">
        <f t="shared" si="69"/>
        <v>0</v>
      </c>
      <c r="M355" s="94">
        <v>5</v>
      </c>
      <c r="N355" s="95" t="s">
        <v>289</v>
      </c>
      <c r="O355" s="93">
        <f t="shared" si="61"/>
        <v>0</v>
      </c>
      <c r="P355" s="93">
        <f t="shared" si="62"/>
        <v>0</v>
      </c>
      <c r="Q355" s="93">
        <f t="shared" si="63"/>
        <v>0</v>
      </c>
      <c r="R355" s="93">
        <f t="shared" si="64"/>
        <v>0</v>
      </c>
      <c r="S355" s="93">
        <f t="shared" si="65"/>
        <v>0</v>
      </c>
      <c r="T355" s="93">
        <f t="shared" si="70"/>
        <v>0</v>
      </c>
      <c r="U355" s="253">
        <f t="shared" si="66"/>
        <v>0</v>
      </c>
      <c r="V355" s="93">
        <f t="shared" si="67"/>
        <v>0</v>
      </c>
    </row>
    <row r="356" spans="1:22" ht="18" customHeight="1" x14ac:dyDescent="0.2">
      <c r="A356" s="110" t="s">
        <v>642</v>
      </c>
      <c r="B356" s="111"/>
      <c r="C356" s="201" t="s">
        <v>643</v>
      </c>
      <c r="D356" s="91">
        <v>38834</v>
      </c>
      <c r="E356" s="92"/>
      <c r="F356" s="93"/>
      <c r="G356" s="93"/>
      <c r="H356" s="93">
        <v>1000</v>
      </c>
      <c r="I356" s="93">
        <v>0</v>
      </c>
      <c r="J356" s="93"/>
      <c r="K356" s="93">
        <f t="shared" si="68"/>
        <v>0</v>
      </c>
      <c r="L356" s="93">
        <f t="shared" si="69"/>
        <v>0</v>
      </c>
      <c r="M356" s="94">
        <v>5</v>
      </c>
      <c r="N356" s="95" t="s">
        <v>289</v>
      </c>
      <c r="O356" s="93">
        <f t="shared" si="61"/>
        <v>0</v>
      </c>
      <c r="P356" s="93">
        <f t="shared" si="62"/>
        <v>0</v>
      </c>
      <c r="Q356" s="93">
        <f t="shared" si="63"/>
        <v>0</v>
      </c>
      <c r="R356" s="93">
        <f t="shared" si="64"/>
        <v>0</v>
      </c>
      <c r="S356" s="93">
        <f t="shared" si="65"/>
        <v>0</v>
      </c>
      <c r="T356" s="93">
        <f t="shared" si="70"/>
        <v>0</v>
      </c>
      <c r="U356" s="253">
        <f t="shared" si="66"/>
        <v>0</v>
      </c>
      <c r="V356" s="93">
        <f t="shared" si="67"/>
        <v>0</v>
      </c>
    </row>
    <row r="357" spans="1:22" ht="18" customHeight="1" x14ac:dyDescent="0.2">
      <c r="A357" s="110" t="s">
        <v>644</v>
      </c>
      <c r="B357" s="111"/>
      <c r="C357" s="201" t="s">
        <v>645</v>
      </c>
      <c r="D357" s="91">
        <v>38825</v>
      </c>
      <c r="E357" s="92"/>
      <c r="F357" s="93"/>
      <c r="G357" s="93"/>
      <c r="H357" s="93">
        <v>4200</v>
      </c>
      <c r="I357" s="93">
        <v>2200</v>
      </c>
      <c r="J357" s="93"/>
      <c r="K357" s="93">
        <f t="shared" si="68"/>
        <v>0</v>
      </c>
      <c r="L357" s="93">
        <f t="shared" si="69"/>
        <v>0</v>
      </c>
      <c r="M357" s="94">
        <v>5</v>
      </c>
      <c r="N357" s="95" t="s">
        <v>289</v>
      </c>
      <c r="O357" s="93">
        <f t="shared" ref="O357:O420" si="71">IF(E357&gt;0,INT(IF($N357="D",IF($D357&lt;$H$3,$I357*($M357/100)*((E357-$H$3)/365),$J357*($M357/100)*($J$3-$D357)/365),0)),0)</f>
        <v>0</v>
      </c>
      <c r="P357" s="93">
        <f t="shared" ref="P357:P420" si="72">IF(E357&gt;0,INT(IF($N357="P",IF($D357&lt;$H$3,$H357*($M357/100)*(E357-$H$3)/365,$J357*($M357/100)*($J$3-$D357)/365),0)),0)</f>
        <v>0</v>
      </c>
      <c r="Q357" s="93">
        <f t="shared" ref="Q357:Q420" si="73">+O357+P357</f>
        <v>0</v>
      </c>
      <c r="R357" s="93">
        <f t="shared" ref="R357:R420" si="74">INT(IF($E357&gt;0,0,(IF($N357="D",IF($D357&lt;$H$3,$I357*($M357/100)*$U$3/12,$J357*($M357/100)*($J$3-$D357)/365),0))))</f>
        <v>64</v>
      </c>
      <c r="S357" s="93">
        <f t="shared" ref="S357:S420" si="75">INT(IF($E357&gt;0,0,(IF($N357="P",IF($D357&lt;$H$3,$H357*($M357/100)*$U$3/12,$J357*($M357/100)*($J$3-$D357)/365),0))))</f>
        <v>0</v>
      </c>
      <c r="T357" s="93">
        <f t="shared" si="70"/>
        <v>64</v>
      </c>
      <c r="U357" s="253">
        <f t="shared" si="66"/>
        <v>2136</v>
      </c>
      <c r="V357" s="93">
        <f t="shared" si="67"/>
        <v>0</v>
      </c>
    </row>
    <row r="358" spans="1:22" ht="18" customHeight="1" x14ac:dyDescent="0.2">
      <c r="A358" s="110" t="s">
        <v>646</v>
      </c>
      <c r="B358" s="111"/>
      <c r="C358" s="201" t="s">
        <v>623</v>
      </c>
      <c r="D358" s="91">
        <v>38835</v>
      </c>
      <c r="E358" s="92"/>
      <c r="F358" s="93"/>
      <c r="G358" s="93"/>
      <c r="H358" s="93">
        <v>1059.04</v>
      </c>
      <c r="I358" s="93">
        <v>0</v>
      </c>
      <c r="J358" s="93"/>
      <c r="K358" s="93">
        <f t="shared" si="68"/>
        <v>0</v>
      </c>
      <c r="L358" s="93">
        <f t="shared" si="69"/>
        <v>0</v>
      </c>
      <c r="M358" s="94">
        <v>7.5</v>
      </c>
      <c r="N358" s="95" t="s">
        <v>289</v>
      </c>
      <c r="O358" s="93">
        <f t="shared" si="71"/>
        <v>0</v>
      </c>
      <c r="P358" s="93">
        <f t="shared" si="72"/>
        <v>0</v>
      </c>
      <c r="Q358" s="93">
        <f t="shared" si="73"/>
        <v>0</v>
      </c>
      <c r="R358" s="93">
        <f t="shared" si="74"/>
        <v>0</v>
      </c>
      <c r="S358" s="93">
        <f t="shared" si="75"/>
        <v>0</v>
      </c>
      <c r="T358" s="93">
        <f t="shared" si="70"/>
        <v>0</v>
      </c>
      <c r="U358" s="253">
        <f t="shared" si="66"/>
        <v>0</v>
      </c>
      <c r="V358" s="93">
        <f t="shared" si="67"/>
        <v>0</v>
      </c>
    </row>
    <row r="359" spans="1:22" ht="18" customHeight="1" x14ac:dyDescent="0.2">
      <c r="A359" s="110" t="s">
        <v>647</v>
      </c>
      <c r="B359" s="111"/>
      <c r="C359" s="201" t="s">
        <v>648</v>
      </c>
      <c r="D359" s="91">
        <v>38765</v>
      </c>
      <c r="E359" s="92"/>
      <c r="F359" s="93"/>
      <c r="G359" s="93"/>
      <c r="H359" s="93">
        <v>97.5</v>
      </c>
      <c r="I359" s="93">
        <v>0</v>
      </c>
      <c r="J359" s="93"/>
      <c r="K359" s="93">
        <f t="shared" si="68"/>
        <v>0</v>
      </c>
      <c r="L359" s="93">
        <f t="shared" si="69"/>
        <v>0</v>
      </c>
      <c r="M359" s="94">
        <v>30</v>
      </c>
      <c r="N359" s="95" t="s">
        <v>289</v>
      </c>
      <c r="O359" s="93">
        <f t="shared" si="71"/>
        <v>0</v>
      </c>
      <c r="P359" s="93">
        <f t="shared" si="72"/>
        <v>0</v>
      </c>
      <c r="Q359" s="93">
        <f t="shared" si="73"/>
        <v>0</v>
      </c>
      <c r="R359" s="93">
        <f t="shared" si="74"/>
        <v>0</v>
      </c>
      <c r="S359" s="93">
        <f t="shared" si="75"/>
        <v>0</v>
      </c>
      <c r="T359" s="93">
        <f t="shared" si="70"/>
        <v>0</v>
      </c>
      <c r="U359" s="253">
        <f t="shared" ref="U359:U422" si="76">+I359+J359-T359-F359+K359-L359</f>
        <v>0</v>
      </c>
      <c r="V359" s="93">
        <f t="shared" ref="V359:V422" si="77">IF(E359&gt;0,+H359+J359,0)</f>
        <v>0</v>
      </c>
    </row>
    <row r="360" spans="1:22" ht="18" customHeight="1" x14ac:dyDescent="0.2">
      <c r="A360" s="110" t="s">
        <v>649</v>
      </c>
      <c r="B360" s="111"/>
      <c r="C360" s="201" t="s">
        <v>650</v>
      </c>
      <c r="D360" s="91">
        <v>38611</v>
      </c>
      <c r="E360" s="92"/>
      <c r="F360" s="93"/>
      <c r="G360" s="93"/>
      <c r="H360" s="93">
        <v>12000</v>
      </c>
      <c r="I360" s="93">
        <v>4291</v>
      </c>
      <c r="J360" s="93"/>
      <c r="K360" s="93">
        <f t="shared" si="68"/>
        <v>0</v>
      </c>
      <c r="L360" s="93">
        <f t="shared" si="69"/>
        <v>0</v>
      </c>
      <c r="M360" s="94">
        <v>7.5</v>
      </c>
      <c r="N360" s="95" t="s">
        <v>289</v>
      </c>
      <c r="O360" s="93">
        <f t="shared" si="71"/>
        <v>0</v>
      </c>
      <c r="P360" s="93">
        <f t="shared" si="72"/>
        <v>0</v>
      </c>
      <c r="Q360" s="93">
        <f t="shared" si="73"/>
        <v>0</v>
      </c>
      <c r="R360" s="93">
        <f t="shared" si="74"/>
        <v>187</v>
      </c>
      <c r="S360" s="93">
        <f t="shared" si="75"/>
        <v>0</v>
      </c>
      <c r="T360" s="93">
        <f t="shared" si="70"/>
        <v>187</v>
      </c>
      <c r="U360" s="253">
        <f t="shared" si="76"/>
        <v>4104</v>
      </c>
      <c r="V360" s="93">
        <f t="shared" si="77"/>
        <v>0</v>
      </c>
    </row>
    <row r="361" spans="1:22" ht="18" customHeight="1" x14ac:dyDescent="0.2">
      <c r="A361" s="110" t="s">
        <v>651</v>
      </c>
      <c r="B361" s="111"/>
      <c r="C361" s="201" t="s">
        <v>652</v>
      </c>
      <c r="D361" s="91">
        <v>38687</v>
      </c>
      <c r="E361" s="92"/>
      <c r="F361" s="93"/>
      <c r="G361" s="93"/>
      <c r="H361" s="93">
        <v>4090.9100000000003</v>
      </c>
      <c r="I361" s="93">
        <v>2101.91</v>
      </c>
      <c r="J361" s="93"/>
      <c r="K361" s="93">
        <f t="shared" si="68"/>
        <v>0</v>
      </c>
      <c r="L361" s="93">
        <f t="shared" si="69"/>
        <v>0</v>
      </c>
      <c r="M361" s="94">
        <v>5</v>
      </c>
      <c r="N361" s="95" t="s">
        <v>289</v>
      </c>
      <c r="O361" s="93">
        <f t="shared" si="71"/>
        <v>0</v>
      </c>
      <c r="P361" s="93">
        <f t="shared" si="72"/>
        <v>0</v>
      </c>
      <c r="Q361" s="93">
        <f t="shared" si="73"/>
        <v>0</v>
      </c>
      <c r="R361" s="93">
        <f t="shared" si="74"/>
        <v>61</v>
      </c>
      <c r="S361" s="93">
        <f t="shared" si="75"/>
        <v>0</v>
      </c>
      <c r="T361" s="93">
        <f t="shared" si="70"/>
        <v>61</v>
      </c>
      <c r="U361" s="253">
        <f t="shared" si="76"/>
        <v>2040.9099999999999</v>
      </c>
      <c r="V361" s="93">
        <f t="shared" si="77"/>
        <v>0</v>
      </c>
    </row>
    <row r="362" spans="1:22" ht="18" customHeight="1" x14ac:dyDescent="0.2">
      <c r="A362" s="110" t="s">
        <v>653</v>
      </c>
      <c r="B362" s="111"/>
      <c r="C362" s="201" t="s">
        <v>654</v>
      </c>
      <c r="D362" s="91">
        <v>38718</v>
      </c>
      <c r="E362" s="92"/>
      <c r="F362" s="93"/>
      <c r="G362" s="93"/>
      <c r="H362" s="93">
        <v>5740</v>
      </c>
      <c r="I362" s="93">
        <v>2100</v>
      </c>
      <c r="J362" s="93"/>
      <c r="K362" s="93">
        <f t="shared" si="68"/>
        <v>0</v>
      </c>
      <c r="L362" s="93">
        <f t="shared" si="69"/>
        <v>0</v>
      </c>
      <c r="M362" s="94">
        <v>7.5</v>
      </c>
      <c r="N362" s="95" t="s">
        <v>289</v>
      </c>
      <c r="O362" s="93">
        <f t="shared" si="71"/>
        <v>0</v>
      </c>
      <c r="P362" s="93">
        <f t="shared" si="72"/>
        <v>0</v>
      </c>
      <c r="Q362" s="93">
        <f t="shared" si="73"/>
        <v>0</v>
      </c>
      <c r="R362" s="93">
        <f t="shared" si="74"/>
        <v>91</v>
      </c>
      <c r="S362" s="93">
        <f t="shared" si="75"/>
        <v>0</v>
      </c>
      <c r="T362" s="93">
        <f t="shared" si="70"/>
        <v>91</v>
      </c>
      <c r="U362" s="253">
        <f t="shared" si="76"/>
        <v>2009</v>
      </c>
      <c r="V362" s="93">
        <f t="shared" si="77"/>
        <v>0</v>
      </c>
    </row>
    <row r="363" spans="1:22" ht="18" customHeight="1" x14ac:dyDescent="0.2">
      <c r="A363" s="110" t="s">
        <v>655</v>
      </c>
      <c r="B363" s="111"/>
      <c r="C363" s="201" t="s">
        <v>656</v>
      </c>
      <c r="D363" s="91">
        <v>38656</v>
      </c>
      <c r="E363" s="92"/>
      <c r="F363" s="93"/>
      <c r="G363" s="93"/>
      <c r="H363" s="93">
        <v>271.82</v>
      </c>
      <c r="I363" s="93">
        <v>0</v>
      </c>
      <c r="J363" s="93"/>
      <c r="K363" s="93">
        <f t="shared" si="68"/>
        <v>0</v>
      </c>
      <c r="L363" s="93">
        <f t="shared" si="69"/>
        <v>0</v>
      </c>
      <c r="M363" s="94">
        <v>20</v>
      </c>
      <c r="N363" s="95" t="s">
        <v>289</v>
      </c>
      <c r="O363" s="93">
        <f t="shared" si="71"/>
        <v>0</v>
      </c>
      <c r="P363" s="93">
        <f t="shared" si="72"/>
        <v>0</v>
      </c>
      <c r="Q363" s="93">
        <f t="shared" si="73"/>
        <v>0</v>
      </c>
      <c r="R363" s="93">
        <f t="shared" si="74"/>
        <v>0</v>
      </c>
      <c r="S363" s="93">
        <f t="shared" si="75"/>
        <v>0</v>
      </c>
      <c r="T363" s="93">
        <f t="shared" si="70"/>
        <v>0</v>
      </c>
      <c r="U363" s="253">
        <f t="shared" si="76"/>
        <v>0</v>
      </c>
      <c r="V363" s="93">
        <f t="shared" si="77"/>
        <v>0</v>
      </c>
    </row>
    <row r="364" spans="1:22" ht="18" customHeight="1" x14ac:dyDescent="0.2">
      <c r="A364" s="110" t="s">
        <v>657</v>
      </c>
      <c r="B364" s="111"/>
      <c r="C364" s="201" t="s">
        <v>658</v>
      </c>
      <c r="D364" s="91">
        <v>38966</v>
      </c>
      <c r="E364" s="92"/>
      <c r="F364" s="93"/>
      <c r="G364" s="93"/>
      <c r="H364" s="93">
        <v>1000</v>
      </c>
      <c r="I364" s="93">
        <v>0</v>
      </c>
      <c r="J364" s="93"/>
      <c r="K364" s="93">
        <f t="shared" si="68"/>
        <v>0</v>
      </c>
      <c r="L364" s="93">
        <f t="shared" si="69"/>
        <v>0</v>
      </c>
      <c r="M364" s="94">
        <v>10</v>
      </c>
      <c r="N364" s="95" t="s">
        <v>289</v>
      </c>
      <c r="O364" s="93">
        <f t="shared" si="71"/>
        <v>0</v>
      </c>
      <c r="P364" s="93">
        <f t="shared" si="72"/>
        <v>0</v>
      </c>
      <c r="Q364" s="93">
        <f t="shared" si="73"/>
        <v>0</v>
      </c>
      <c r="R364" s="93">
        <f t="shared" si="74"/>
        <v>0</v>
      </c>
      <c r="S364" s="93">
        <f t="shared" si="75"/>
        <v>0</v>
      </c>
      <c r="T364" s="93">
        <f t="shared" si="70"/>
        <v>0</v>
      </c>
      <c r="U364" s="253">
        <f t="shared" si="76"/>
        <v>0</v>
      </c>
      <c r="V364" s="93">
        <f t="shared" si="77"/>
        <v>0</v>
      </c>
    </row>
    <row r="365" spans="1:22" ht="18" customHeight="1" x14ac:dyDescent="0.2">
      <c r="A365" s="110" t="s">
        <v>659</v>
      </c>
      <c r="B365" s="111"/>
      <c r="C365" s="201" t="s">
        <v>660</v>
      </c>
      <c r="D365" s="91">
        <v>39115</v>
      </c>
      <c r="E365" s="92"/>
      <c r="F365" s="93"/>
      <c r="G365" s="93"/>
      <c r="H365" s="93">
        <v>5000</v>
      </c>
      <c r="I365" s="93">
        <v>1442</v>
      </c>
      <c r="J365" s="93"/>
      <c r="K365" s="93">
        <f t="shared" si="68"/>
        <v>0</v>
      </c>
      <c r="L365" s="93">
        <f t="shared" si="69"/>
        <v>0</v>
      </c>
      <c r="M365" s="94">
        <v>10</v>
      </c>
      <c r="N365" s="95" t="s">
        <v>289</v>
      </c>
      <c r="O365" s="93">
        <f t="shared" si="71"/>
        <v>0</v>
      </c>
      <c r="P365" s="93">
        <f t="shared" si="72"/>
        <v>0</v>
      </c>
      <c r="Q365" s="93">
        <f t="shared" si="73"/>
        <v>0</v>
      </c>
      <c r="R365" s="93">
        <f t="shared" si="74"/>
        <v>84</v>
      </c>
      <c r="S365" s="93">
        <f t="shared" si="75"/>
        <v>0</v>
      </c>
      <c r="T365" s="93">
        <f t="shared" si="70"/>
        <v>84</v>
      </c>
      <c r="U365" s="253">
        <f t="shared" si="76"/>
        <v>1358</v>
      </c>
      <c r="V365" s="93">
        <f t="shared" si="77"/>
        <v>0</v>
      </c>
    </row>
    <row r="366" spans="1:22" ht="18" customHeight="1" x14ac:dyDescent="0.2">
      <c r="A366" s="110" t="s">
        <v>661</v>
      </c>
      <c r="B366" s="111"/>
      <c r="C366" s="201" t="s">
        <v>662</v>
      </c>
      <c r="D366" s="91">
        <v>39138</v>
      </c>
      <c r="E366" s="92"/>
      <c r="F366" s="93"/>
      <c r="G366" s="93"/>
      <c r="H366" s="93">
        <v>2500</v>
      </c>
      <c r="I366" s="93">
        <v>0</v>
      </c>
      <c r="J366" s="93"/>
      <c r="K366" s="93">
        <f t="shared" si="68"/>
        <v>0</v>
      </c>
      <c r="L366" s="93">
        <f t="shared" si="69"/>
        <v>0</v>
      </c>
      <c r="M366" s="94">
        <v>10</v>
      </c>
      <c r="N366" s="95" t="s">
        <v>289</v>
      </c>
      <c r="O366" s="93">
        <f t="shared" si="71"/>
        <v>0</v>
      </c>
      <c r="P366" s="93">
        <f t="shared" si="72"/>
        <v>0</v>
      </c>
      <c r="Q366" s="93">
        <f t="shared" si="73"/>
        <v>0</v>
      </c>
      <c r="R366" s="93">
        <f t="shared" si="74"/>
        <v>0</v>
      </c>
      <c r="S366" s="93">
        <f t="shared" si="75"/>
        <v>0</v>
      </c>
      <c r="T366" s="93">
        <f t="shared" si="70"/>
        <v>0</v>
      </c>
      <c r="U366" s="253">
        <f t="shared" si="76"/>
        <v>0</v>
      </c>
      <c r="V366" s="93">
        <f t="shared" si="77"/>
        <v>0</v>
      </c>
    </row>
    <row r="367" spans="1:22" ht="18" customHeight="1" x14ac:dyDescent="0.2">
      <c r="A367" s="110" t="s">
        <v>663</v>
      </c>
      <c r="B367" s="111"/>
      <c r="C367" s="201" t="s">
        <v>358</v>
      </c>
      <c r="D367" s="91">
        <v>39142</v>
      </c>
      <c r="E367" s="92">
        <v>43646</v>
      </c>
      <c r="F367" s="93"/>
      <c r="G367" s="93"/>
      <c r="H367" s="93">
        <v>1330</v>
      </c>
      <c r="I367" s="93">
        <v>0</v>
      </c>
      <c r="J367" s="93"/>
      <c r="K367" s="93">
        <f t="shared" si="68"/>
        <v>0</v>
      </c>
      <c r="L367" s="93">
        <f t="shared" si="69"/>
        <v>0</v>
      </c>
      <c r="M367" s="94">
        <v>20</v>
      </c>
      <c r="N367" s="95" t="s">
        <v>289</v>
      </c>
      <c r="O367" s="93">
        <f t="shared" si="71"/>
        <v>0</v>
      </c>
      <c r="P367" s="93">
        <f t="shared" si="72"/>
        <v>0</v>
      </c>
      <c r="Q367" s="93">
        <f t="shared" si="73"/>
        <v>0</v>
      </c>
      <c r="R367" s="93">
        <f t="shared" si="74"/>
        <v>0</v>
      </c>
      <c r="S367" s="93">
        <f t="shared" si="75"/>
        <v>0</v>
      </c>
      <c r="T367" s="93">
        <f t="shared" si="70"/>
        <v>0</v>
      </c>
      <c r="U367" s="253">
        <f t="shared" si="76"/>
        <v>0</v>
      </c>
      <c r="V367" s="93">
        <f t="shared" si="77"/>
        <v>1330</v>
      </c>
    </row>
    <row r="368" spans="1:22" ht="18" customHeight="1" x14ac:dyDescent="0.2">
      <c r="A368" s="110" t="s">
        <v>664</v>
      </c>
      <c r="B368" s="111"/>
      <c r="C368" s="201" t="s">
        <v>665</v>
      </c>
      <c r="D368" s="91">
        <v>39148</v>
      </c>
      <c r="E368" s="92">
        <v>43646</v>
      </c>
      <c r="F368" s="93"/>
      <c r="G368" s="93"/>
      <c r="H368" s="93">
        <v>527.27</v>
      </c>
      <c r="I368" s="93">
        <v>0</v>
      </c>
      <c r="J368" s="93"/>
      <c r="K368" s="93">
        <f t="shared" si="68"/>
        <v>0</v>
      </c>
      <c r="L368" s="93">
        <f t="shared" si="69"/>
        <v>0</v>
      </c>
      <c r="M368" s="94">
        <v>20</v>
      </c>
      <c r="N368" s="95" t="s">
        <v>289</v>
      </c>
      <c r="O368" s="93">
        <f t="shared" si="71"/>
        <v>0</v>
      </c>
      <c r="P368" s="93">
        <f t="shared" si="72"/>
        <v>0</v>
      </c>
      <c r="Q368" s="93">
        <f t="shared" si="73"/>
        <v>0</v>
      </c>
      <c r="R368" s="93">
        <f t="shared" si="74"/>
        <v>0</v>
      </c>
      <c r="S368" s="93">
        <f t="shared" si="75"/>
        <v>0</v>
      </c>
      <c r="T368" s="93">
        <f t="shared" si="70"/>
        <v>0</v>
      </c>
      <c r="U368" s="253">
        <f t="shared" si="76"/>
        <v>0</v>
      </c>
      <c r="V368" s="93">
        <f t="shared" si="77"/>
        <v>527.27</v>
      </c>
    </row>
    <row r="369" spans="1:22" ht="18" customHeight="1" x14ac:dyDescent="0.2">
      <c r="A369" s="110" t="s">
        <v>666</v>
      </c>
      <c r="B369" s="111"/>
      <c r="C369" s="90" t="s">
        <v>667</v>
      </c>
      <c r="D369" s="91">
        <v>39217</v>
      </c>
      <c r="E369" s="92"/>
      <c r="F369" s="93"/>
      <c r="G369" s="93"/>
      <c r="H369" s="93">
        <v>36666.620000000003</v>
      </c>
      <c r="I369" s="93">
        <v>8215</v>
      </c>
      <c r="J369" s="93"/>
      <c r="K369" s="93">
        <f t="shared" si="68"/>
        <v>0</v>
      </c>
      <c r="L369" s="93">
        <f t="shared" si="69"/>
        <v>0</v>
      </c>
      <c r="M369" s="94">
        <v>20</v>
      </c>
      <c r="N369" s="95" t="s">
        <v>289</v>
      </c>
      <c r="O369" s="93">
        <f t="shared" si="71"/>
        <v>0</v>
      </c>
      <c r="P369" s="93">
        <f t="shared" si="72"/>
        <v>0</v>
      </c>
      <c r="Q369" s="93">
        <f t="shared" si="73"/>
        <v>0</v>
      </c>
      <c r="R369" s="93">
        <f t="shared" si="74"/>
        <v>958</v>
      </c>
      <c r="S369" s="93">
        <f t="shared" si="75"/>
        <v>0</v>
      </c>
      <c r="T369" s="93">
        <f t="shared" si="70"/>
        <v>958</v>
      </c>
      <c r="U369" s="253">
        <f t="shared" si="76"/>
        <v>7257</v>
      </c>
      <c r="V369" s="93">
        <f t="shared" si="77"/>
        <v>0</v>
      </c>
    </row>
    <row r="370" spans="1:22" ht="18" customHeight="1" x14ac:dyDescent="0.2">
      <c r="A370" s="110" t="s">
        <v>668</v>
      </c>
      <c r="B370" s="111"/>
      <c r="C370" s="201" t="s">
        <v>669</v>
      </c>
      <c r="D370" s="91">
        <v>41142</v>
      </c>
      <c r="E370" s="92">
        <v>43646</v>
      </c>
      <c r="F370" s="93"/>
      <c r="G370" s="93"/>
      <c r="H370" s="93">
        <v>780</v>
      </c>
      <c r="I370" s="93">
        <v>0</v>
      </c>
      <c r="J370" s="93"/>
      <c r="K370" s="93">
        <f t="shared" si="68"/>
        <v>0</v>
      </c>
      <c r="L370" s="93">
        <f t="shared" si="69"/>
        <v>0</v>
      </c>
      <c r="M370" s="94">
        <v>66.67</v>
      </c>
      <c r="N370" s="95" t="s">
        <v>289</v>
      </c>
      <c r="O370" s="93">
        <f t="shared" si="71"/>
        <v>0</v>
      </c>
      <c r="P370" s="93">
        <f t="shared" si="72"/>
        <v>0</v>
      </c>
      <c r="Q370" s="93">
        <f t="shared" si="73"/>
        <v>0</v>
      </c>
      <c r="R370" s="93">
        <f t="shared" si="74"/>
        <v>0</v>
      </c>
      <c r="S370" s="93">
        <f t="shared" si="75"/>
        <v>0</v>
      </c>
      <c r="T370" s="93">
        <f t="shared" si="70"/>
        <v>0</v>
      </c>
      <c r="U370" s="253">
        <f t="shared" si="76"/>
        <v>0</v>
      </c>
      <c r="V370" s="93">
        <f t="shared" si="77"/>
        <v>780</v>
      </c>
    </row>
    <row r="371" spans="1:22" ht="18" customHeight="1" x14ac:dyDescent="0.2">
      <c r="A371" s="110" t="s">
        <v>670</v>
      </c>
      <c r="B371" s="111"/>
      <c r="C371" s="201" t="s">
        <v>671</v>
      </c>
      <c r="D371" s="91">
        <v>41194</v>
      </c>
      <c r="E371" s="92"/>
      <c r="F371" s="93"/>
      <c r="G371" s="93"/>
      <c r="H371" s="93">
        <v>8127.89</v>
      </c>
      <c r="I371" s="93">
        <v>2089.89</v>
      </c>
      <c r="J371" s="93"/>
      <c r="K371" s="93">
        <f t="shared" si="68"/>
        <v>0</v>
      </c>
      <c r="L371" s="93">
        <f t="shared" si="69"/>
        <v>0</v>
      </c>
      <c r="M371" s="94">
        <v>20</v>
      </c>
      <c r="N371" s="95" t="s">
        <v>289</v>
      </c>
      <c r="O371" s="93">
        <f t="shared" si="71"/>
        <v>0</v>
      </c>
      <c r="P371" s="93">
        <f t="shared" si="72"/>
        <v>0</v>
      </c>
      <c r="Q371" s="93">
        <f t="shared" si="73"/>
        <v>0</v>
      </c>
      <c r="R371" s="93">
        <f t="shared" si="74"/>
        <v>243</v>
      </c>
      <c r="S371" s="93">
        <f t="shared" si="75"/>
        <v>0</v>
      </c>
      <c r="T371" s="93">
        <f t="shared" si="70"/>
        <v>243</v>
      </c>
      <c r="U371" s="253">
        <f t="shared" si="76"/>
        <v>1846.8899999999999</v>
      </c>
      <c r="V371" s="93">
        <f t="shared" si="77"/>
        <v>0</v>
      </c>
    </row>
    <row r="372" spans="1:22" ht="18" customHeight="1" x14ac:dyDescent="0.2">
      <c r="A372" s="110" t="s">
        <v>672</v>
      </c>
      <c r="B372" s="111"/>
      <c r="C372" s="201" t="s">
        <v>673</v>
      </c>
      <c r="D372" s="91">
        <v>41235</v>
      </c>
      <c r="E372" s="92"/>
      <c r="F372" s="93"/>
      <c r="G372" s="93"/>
      <c r="H372" s="93">
        <v>877.27</v>
      </c>
      <c r="I372" s="93">
        <v>0</v>
      </c>
      <c r="J372" s="93"/>
      <c r="K372" s="93">
        <f t="shared" si="68"/>
        <v>0</v>
      </c>
      <c r="L372" s="93">
        <f t="shared" si="69"/>
        <v>0</v>
      </c>
      <c r="M372" s="94">
        <v>66.67</v>
      </c>
      <c r="N372" s="95" t="s">
        <v>289</v>
      </c>
      <c r="O372" s="93">
        <f t="shared" si="71"/>
        <v>0</v>
      </c>
      <c r="P372" s="93">
        <f t="shared" si="72"/>
        <v>0</v>
      </c>
      <c r="Q372" s="93">
        <f t="shared" si="73"/>
        <v>0</v>
      </c>
      <c r="R372" s="93">
        <f t="shared" si="74"/>
        <v>0</v>
      </c>
      <c r="S372" s="93">
        <f t="shared" si="75"/>
        <v>0</v>
      </c>
      <c r="T372" s="93">
        <f t="shared" si="70"/>
        <v>0</v>
      </c>
      <c r="U372" s="253">
        <f t="shared" si="76"/>
        <v>0</v>
      </c>
      <c r="V372" s="93">
        <f t="shared" si="77"/>
        <v>0</v>
      </c>
    </row>
    <row r="373" spans="1:22" ht="18" customHeight="1" x14ac:dyDescent="0.2">
      <c r="A373" s="110" t="s">
        <v>674</v>
      </c>
      <c r="B373" s="111"/>
      <c r="C373" s="201" t="s">
        <v>675</v>
      </c>
      <c r="D373" s="91">
        <v>41235</v>
      </c>
      <c r="E373" s="92"/>
      <c r="F373" s="93"/>
      <c r="G373" s="93"/>
      <c r="H373" s="93">
        <v>2045.45</v>
      </c>
      <c r="I373" s="93">
        <v>869.45</v>
      </c>
      <c r="J373" s="93"/>
      <c r="K373" s="93">
        <f t="shared" si="68"/>
        <v>0</v>
      </c>
      <c r="L373" s="93">
        <f t="shared" si="69"/>
        <v>0</v>
      </c>
      <c r="M373" s="94">
        <v>13.33</v>
      </c>
      <c r="N373" s="95" t="s">
        <v>289</v>
      </c>
      <c r="O373" s="93">
        <f t="shared" si="71"/>
        <v>0</v>
      </c>
      <c r="P373" s="93">
        <f t="shared" si="72"/>
        <v>0</v>
      </c>
      <c r="Q373" s="93">
        <f t="shared" si="73"/>
        <v>0</v>
      </c>
      <c r="R373" s="93">
        <f t="shared" si="74"/>
        <v>67</v>
      </c>
      <c r="S373" s="93">
        <f t="shared" si="75"/>
        <v>0</v>
      </c>
      <c r="T373" s="93">
        <f t="shared" si="70"/>
        <v>67</v>
      </c>
      <c r="U373" s="253">
        <f t="shared" si="76"/>
        <v>802.45</v>
      </c>
      <c r="V373" s="93">
        <f t="shared" si="77"/>
        <v>0</v>
      </c>
    </row>
    <row r="374" spans="1:22" ht="18" customHeight="1" x14ac:dyDescent="0.2">
      <c r="A374" s="110" t="s">
        <v>676</v>
      </c>
      <c r="B374" s="111"/>
      <c r="C374" s="201" t="s">
        <v>677</v>
      </c>
      <c r="D374" s="91">
        <v>41235</v>
      </c>
      <c r="E374" s="92"/>
      <c r="F374" s="93"/>
      <c r="G374" s="93"/>
      <c r="H374" s="93">
        <v>2045.46</v>
      </c>
      <c r="I374" s="93">
        <v>869.46</v>
      </c>
      <c r="J374" s="93"/>
      <c r="K374" s="93">
        <f t="shared" si="68"/>
        <v>0</v>
      </c>
      <c r="L374" s="93">
        <f t="shared" si="69"/>
        <v>0</v>
      </c>
      <c r="M374" s="94">
        <v>13.33</v>
      </c>
      <c r="N374" s="95" t="s">
        <v>289</v>
      </c>
      <c r="O374" s="93">
        <f t="shared" si="71"/>
        <v>0</v>
      </c>
      <c r="P374" s="93">
        <f t="shared" si="72"/>
        <v>0</v>
      </c>
      <c r="Q374" s="93">
        <f t="shared" si="73"/>
        <v>0</v>
      </c>
      <c r="R374" s="93">
        <f t="shared" si="74"/>
        <v>67</v>
      </c>
      <c r="S374" s="93">
        <f t="shared" si="75"/>
        <v>0</v>
      </c>
      <c r="T374" s="93">
        <f t="shared" si="70"/>
        <v>67</v>
      </c>
      <c r="U374" s="253">
        <f t="shared" si="76"/>
        <v>802.46</v>
      </c>
      <c r="V374" s="93">
        <f t="shared" si="77"/>
        <v>0</v>
      </c>
    </row>
    <row r="375" spans="1:22" ht="18" customHeight="1" x14ac:dyDescent="0.2">
      <c r="A375" s="110" t="s">
        <v>678</v>
      </c>
      <c r="B375" s="111"/>
      <c r="C375" s="201" t="s">
        <v>679</v>
      </c>
      <c r="D375" s="91">
        <v>41235</v>
      </c>
      <c r="E375" s="92"/>
      <c r="F375" s="93"/>
      <c r="G375" s="93"/>
      <c r="H375" s="93">
        <v>613.64</v>
      </c>
      <c r="I375" s="93">
        <v>0</v>
      </c>
      <c r="J375" s="93"/>
      <c r="K375" s="93">
        <f t="shared" si="68"/>
        <v>0</v>
      </c>
      <c r="L375" s="93">
        <f t="shared" si="69"/>
        <v>0</v>
      </c>
      <c r="M375" s="94">
        <v>13.33</v>
      </c>
      <c r="N375" s="95" t="s">
        <v>289</v>
      </c>
      <c r="O375" s="93">
        <f t="shared" si="71"/>
        <v>0</v>
      </c>
      <c r="P375" s="93">
        <f t="shared" si="72"/>
        <v>0</v>
      </c>
      <c r="Q375" s="93">
        <f t="shared" si="73"/>
        <v>0</v>
      </c>
      <c r="R375" s="93">
        <f t="shared" si="74"/>
        <v>0</v>
      </c>
      <c r="S375" s="93">
        <f t="shared" si="75"/>
        <v>0</v>
      </c>
      <c r="T375" s="93">
        <f t="shared" si="70"/>
        <v>0</v>
      </c>
      <c r="U375" s="253">
        <f t="shared" si="76"/>
        <v>0</v>
      </c>
      <c r="V375" s="93">
        <f t="shared" si="77"/>
        <v>0</v>
      </c>
    </row>
    <row r="376" spans="1:22" ht="18" customHeight="1" x14ac:dyDescent="0.2">
      <c r="A376" s="110" t="s">
        <v>680</v>
      </c>
      <c r="B376" s="111"/>
      <c r="C376" s="201" t="s">
        <v>679</v>
      </c>
      <c r="D376" s="91">
        <v>41235</v>
      </c>
      <c r="E376" s="92"/>
      <c r="F376" s="93"/>
      <c r="G376" s="93"/>
      <c r="H376" s="93">
        <v>613.63</v>
      </c>
      <c r="I376" s="93">
        <v>0</v>
      </c>
      <c r="J376" s="93"/>
      <c r="K376" s="93">
        <f t="shared" si="68"/>
        <v>0</v>
      </c>
      <c r="L376" s="93">
        <f t="shared" si="69"/>
        <v>0</v>
      </c>
      <c r="M376" s="94">
        <v>13.33</v>
      </c>
      <c r="N376" s="95" t="s">
        <v>289</v>
      </c>
      <c r="O376" s="93">
        <f t="shared" si="71"/>
        <v>0</v>
      </c>
      <c r="P376" s="93">
        <f t="shared" si="72"/>
        <v>0</v>
      </c>
      <c r="Q376" s="93">
        <f t="shared" si="73"/>
        <v>0</v>
      </c>
      <c r="R376" s="93">
        <f t="shared" si="74"/>
        <v>0</v>
      </c>
      <c r="S376" s="93">
        <f t="shared" si="75"/>
        <v>0</v>
      </c>
      <c r="T376" s="93">
        <f t="shared" si="70"/>
        <v>0</v>
      </c>
      <c r="U376" s="253">
        <f t="shared" si="76"/>
        <v>0</v>
      </c>
      <c r="V376" s="93">
        <f t="shared" si="77"/>
        <v>0</v>
      </c>
    </row>
    <row r="377" spans="1:22" ht="18" customHeight="1" x14ac:dyDescent="0.2">
      <c r="A377" s="110" t="s">
        <v>681</v>
      </c>
      <c r="B377" s="111"/>
      <c r="C377" s="201" t="s">
        <v>682</v>
      </c>
      <c r="D377" s="91">
        <v>41243</v>
      </c>
      <c r="E377" s="92"/>
      <c r="F377" s="93"/>
      <c r="G377" s="93"/>
      <c r="H377" s="93">
        <v>900</v>
      </c>
      <c r="I377" s="93">
        <v>0</v>
      </c>
      <c r="J377" s="93"/>
      <c r="K377" s="93">
        <f t="shared" ref="K377:K440" si="78">INT(IF($E377&gt;0,IF(+F377-I377+Q377&lt;0,0,+F377-I377+Q377),0))</f>
        <v>0</v>
      </c>
      <c r="L377" s="93">
        <f t="shared" ref="L377:L440" si="79">INT(IF($E377&gt;0,IF(K377=0,-F377+I377-Q377,0),0))</f>
        <v>0</v>
      </c>
      <c r="M377" s="94">
        <v>15</v>
      </c>
      <c r="N377" s="95" t="s">
        <v>289</v>
      </c>
      <c r="O377" s="93">
        <f t="shared" si="71"/>
        <v>0</v>
      </c>
      <c r="P377" s="93">
        <f t="shared" si="72"/>
        <v>0</v>
      </c>
      <c r="Q377" s="93">
        <f t="shared" si="73"/>
        <v>0</v>
      </c>
      <c r="R377" s="93">
        <f t="shared" si="74"/>
        <v>0</v>
      </c>
      <c r="S377" s="93">
        <f t="shared" si="75"/>
        <v>0</v>
      </c>
      <c r="T377" s="93">
        <f t="shared" si="70"/>
        <v>0</v>
      </c>
      <c r="U377" s="253">
        <f t="shared" si="76"/>
        <v>0</v>
      </c>
      <c r="V377" s="93">
        <f t="shared" si="77"/>
        <v>0</v>
      </c>
    </row>
    <row r="378" spans="1:22" ht="18" customHeight="1" x14ac:dyDescent="0.2">
      <c r="A378" s="110" t="s">
        <v>683</v>
      </c>
      <c r="B378" s="111"/>
      <c r="C378" s="201" t="s">
        <v>684</v>
      </c>
      <c r="D378" s="91">
        <v>41288</v>
      </c>
      <c r="E378" s="92"/>
      <c r="F378" s="93"/>
      <c r="G378" s="93"/>
      <c r="H378" s="93">
        <v>4000</v>
      </c>
      <c r="I378" s="93">
        <v>1090</v>
      </c>
      <c r="J378" s="93"/>
      <c r="K378" s="93">
        <f t="shared" si="78"/>
        <v>0</v>
      </c>
      <c r="L378" s="93">
        <f t="shared" si="79"/>
        <v>0</v>
      </c>
      <c r="M378" s="94">
        <v>20</v>
      </c>
      <c r="N378" s="95" t="s">
        <v>289</v>
      </c>
      <c r="O378" s="93">
        <f t="shared" si="71"/>
        <v>0</v>
      </c>
      <c r="P378" s="93">
        <f t="shared" si="72"/>
        <v>0</v>
      </c>
      <c r="Q378" s="93">
        <f t="shared" si="73"/>
        <v>0</v>
      </c>
      <c r="R378" s="93">
        <f t="shared" si="74"/>
        <v>127</v>
      </c>
      <c r="S378" s="93">
        <f t="shared" si="75"/>
        <v>0</v>
      </c>
      <c r="T378" s="93">
        <f t="shared" ref="T378:T441" si="80">+R378+S378+Q378</f>
        <v>127</v>
      </c>
      <c r="U378" s="253">
        <f t="shared" si="76"/>
        <v>963</v>
      </c>
      <c r="V378" s="93">
        <f t="shared" si="77"/>
        <v>0</v>
      </c>
    </row>
    <row r="379" spans="1:22" ht="18" customHeight="1" x14ac:dyDescent="0.2">
      <c r="A379" s="110" t="s">
        <v>685</v>
      </c>
      <c r="B379" s="111"/>
      <c r="C379" s="201" t="s">
        <v>686</v>
      </c>
      <c r="D379" s="91">
        <v>41297</v>
      </c>
      <c r="E379" s="92"/>
      <c r="F379" s="93"/>
      <c r="G379" s="93"/>
      <c r="H379" s="93">
        <v>4342.7300000000005</v>
      </c>
      <c r="I379" s="93">
        <v>1189.73</v>
      </c>
      <c r="J379" s="93"/>
      <c r="K379" s="93">
        <f t="shared" si="78"/>
        <v>0</v>
      </c>
      <c r="L379" s="93">
        <f t="shared" si="79"/>
        <v>0</v>
      </c>
      <c r="M379" s="94">
        <v>20</v>
      </c>
      <c r="N379" s="95" t="s">
        <v>289</v>
      </c>
      <c r="O379" s="93">
        <f t="shared" si="71"/>
        <v>0</v>
      </c>
      <c r="P379" s="93">
        <f t="shared" si="72"/>
        <v>0</v>
      </c>
      <c r="Q379" s="93">
        <f t="shared" si="73"/>
        <v>0</v>
      </c>
      <c r="R379" s="93">
        <f t="shared" si="74"/>
        <v>138</v>
      </c>
      <c r="S379" s="93">
        <f t="shared" si="75"/>
        <v>0</v>
      </c>
      <c r="T379" s="93">
        <f t="shared" si="80"/>
        <v>138</v>
      </c>
      <c r="U379" s="253">
        <f t="shared" si="76"/>
        <v>1051.73</v>
      </c>
      <c r="V379" s="93">
        <f t="shared" si="77"/>
        <v>0</v>
      </c>
    </row>
    <row r="380" spans="1:22" ht="18" customHeight="1" x14ac:dyDescent="0.2">
      <c r="A380" s="110" t="s">
        <v>687</v>
      </c>
      <c r="B380" s="111"/>
      <c r="C380" s="201" t="s">
        <v>688</v>
      </c>
      <c r="D380" s="91">
        <v>41360</v>
      </c>
      <c r="E380" s="92"/>
      <c r="F380" s="93"/>
      <c r="G380" s="93"/>
      <c r="H380" s="93">
        <v>22080</v>
      </c>
      <c r="I380" s="93">
        <v>0</v>
      </c>
      <c r="J380" s="93"/>
      <c r="K380" s="93">
        <f t="shared" si="78"/>
        <v>0</v>
      </c>
      <c r="L380" s="93">
        <f t="shared" si="79"/>
        <v>0</v>
      </c>
      <c r="M380" s="94">
        <v>40</v>
      </c>
      <c r="N380" s="95" t="s">
        <v>289</v>
      </c>
      <c r="O380" s="93">
        <f t="shared" si="71"/>
        <v>0</v>
      </c>
      <c r="P380" s="93">
        <f t="shared" si="72"/>
        <v>0</v>
      </c>
      <c r="Q380" s="93">
        <f t="shared" si="73"/>
        <v>0</v>
      </c>
      <c r="R380" s="93">
        <f t="shared" si="74"/>
        <v>0</v>
      </c>
      <c r="S380" s="93">
        <f t="shared" si="75"/>
        <v>0</v>
      </c>
      <c r="T380" s="93">
        <f t="shared" si="80"/>
        <v>0</v>
      </c>
      <c r="U380" s="253">
        <f t="shared" si="76"/>
        <v>0</v>
      </c>
      <c r="V380" s="93">
        <f t="shared" si="77"/>
        <v>0</v>
      </c>
    </row>
    <row r="381" spans="1:22" ht="18" customHeight="1" x14ac:dyDescent="0.2">
      <c r="A381" s="110" t="s">
        <v>690</v>
      </c>
      <c r="B381" s="111"/>
      <c r="C381" s="201" t="s">
        <v>691</v>
      </c>
      <c r="D381" s="91">
        <v>41361</v>
      </c>
      <c r="E381" s="92"/>
      <c r="F381" s="93"/>
      <c r="G381" s="93"/>
      <c r="H381" s="93">
        <v>5315.12</v>
      </c>
      <c r="I381" s="93">
        <v>2369.12</v>
      </c>
      <c r="J381" s="93"/>
      <c r="K381" s="93">
        <f t="shared" si="78"/>
        <v>0</v>
      </c>
      <c r="L381" s="93">
        <f t="shared" si="79"/>
        <v>0</v>
      </c>
      <c r="M381" s="94">
        <v>13.33</v>
      </c>
      <c r="N381" s="95" t="s">
        <v>289</v>
      </c>
      <c r="O381" s="93">
        <f t="shared" si="71"/>
        <v>0</v>
      </c>
      <c r="P381" s="93">
        <f t="shared" si="72"/>
        <v>0</v>
      </c>
      <c r="Q381" s="93">
        <f t="shared" si="73"/>
        <v>0</v>
      </c>
      <c r="R381" s="93">
        <f t="shared" si="74"/>
        <v>184</v>
      </c>
      <c r="S381" s="93">
        <f t="shared" si="75"/>
        <v>0</v>
      </c>
      <c r="T381" s="93">
        <f t="shared" si="80"/>
        <v>184</v>
      </c>
      <c r="U381" s="253">
        <f t="shared" si="76"/>
        <v>2185.12</v>
      </c>
      <c r="V381" s="93">
        <f t="shared" si="77"/>
        <v>0</v>
      </c>
    </row>
    <row r="382" spans="1:22" ht="18" customHeight="1" x14ac:dyDescent="0.2">
      <c r="A382" s="110" t="s">
        <v>692</v>
      </c>
      <c r="B382" s="111"/>
      <c r="C382" s="201" t="s">
        <v>693</v>
      </c>
      <c r="D382" s="91">
        <v>41393</v>
      </c>
      <c r="E382" s="92"/>
      <c r="F382" s="93"/>
      <c r="G382" s="93"/>
      <c r="H382" s="93">
        <v>2800.4500000000003</v>
      </c>
      <c r="I382" s="93">
        <v>1556.45</v>
      </c>
      <c r="J382" s="93"/>
      <c r="K382" s="93">
        <f t="shared" si="78"/>
        <v>0</v>
      </c>
      <c r="L382" s="93">
        <f t="shared" si="79"/>
        <v>0</v>
      </c>
      <c r="M382" s="94">
        <v>10</v>
      </c>
      <c r="N382" s="95" t="s">
        <v>289</v>
      </c>
      <c r="O382" s="93">
        <f t="shared" si="71"/>
        <v>0</v>
      </c>
      <c r="P382" s="93">
        <f t="shared" si="72"/>
        <v>0</v>
      </c>
      <c r="Q382" s="93">
        <f t="shared" si="73"/>
        <v>0</v>
      </c>
      <c r="R382" s="93">
        <f t="shared" si="74"/>
        <v>90</v>
      </c>
      <c r="S382" s="93">
        <f t="shared" si="75"/>
        <v>0</v>
      </c>
      <c r="T382" s="93">
        <f t="shared" si="80"/>
        <v>90</v>
      </c>
      <c r="U382" s="253">
        <f t="shared" si="76"/>
        <v>1466.45</v>
      </c>
      <c r="V382" s="93">
        <f t="shared" si="77"/>
        <v>0</v>
      </c>
    </row>
    <row r="383" spans="1:22" ht="18" customHeight="1" x14ac:dyDescent="0.2">
      <c r="A383" s="110" t="s">
        <v>694</v>
      </c>
      <c r="B383" s="111"/>
      <c r="C383" s="201" t="s">
        <v>695</v>
      </c>
      <c r="D383" s="91">
        <v>41425</v>
      </c>
      <c r="E383" s="92"/>
      <c r="F383" s="93"/>
      <c r="G383" s="93"/>
      <c r="H383" s="93">
        <v>11368.57</v>
      </c>
      <c r="I383" s="93">
        <v>711.57</v>
      </c>
      <c r="J383" s="93"/>
      <c r="K383" s="93">
        <f t="shared" si="78"/>
        <v>0</v>
      </c>
      <c r="L383" s="93">
        <f t="shared" si="79"/>
        <v>0</v>
      </c>
      <c r="M383" s="94">
        <v>40</v>
      </c>
      <c r="N383" s="95" t="s">
        <v>289</v>
      </c>
      <c r="O383" s="93">
        <f t="shared" si="71"/>
        <v>0</v>
      </c>
      <c r="P383" s="93">
        <f t="shared" si="72"/>
        <v>0</v>
      </c>
      <c r="Q383" s="93">
        <f t="shared" si="73"/>
        <v>0</v>
      </c>
      <c r="R383" s="93">
        <f t="shared" si="74"/>
        <v>166</v>
      </c>
      <c r="S383" s="93">
        <f t="shared" si="75"/>
        <v>0</v>
      </c>
      <c r="T383" s="93">
        <f t="shared" si="80"/>
        <v>166</v>
      </c>
      <c r="U383" s="253">
        <f t="shared" si="76"/>
        <v>545.57000000000005</v>
      </c>
      <c r="V383" s="93">
        <f t="shared" si="77"/>
        <v>0</v>
      </c>
    </row>
    <row r="384" spans="1:22" ht="18" customHeight="1" x14ac:dyDescent="0.2">
      <c r="A384" s="110" t="s">
        <v>696</v>
      </c>
      <c r="B384" s="111"/>
      <c r="C384" s="201" t="s">
        <v>697</v>
      </c>
      <c r="D384" s="91">
        <v>41319</v>
      </c>
      <c r="E384" s="92"/>
      <c r="F384" s="93"/>
      <c r="G384" s="93"/>
      <c r="H384" s="93">
        <v>2170</v>
      </c>
      <c r="I384" s="93">
        <v>1182</v>
      </c>
      <c r="J384" s="93"/>
      <c r="K384" s="93">
        <f t="shared" si="78"/>
        <v>0</v>
      </c>
      <c r="L384" s="93">
        <f t="shared" si="79"/>
        <v>0</v>
      </c>
      <c r="M384" s="94">
        <v>10</v>
      </c>
      <c r="N384" s="95" t="s">
        <v>289</v>
      </c>
      <c r="O384" s="93">
        <f t="shared" si="71"/>
        <v>0</v>
      </c>
      <c r="P384" s="93">
        <f t="shared" si="72"/>
        <v>0</v>
      </c>
      <c r="Q384" s="93">
        <f t="shared" si="73"/>
        <v>0</v>
      </c>
      <c r="R384" s="93">
        <f t="shared" si="74"/>
        <v>68</v>
      </c>
      <c r="S384" s="93">
        <f t="shared" si="75"/>
        <v>0</v>
      </c>
      <c r="T384" s="93">
        <f t="shared" si="80"/>
        <v>68</v>
      </c>
      <c r="U384" s="253">
        <f t="shared" si="76"/>
        <v>1114</v>
      </c>
      <c r="V384" s="93">
        <f t="shared" si="77"/>
        <v>0</v>
      </c>
    </row>
    <row r="385" spans="1:22" ht="18" customHeight="1" x14ac:dyDescent="0.2">
      <c r="A385" s="110" t="s">
        <v>698</v>
      </c>
      <c r="B385" s="111"/>
      <c r="C385" s="90" t="s">
        <v>699</v>
      </c>
      <c r="D385" s="91">
        <v>41478</v>
      </c>
      <c r="E385" s="92"/>
      <c r="F385" s="93"/>
      <c r="G385" s="93"/>
      <c r="H385" s="93">
        <v>2050</v>
      </c>
      <c r="I385" s="93">
        <v>955</v>
      </c>
      <c r="J385" s="93"/>
      <c r="K385" s="93">
        <f t="shared" si="78"/>
        <v>0</v>
      </c>
      <c r="L385" s="93">
        <f t="shared" si="79"/>
        <v>0</v>
      </c>
      <c r="M385" s="94">
        <v>13.33</v>
      </c>
      <c r="N385" s="95" t="s">
        <v>289</v>
      </c>
      <c r="O385" s="93">
        <f t="shared" si="71"/>
        <v>0</v>
      </c>
      <c r="P385" s="93">
        <f t="shared" si="72"/>
        <v>0</v>
      </c>
      <c r="Q385" s="93">
        <f t="shared" si="73"/>
        <v>0</v>
      </c>
      <c r="R385" s="93">
        <f t="shared" si="74"/>
        <v>74</v>
      </c>
      <c r="S385" s="93">
        <f t="shared" si="75"/>
        <v>0</v>
      </c>
      <c r="T385" s="93">
        <f t="shared" si="80"/>
        <v>74</v>
      </c>
      <c r="U385" s="253">
        <f t="shared" si="76"/>
        <v>881</v>
      </c>
      <c r="V385" s="93">
        <f t="shared" si="77"/>
        <v>0</v>
      </c>
    </row>
    <row r="386" spans="1:22" ht="18" customHeight="1" x14ac:dyDescent="0.2">
      <c r="A386" s="110" t="s">
        <v>700</v>
      </c>
      <c r="B386" s="111"/>
      <c r="C386" s="201" t="s">
        <v>701</v>
      </c>
      <c r="D386" s="91">
        <v>41528</v>
      </c>
      <c r="E386" s="92"/>
      <c r="F386" s="93"/>
      <c r="G386" s="93"/>
      <c r="H386" s="93">
        <v>15000</v>
      </c>
      <c r="I386" s="93">
        <v>7136</v>
      </c>
      <c r="J386" s="93"/>
      <c r="K386" s="93">
        <f t="shared" si="78"/>
        <v>0</v>
      </c>
      <c r="L386" s="93">
        <f t="shared" si="79"/>
        <v>0</v>
      </c>
      <c r="M386" s="94">
        <v>13.33</v>
      </c>
      <c r="N386" s="95" t="s">
        <v>289</v>
      </c>
      <c r="O386" s="93">
        <f t="shared" si="71"/>
        <v>0</v>
      </c>
      <c r="P386" s="93">
        <f t="shared" si="72"/>
        <v>0</v>
      </c>
      <c r="Q386" s="93">
        <f t="shared" si="73"/>
        <v>0</v>
      </c>
      <c r="R386" s="93">
        <f t="shared" si="74"/>
        <v>554</v>
      </c>
      <c r="S386" s="93">
        <f t="shared" si="75"/>
        <v>0</v>
      </c>
      <c r="T386" s="93">
        <f t="shared" si="80"/>
        <v>554</v>
      </c>
      <c r="U386" s="253">
        <f t="shared" si="76"/>
        <v>6582</v>
      </c>
      <c r="V386" s="93">
        <f t="shared" si="77"/>
        <v>0</v>
      </c>
    </row>
    <row r="387" spans="1:22" ht="18" customHeight="1" x14ac:dyDescent="0.2">
      <c r="A387" s="110" t="s">
        <v>702</v>
      </c>
      <c r="B387" s="111"/>
      <c r="C387" s="201" t="s">
        <v>703</v>
      </c>
      <c r="D387" s="91">
        <v>41548</v>
      </c>
      <c r="E387" s="92"/>
      <c r="F387" s="93"/>
      <c r="G387" s="93"/>
      <c r="H387" s="93">
        <v>2610</v>
      </c>
      <c r="I387" s="93">
        <v>81</v>
      </c>
      <c r="J387" s="93"/>
      <c r="K387" s="93">
        <f t="shared" si="78"/>
        <v>0</v>
      </c>
      <c r="L387" s="93">
        <f t="shared" si="79"/>
        <v>0</v>
      </c>
      <c r="M387" s="94">
        <v>50</v>
      </c>
      <c r="N387" s="95" t="s">
        <v>289</v>
      </c>
      <c r="O387" s="93">
        <f t="shared" si="71"/>
        <v>0</v>
      </c>
      <c r="P387" s="93">
        <f t="shared" si="72"/>
        <v>0</v>
      </c>
      <c r="Q387" s="93">
        <f t="shared" si="73"/>
        <v>0</v>
      </c>
      <c r="R387" s="93">
        <f t="shared" si="74"/>
        <v>23</v>
      </c>
      <c r="S387" s="93">
        <f t="shared" si="75"/>
        <v>0</v>
      </c>
      <c r="T387" s="93">
        <f t="shared" si="80"/>
        <v>23</v>
      </c>
      <c r="U387" s="253">
        <f t="shared" si="76"/>
        <v>58</v>
      </c>
      <c r="V387" s="93">
        <f t="shared" si="77"/>
        <v>0</v>
      </c>
    </row>
    <row r="388" spans="1:22" ht="18" customHeight="1" x14ac:dyDescent="0.2">
      <c r="A388" s="110" t="s">
        <v>704</v>
      </c>
      <c r="B388" s="111"/>
      <c r="C388" s="201" t="s">
        <v>705</v>
      </c>
      <c r="D388" s="91">
        <v>41584</v>
      </c>
      <c r="E388" s="92"/>
      <c r="F388" s="93"/>
      <c r="G388" s="93"/>
      <c r="H388" s="93">
        <v>30000</v>
      </c>
      <c r="I388" s="93">
        <v>14598</v>
      </c>
      <c r="J388" s="93"/>
      <c r="K388" s="93">
        <f t="shared" si="78"/>
        <v>0</v>
      </c>
      <c r="L388" s="93">
        <f t="shared" si="79"/>
        <v>0</v>
      </c>
      <c r="M388" s="94">
        <v>13.33</v>
      </c>
      <c r="N388" s="95" t="s">
        <v>289</v>
      </c>
      <c r="O388" s="93">
        <f t="shared" si="71"/>
        <v>0</v>
      </c>
      <c r="P388" s="93">
        <f t="shared" si="72"/>
        <v>0</v>
      </c>
      <c r="Q388" s="93">
        <f t="shared" si="73"/>
        <v>0</v>
      </c>
      <c r="R388" s="93">
        <f t="shared" si="74"/>
        <v>1135</v>
      </c>
      <c r="S388" s="93">
        <f t="shared" si="75"/>
        <v>0</v>
      </c>
      <c r="T388" s="93">
        <f t="shared" si="80"/>
        <v>1135</v>
      </c>
      <c r="U388" s="253">
        <f t="shared" si="76"/>
        <v>13463</v>
      </c>
      <c r="V388" s="93">
        <f t="shared" si="77"/>
        <v>0</v>
      </c>
    </row>
    <row r="389" spans="1:22" ht="18" customHeight="1" x14ac:dyDescent="0.2">
      <c r="A389" s="110" t="s">
        <v>706</v>
      </c>
      <c r="B389" s="111"/>
      <c r="C389" s="201" t="s">
        <v>707</v>
      </c>
      <c r="D389" s="91">
        <v>41653</v>
      </c>
      <c r="E389" s="92"/>
      <c r="F389" s="93"/>
      <c r="G389" s="93"/>
      <c r="H389" s="93">
        <v>20000</v>
      </c>
      <c r="I389" s="93">
        <v>10001</v>
      </c>
      <c r="J389" s="93"/>
      <c r="K389" s="93">
        <f t="shared" si="78"/>
        <v>0</v>
      </c>
      <c r="L389" s="93">
        <f t="shared" si="79"/>
        <v>0</v>
      </c>
      <c r="M389" s="94">
        <v>13.33</v>
      </c>
      <c r="N389" s="95" t="s">
        <v>289</v>
      </c>
      <c r="O389" s="93">
        <f t="shared" si="71"/>
        <v>0</v>
      </c>
      <c r="P389" s="93">
        <f t="shared" si="72"/>
        <v>0</v>
      </c>
      <c r="Q389" s="93">
        <f t="shared" si="73"/>
        <v>0</v>
      </c>
      <c r="R389" s="93">
        <f t="shared" si="74"/>
        <v>777</v>
      </c>
      <c r="S389" s="93">
        <f t="shared" si="75"/>
        <v>0</v>
      </c>
      <c r="T389" s="93">
        <f t="shared" si="80"/>
        <v>777</v>
      </c>
      <c r="U389" s="253">
        <f t="shared" si="76"/>
        <v>9224</v>
      </c>
      <c r="V389" s="93">
        <f t="shared" si="77"/>
        <v>0</v>
      </c>
    </row>
    <row r="390" spans="1:22" ht="18" customHeight="1" x14ac:dyDescent="0.2">
      <c r="A390" s="110" t="s">
        <v>708</v>
      </c>
      <c r="B390" s="111"/>
      <c r="C390" s="201" t="s">
        <v>709</v>
      </c>
      <c r="D390" s="91">
        <v>41753</v>
      </c>
      <c r="E390" s="92"/>
      <c r="F390" s="93"/>
      <c r="G390" s="93"/>
      <c r="H390" s="93">
        <v>24600</v>
      </c>
      <c r="I390" s="93">
        <v>12780</v>
      </c>
      <c r="J390" s="93"/>
      <c r="K390" s="93">
        <f t="shared" si="78"/>
        <v>0</v>
      </c>
      <c r="L390" s="93">
        <f t="shared" si="79"/>
        <v>0</v>
      </c>
      <c r="M390" s="94">
        <v>13.33</v>
      </c>
      <c r="N390" s="95" t="s">
        <v>289</v>
      </c>
      <c r="O390" s="93">
        <f t="shared" si="71"/>
        <v>0</v>
      </c>
      <c r="P390" s="93">
        <f t="shared" si="72"/>
        <v>0</v>
      </c>
      <c r="Q390" s="93">
        <f t="shared" si="73"/>
        <v>0</v>
      </c>
      <c r="R390" s="93">
        <f t="shared" si="74"/>
        <v>993</v>
      </c>
      <c r="S390" s="93">
        <f t="shared" si="75"/>
        <v>0</v>
      </c>
      <c r="T390" s="93">
        <f t="shared" si="80"/>
        <v>993</v>
      </c>
      <c r="U390" s="253">
        <f t="shared" si="76"/>
        <v>11787</v>
      </c>
      <c r="V390" s="93">
        <f t="shared" si="77"/>
        <v>0</v>
      </c>
    </row>
    <row r="391" spans="1:22" ht="18" customHeight="1" x14ac:dyDescent="0.2">
      <c r="A391" s="110" t="s">
        <v>710</v>
      </c>
      <c r="B391" s="111"/>
      <c r="C391" s="201" t="s">
        <v>711</v>
      </c>
      <c r="D391" s="91">
        <v>41754</v>
      </c>
      <c r="E391" s="92"/>
      <c r="F391" s="93"/>
      <c r="G391" s="93"/>
      <c r="H391" s="93">
        <v>24600</v>
      </c>
      <c r="I391" s="93">
        <v>12783</v>
      </c>
      <c r="J391" s="93"/>
      <c r="K391" s="93">
        <f t="shared" si="78"/>
        <v>0</v>
      </c>
      <c r="L391" s="93">
        <f t="shared" si="79"/>
        <v>0</v>
      </c>
      <c r="M391" s="94">
        <v>13.33</v>
      </c>
      <c r="N391" s="95" t="s">
        <v>289</v>
      </c>
      <c r="O391" s="93">
        <f t="shared" si="71"/>
        <v>0</v>
      </c>
      <c r="P391" s="93">
        <f t="shared" si="72"/>
        <v>0</v>
      </c>
      <c r="Q391" s="93">
        <f t="shared" si="73"/>
        <v>0</v>
      </c>
      <c r="R391" s="93">
        <f t="shared" si="74"/>
        <v>993</v>
      </c>
      <c r="S391" s="93">
        <f t="shared" si="75"/>
        <v>0</v>
      </c>
      <c r="T391" s="93">
        <f t="shared" si="80"/>
        <v>993</v>
      </c>
      <c r="U391" s="253">
        <f t="shared" si="76"/>
        <v>11790</v>
      </c>
      <c r="V391" s="93">
        <f t="shared" si="77"/>
        <v>0</v>
      </c>
    </row>
    <row r="392" spans="1:22" ht="18" customHeight="1" x14ac:dyDescent="0.2">
      <c r="A392" s="110" t="s">
        <v>712</v>
      </c>
      <c r="B392" s="111"/>
      <c r="C392" s="201" t="s">
        <v>713</v>
      </c>
      <c r="D392" s="91">
        <v>41691</v>
      </c>
      <c r="E392" s="92"/>
      <c r="F392" s="93"/>
      <c r="G392" s="93"/>
      <c r="H392" s="93">
        <v>2166.6999999999998</v>
      </c>
      <c r="I392" s="93">
        <v>754.7</v>
      </c>
      <c r="J392" s="93"/>
      <c r="K392" s="93">
        <f t="shared" si="78"/>
        <v>0</v>
      </c>
      <c r="L392" s="93">
        <f t="shared" si="79"/>
        <v>0</v>
      </c>
      <c r="M392" s="94">
        <v>20</v>
      </c>
      <c r="N392" s="95" t="s">
        <v>289</v>
      </c>
      <c r="O392" s="93">
        <f t="shared" si="71"/>
        <v>0</v>
      </c>
      <c r="P392" s="93">
        <f t="shared" si="72"/>
        <v>0</v>
      </c>
      <c r="Q392" s="93">
        <f t="shared" si="73"/>
        <v>0</v>
      </c>
      <c r="R392" s="93">
        <f t="shared" si="74"/>
        <v>88</v>
      </c>
      <c r="S392" s="93">
        <f t="shared" si="75"/>
        <v>0</v>
      </c>
      <c r="T392" s="93">
        <f t="shared" si="80"/>
        <v>88</v>
      </c>
      <c r="U392" s="253">
        <f t="shared" si="76"/>
        <v>666.7</v>
      </c>
      <c r="V392" s="93">
        <f t="shared" si="77"/>
        <v>0</v>
      </c>
    </row>
    <row r="393" spans="1:22" ht="18" customHeight="1" x14ac:dyDescent="0.2">
      <c r="A393" s="110" t="s">
        <v>714</v>
      </c>
      <c r="B393" s="111"/>
      <c r="C393" s="201" t="s">
        <v>715</v>
      </c>
      <c r="D393" s="91">
        <v>41697</v>
      </c>
      <c r="E393" s="92"/>
      <c r="F393" s="93"/>
      <c r="G393" s="93"/>
      <c r="H393" s="93">
        <v>9476</v>
      </c>
      <c r="I393" s="93">
        <v>4820</v>
      </c>
      <c r="J393" s="93"/>
      <c r="K393" s="93">
        <f t="shared" si="78"/>
        <v>0</v>
      </c>
      <c r="L393" s="93">
        <f t="shared" si="79"/>
        <v>0</v>
      </c>
      <c r="M393" s="94">
        <v>13.33</v>
      </c>
      <c r="N393" s="95" t="s">
        <v>289</v>
      </c>
      <c r="O393" s="93">
        <f t="shared" si="71"/>
        <v>0</v>
      </c>
      <c r="P393" s="93">
        <f t="shared" si="72"/>
        <v>0</v>
      </c>
      <c r="Q393" s="93">
        <f t="shared" si="73"/>
        <v>0</v>
      </c>
      <c r="R393" s="93">
        <f t="shared" si="74"/>
        <v>374</v>
      </c>
      <c r="S393" s="93">
        <f t="shared" si="75"/>
        <v>0</v>
      </c>
      <c r="T393" s="93">
        <f t="shared" si="80"/>
        <v>374</v>
      </c>
      <c r="U393" s="253">
        <f t="shared" si="76"/>
        <v>4446</v>
      </c>
      <c r="V393" s="93">
        <f t="shared" si="77"/>
        <v>0</v>
      </c>
    </row>
    <row r="394" spans="1:22" ht="18" customHeight="1" x14ac:dyDescent="0.2">
      <c r="A394" s="110" t="s">
        <v>716</v>
      </c>
      <c r="B394" s="111"/>
      <c r="C394" s="201" t="s">
        <v>717</v>
      </c>
      <c r="D394" s="91">
        <v>41786</v>
      </c>
      <c r="E394" s="92"/>
      <c r="F394" s="93"/>
      <c r="G394" s="93"/>
      <c r="H394" s="93">
        <v>32377.27</v>
      </c>
      <c r="I394" s="93">
        <v>28724.27</v>
      </c>
      <c r="J394" s="93"/>
      <c r="K394" s="93">
        <f t="shared" si="78"/>
        <v>0</v>
      </c>
      <c r="L394" s="93">
        <f t="shared" si="79"/>
        <v>0</v>
      </c>
      <c r="M394" s="94">
        <v>2.5</v>
      </c>
      <c r="N394" s="95" t="s">
        <v>17</v>
      </c>
      <c r="O394" s="93">
        <f t="shared" si="71"/>
        <v>0</v>
      </c>
      <c r="P394" s="93">
        <f t="shared" si="72"/>
        <v>0</v>
      </c>
      <c r="Q394" s="93">
        <f t="shared" si="73"/>
        <v>0</v>
      </c>
      <c r="R394" s="93">
        <f t="shared" si="74"/>
        <v>0</v>
      </c>
      <c r="S394" s="93">
        <f t="shared" si="75"/>
        <v>472</v>
      </c>
      <c r="T394" s="93">
        <f t="shared" si="80"/>
        <v>472</v>
      </c>
      <c r="U394" s="253">
        <f t="shared" si="76"/>
        <v>28252.27</v>
      </c>
      <c r="V394" s="93">
        <f t="shared" si="77"/>
        <v>0</v>
      </c>
    </row>
    <row r="395" spans="1:22" ht="18" customHeight="1" x14ac:dyDescent="0.2">
      <c r="A395" s="110" t="s">
        <v>718</v>
      </c>
      <c r="B395" s="111"/>
      <c r="C395" s="201" t="s">
        <v>719</v>
      </c>
      <c r="D395" s="91">
        <v>41730</v>
      </c>
      <c r="E395" s="92"/>
      <c r="F395" s="93"/>
      <c r="G395" s="93"/>
      <c r="H395" s="93">
        <v>11325.460000000001</v>
      </c>
      <c r="I395" s="93">
        <v>4037.46</v>
      </c>
      <c r="J395" s="93"/>
      <c r="K395" s="93">
        <f t="shared" si="78"/>
        <v>0</v>
      </c>
      <c r="L395" s="93">
        <f t="shared" si="79"/>
        <v>0</v>
      </c>
      <c r="M395" s="94">
        <v>20</v>
      </c>
      <c r="N395" s="95" t="s">
        <v>289</v>
      </c>
      <c r="O395" s="93">
        <f t="shared" si="71"/>
        <v>0</v>
      </c>
      <c r="P395" s="93">
        <f t="shared" si="72"/>
        <v>0</v>
      </c>
      <c r="Q395" s="93">
        <f t="shared" si="73"/>
        <v>0</v>
      </c>
      <c r="R395" s="93">
        <f t="shared" si="74"/>
        <v>471</v>
      </c>
      <c r="S395" s="93">
        <f t="shared" si="75"/>
        <v>0</v>
      </c>
      <c r="T395" s="93">
        <f t="shared" si="80"/>
        <v>471</v>
      </c>
      <c r="U395" s="253">
        <f t="shared" si="76"/>
        <v>3566.46</v>
      </c>
      <c r="V395" s="93">
        <f t="shared" si="77"/>
        <v>0</v>
      </c>
    </row>
    <row r="396" spans="1:22" ht="18" customHeight="1" x14ac:dyDescent="0.2">
      <c r="A396" s="110" t="s">
        <v>720</v>
      </c>
      <c r="B396" s="111"/>
      <c r="C396" s="201" t="s">
        <v>721</v>
      </c>
      <c r="D396" s="91">
        <v>41730</v>
      </c>
      <c r="E396" s="92"/>
      <c r="F396" s="93"/>
      <c r="G396" s="93"/>
      <c r="H396" s="93">
        <v>3535</v>
      </c>
      <c r="I396" s="93">
        <v>2167</v>
      </c>
      <c r="J396" s="93"/>
      <c r="K396" s="93">
        <f t="shared" si="78"/>
        <v>0</v>
      </c>
      <c r="L396" s="93">
        <f t="shared" si="79"/>
        <v>0</v>
      </c>
      <c r="M396" s="94">
        <v>10</v>
      </c>
      <c r="N396" s="95" t="s">
        <v>289</v>
      </c>
      <c r="O396" s="93">
        <f t="shared" si="71"/>
        <v>0</v>
      </c>
      <c r="P396" s="93">
        <f t="shared" si="72"/>
        <v>0</v>
      </c>
      <c r="Q396" s="93">
        <f t="shared" si="73"/>
        <v>0</v>
      </c>
      <c r="R396" s="93">
        <f t="shared" si="74"/>
        <v>126</v>
      </c>
      <c r="S396" s="93">
        <f t="shared" si="75"/>
        <v>0</v>
      </c>
      <c r="T396" s="93">
        <f t="shared" si="80"/>
        <v>126</v>
      </c>
      <c r="U396" s="253">
        <f t="shared" si="76"/>
        <v>2041</v>
      </c>
      <c r="V396" s="93">
        <f t="shared" si="77"/>
        <v>0</v>
      </c>
    </row>
    <row r="397" spans="1:22" ht="18" customHeight="1" x14ac:dyDescent="0.2">
      <c r="A397" s="110" t="s">
        <v>722</v>
      </c>
      <c r="B397" s="111"/>
      <c r="C397" s="201" t="s">
        <v>723</v>
      </c>
      <c r="D397" s="91">
        <v>41730</v>
      </c>
      <c r="E397" s="92"/>
      <c r="F397" s="93"/>
      <c r="G397" s="93"/>
      <c r="H397" s="93">
        <v>1414.09</v>
      </c>
      <c r="I397" s="93">
        <v>866.09</v>
      </c>
      <c r="J397" s="93"/>
      <c r="K397" s="93">
        <f t="shared" si="78"/>
        <v>0</v>
      </c>
      <c r="L397" s="93">
        <f t="shared" si="79"/>
        <v>0</v>
      </c>
      <c r="M397" s="94">
        <v>10</v>
      </c>
      <c r="N397" s="95" t="s">
        <v>289</v>
      </c>
      <c r="O397" s="93">
        <f t="shared" si="71"/>
        <v>0</v>
      </c>
      <c r="P397" s="93">
        <f t="shared" si="72"/>
        <v>0</v>
      </c>
      <c r="Q397" s="93">
        <f t="shared" si="73"/>
        <v>0</v>
      </c>
      <c r="R397" s="93">
        <f t="shared" si="74"/>
        <v>50</v>
      </c>
      <c r="S397" s="93">
        <f t="shared" si="75"/>
        <v>0</v>
      </c>
      <c r="T397" s="93">
        <f t="shared" si="80"/>
        <v>50</v>
      </c>
      <c r="U397" s="253">
        <f t="shared" si="76"/>
        <v>816.09</v>
      </c>
      <c r="V397" s="93">
        <f t="shared" si="77"/>
        <v>0</v>
      </c>
    </row>
    <row r="398" spans="1:22" ht="18" customHeight="1" x14ac:dyDescent="0.2">
      <c r="A398" s="110" t="s">
        <v>724</v>
      </c>
      <c r="B398" s="111"/>
      <c r="C398" s="201" t="s">
        <v>725</v>
      </c>
      <c r="D398" s="91">
        <v>41779</v>
      </c>
      <c r="E398" s="92"/>
      <c r="F398" s="93"/>
      <c r="G398" s="93"/>
      <c r="H398" s="93">
        <v>8000</v>
      </c>
      <c r="I398" s="93">
        <v>4196</v>
      </c>
      <c r="J398" s="93"/>
      <c r="K398" s="93">
        <f t="shared" si="78"/>
        <v>0</v>
      </c>
      <c r="L398" s="93">
        <f t="shared" si="79"/>
        <v>0</v>
      </c>
      <c r="M398" s="94">
        <v>13.33</v>
      </c>
      <c r="N398" s="95" t="s">
        <v>289</v>
      </c>
      <c r="O398" s="93">
        <f t="shared" si="71"/>
        <v>0</v>
      </c>
      <c r="P398" s="93">
        <f t="shared" si="72"/>
        <v>0</v>
      </c>
      <c r="Q398" s="93">
        <f t="shared" si="73"/>
        <v>0</v>
      </c>
      <c r="R398" s="93">
        <f t="shared" si="74"/>
        <v>326</v>
      </c>
      <c r="S398" s="93">
        <f t="shared" si="75"/>
        <v>0</v>
      </c>
      <c r="T398" s="93">
        <f t="shared" si="80"/>
        <v>326</v>
      </c>
      <c r="U398" s="253">
        <f t="shared" si="76"/>
        <v>3870</v>
      </c>
      <c r="V398" s="93">
        <f t="shared" si="77"/>
        <v>0</v>
      </c>
    </row>
    <row r="399" spans="1:22" ht="18" customHeight="1" x14ac:dyDescent="0.2">
      <c r="A399" s="110" t="s">
        <v>726</v>
      </c>
      <c r="B399" s="111"/>
      <c r="C399" s="201" t="s">
        <v>727</v>
      </c>
      <c r="D399" s="91">
        <v>41795</v>
      </c>
      <c r="E399" s="92"/>
      <c r="F399" s="93"/>
      <c r="G399" s="93"/>
      <c r="H399" s="93">
        <v>1727</v>
      </c>
      <c r="I399" s="93">
        <v>912</v>
      </c>
      <c r="J399" s="93"/>
      <c r="K399" s="93">
        <f t="shared" si="78"/>
        <v>0</v>
      </c>
      <c r="L399" s="93">
        <f t="shared" si="79"/>
        <v>0</v>
      </c>
      <c r="M399" s="94">
        <v>13.33</v>
      </c>
      <c r="N399" s="95" t="s">
        <v>289</v>
      </c>
      <c r="O399" s="93">
        <f t="shared" si="71"/>
        <v>0</v>
      </c>
      <c r="P399" s="93">
        <f t="shared" si="72"/>
        <v>0</v>
      </c>
      <c r="Q399" s="93">
        <f t="shared" si="73"/>
        <v>0</v>
      </c>
      <c r="R399" s="93">
        <f t="shared" si="74"/>
        <v>70</v>
      </c>
      <c r="S399" s="93">
        <f t="shared" si="75"/>
        <v>0</v>
      </c>
      <c r="T399" s="93">
        <f t="shared" si="80"/>
        <v>70</v>
      </c>
      <c r="U399" s="253">
        <f t="shared" si="76"/>
        <v>842</v>
      </c>
      <c r="V399" s="93">
        <f t="shared" si="77"/>
        <v>0</v>
      </c>
    </row>
    <row r="400" spans="1:22" ht="18" customHeight="1" x14ac:dyDescent="0.2">
      <c r="A400" s="110" t="s">
        <v>728</v>
      </c>
      <c r="B400" s="111"/>
      <c r="C400" s="90" t="s">
        <v>729</v>
      </c>
      <c r="D400" s="91">
        <v>41815</v>
      </c>
      <c r="E400" s="92"/>
      <c r="F400" s="93"/>
      <c r="G400" s="93"/>
      <c r="H400" s="93">
        <v>5571.72</v>
      </c>
      <c r="I400" s="93">
        <v>2961.7200000000003</v>
      </c>
      <c r="J400" s="93"/>
      <c r="K400" s="93">
        <f t="shared" si="78"/>
        <v>0</v>
      </c>
      <c r="L400" s="93">
        <f t="shared" si="79"/>
        <v>0</v>
      </c>
      <c r="M400" s="94">
        <v>13.33</v>
      </c>
      <c r="N400" s="95" t="s">
        <v>289</v>
      </c>
      <c r="O400" s="93">
        <f t="shared" si="71"/>
        <v>0</v>
      </c>
      <c r="P400" s="93">
        <f t="shared" si="72"/>
        <v>0</v>
      </c>
      <c r="Q400" s="93">
        <f t="shared" si="73"/>
        <v>0</v>
      </c>
      <c r="R400" s="93">
        <f t="shared" si="74"/>
        <v>230</v>
      </c>
      <c r="S400" s="93">
        <f t="shared" si="75"/>
        <v>0</v>
      </c>
      <c r="T400" s="93">
        <f t="shared" si="80"/>
        <v>230</v>
      </c>
      <c r="U400" s="253">
        <f t="shared" si="76"/>
        <v>2731.7200000000003</v>
      </c>
      <c r="V400" s="93">
        <f t="shared" si="77"/>
        <v>0</v>
      </c>
    </row>
    <row r="401" spans="1:22" ht="18" customHeight="1" x14ac:dyDescent="0.2">
      <c r="A401" s="110" t="s">
        <v>730</v>
      </c>
      <c r="B401" s="111"/>
      <c r="C401" s="201" t="s">
        <v>731</v>
      </c>
      <c r="D401" s="91">
        <v>41815</v>
      </c>
      <c r="E401" s="92"/>
      <c r="F401" s="93"/>
      <c r="G401" s="93"/>
      <c r="H401" s="93">
        <v>1372.22</v>
      </c>
      <c r="I401" s="93">
        <v>729.22</v>
      </c>
      <c r="J401" s="93"/>
      <c r="K401" s="93">
        <f t="shared" si="78"/>
        <v>0</v>
      </c>
      <c r="L401" s="93">
        <f t="shared" si="79"/>
        <v>0</v>
      </c>
      <c r="M401" s="94">
        <v>13.33</v>
      </c>
      <c r="N401" s="95" t="s">
        <v>289</v>
      </c>
      <c r="O401" s="93">
        <f t="shared" si="71"/>
        <v>0</v>
      </c>
      <c r="P401" s="93">
        <f t="shared" si="72"/>
        <v>0</v>
      </c>
      <c r="Q401" s="93">
        <f t="shared" si="73"/>
        <v>0</v>
      </c>
      <c r="R401" s="93">
        <f t="shared" si="74"/>
        <v>56</v>
      </c>
      <c r="S401" s="93">
        <f t="shared" si="75"/>
        <v>0</v>
      </c>
      <c r="T401" s="93">
        <f t="shared" si="80"/>
        <v>56</v>
      </c>
      <c r="U401" s="253">
        <f t="shared" si="76"/>
        <v>673.22</v>
      </c>
      <c r="V401" s="93">
        <f t="shared" si="77"/>
        <v>0</v>
      </c>
    </row>
    <row r="402" spans="1:22" ht="18" customHeight="1" x14ac:dyDescent="0.2">
      <c r="A402" s="110" t="s">
        <v>732</v>
      </c>
      <c r="B402" s="111"/>
      <c r="C402" s="90" t="s">
        <v>733</v>
      </c>
      <c r="D402" s="91">
        <v>41815</v>
      </c>
      <c r="E402" s="92"/>
      <c r="F402" s="93"/>
      <c r="G402" s="93"/>
      <c r="H402" s="93">
        <v>3188.21</v>
      </c>
      <c r="I402" s="93">
        <v>1695.21</v>
      </c>
      <c r="J402" s="93"/>
      <c r="K402" s="93">
        <f t="shared" si="78"/>
        <v>0</v>
      </c>
      <c r="L402" s="93">
        <f t="shared" si="79"/>
        <v>0</v>
      </c>
      <c r="M402" s="94">
        <v>13.33</v>
      </c>
      <c r="N402" s="95" t="s">
        <v>289</v>
      </c>
      <c r="O402" s="93">
        <f t="shared" si="71"/>
        <v>0</v>
      </c>
      <c r="P402" s="93">
        <f t="shared" si="72"/>
        <v>0</v>
      </c>
      <c r="Q402" s="93">
        <f t="shared" si="73"/>
        <v>0</v>
      </c>
      <c r="R402" s="93">
        <f t="shared" si="74"/>
        <v>131</v>
      </c>
      <c r="S402" s="93">
        <f t="shared" si="75"/>
        <v>0</v>
      </c>
      <c r="T402" s="93">
        <f t="shared" si="80"/>
        <v>131</v>
      </c>
      <c r="U402" s="253">
        <f t="shared" si="76"/>
        <v>1564.21</v>
      </c>
      <c r="V402" s="93">
        <f t="shared" si="77"/>
        <v>0</v>
      </c>
    </row>
    <row r="403" spans="1:22" ht="18" customHeight="1" x14ac:dyDescent="0.2">
      <c r="A403" s="110" t="s">
        <v>734</v>
      </c>
      <c r="B403" s="111"/>
      <c r="C403" s="90" t="s">
        <v>735</v>
      </c>
      <c r="D403" s="91">
        <v>41815</v>
      </c>
      <c r="E403" s="92"/>
      <c r="F403" s="93"/>
      <c r="G403" s="93"/>
      <c r="H403" s="93">
        <v>550.80000000000007</v>
      </c>
      <c r="I403" s="93">
        <v>293.8</v>
      </c>
      <c r="J403" s="93"/>
      <c r="K403" s="93">
        <f t="shared" si="78"/>
        <v>0</v>
      </c>
      <c r="L403" s="93">
        <f t="shared" si="79"/>
        <v>0</v>
      </c>
      <c r="M403" s="94">
        <v>13.3</v>
      </c>
      <c r="N403" s="95" t="s">
        <v>289</v>
      </c>
      <c r="O403" s="93">
        <f t="shared" si="71"/>
        <v>0</v>
      </c>
      <c r="P403" s="93">
        <f t="shared" si="72"/>
        <v>0</v>
      </c>
      <c r="Q403" s="93">
        <f t="shared" si="73"/>
        <v>0</v>
      </c>
      <c r="R403" s="93">
        <f t="shared" si="74"/>
        <v>22</v>
      </c>
      <c r="S403" s="93">
        <f t="shared" si="75"/>
        <v>0</v>
      </c>
      <c r="T403" s="93">
        <f t="shared" si="80"/>
        <v>22</v>
      </c>
      <c r="U403" s="253">
        <f t="shared" si="76"/>
        <v>271.8</v>
      </c>
      <c r="V403" s="93">
        <f t="shared" si="77"/>
        <v>0</v>
      </c>
    </row>
    <row r="404" spans="1:22" ht="18" customHeight="1" x14ac:dyDescent="0.2">
      <c r="A404" s="110" t="s">
        <v>736</v>
      </c>
      <c r="B404" s="111"/>
      <c r="C404" s="201" t="s">
        <v>737</v>
      </c>
      <c r="D404" s="91">
        <v>41815</v>
      </c>
      <c r="E404" s="92"/>
      <c r="F404" s="93"/>
      <c r="G404" s="93"/>
      <c r="H404" s="93">
        <v>1826.22</v>
      </c>
      <c r="I404" s="93">
        <v>971.22</v>
      </c>
      <c r="J404" s="93"/>
      <c r="K404" s="93">
        <f t="shared" si="78"/>
        <v>0</v>
      </c>
      <c r="L404" s="93">
        <f t="shared" si="79"/>
        <v>0</v>
      </c>
      <c r="M404" s="94">
        <v>13.33</v>
      </c>
      <c r="N404" s="95" t="s">
        <v>289</v>
      </c>
      <c r="O404" s="93">
        <f t="shared" si="71"/>
        <v>0</v>
      </c>
      <c r="P404" s="93">
        <f t="shared" si="72"/>
        <v>0</v>
      </c>
      <c r="Q404" s="93">
        <f t="shared" si="73"/>
        <v>0</v>
      </c>
      <c r="R404" s="93">
        <f t="shared" si="74"/>
        <v>75</v>
      </c>
      <c r="S404" s="93">
        <f t="shared" si="75"/>
        <v>0</v>
      </c>
      <c r="T404" s="93">
        <f t="shared" si="80"/>
        <v>75</v>
      </c>
      <c r="U404" s="253">
        <f t="shared" si="76"/>
        <v>896.22</v>
      </c>
      <c r="V404" s="93">
        <f t="shared" si="77"/>
        <v>0</v>
      </c>
    </row>
    <row r="405" spans="1:22" ht="18" customHeight="1" x14ac:dyDescent="0.2">
      <c r="A405" s="110" t="s">
        <v>738</v>
      </c>
      <c r="B405" s="111"/>
      <c r="C405" s="90" t="s">
        <v>739</v>
      </c>
      <c r="D405" s="91">
        <v>41815</v>
      </c>
      <c r="E405" s="92"/>
      <c r="F405" s="93"/>
      <c r="G405" s="93"/>
      <c r="H405" s="93">
        <v>2677.48</v>
      </c>
      <c r="I405" s="93">
        <v>1423.48</v>
      </c>
      <c r="J405" s="93"/>
      <c r="K405" s="93">
        <f t="shared" si="78"/>
        <v>0</v>
      </c>
      <c r="L405" s="93">
        <f t="shared" si="79"/>
        <v>0</v>
      </c>
      <c r="M405" s="94">
        <v>13.33</v>
      </c>
      <c r="N405" s="95" t="s">
        <v>289</v>
      </c>
      <c r="O405" s="93">
        <f t="shared" si="71"/>
        <v>0</v>
      </c>
      <c r="P405" s="93">
        <f t="shared" si="72"/>
        <v>0</v>
      </c>
      <c r="Q405" s="93">
        <f t="shared" si="73"/>
        <v>0</v>
      </c>
      <c r="R405" s="93">
        <f t="shared" si="74"/>
        <v>110</v>
      </c>
      <c r="S405" s="93">
        <f t="shared" si="75"/>
        <v>0</v>
      </c>
      <c r="T405" s="93">
        <f t="shared" si="80"/>
        <v>110</v>
      </c>
      <c r="U405" s="253">
        <f t="shared" si="76"/>
        <v>1313.48</v>
      </c>
      <c r="V405" s="93">
        <f t="shared" si="77"/>
        <v>0</v>
      </c>
    </row>
    <row r="406" spans="1:22" ht="18" customHeight="1" x14ac:dyDescent="0.2">
      <c r="A406" s="110" t="s">
        <v>740</v>
      </c>
      <c r="B406" s="111"/>
      <c r="C406" s="201" t="s">
        <v>741</v>
      </c>
      <c r="D406" s="91">
        <v>41815</v>
      </c>
      <c r="E406" s="92"/>
      <c r="F406" s="93"/>
      <c r="G406" s="93"/>
      <c r="H406" s="93">
        <v>1712.71</v>
      </c>
      <c r="I406" s="93">
        <v>910.71</v>
      </c>
      <c r="J406" s="93"/>
      <c r="K406" s="93">
        <f t="shared" si="78"/>
        <v>0</v>
      </c>
      <c r="L406" s="93">
        <f t="shared" si="79"/>
        <v>0</v>
      </c>
      <c r="M406" s="94">
        <v>13.33</v>
      </c>
      <c r="N406" s="95" t="s">
        <v>289</v>
      </c>
      <c r="O406" s="93">
        <f t="shared" si="71"/>
        <v>0</v>
      </c>
      <c r="P406" s="93">
        <f t="shared" si="72"/>
        <v>0</v>
      </c>
      <c r="Q406" s="93">
        <f t="shared" si="73"/>
        <v>0</v>
      </c>
      <c r="R406" s="93">
        <f t="shared" si="74"/>
        <v>70</v>
      </c>
      <c r="S406" s="93">
        <f t="shared" si="75"/>
        <v>0</v>
      </c>
      <c r="T406" s="93">
        <f t="shared" si="80"/>
        <v>70</v>
      </c>
      <c r="U406" s="253">
        <f t="shared" si="76"/>
        <v>840.71</v>
      </c>
      <c r="V406" s="93">
        <f t="shared" si="77"/>
        <v>0</v>
      </c>
    </row>
    <row r="407" spans="1:22" ht="18" customHeight="1" x14ac:dyDescent="0.2">
      <c r="A407" s="110" t="s">
        <v>742</v>
      </c>
      <c r="B407" s="111"/>
      <c r="C407" s="90" t="s">
        <v>743</v>
      </c>
      <c r="D407" s="91">
        <v>41815</v>
      </c>
      <c r="E407" s="92"/>
      <c r="F407" s="93"/>
      <c r="G407" s="93"/>
      <c r="H407" s="93">
        <v>2563.98</v>
      </c>
      <c r="I407" s="93">
        <v>1361.98</v>
      </c>
      <c r="J407" s="93"/>
      <c r="K407" s="93">
        <f t="shared" si="78"/>
        <v>0</v>
      </c>
      <c r="L407" s="93">
        <f t="shared" si="79"/>
        <v>0</v>
      </c>
      <c r="M407" s="94">
        <v>13.33</v>
      </c>
      <c r="N407" s="95" t="s">
        <v>289</v>
      </c>
      <c r="O407" s="93">
        <f t="shared" si="71"/>
        <v>0</v>
      </c>
      <c r="P407" s="93">
        <f t="shared" si="72"/>
        <v>0</v>
      </c>
      <c r="Q407" s="93">
        <f t="shared" si="73"/>
        <v>0</v>
      </c>
      <c r="R407" s="93">
        <f t="shared" si="74"/>
        <v>105</v>
      </c>
      <c r="S407" s="93">
        <f t="shared" si="75"/>
        <v>0</v>
      </c>
      <c r="T407" s="93">
        <f t="shared" si="80"/>
        <v>105</v>
      </c>
      <c r="U407" s="253">
        <f t="shared" si="76"/>
        <v>1256.98</v>
      </c>
      <c r="V407" s="93">
        <f t="shared" si="77"/>
        <v>0</v>
      </c>
    </row>
    <row r="408" spans="1:22" ht="18" customHeight="1" x14ac:dyDescent="0.2">
      <c r="A408" s="110" t="s">
        <v>744</v>
      </c>
      <c r="B408" s="111"/>
      <c r="C408" s="201" t="s">
        <v>745</v>
      </c>
      <c r="D408" s="91">
        <v>41815</v>
      </c>
      <c r="E408" s="92"/>
      <c r="F408" s="93"/>
      <c r="G408" s="93"/>
      <c r="H408" s="93">
        <v>1769.47</v>
      </c>
      <c r="I408" s="93">
        <v>940.47</v>
      </c>
      <c r="J408" s="93"/>
      <c r="K408" s="93">
        <f t="shared" si="78"/>
        <v>0</v>
      </c>
      <c r="L408" s="93">
        <f t="shared" si="79"/>
        <v>0</v>
      </c>
      <c r="M408" s="94">
        <v>13.33</v>
      </c>
      <c r="N408" s="95" t="s">
        <v>289</v>
      </c>
      <c r="O408" s="93">
        <f t="shared" si="71"/>
        <v>0</v>
      </c>
      <c r="P408" s="93">
        <f t="shared" si="72"/>
        <v>0</v>
      </c>
      <c r="Q408" s="93">
        <f t="shared" si="73"/>
        <v>0</v>
      </c>
      <c r="R408" s="93">
        <f t="shared" si="74"/>
        <v>73</v>
      </c>
      <c r="S408" s="93">
        <f t="shared" si="75"/>
        <v>0</v>
      </c>
      <c r="T408" s="93">
        <f t="shared" si="80"/>
        <v>73</v>
      </c>
      <c r="U408" s="253">
        <f t="shared" si="76"/>
        <v>867.47</v>
      </c>
      <c r="V408" s="93">
        <f t="shared" si="77"/>
        <v>0</v>
      </c>
    </row>
    <row r="409" spans="1:22" ht="18" customHeight="1" x14ac:dyDescent="0.2">
      <c r="A409" s="110" t="s">
        <v>746</v>
      </c>
      <c r="B409" s="111"/>
      <c r="C409" s="201" t="s">
        <v>747</v>
      </c>
      <c r="D409" s="91">
        <v>41456</v>
      </c>
      <c r="E409" s="92"/>
      <c r="F409" s="93"/>
      <c r="G409" s="93"/>
      <c r="H409" s="93">
        <v>1063.6400000000001</v>
      </c>
      <c r="I409" s="93">
        <v>319.64</v>
      </c>
      <c r="J409" s="93"/>
      <c r="K409" s="93">
        <f t="shared" si="78"/>
        <v>0</v>
      </c>
      <c r="L409" s="93">
        <f t="shared" si="79"/>
        <v>0</v>
      </c>
      <c r="M409" s="94">
        <v>20</v>
      </c>
      <c r="N409" s="95" t="s">
        <v>289</v>
      </c>
      <c r="O409" s="93">
        <f t="shared" si="71"/>
        <v>0</v>
      </c>
      <c r="P409" s="93">
        <f t="shared" si="72"/>
        <v>0</v>
      </c>
      <c r="Q409" s="93">
        <f t="shared" si="73"/>
        <v>0</v>
      </c>
      <c r="R409" s="93">
        <f t="shared" si="74"/>
        <v>37</v>
      </c>
      <c r="S409" s="93">
        <f t="shared" si="75"/>
        <v>0</v>
      </c>
      <c r="T409" s="93">
        <f t="shared" si="80"/>
        <v>37</v>
      </c>
      <c r="U409" s="253">
        <f t="shared" si="76"/>
        <v>282.64</v>
      </c>
      <c r="V409" s="93">
        <f t="shared" si="77"/>
        <v>0</v>
      </c>
    </row>
    <row r="410" spans="1:22" ht="18" customHeight="1" x14ac:dyDescent="0.2">
      <c r="A410" s="110" t="s">
        <v>748</v>
      </c>
      <c r="B410" s="111"/>
      <c r="C410" s="201" t="s">
        <v>749</v>
      </c>
      <c r="D410" s="91">
        <v>41690</v>
      </c>
      <c r="E410" s="92"/>
      <c r="F410" s="93"/>
      <c r="G410" s="93"/>
      <c r="H410" s="93">
        <v>1560</v>
      </c>
      <c r="I410" s="93">
        <v>144</v>
      </c>
      <c r="J410" s="93"/>
      <c r="K410" s="93">
        <f t="shared" si="78"/>
        <v>0</v>
      </c>
      <c r="L410" s="93">
        <f t="shared" si="79"/>
        <v>0</v>
      </c>
      <c r="M410" s="94">
        <v>40</v>
      </c>
      <c r="N410" s="95" t="s">
        <v>289</v>
      </c>
      <c r="O410" s="93">
        <f t="shared" si="71"/>
        <v>0</v>
      </c>
      <c r="P410" s="93">
        <f t="shared" si="72"/>
        <v>0</v>
      </c>
      <c r="Q410" s="93">
        <f t="shared" si="73"/>
        <v>0</v>
      </c>
      <c r="R410" s="93">
        <f t="shared" si="74"/>
        <v>33</v>
      </c>
      <c r="S410" s="93">
        <f t="shared" si="75"/>
        <v>0</v>
      </c>
      <c r="T410" s="93">
        <f t="shared" si="80"/>
        <v>33</v>
      </c>
      <c r="U410" s="253">
        <f t="shared" si="76"/>
        <v>111</v>
      </c>
      <c r="V410" s="93">
        <f t="shared" si="77"/>
        <v>0</v>
      </c>
    </row>
    <row r="411" spans="1:22" ht="18" customHeight="1" x14ac:dyDescent="0.2">
      <c r="A411" s="110" t="s">
        <v>750</v>
      </c>
      <c r="B411" s="111"/>
      <c r="C411" s="201" t="s">
        <v>751</v>
      </c>
      <c r="D411" s="91">
        <v>41729</v>
      </c>
      <c r="E411" s="92"/>
      <c r="F411" s="93"/>
      <c r="G411" s="93"/>
      <c r="H411" s="93">
        <v>6872.7300000000005</v>
      </c>
      <c r="I411" s="93">
        <v>666.73</v>
      </c>
      <c r="J411" s="93"/>
      <c r="K411" s="93">
        <f t="shared" si="78"/>
        <v>0</v>
      </c>
      <c r="L411" s="93">
        <f t="shared" si="79"/>
        <v>0</v>
      </c>
      <c r="M411" s="94">
        <v>40</v>
      </c>
      <c r="N411" s="95" t="s">
        <v>289</v>
      </c>
      <c r="O411" s="93">
        <f t="shared" si="71"/>
        <v>0</v>
      </c>
      <c r="P411" s="93">
        <f t="shared" si="72"/>
        <v>0</v>
      </c>
      <c r="Q411" s="93">
        <f t="shared" si="73"/>
        <v>0</v>
      </c>
      <c r="R411" s="93">
        <f t="shared" si="74"/>
        <v>155</v>
      </c>
      <c r="S411" s="93">
        <f t="shared" si="75"/>
        <v>0</v>
      </c>
      <c r="T411" s="93">
        <f t="shared" si="80"/>
        <v>155</v>
      </c>
      <c r="U411" s="253">
        <f t="shared" si="76"/>
        <v>511.73</v>
      </c>
      <c r="V411" s="93">
        <f t="shared" si="77"/>
        <v>0</v>
      </c>
    </row>
    <row r="412" spans="1:22" ht="18" customHeight="1" x14ac:dyDescent="0.2">
      <c r="A412" s="110" t="s">
        <v>752</v>
      </c>
      <c r="B412" s="111"/>
      <c r="C412" s="201" t="s">
        <v>751</v>
      </c>
      <c r="D412" s="91">
        <v>41816</v>
      </c>
      <c r="E412" s="92"/>
      <c r="F412" s="93"/>
      <c r="G412" s="93"/>
      <c r="H412" s="93">
        <v>1668</v>
      </c>
      <c r="I412" s="93">
        <v>179</v>
      </c>
      <c r="J412" s="93"/>
      <c r="K412" s="93">
        <f t="shared" si="78"/>
        <v>0</v>
      </c>
      <c r="L412" s="93">
        <f t="shared" si="79"/>
        <v>0</v>
      </c>
      <c r="M412" s="94">
        <v>40</v>
      </c>
      <c r="N412" s="95" t="s">
        <v>289</v>
      </c>
      <c r="O412" s="93">
        <f t="shared" si="71"/>
        <v>0</v>
      </c>
      <c r="P412" s="93">
        <f t="shared" si="72"/>
        <v>0</v>
      </c>
      <c r="Q412" s="93">
        <f t="shared" si="73"/>
        <v>0</v>
      </c>
      <c r="R412" s="93">
        <f t="shared" si="74"/>
        <v>41</v>
      </c>
      <c r="S412" s="93">
        <f t="shared" si="75"/>
        <v>0</v>
      </c>
      <c r="T412" s="93">
        <f t="shared" si="80"/>
        <v>41</v>
      </c>
      <c r="U412" s="253">
        <f t="shared" si="76"/>
        <v>138</v>
      </c>
      <c r="V412" s="93">
        <f t="shared" si="77"/>
        <v>0</v>
      </c>
    </row>
    <row r="413" spans="1:22" ht="18" customHeight="1" x14ac:dyDescent="0.2">
      <c r="A413" s="110" t="s">
        <v>753</v>
      </c>
      <c r="B413" s="111"/>
      <c r="C413" s="201" t="s">
        <v>754</v>
      </c>
      <c r="D413" s="91">
        <v>41833</v>
      </c>
      <c r="E413" s="92"/>
      <c r="F413" s="93"/>
      <c r="G413" s="93"/>
      <c r="H413" s="93">
        <v>35072.43</v>
      </c>
      <c r="I413" s="93">
        <v>13269.43</v>
      </c>
      <c r="J413" s="93"/>
      <c r="K413" s="93">
        <f t="shared" si="78"/>
        <v>0</v>
      </c>
      <c r="L413" s="93">
        <f t="shared" si="79"/>
        <v>0</v>
      </c>
      <c r="M413" s="94">
        <v>20</v>
      </c>
      <c r="N413" s="95" t="s">
        <v>289</v>
      </c>
      <c r="O413" s="93">
        <f t="shared" si="71"/>
        <v>0</v>
      </c>
      <c r="P413" s="93">
        <f t="shared" si="72"/>
        <v>0</v>
      </c>
      <c r="Q413" s="93">
        <f t="shared" si="73"/>
        <v>0</v>
      </c>
      <c r="R413" s="93">
        <f t="shared" si="74"/>
        <v>1548</v>
      </c>
      <c r="S413" s="93">
        <f t="shared" si="75"/>
        <v>0</v>
      </c>
      <c r="T413" s="93">
        <f t="shared" si="80"/>
        <v>1548</v>
      </c>
      <c r="U413" s="253">
        <f t="shared" si="76"/>
        <v>11721.43</v>
      </c>
      <c r="V413" s="93">
        <f t="shared" si="77"/>
        <v>0</v>
      </c>
    </row>
    <row r="414" spans="1:22" ht="18" customHeight="1" x14ac:dyDescent="0.2">
      <c r="A414" s="110" t="s">
        <v>755</v>
      </c>
      <c r="B414" s="111"/>
      <c r="C414" s="201" t="s">
        <v>756</v>
      </c>
      <c r="D414" s="91">
        <v>41934</v>
      </c>
      <c r="E414" s="92"/>
      <c r="F414" s="93"/>
      <c r="G414" s="93"/>
      <c r="H414" s="93">
        <v>1636.3700000000001</v>
      </c>
      <c r="I414" s="93">
        <v>912.37</v>
      </c>
      <c r="J414" s="93"/>
      <c r="K414" s="93">
        <f t="shared" si="78"/>
        <v>0</v>
      </c>
      <c r="L414" s="93">
        <f t="shared" si="79"/>
        <v>0</v>
      </c>
      <c r="M414" s="94">
        <v>13.33</v>
      </c>
      <c r="N414" s="95" t="s">
        <v>289</v>
      </c>
      <c r="O414" s="93">
        <f t="shared" si="71"/>
        <v>0</v>
      </c>
      <c r="P414" s="93">
        <f t="shared" si="72"/>
        <v>0</v>
      </c>
      <c r="Q414" s="93">
        <f t="shared" si="73"/>
        <v>0</v>
      </c>
      <c r="R414" s="93">
        <f t="shared" si="74"/>
        <v>70</v>
      </c>
      <c r="S414" s="93">
        <f t="shared" si="75"/>
        <v>0</v>
      </c>
      <c r="T414" s="93">
        <f t="shared" si="80"/>
        <v>70</v>
      </c>
      <c r="U414" s="253">
        <f t="shared" si="76"/>
        <v>842.37</v>
      </c>
      <c r="V414" s="93">
        <f t="shared" si="77"/>
        <v>0</v>
      </c>
    </row>
    <row r="415" spans="1:22" ht="18" customHeight="1" x14ac:dyDescent="0.2">
      <c r="A415" s="110" t="s">
        <v>757</v>
      </c>
      <c r="B415" s="111"/>
      <c r="C415" s="201" t="s">
        <v>758</v>
      </c>
      <c r="D415" s="91">
        <v>41934</v>
      </c>
      <c r="E415" s="92"/>
      <c r="F415" s="93"/>
      <c r="G415" s="93"/>
      <c r="H415" s="93">
        <v>2045.45</v>
      </c>
      <c r="I415" s="93">
        <v>1454.45</v>
      </c>
      <c r="J415" s="93"/>
      <c r="K415" s="93">
        <f t="shared" si="78"/>
        <v>0</v>
      </c>
      <c r="L415" s="93">
        <f t="shared" si="79"/>
        <v>0</v>
      </c>
      <c r="M415" s="94">
        <v>8</v>
      </c>
      <c r="N415" s="95" t="s">
        <v>289</v>
      </c>
      <c r="O415" s="93">
        <f t="shared" si="71"/>
        <v>0</v>
      </c>
      <c r="P415" s="93">
        <f t="shared" si="72"/>
        <v>0</v>
      </c>
      <c r="Q415" s="93">
        <f t="shared" si="73"/>
        <v>0</v>
      </c>
      <c r="R415" s="93">
        <f t="shared" si="74"/>
        <v>67</v>
      </c>
      <c r="S415" s="93">
        <f t="shared" si="75"/>
        <v>0</v>
      </c>
      <c r="T415" s="93">
        <f t="shared" si="80"/>
        <v>67</v>
      </c>
      <c r="U415" s="253">
        <f t="shared" si="76"/>
        <v>1387.45</v>
      </c>
      <c r="V415" s="93">
        <f t="shared" si="77"/>
        <v>0</v>
      </c>
    </row>
    <row r="416" spans="1:22" ht="18" customHeight="1" x14ac:dyDescent="0.2">
      <c r="A416" s="110" t="s">
        <v>759</v>
      </c>
      <c r="B416" s="111"/>
      <c r="C416" s="201" t="s">
        <v>760</v>
      </c>
      <c r="D416" s="91">
        <v>41934</v>
      </c>
      <c r="E416" s="92"/>
      <c r="F416" s="93"/>
      <c r="G416" s="93"/>
      <c r="H416" s="93">
        <v>19585.23</v>
      </c>
      <c r="I416" s="93">
        <v>7918.2300000000005</v>
      </c>
      <c r="J416" s="93"/>
      <c r="K416" s="93">
        <f t="shared" si="78"/>
        <v>0</v>
      </c>
      <c r="L416" s="93">
        <f t="shared" si="79"/>
        <v>0</v>
      </c>
      <c r="M416" s="94">
        <v>20</v>
      </c>
      <c r="N416" s="95" t="s">
        <v>289</v>
      </c>
      <c r="O416" s="93">
        <f t="shared" si="71"/>
        <v>0</v>
      </c>
      <c r="P416" s="93">
        <f t="shared" si="72"/>
        <v>0</v>
      </c>
      <c r="Q416" s="93">
        <f t="shared" si="73"/>
        <v>0</v>
      </c>
      <c r="R416" s="93">
        <f t="shared" si="74"/>
        <v>923</v>
      </c>
      <c r="S416" s="93">
        <f t="shared" si="75"/>
        <v>0</v>
      </c>
      <c r="T416" s="93">
        <f t="shared" si="80"/>
        <v>923</v>
      </c>
      <c r="U416" s="253">
        <f t="shared" si="76"/>
        <v>6995.2300000000005</v>
      </c>
      <c r="V416" s="93">
        <f t="shared" si="77"/>
        <v>0</v>
      </c>
    </row>
    <row r="417" spans="1:22" ht="18" customHeight="1" x14ac:dyDescent="0.2">
      <c r="A417" s="110" t="s">
        <v>761</v>
      </c>
      <c r="B417" s="111"/>
      <c r="C417" s="201" t="s">
        <v>762</v>
      </c>
      <c r="D417" s="91">
        <v>42051</v>
      </c>
      <c r="E417" s="92"/>
      <c r="F417" s="93"/>
      <c r="G417" s="93"/>
      <c r="H417" s="93">
        <v>7375.91</v>
      </c>
      <c r="I417" s="93">
        <v>3203.91</v>
      </c>
      <c r="J417" s="93"/>
      <c r="K417" s="93">
        <f t="shared" si="78"/>
        <v>0</v>
      </c>
      <c r="L417" s="93">
        <f t="shared" si="79"/>
        <v>0</v>
      </c>
      <c r="M417" s="94">
        <v>20</v>
      </c>
      <c r="N417" s="95" t="s">
        <v>289</v>
      </c>
      <c r="O417" s="93">
        <f t="shared" si="71"/>
        <v>0</v>
      </c>
      <c r="P417" s="93">
        <f t="shared" si="72"/>
        <v>0</v>
      </c>
      <c r="Q417" s="93">
        <f t="shared" si="73"/>
        <v>0</v>
      </c>
      <c r="R417" s="93">
        <f t="shared" si="74"/>
        <v>373</v>
      </c>
      <c r="S417" s="93">
        <f t="shared" si="75"/>
        <v>0</v>
      </c>
      <c r="T417" s="93">
        <f t="shared" si="80"/>
        <v>373</v>
      </c>
      <c r="U417" s="253">
        <f t="shared" si="76"/>
        <v>2830.91</v>
      </c>
      <c r="V417" s="93">
        <f t="shared" si="77"/>
        <v>0</v>
      </c>
    </row>
    <row r="418" spans="1:22" ht="18" customHeight="1" x14ac:dyDescent="0.2">
      <c r="A418" s="110" t="s">
        <v>763</v>
      </c>
      <c r="B418" s="111"/>
      <c r="C418" s="201" t="s">
        <v>764</v>
      </c>
      <c r="D418" s="91">
        <v>42094</v>
      </c>
      <c r="E418" s="92"/>
      <c r="F418" s="93"/>
      <c r="G418" s="93"/>
      <c r="H418" s="93">
        <v>42967.8</v>
      </c>
      <c r="I418" s="93">
        <v>25519.8</v>
      </c>
      <c r="J418" s="93"/>
      <c r="K418" s="93">
        <f t="shared" si="78"/>
        <v>0</v>
      </c>
      <c r="L418" s="93">
        <f t="shared" si="79"/>
        <v>0</v>
      </c>
      <c r="M418" s="94">
        <v>13.33</v>
      </c>
      <c r="N418" s="95" t="s">
        <v>289</v>
      </c>
      <c r="O418" s="93">
        <f t="shared" si="71"/>
        <v>0</v>
      </c>
      <c r="P418" s="93">
        <f t="shared" si="72"/>
        <v>0</v>
      </c>
      <c r="Q418" s="93">
        <f t="shared" si="73"/>
        <v>0</v>
      </c>
      <c r="R418" s="93">
        <f t="shared" si="74"/>
        <v>1984</v>
      </c>
      <c r="S418" s="93">
        <f t="shared" si="75"/>
        <v>0</v>
      </c>
      <c r="T418" s="93">
        <f t="shared" si="80"/>
        <v>1984</v>
      </c>
      <c r="U418" s="253">
        <f t="shared" si="76"/>
        <v>23535.8</v>
      </c>
      <c r="V418" s="93">
        <f t="shared" si="77"/>
        <v>0</v>
      </c>
    </row>
    <row r="419" spans="1:22" ht="18" customHeight="1" x14ac:dyDescent="0.2">
      <c r="A419" s="110" t="s">
        <v>765</v>
      </c>
      <c r="B419" s="111"/>
      <c r="C419" s="201" t="s">
        <v>766</v>
      </c>
      <c r="D419" s="91">
        <v>42149</v>
      </c>
      <c r="E419" s="92"/>
      <c r="F419" s="93"/>
      <c r="G419" s="93"/>
      <c r="H419" s="93">
        <v>5984.55</v>
      </c>
      <c r="I419" s="93">
        <v>3628.55</v>
      </c>
      <c r="J419" s="93"/>
      <c r="K419" s="93">
        <f t="shared" si="78"/>
        <v>0</v>
      </c>
      <c r="L419" s="93">
        <f t="shared" si="79"/>
        <v>0</v>
      </c>
      <c r="M419" s="94">
        <v>13.33</v>
      </c>
      <c r="N419" s="95" t="s">
        <v>289</v>
      </c>
      <c r="O419" s="93">
        <f t="shared" si="71"/>
        <v>0</v>
      </c>
      <c r="P419" s="93">
        <f t="shared" si="72"/>
        <v>0</v>
      </c>
      <c r="Q419" s="93">
        <f t="shared" si="73"/>
        <v>0</v>
      </c>
      <c r="R419" s="93">
        <f t="shared" si="74"/>
        <v>282</v>
      </c>
      <c r="S419" s="93">
        <f t="shared" si="75"/>
        <v>0</v>
      </c>
      <c r="T419" s="93">
        <f t="shared" si="80"/>
        <v>282</v>
      </c>
      <c r="U419" s="253">
        <f t="shared" si="76"/>
        <v>3346.55</v>
      </c>
      <c r="V419" s="93">
        <f t="shared" si="77"/>
        <v>0</v>
      </c>
    </row>
    <row r="420" spans="1:22" ht="18" customHeight="1" x14ac:dyDescent="0.2">
      <c r="A420" s="110" t="s">
        <v>767</v>
      </c>
      <c r="B420" s="111"/>
      <c r="C420" s="201" t="s">
        <v>768</v>
      </c>
      <c r="D420" s="91">
        <v>41842</v>
      </c>
      <c r="E420" s="92"/>
      <c r="F420" s="93"/>
      <c r="G420" s="93"/>
      <c r="H420" s="93">
        <v>2500</v>
      </c>
      <c r="I420" s="93">
        <v>0</v>
      </c>
      <c r="J420" s="93"/>
      <c r="K420" s="93">
        <f t="shared" si="78"/>
        <v>0</v>
      </c>
      <c r="L420" s="93">
        <f t="shared" si="79"/>
        <v>0</v>
      </c>
      <c r="M420" s="94">
        <v>20</v>
      </c>
      <c r="N420" s="95" t="s">
        <v>289</v>
      </c>
      <c r="O420" s="93">
        <f t="shared" si="71"/>
        <v>0</v>
      </c>
      <c r="P420" s="93">
        <f t="shared" si="72"/>
        <v>0</v>
      </c>
      <c r="Q420" s="93">
        <f t="shared" si="73"/>
        <v>0</v>
      </c>
      <c r="R420" s="93">
        <f t="shared" si="74"/>
        <v>0</v>
      </c>
      <c r="S420" s="93">
        <f t="shared" si="75"/>
        <v>0</v>
      </c>
      <c r="T420" s="93">
        <f t="shared" si="80"/>
        <v>0</v>
      </c>
      <c r="U420" s="253">
        <f t="shared" si="76"/>
        <v>0</v>
      </c>
      <c r="V420" s="93">
        <f t="shared" si="77"/>
        <v>0</v>
      </c>
    </row>
    <row r="421" spans="1:22" ht="18" customHeight="1" x14ac:dyDescent="0.2">
      <c r="A421" s="110" t="s">
        <v>769</v>
      </c>
      <c r="B421" s="111"/>
      <c r="C421" s="201" t="s">
        <v>770</v>
      </c>
      <c r="D421" s="91">
        <v>41934</v>
      </c>
      <c r="E421" s="92"/>
      <c r="F421" s="93"/>
      <c r="G421" s="93"/>
      <c r="H421" s="93">
        <v>787.5</v>
      </c>
      <c r="I421" s="93">
        <v>0</v>
      </c>
      <c r="J421" s="93"/>
      <c r="K421" s="93">
        <f t="shared" si="78"/>
        <v>0</v>
      </c>
      <c r="L421" s="93">
        <f t="shared" si="79"/>
        <v>0</v>
      </c>
      <c r="M421" s="94">
        <v>20</v>
      </c>
      <c r="N421" s="95" t="s">
        <v>289</v>
      </c>
      <c r="O421" s="93">
        <f t="shared" ref="O421:O484" si="81">IF(E421&gt;0,INT(IF($N421="D",IF($D421&lt;$H$3,$I421*($M421/100)*((E421-$H$3)/365),$J421*($M421/100)*($J$3-$D421)/365),0)),0)</f>
        <v>0</v>
      </c>
      <c r="P421" s="93">
        <f t="shared" ref="P421:P484" si="82">IF(E421&gt;0,INT(IF($N421="P",IF($D421&lt;$H$3,$H421*($M421/100)*(E421-$H$3)/365,$J421*($M421/100)*($J$3-$D421)/365),0)),0)</f>
        <v>0</v>
      </c>
      <c r="Q421" s="93">
        <f t="shared" ref="Q421:Q484" si="83">+O421+P421</f>
        <v>0</v>
      </c>
      <c r="R421" s="93">
        <f t="shared" ref="R421:R484" si="84">INT(IF($E421&gt;0,0,(IF($N421="D",IF($D421&lt;$H$3,$I421*($M421/100)*$U$3/12,$J421*($M421/100)*($J$3-$D421)/365),0))))</f>
        <v>0</v>
      </c>
      <c r="S421" s="93">
        <f t="shared" ref="S421:S484" si="85">INT(IF($E421&gt;0,0,(IF($N421="P",IF($D421&lt;$H$3,$H421*($M421/100)*$U$3/12,$J421*($M421/100)*($J$3-$D421)/365),0))))</f>
        <v>0</v>
      </c>
      <c r="T421" s="93">
        <f t="shared" si="80"/>
        <v>0</v>
      </c>
      <c r="U421" s="253">
        <f t="shared" si="76"/>
        <v>0</v>
      </c>
      <c r="V421" s="93">
        <f t="shared" si="77"/>
        <v>0</v>
      </c>
    </row>
    <row r="422" spans="1:22" ht="18" customHeight="1" x14ac:dyDescent="0.2">
      <c r="A422" s="110" t="s">
        <v>771</v>
      </c>
      <c r="B422" s="111"/>
      <c r="C422" s="201" t="s">
        <v>772</v>
      </c>
      <c r="D422" s="91">
        <v>41934</v>
      </c>
      <c r="E422" s="92">
        <v>43646</v>
      </c>
      <c r="F422" s="93"/>
      <c r="G422" s="93"/>
      <c r="H422" s="93">
        <v>230.13</v>
      </c>
      <c r="I422" s="93">
        <v>0</v>
      </c>
      <c r="J422" s="93"/>
      <c r="K422" s="93">
        <f t="shared" si="78"/>
        <v>0</v>
      </c>
      <c r="L422" s="93">
        <f t="shared" si="79"/>
        <v>0</v>
      </c>
      <c r="M422" s="94">
        <v>20</v>
      </c>
      <c r="N422" s="95" t="s">
        <v>289</v>
      </c>
      <c r="O422" s="93">
        <f t="shared" si="81"/>
        <v>0</v>
      </c>
      <c r="P422" s="93">
        <f t="shared" si="82"/>
        <v>0</v>
      </c>
      <c r="Q422" s="93">
        <f t="shared" si="83"/>
        <v>0</v>
      </c>
      <c r="R422" s="93">
        <f t="shared" si="84"/>
        <v>0</v>
      </c>
      <c r="S422" s="93">
        <f t="shared" si="85"/>
        <v>0</v>
      </c>
      <c r="T422" s="93">
        <f t="shared" si="80"/>
        <v>0</v>
      </c>
      <c r="U422" s="253">
        <f t="shared" si="76"/>
        <v>0</v>
      </c>
      <c r="V422" s="93">
        <f t="shared" si="77"/>
        <v>230.13</v>
      </c>
    </row>
    <row r="423" spans="1:22" ht="18" customHeight="1" x14ac:dyDescent="0.2">
      <c r="A423" s="110" t="s">
        <v>773</v>
      </c>
      <c r="B423" s="111"/>
      <c r="C423" s="201" t="s">
        <v>774</v>
      </c>
      <c r="D423" s="91">
        <v>42036</v>
      </c>
      <c r="E423" s="92"/>
      <c r="F423" s="93"/>
      <c r="G423" s="93"/>
      <c r="H423" s="93">
        <v>670</v>
      </c>
      <c r="I423" s="93">
        <v>0</v>
      </c>
      <c r="J423" s="93"/>
      <c r="K423" s="93">
        <f t="shared" si="78"/>
        <v>0</v>
      </c>
      <c r="L423" s="93">
        <f t="shared" si="79"/>
        <v>0</v>
      </c>
      <c r="M423" s="94">
        <v>20</v>
      </c>
      <c r="N423" s="95" t="s">
        <v>289</v>
      </c>
      <c r="O423" s="93">
        <f t="shared" si="81"/>
        <v>0</v>
      </c>
      <c r="P423" s="93">
        <f t="shared" si="82"/>
        <v>0</v>
      </c>
      <c r="Q423" s="93">
        <f t="shared" si="83"/>
        <v>0</v>
      </c>
      <c r="R423" s="93">
        <f t="shared" si="84"/>
        <v>0</v>
      </c>
      <c r="S423" s="93">
        <f t="shared" si="85"/>
        <v>0</v>
      </c>
      <c r="T423" s="93">
        <f t="shared" si="80"/>
        <v>0</v>
      </c>
      <c r="U423" s="253">
        <f t="shared" ref="U423:U486" si="86">+I423+J423-T423-F423+K423-L423</f>
        <v>0</v>
      </c>
      <c r="V423" s="93">
        <f t="shared" ref="V423:V486" si="87">IF(E423&gt;0,+H423+J423,0)</f>
        <v>0</v>
      </c>
    </row>
    <row r="424" spans="1:22" ht="18" customHeight="1" x14ac:dyDescent="0.2">
      <c r="A424" s="110" t="s">
        <v>775</v>
      </c>
      <c r="B424" s="111"/>
      <c r="C424" s="201" t="s">
        <v>749</v>
      </c>
      <c r="D424" s="91">
        <v>42046</v>
      </c>
      <c r="E424" s="92"/>
      <c r="F424" s="93"/>
      <c r="G424" s="93"/>
      <c r="H424" s="93">
        <v>515</v>
      </c>
      <c r="I424" s="93">
        <v>0</v>
      </c>
      <c r="J424" s="93"/>
      <c r="K424" s="93">
        <f t="shared" si="78"/>
        <v>0</v>
      </c>
      <c r="L424" s="93">
        <f t="shared" si="79"/>
        <v>0</v>
      </c>
      <c r="M424" s="94">
        <v>20</v>
      </c>
      <c r="N424" s="95" t="s">
        <v>289</v>
      </c>
      <c r="O424" s="93">
        <f t="shared" si="81"/>
        <v>0</v>
      </c>
      <c r="P424" s="93">
        <f t="shared" si="82"/>
        <v>0</v>
      </c>
      <c r="Q424" s="93">
        <f t="shared" si="83"/>
        <v>0</v>
      </c>
      <c r="R424" s="93">
        <f t="shared" si="84"/>
        <v>0</v>
      </c>
      <c r="S424" s="93">
        <f t="shared" si="85"/>
        <v>0</v>
      </c>
      <c r="T424" s="93">
        <f t="shared" si="80"/>
        <v>0</v>
      </c>
      <c r="U424" s="253">
        <f t="shared" si="86"/>
        <v>0</v>
      </c>
      <c r="V424" s="93">
        <f t="shared" si="87"/>
        <v>0</v>
      </c>
    </row>
    <row r="425" spans="1:22" ht="18" customHeight="1" x14ac:dyDescent="0.2">
      <c r="A425" s="110" t="s">
        <v>776</v>
      </c>
      <c r="B425" s="111"/>
      <c r="C425" s="201" t="s">
        <v>777</v>
      </c>
      <c r="D425" s="91">
        <v>41934</v>
      </c>
      <c r="E425" s="92"/>
      <c r="F425" s="93"/>
      <c r="G425" s="93"/>
      <c r="H425" s="93">
        <v>869.32</v>
      </c>
      <c r="I425" s="93">
        <v>0</v>
      </c>
      <c r="J425" s="93"/>
      <c r="K425" s="93">
        <f t="shared" si="78"/>
        <v>0</v>
      </c>
      <c r="L425" s="93">
        <f t="shared" si="79"/>
        <v>0</v>
      </c>
      <c r="M425" s="94">
        <v>20</v>
      </c>
      <c r="N425" s="95" t="s">
        <v>289</v>
      </c>
      <c r="O425" s="93">
        <f t="shared" si="81"/>
        <v>0</v>
      </c>
      <c r="P425" s="93">
        <f t="shared" si="82"/>
        <v>0</v>
      </c>
      <c r="Q425" s="93">
        <f t="shared" si="83"/>
        <v>0</v>
      </c>
      <c r="R425" s="93">
        <f t="shared" si="84"/>
        <v>0</v>
      </c>
      <c r="S425" s="93">
        <f t="shared" si="85"/>
        <v>0</v>
      </c>
      <c r="T425" s="93">
        <f t="shared" si="80"/>
        <v>0</v>
      </c>
      <c r="U425" s="253">
        <f t="shared" si="86"/>
        <v>0</v>
      </c>
      <c r="V425" s="93">
        <f t="shared" si="87"/>
        <v>0</v>
      </c>
    </row>
    <row r="426" spans="1:22" ht="18" customHeight="1" x14ac:dyDescent="0.2">
      <c r="A426" s="110" t="s">
        <v>778</v>
      </c>
      <c r="B426" s="111"/>
      <c r="C426" s="201" t="s">
        <v>779</v>
      </c>
      <c r="D426" s="91">
        <v>42095</v>
      </c>
      <c r="E426" s="92"/>
      <c r="F426" s="93"/>
      <c r="G426" s="93"/>
      <c r="H426" s="93">
        <v>953.64</v>
      </c>
      <c r="I426" s="93">
        <v>0</v>
      </c>
      <c r="J426" s="93"/>
      <c r="K426" s="93">
        <f t="shared" si="78"/>
        <v>0</v>
      </c>
      <c r="L426" s="93">
        <f t="shared" si="79"/>
        <v>0</v>
      </c>
      <c r="M426" s="94">
        <v>20</v>
      </c>
      <c r="N426" s="95" t="s">
        <v>289</v>
      </c>
      <c r="O426" s="93">
        <f t="shared" si="81"/>
        <v>0</v>
      </c>
      <c r="P426" s="93">
        <f t="shared" si="82"/>
        <v>0</v>
      </c>
      <c r="Q426" s="93">
        <f t="shared" si="83"/>
        <v>0</v>
      </c>
      <c r="R426" s="93">
        <f t="shared" si="84"/>
        <v>0</v>
      </c>
      <c r="S426" s="93">
        <f t="shared" si="85"/>
        <v>0</v>
      </c>
      <c r="T426" s="93">
        <f t="shared" si="80"/>
        <v>0</v>
      </c>
      <c r="U426" s="253">
        <f t="shared" si="86"/>
        <v>0</v>
      </c>
      <c r="V426" s="93">
        <f t="shared" si="87"/>
        <v>0</v>
      </c>
    </row>
    <row r="427" spans="1:22" ht="18" customHeight="1" x14ac:dyDescent="0.2">
      <c r="A427" s="110" t="s">
        <v>780</v>
      </c>
      <c r="B427" s="111"/>
      <c r="C427" s="201" t="s">
        <v>781</v>
      </c>
      <c r="D427" s="91">
        <v>42217</v>
      </c>
      <c r="E427" s="92"/>
      <c r="F427" s="93"/>
      <c r="G427" s="93"/>
      <c r="H427" s="93">
        <v>6500</v>
      </c>
      <c r="I427" s="93">
        <v>3112</v>
      </c>
      <c r="J427" s="93"/>
      <c r="K427" s="93">
        <f t="shared" si="78"/>
        <v>0</v>
      </c>
      <c r="L427" s="93">
        <f t="shared" si="79"/>
        <v>0</v>
      </c>
      <c r="M427" s="94">
        <v>20</v>
      </c>
      <c r="N427" s="95" t="s">
        <v>289</v>
      </c>
      <c r="O427" s="93">
        <f t="shared" si="81"/>
        <v>0</v>
      </c>
      <c r="P427" s="93">
        <f t="shared" si="82"/>
        <v>0</v>
      </c>
      <c r="Q427" s="93">
        <f t="shared" si="83"/>
        <v>0</v>
      </c>
      <c r="R427" s="93">
        <f t="shared" si="84"/>
        <v>363</v>
      </c>
      <c r="S427" s="93">
        <f t="shared" si="85"/>
        <v>0</v>
      </c>
      <c r="T427" s="93">
        <f t="shared" si="80"/>
        <v>363</v>
      </c>
      <c r="U427" s="253">
        <f t="shared" si="86"/>
        <v>2749</v>
      </c>
      <c r="V427" s="93">
        <f t="shared" si="87"/>
        <v>0</v>
      </c>
    </row>
    <row r="428" spans="1:22" ht="18" customHeight="1" x14ac:dyDescent="0.2">
      <c r="A428" s="110" t="s">
        <v>782</v>
      </c>
      <c r="B428" s="111"/>
      <c r="C428" s="201" t="s">
        <v>783</v>
      </c>
      <c r="D428" s="91">
        <v>42229</v>
      </c>
      <c r="E428" s="92"/>
      <c r="F428" s="93"/>
      <c r="G428" s="93"/>
      <c r="H428" s="93">
        <v>3477</v>
      </c>
      <c r="I428" s="93">
        <v>2459.5370000000003</v>
      </c>
      <c r="J428" s="93"/>
      <c r="K428" s="93">
        <f t="shared" si="78"/>
        <v>0</v>
      </c>
      <c r="L428" s="93">
        <f t="shared" si="79"/>
        <v>0</v>
      </c>
      <c r="M428" s="94">
        <v>10</v>
      </c>
      <c r="N428" s="95" t="s">
        <v>289</v>
      </c>
      <c r="O428" s="93">
        <f t="shared" si="81"/>
        <v>0</v>
      </c>
      <c r="P428" s="93">
        <f t="shared" si="82"/>
        <v>0</v>
      </c>
      <c r="Q428" s="93">
        <f t="shared" si="83"/>
        <v>0</v>
      </c>
      <c r="R428" s="93">
        <f t="shared" si="84"/>
        <v>143</v>
      </c>
      <c r="S428" s="93">
        <f t="shared" si="85"/>
        <v>0</v>
      </c>
      <c r="T428" s="93">
        <f t="shared" si="80"/>
        <v>143</v>
      </c>
      <c r="U428" s="253">
        <f t="shared" si="86"/>
        <v>2316.5370000000003</v>
      </c>
      <c r="V428" s="93">
        <f t="shared" si="87"/>
        <v>0</v>
      </c>
    </row>
    <row r="429" spans="1:22" ht="18" customHeight="1" x14ac:dyDescent="0.2">
      <c r="A429" s="110" t="s">
        <v>784</v>
      </c>
      <c r="B429" s="111"/>
      <c r="C429" s="201" t="s">
        <v>785</v>
      </c>
      <c r="D429" s="91">
        <v>42233</v>
      </c>
      <c r="E429" s="92"/>
      <c r="F429" s="93"/>
      <c r="G429" s="93"/>
      <c r="H429" s="93">
        <v>3240</v>
      </c>
      <c r="I429" s="93">
        <v>2295</v>
      </c>
      <c r="J429" s="93"/>
      <c r="K429" s="93">
        <f t="shared" si="78"/>
        <v>0</v>
      </c>
      <c r="L429" s="93">
        <f t="shared" si="79"/>
        <v>0</v>
      </c>
      <c r="M429" s="94">
        <v>10</v>
      </c>
      <c r="N429" s="95" t="s">
        <v>289</v>
      </c>
      <c r="O429" s="93">
        <f t="shared" si="81"/>
        <v>0</v>
      </c>
      <c r="P429" s="93">
        <f t="shared" si="82"/>
        <v>0</v>
      </c>
      <c r="Q429" s="93">
        <f t="shared" si="83"/>
        <v>0</v>
      </c>
      <c r="R429" s="93">
        <f t="shared" si="84"/>
        <v>133</v>
      </c>
      <c r="S429" s="93">
        <f t="shared" si="85"/>
        <v>0</v>
      </c>
      <c r="T429" s="93">
        <f t="shared" si="80"/>
        <v>133</v>
      </c>
      <c r="U429" s="253">
        <f t="shared" si="86"/>
        <v>2162</v>
      </c>
      <c r="V429" s="93">
        <f t="shared" si="87"/>
        <v>0</v>
      </c>
    </row>
    <row r="430" spans="1:22" ht="18" customHeight="1" x14ac:dyDescent="0.2">
      <c r="A430" s="110" t="s">
        <v>786</v>
      </c>
      <c r="B430" s="111"/>
      <c r="C430" s="201" t="s">
        <v>787</v>
      </c>
      <c r="D430" s="91">
        <v>42278</v>
      </c>
      <c r="E430" s="92"/>
      <c r="F430" s="93"/>
      <c r="G430" s="93"/>
      <c r="H430" s="93">
        <v>953.64</v>
      </c>
      <c r="I430" s="93">
        <v>336.64</v>
      </c>
      <c r="J430" s="93"/>
      <c r="K430" s="93">
        <f t="shared" si="78"/>
        <v>0</v>
      </c>
      <c r="L430" s="93">
        <f t="shared" si="79"/>
        <v>0</v>
      </c>
      <c r="M430" s="94">
        <v>28.5</v>
      </c>
      <c r="N430" s="95" t="s">
        <v>289</v>
      </c>
      <c r="O430" s="93">
        <f t="shared" si="81"/>
        <v>0</v>
      </c>
      <c r="P430" s="93">
        <f t="shared" si="82"/>
        <v>0</v>
      </c>
      <c r="Q430" s="93">
        <f t="shared" si="83"/>
        <v>0</v>
      </c>
      <c r="R430" s="93">
        <f t="shared" si="84"/>
        <v>55</v>
      </c>
      <c r="S430" s="93">
        <f t="shared" si="85"/>
        <v>0</v>
      </c>
      <c r="T430" s="93">
        <f t="shared" si="80"/>
        <v>55</v>
      </c>
      <c r="U430" s="253">
        <f t="shared" si="86"/>
        <v>281.64</v>
      </c>
      <c r="V430" s="93">
        <f t="shared" si="87"/>
        <v>0</v>
      </c>
    </row>
    <row r="431" spans="1:22" ht="18" customHeight="1" x14ac:dyDescent="0.2">
      <c r="A431" s="110" t="s">
        <v>788</v>
      </c>
      <c r="B431" s="111"/>
      <c r="C431" s="201" t="s">
        <v>789</v>
      </c>
      <c r="D431" s="91">
        <v>42353</v>
      </c>
      <c r="E431" s="92"/>
      <c r="F431" s="93"/>
      <c r="G431" s="93"/>
      <c r="H431" s="93">
        <v>21555</v>
      </c>
      <c r="I431" s="93">
        <v>14190</v>
      </c>
      <c r="J431" s="93"/>
      <c r="K431" s="93">
        <f t="shared" si="78"/>
        <v>0</v>
      </c>
      <c r="L431" s="93">
        <f t="shared" si="79"/>
        <v>0</v>
      </c>
      <c r="M431" s="94">
        <v>13.3</v>
      </c>
      <c r="N431" s="95" t="s">
        <v>289</v>
      </c>
      <c r="O431" s="93">
        <f t="shared" si="81"/>
        <v>0</v>
      </c>
      <c r="P431" s="93">
        <f t="shared" si="82"/>
        <v>0</v>
      </c>
      <c r="Q431" s="93">
        <f t="shared" si="83"/>
        <v>0</v>
      </c>
      <c r="R431" s="93">
        <f t="shared" si="84"/>
        <v>1100</v>
      </c>
      <c r="S431" s="93">
        <f t="shared" si="85"/>
        <v>0</v>
      </c>
      <c r="T431" s="93">
        <f t="shared" si="80"/>
        <v>1100</v>
      </c>
      <c r="U431" s="253">
        <f t="shared" si="86"/>
        <v>13090</v>
      </c>
      <c r="V431" s="93">
        <f t="shared" si="87"/>
        <v>0</v>
      </c>
    </row>
    <row r="432" spans="1:22" ht="18" customHeight="1" x14ac:dyDescent="0.2">
      <c r="A432" s="110" t="s">
        <v>790</v>
      </c>
      <c r="B432" s="111"/>
      <c r="C432" s="201" t="s">
        <v>791</v>
      </c>
      <c r="D432" s="91">
        <v>42377</v>
      </c>
      <c r="E432" s="92"/>
      <c r="F432" s="93"/>
      <c r="G432" s="93"/>
      <c r="H432" s="93">
        <v>12760</v>
      </c>
      <c r="I432" s="93">
        <v>9428</v>
      </c>
      <c r="J432" s="93"/>
      <c r="K432" s="93">
        <f t="shared" si="78"/>
        <v>0</v>
      </c>
      <c r="L432" s="93">
        <f t="shared" si="79"/>
        <v>0</v>
      </c>
      <c r="M432" s="94">
        <v>10</v>
      </c>
      <c r="N432" s="95" t="s">
        <v>289</v>
      </c>
      <c r="O432" s="93">
        <f t="shared" si="81"/>
        <v>0</v>
      </c>
      <c r="P432" s="93">
        <f t="shared" si="82"/>
        <v>0</v>
      </c>
      <c r="Q432" s="93">
        <f t="shared" si="83"/>
        <v>0</v>
      </c>
      <c r="R432" s="93">
        <f t="shared" si="84"/>
        <v>549</v>
      </c>
      <c r="S432" s="93">
        <f t="shared" si="85"/>
        <v>0</v>
      </c>
      <c r="T432" s="93">
        <f t="shared" si="80"/>
        <v>549</v>
      </c>
      <c r="U432" s="253">
        <f t="shared" si="86"/>
        <v>8879</v>
      </c>
      <c r="V432" s="93">
        <f t="shared" si="87"/>
        <v>0</v>
      </c>
    </row>
    <row r="433" spans="1:22" ht="18" customHeight="1" x14ac:dyDescent="0.2">
      <c r="A433" s="110" t="s">
        <v>792</v>
      </c>
      <c r="B433" s="111"/>
      <c r="C433" s="201" t="s">
        <v>793</v>
      </c>
      <c r="D433" s="91">
        <v>42388</v>
      </c>
      <c r="E433" s="92"/>
      <c r="F433" s="93"/>
      <c r="G433" s="93"/>
      <c r="H433" s="93">
        <v>6380</v>
      </c>
      <c r="I433" s="93">
        <v>4729</v>
      </c>
      <c r="J433" s="93"/>
      <c r="K433" s="93">
        <f t="shared" si="78"/>
        <v>0</v>
      </c>
      <c r="L433" s="93">
        <f t="shared" si="79"/>
        <v>0</v>
      </c>
      <c r="M433" s="94">
        <v>10</v>
      </c>
      <c r="N433" s="95" t="s">
        <v>289</v>
      </c>
      <c r="O433" s="93">
        <f t="shared" si="81"/>
        <v>0</v>
      </c>
      <c r="P433" s="93">
        <f t="shared" si="82"/>
        <v>0</v>
      </c>
      <c r="Q433" s="93">
        <f t="shared" si="83"/>
        <v>0</v>
      </c>
      <c r="R433" s="93">
        <f t="shared" si="84"/>
        <v>275</v>
      </c>
      <c r="S433" s="93">
        <f t="shared" si="85"/>
        <v>0</v>
      </c>
      <c r="T433" s="93">
        <f t="shared" si="80"/>
        <v>275</v>
      </c>
      <c r="U433" s="253">
        <f t="shared" si="86"/>
        <v>4454</v>
      </c>
      <c r="V433" s="93">
        <f t="shared" si="87"/>
        <v>0</v>
      </c>
    </row>
    <row r="434" spans="1:22" ht="18" customHeight="1" x14ac:dyDescent="0.2">
      <c r="A434" s="110" t="s">
        <v>794</v>
      </c>
      <c r="B434" s="111"/>
      <c r="C434" s="201" t="s">
        <v>795</v>
      </c>
      <c r="D434" s="91">
        <v>42389</v>
      </c>
      <c r="E434" s="92"/>
      <c r="F434" s="93"/>
      <c r="G434" s="93"/>
      <c r="H434" s="93">
        <v>10394.790000000001</v>
      </c>
      <c r="I434" s="93">
        <v>5550.79</v>
      </c>
      <c r="J434" s="93"/>
      <c r="K434" s="93">
        <f t="shared" si="78"/>
        <v>0</v>
      </c>
      <c r="L434" s="93">
        <f t="shared" si="79"/>
        <v>0</v>
      </c>
      <c r="M434" s="94">
        <v>20</v>
      </c>
      <c r="N434" s="95" t="s">
        <v>289</v>
      </c>
      <c r="O434" s="93">
        <f t="shared" si="81"/>
        <v>0</v>
      </c>
      <c r="P434" s="93">
        <f t="shared" si="82"/>
        <v>0</v>
      </c>
      <c r="Q434" s="93">
        <f t="shared" si="83"/>
        <v>0</v>
      </c>
      <c r="R434" s="93">
        <f t="shared" si="84"/>
        <v>647</v>
      </c>
      <c r="S434" s="93">
        <f t="shared" si="85"/>
        <v>0</v>
      </c>
      <c r="T434" s="93">
        <f t="shared" si="80"/>
        <v>647</v>
      </c>
      <c r="U434" s="253">
        <f t="shared" si="86"/>
        <v>4903.79</v>
      </c>
      <c r="V434" s="93">
        <f t="shared" si="87"/>
        <v>0</v>
      </c>
    </row>
    <row r="435" spans="1:22" ht="18" customHeight="1" x14ac:dyDescent="0.2">
      <c r="A435" s="110" t="s">
        <v>796</v>
      </c>
      <c r="B435" s="111"/>
      <c r="C435" s="90" t="s">
        <v>797</v>
      </c>
      <c r="D435" s="91">
        <v>42404</v>
      </c>
      <c r="E435" s="92"/>
      <c r="F435" s="93"/>
      <c r="G435" s="93"/>
      <c r="H435" s="93">
        <v>1645</v>
      </c>
      <c r="I435" s="93">
        <v>413</v>
      </c>
      <c r="J435" s="93"/>
      <c r="K435" s="93">
        <f t="shared" si="78"/>
        <v>0</v>
      </c>
      <c r="L435" s="93">
        <f t="shared" si="79"/>
        <v>0</v>
      </c>
      <c r="M435" s="94">
        <v>40</v>
      </c>
      <c r="N435" s="95" t="s">
        <v>289</v>
      </c>
      <c r="O435" s="93">
        <f t="shared" si="81"/>
        <v>0</v>
      </c>
      <c r="P435" s="93">
        <f t="shared" si="82"/>
        <v>0</v>
      </c>
      <c r="Q435" s="93">
        <f t="shared" si="83"/>
        <v>0</v>
      </c>
      <c r="R435" s="93">
        <f t="shared" si="84"/>
        <v>96</v>
      </c>
      <c r="S435" s="93">
        <f t="shared" si="85"/>
        <v>0</v>
      </c>
      <c r="T435" s="93">
        <f t="shared" si="80"/>
        <v>96</v>
      </c>
      <c r="U435" s="253">
        <f t="shared" si="86"/>
        <v>317</v>
      </c>
      <c r="V435" s="93">
        <f t="shared" si="87"/>
        <v>0</v>
      </c>
    </row>
    <row r="436" spans="1:22" ht="18" customHeight="1" x14ac:dyDescent="0.2">
      <c r="A436" s="110" t="s">
        <v>798</v>
      </c>
      <c r="B436" s="111"/>
      <c r="C436" s="201" t="s">
        <v>799</v>
      </c>
      <c r="D436" s="91">
        <v>42422</v>
      </c>
      <c r="E436" s="92"/>
      <c r="F436" s="93"/>
      <c r="G436" s="93"/>
      <c r="H436" s="93">
        <v>8528</v>
      </c>
      <c r="I436" s="93">
        <v>5761</v>
      </c>
      <c r="J436" s="93"/>
      <c r="K436" s="93">
        <f t="shared" si="78"/>
        <v>0</v>
      </c>
      <c r="L436" s="93">
        <f t="shared" si="79"/>
        <v>0</v>
      </c>
      <c r="M436" s="94">
        <v>13.33</v>
      </c>
      <c r="N436" s="95" t="s">
        <v>289</v>
      </c>
      <c r="O436" s="93">
        <f t="shared" si="81"/>
        <v>0</v>
      </c>
      <c r="P436" s="93">
        <f t="shared" si="82"/>
        <v>0</v>
      </c>
      <c r="Q436" s="93">
        <f t="shared" si="83"/>
        <v>0</v>
      </c>
      <c r="R436" s="93">
        <f t="shared" si="84"/>
        <v>447</v>
      </c>
      <c r="S436" s="93">
        <f t="shared" si="85"/>
        <v>0</v>
      </c>
      <c r="T436" s="93">
        <f t="shared" si="80"/>
        <v>447</v>
      </c>
      <c r="U436" s="253">
        <f t="shared" si="86"/>
        <v>5314</v>
      </c>
      <c r="V436" s="93">
        <f t="shared" si="87"/>
        <v>0</v>
      </c>
    </row>
    <row r="437" spans="1:22" ht="18" customHeight="1" x14ac:dyDescent="0.2">
      <c r="A437" s="110" t="s">
        <v>800</v>
      </c>
      <c r="B437" s="111"/>
      <c r="C437" s="201" t="s">
        <v>801</v>
      </c>
      <c r="D437" s="91">
        <v>42424</v>
      </c>
      <c r="E437" s="92"/>
      <c r="F437" s="93"/>
      <c r="G437" s="93"/>
      <c r="H437" s="93">
        <v>11000</v>
      </c>
      <c r="I437" s="93">
        <v>7437</v>
      </c>
      <c r="J437" s="93"/>
      <c r="K437" s="93">
        <f t="shared" si="78"/>
        <v>0</v>
      </c>
      <c r="L437" s="93">
        <f t="shared" si="79"/>
        <v>0</v>
      </c>
      <c r="M437" s="94">
        <v>13.33</v>
      </c>
      <c r="N437" s="95" t="s">
        <v>289</v>
      </c>
      <c r="O437" s="93">
        <f t="shared" si="81"/>
        <v>0</v>
      </c>
      <c r="P437" s="93">
        <f t="shared" si="82"/>
        <v>0</v>
      </c>
      <c r="Q437" s="93">
        <f t="shared" si="83"/>
        <v>0</v>
      </c>
      <c r="R437" s="93">
        <f t="shared" si="84"/>
        <v>578</v>
      </c>
      <c r="S437" s="93">
        <f t="shared" si="85"/>
        <v>0</v>
      </c>
      <c r="T437" s="93">
        <f t="shared" si="80"/>
        <v>578</v>
      </c>
      <c r="U437" s="253">
        <f t="shared" si="86"/>
        <v>6859</v>
      </c>
      <c r="V437" s="93">
        <f t="shared" si="87"/>
        <v>0</v>
      </c>
    </row>
    <row r="438" spans="1:22" ht="18" customHeight="1" x14ac:dyDescent="0.2">
      <c r="A438" s="110" t="s">
        <v>802</v>
      </c>
      <c r="B438" s="111"/>
      <c r="C438" s="90" t="s">
        <v>803</v>
      </c>
      <c r="D438" s="91">
        <v>42461</v>
      </c>
      <c r="E438" s="92"/>
      <c r="F438" s="93"/>
      <c r="G438" s="93"/>
      <c r="H438" s="93">
        <v>4822.4000000000005</v>
      </c>
      <c r="I438" s="93">
        <v>3306.4</v>
      </c>
      <c r="J438" s="93"/>
      <c r="K438" s="93">
        <f t="shared" si="78"/>
        <v>0</v>
      </c>
      <c r="L438" s="93">
        <f t="shared" si="79"/>
        <v>0</v>
      </c>
      <c r="M438" s="94">
        <v>13.33</v>
      </c>
      <c r="N438" s="95" t="s">
        <v>289</v>
      </c>
      <c r="O438" s="93">
        <f t="shared" si="81"/>
        <v>0</v>
      </c>
      <c r="P438" s="93">
        <f t="shared" si="82"/>
        <v>0</v>
      </c>
      <c r="Q438" s="93">
        <f t="shared" si="83"/>
        <v>0</v>
      </c>
      <c r="R438" s="93">
        <f t="shared" si="84"/>
        <v>257</v>
      </c>
      <c r="S438" s="93">
        <f t="shared" si="85"/>
        <v>0</v>
      </c>
      <c r="T438" s="93">
        <f t="shared" si="80"/>
        <v>257</v>
      </c>
      <c r="U438" s="253">
        <f t="shared" si="86"/>
        <v>3049.4</v>
      </c>
      <c r="V438" s="93">
        <f t="shared" si="87"/>
        <v>0</v>
      </c>
    </row>
    <row r="439" spans="1:22" ht="18" customHeight="1" x14ac:dyDescent="0.2">
      <c r="A439" s="110" t="s">
        <v>804</v>
      </c>
      <c r="B439" s="111"/>
      <c r="C439" s="201" t="s">
        <v>805</v>
      </c>
      <c r="D439" s="91">
        <v>42461</v>
      </c>
      <c r="E439" s="92"/>
      <c r="F439" s="93"/>
      <c r="G439" s="93"/>
      <c r="H439" s="93">
        <v>7445</v>
      </c>
      <c r="I439" s="93">
        <v>5105</v>
      </c>
      <c r="J439" s="93"/>
      <c r="K439" s="93">
        <f t="shared" si="78"/>
        <v>0</v>
      </c>
      <c r="L439" s="93">
        <f t="shared" si="79"/>
        <v>0</v>
      </c>
      <c r="M439" s="94">
        <v>13.33</v>
      </c>
      <c r="N439" s="95" t="s">
        <v>289</v>
      </c>
      <c r="O439" s="93">
        <f t="shared" si="81"/>
        <v>0</v>
      </c>
      <c r="P439" s="93">
        <f t="shared" si="82"/>
        <v>0</v>
      </c>
      <c r="Q439" s="93">
        <f t="shared" si="83"/>
        <v>0</v>
      </c>
      <c r="R439" s="93">
        <f t="shared" si="84"/>
        <v>396</v>
      </c>
      <c r="S439" s="93">
        <f t="shared" si="85"/>
        <v>0</v>
      </c>
      <c r="T439" s="93">
        <f t="shared" si="80"/>
        <v>396</v>
      </c>
      <c r="U439" s="253">
        <f t="shared" si="86"/>
        <v>4709</v>
      </c>
      <c r="V439" s="93">
        <f t="shared" si="87"/>
        <v>0</v>
      </c>
    </row>
    <row r="440" spans="1:22" ht="18" customHeight="1" x14ac:dyDescent="0.2">
      <c r="A440" s="110" t="s">
        <v>806</v>
      </c>
      <c r="B440" s="111"/>
      <c r="C440" s="90" t="s">
        <v>807</v>
      </c>
      <c r="D440" s="91">
        <v>42492</v>
      </c>
      <c r="E440" s="92"/>
      <c r="F440" s="93"/>
      <c r="G440" s="93"/>
      <c r="H440" s="93">
        <v>57910</v>
      </c>
      <c r="I440" s="93">
        <v>40170</v>
      </c>
      <c r="J440" s="93"/>
      <c r="K440" s="93">
        <f t="shared" si="78"/>
        <v>0</v>
      </c>
      <c r="L440" s="93">
        <f t="shared" si="79"/>
        <v>0</v>
      </c>
      <c r="M440" s="94">
        <v>13.33</v>
      </c>
      <c r="N440" s="95" t="s">
        <v>289</v>
      </c>
      <c r="O440" s="93">
        <f t="shared" si="81"/>
        <v>0</v>
      </c>
      <c r="P440" s="93">
        <f t="shared" si="82"/>
        <v>0</v>
      </c>
      <c r="Q440" s="93">
        <f t="shared" si="83"/>
        <v>0</v>
      </c>
      <c r="R440" s="93">
        <f t="shared" si="84"/>
        <v>3123</v>
      </c>
      <c r="S440" s="93">
        <f t="shared" si="85"/>
        <v>0</v>
      </c>
      <c r="T440" s="93">
        <f t="shared" si="80"/>
        <v>3123</v>
      </c>
      <c r="U440" s="253">
        <f t="shared" si="86"/>
        <v>37047</v>
      </c>
      <c r="V440" s="93">
        <f t="shared" si="87"/>
        <v>0</v>
      </c>
    </row>
    <row r="441" spans="1:22" ht="18" customHeight="1" x14ac:dyDescent="0.2">
      <c r="A441" s="110" t="s">
        <v>808</v>
      </c>
      <c r="B441" s="111"/>
      <c r="C441" s="201" t="s">
        <v>809</v>
      </c>
      <c r="D441" s="91">
        <v>42517</v>
      </c>
      <c r="E441" s="92"/>
      <c r="F441" s="93"/>
      <c r="G441" s="93"/>
      <c r="H441" s="93">
        <v>1500</v>
      </c>
      <c r="I441" s="93">
        <v>1153</v>
      </c>
      <c r="J441" s="93"/>
      <c r="K441" s="93">
        <f t="shared" ref="K441:K504" si="88">INT(IF($E441&gt;0,IF(+F441-I441+Q441&lt;0,0,+F441-I441+Q441),0))</f>
        <v>0</v>
      </c>
      <c r="L441" s="93">
        <f t="shared" ref="L441:L504" si="89">INT(IF($E441&gt;0,IF(K441=0,-F441+I441-Q441,0),0))</f>
        <v>0</v>
      </c>
      <c r="M441" s="94">
        <v>10</v>
      </c>
      <c r="N441" s="95" t="s">
        <v>289</v>
      </c>
      <c r="O441" s="93">
        <f t="shared" si="81"/>
        <v>0</v>
      </c>
      <c r="P441" s="93">
        <f t="shared" si="82"/>
        <v>0</v>
      </c>
      <c r="Q441" s="93">
        <f t="shared" si="83"/>
        <v>0</v>
      </c>
      <c r="R441" s="93">
        <f t="shared" si="84"/>
        <v>67</v>
      </c>
      <c r="S441" s="93">
        <f t="shared" si="85"/>
        <v>0</v>
      </c>
      <c r="T441" s="93">
        <f t="shared" si="80"/>
        <v>67</v>
      </c>
      <c r="U441" s="253">
        <f t="shared" si="86"/>
        <v>1086</v>
      </c>
      <c r="V441" s="93">
        <f t="shared" si="87"/>
        <v>0</v>
      </c>
    </row>
    <row r="442" spans="1:22" ht="18" customHeight="1" x14ac:dyDescent="0.2">
      <c r="A442" s="110" t="s">
        <v>810</v>
      </c>
      <c r="B442" s="111"/>
      <c r="C442" s="201" t="s">
        <v>811</v>
      </c>
      <c r="D442" s="91">
        <v>42520</v>
      </c>
      <c r="E442" s="92"/>
      <c r="F442" s="93"/>
      <c r="G442" s="93"/>
      <c r="H442" s="93">
        <v>3000</v>
      </c>
      <c r="I442" s="93">
        <v>2308</v>
      </c>
      <c r="J442" s="93"/>
      <c r="K442" s="93">
        <f t="shared" si="88"/>
        <v>0</v>
      </c>
      <c r="L442" s="93">
        <f t="shared" si="89"/>
        <v>0</v>
      </c>
      <c r="M442" s="94">
        <v>10</v>
      </c>
      <c r="N442" s="95" t="s">
        <v>289</v>
      </c>
      <c r="O442" s="93">
        <f t="shared" si="81"/>
        <v>0</v>
      </c>
      <c r="P442" s="93">
        <f t="shared" si="82"/>
        <v>0</v>
      </c>
      <c r="Q442" s="93">
        <f t="shared" si="83"/>
        <v>0</v>
      </c>
      <c r="R442" s="93">
        <f t="shared" si="84"/>
        <v>134</v>
      </c>
      <c r="S442" s="93">
        <f t="shared" si="85"/>
        <v>0</v>
      </c>
      <c r="T442" s="93">
        <f t="shared" ref="T442:T505" si="90">+R442+S442+Q442</f>
        <v>134</v>
      </c>
      <c r="U442" s="253">
        <f t="shared" si="86"/>
        <v>2174</v>
      </c>
      <c r="V442" s="93">
        <f t="shared" si="87"/>
        <v>0</v>
      </c>
    </row>
    <row r="443" spans="1:22" ht="18" customHeight="1" x14ac:dyDescent="0.2">
      <c r="A443" s="110" t="s">
        <v>812</v>
      </c>
      <c r="B443" s="111"/>
      <c r="C443" s="201" t="s">
        <v>813</v>
      </c>
      <c r="D443" s="91">
        <v>42552</v>
      </c>
      <c r="E443" s="92"/>
      <c r="F443" s="93"/>
      <c r="G443" s="93"/>
      <c r="H443" s="93">
        <v>2289.5500000000002</v>
      </c>
      <c r="I443" s="93">
        <v>1776.55</v>
      </c>
      <c r="J443" s="93"/>
      <c r="K443" s="93">
        <f t="shared" si="88"/>
        <v>0</v>
      </c>
      <c r="L443" s="93">
        <f t="shared" si="89"/>
        <v>0</v>
      </c>
      <c r="M443" s="94">
        <v>10</v>
      </c>
      <c r="N443" s="95" t="s">
        <v>289</v>
      </c>
      <c r="O443" s="93">
        <f t="shared" si="81"/>
        <v>0</v>
      </c>
      <c r="P443" s="93">
        <f t="shared" si="82"/>
        <v>0</v>
      </c>
      <c r="Q443" s="93">
        <f t="shared" si="83"/>
        <v>0</v>
      </c>
      <c r="R443" s="93">
        <f t="shared" si="84"/>
        <v>103</v>
      </c>
      <c r="S443" s="93">
        <f t="shared" si="85"/>
        <v>0</v>
      </c>
      <c r="T443" s="93">
        <f t="shared" si="90"/>
        <v>103</v>
      </c>
      <c r="U443" s="253">
        <f t="shared" si="86"/>
        <v>1673.55</v>
      </c>
      <c r="V443" s="93">
        <f t="shared" si="87"/>
        <v>0</v>
      </c>
    </row>
    <row r="444" spans="1:22" ht="18" customHeight="1" x14ac:dyDescent="0.2">
      <c r="A444" s="110" t="s">
        <v>814</v>
      </c>
      <c r="B444" s="111"/>
      <c r="C444" s="201" t="s">
        <v>815</v>
      </c>
      <c r="D444" s="91">
        <v>42716</v>
      </c>
      <c r="E444" s="92"/>
      <c r="F444" s="93"/>
      <c r="G444" s="93"/>
      <c r="H444" s="93">
        <v>14640</v>
      </c>
      <c r="I444" s="93">
        <v>11929</v>
      </c>
      <c r="J444" s="93"/>
      <c r="K444" s="93">
        <f t="shared" si="88"/>
        <v>0</v>
      </c>
      <c r="L444" s="93">
        <f t="shared" si="89"/>
        <v>0</v>
      </c>
      <c r="M444" s="94">
        <v>10</v>
      </c>
      <c r="N444" s="95" t="s">
        <v>289</v>
      </c>
      <c r="O444" s="93">
        <f t="shared" si="81"/>
        <v>0</v>
      </c>
      <c r="P444" s="93">
        <f t="shared" si="82"/>
        <v>0</v>
      </c>
      <c r="Q444" s="93">
        <f t="shared" si="83"/>
        <v>0</v>
      </c>
      <c r="R444" s="93">
        <f t="shared" si="84"/>
        <v>695</v>
      </c>
      <c r="S444" s="93">
        <f t="shared" si="85"/>
        <v>0</v>
      </c>
      <c r="T444" s="93">
        <f t="shared" si="90"/>
        <v>695</v>
      </c>
      <c r="U444" s="253">
        <f t="shared" si="86"/>
        <v>11234</v>
      </c>
      <c r="V444" s="93">
        <f t="shared" si="87"/>
        <v>0</v>
      </c>
    </row>
    <row r="445" spans="1:22" ht="18" customHeight="1" x14ac:dyDescent="0.2">
      <c r="A445" s="110" t="s">
        <v>816</v>
      </c>
      <c r="B445" s="111"/>
      <c r="C445" s="201" t="s">
        <v>815</v>
      </c>
      <c r="D445" s="91">
        <v>42716</v>
      </c>
      <c r="E445" s="92"/>
      <c r="F445" s="93"/>
      <c r="G445" s="93"/>
      <c r="H445" s="93">
        <v>14640</v>
      </c>
      <c r="I445" s="93">
        <v>11929</v>
      </c>
      <c r="J445" s="93"/>
      <c r="K445" s="93">
        <f t="shared" si="88"/>
        <v>0</v>
      </c>
      <c r="L445" s="93">
        <f t="shared" si="89"/>
        <v>0</v>
      </c>
      <c r="M445" s="94">
        <v>10</v>
      </c>
      <c r="N445" s="95" t="s">
        <v>289</v>
      </c>
      <c r="O445" s="93">
        <f t="shared" si="81"/>
        <v>0</v>
      </c>
      <c r="P445" s="93">
        <f t="shared" si="82"/>
        <v>0</v>
      </c>
      <c r="Q445" s="93">
        <f t="shared" si="83"/>
        <v>0</v>
      </c>
      <c r="R445" s="93">
        <f t="shared" si="84"/>
        <v>695</v>
      </c>
      <c r="S445" s="93">
        <f t="shared" si="85"/>
        <v>0</v>
      </c>
      <c r="T445" s="93">
        <f t="shared" si="90"/>
        <v>695</v>
      </c>
      <c r="U445" s="253">
        <f t="shared" si="86"/>
        <v>11234</v>
      </c>
      <c r="V445" s="93">
        <f t="shared" si="87"/>
        <v>0</v>
      </c>
    </row>
    <row r="446" spans="1:22" ht="18" customHeight="1" x14ac:dyDescent="0.2">
      <c r="A446" s="110" t="s">
        <v>817</v>
      </c>
      <c r="B446" s="111"/>
      <c r="C446" s="201" t="s">
        <v>818</v>
      </c>
      <c r="D446" s="91">
        <v>42775</v>
      </c>
      <c r="E446" s="92"/>
      <c r="F446" s="93"/>
      <c r="G446" s="93"/>
      <c r="H446" s="93">
        <v>23446.77</v>
      </c>
      <c r="I446" s="93">
        <v>15847.77</v>
      </c>
      <c r="J446" s="93"/>
      <c r="K446" s="93">
        <f t="shared" si="88"/>
        <v>0</v>
      </c>
      <c r="L446" s="93">
        <f t="shared" si="89"/>
        <v>0</v>
      </c>
      <c r="M446" s="94">
        <v>20</v>
      </c>
      <c r="N446" s="95" t="s">
        <v>289</v>
      </c>
      <c r="O446" s="93">
        <f t="shared" si="81"/>
        <v>0</v>
      </c>
      <c r="P446" s="93">
        <f t="shared" si="82"/>
        <v>0</v>
      </c>
      <c r="Q446" s="93">
        <f t="shared" si="83"/>
        <v>0</v>
      </c>
      <c r="R446" s="93">
        <f t="shared" si="84"/>
        <v>1848</v>
      </c>
      <c r="S446" s="93">
        <f t="shared" si="85"/>
        <v>0</v>
      </c>
      <c r="T446" s="93">
        <f t="shared" si="90"/>
        <v>1848</v>
      </c>
      <c r="U446" s="253">
        <f t="shared" si="86"/>
        <v>13999.77</v>
      </c>
      <c r="V446" s="93">
        <f t="shared" si="87"/>
        <v>0</v>
      </c>
    </row>
    <row r="447" spans="1:22" ht="18" customHeight="1" x14ac:dyDescent="0.2">
      <c r="A447" s="110" t="s">
        <v>819</v>
      </c>
      <c r="B447" s="111"/>
      <c r="C447" s="201" t="s">
        <v>820</v>
      </c>
      <c r="D447" s="91">
        <v>42781</v>
      </c>
      <c r="E447" s="92"/>
      <c r="F447" s="93"/>
      <c r="G447" s="93"/>
      <c r="H447" s="93">
        <v>2440</v>
      </c>
      <c r="I447" s="93">
        <v>2025</v>
      </c>
      <c r="J447" s="93"/>
      <c r="K447" s="93">
        <f t="shared" si="88"/>
        <v>0</v>
      </c>
      <c r="L447" s="93">
        <f t="shared" si="89"/>
        <v>0</v>
      </c>
      <c r="M447" s="94">
        <v>10</v>
      </c>
      <c r="N447" s="95" t="s">
        <v>289</v>
      </c>
      <c r="O447" s="93">
        <f t="shared" si="81"/>
        <v>0</v>
      </c>
      <c r="P447" s="93">
        <f t="shared" si="82"/>
        <v>0</v>
      </c>
      <c r="Q447" s="93">
        <f t="shared" si="83"/>
        <v>0</v>
      </c>
      <c r="R447" s="93">
        <f t="shared" si="84"/>
        <v>118</v>
      </c>
      <c r="S447" s="93">
        <f t="shared" si="85"/>
        <v>0</v>
      </c>
      <c r="T447" s="93">
        <f t="shared" si="90"/>
        <v>118</v>
      </c>
      <c r="U447" s="253">
        <f t="shared" si="86"/>
        <v>1907</v>
      </c>
      <c r="V447" s="93">
        <f t="shared" si="87"/>
        <v>0</v>
      </c>
    </row>
    <row r="448" spans="1:22" ht="18" customHeight="1" x14ac:dyDescent="0.2">
      <c r="A448" s="110" t="s">
        <v>821</v>
      </c>
      <c r="B448" s="111"/>
      <c r="C448" s="201" t="s">
        <v>822</v>
      </c>
      <c r="D448" s="91">
        <v>42796</v>
      </c>
      <c r="E448" s="92"/>
      <c r="F448" s="93"/>
      <c r="G448" s="93"/>
      <c r="H448" s="93">
        <v>8960</v>
      </c>
      <c r="I448" s="93">
        <v>7470</v>
      </c>
      <c r="J448" s="93"/>
      <c r="K448" s="93">
        <f t="shared" si="88"/>
        <v>0</v>
      </c>
      <c r="L448" s="93">
        <f t="shared" si="89"/>
        <v>0</v>
      </c>
      <c r="M448" s="94">
        <v>10</v>
      </c>
      <c r="N448" s="95" t="s">
        <v>289</v>
      </c>
      <c r="O448" s="93">
        <f t="shared" si="81"/>
        <v>0</v>
      </c>
      <c r="P448" s="93">
        <f t="shared" si="82"/>
        <v>0</v>
      </c>
      <c r="Q448" s="93">
        <f t="shared" si="83"/>
        <v>0</v>
      </c>
      <c r="R448" s="93">
        <f t="shared" si="84"/>
        <v>435</v>
      </c>
      <c r="S448" s="93">
        <f t="shared" si="85"/>
        <v>0</v>
      </c>
      <c r="T448" s="93">
        <f t="shared" si="90"/>
        <v>435</v>
      </c>
      <c r="U448" s="253">
        <f t="shared" si="86"/>
        <v>7035</v>
      </c>
      <c r="V448" s="93">
        <f t="shared" si="87"/>
        <v>0</v>
      </c>
    </row>
    <row r="449" spans="1:22" ht="18" customHeight="1" x14ac:dyDescent="0.2">
      <c r="A449" s="110" t="s">
        <v>823</v>
      </c>
      <c r="B449" s="111"/>
      <c r="C449" s="201" t="s">
        <v>824</v>
      </c>
      <c r="D449" s="91">
        <v>42866</v>
      </c>
      <c r="E449" s="92"/>
      <c r="F449" s="93"/>
      <c r="G449" s="93"/>
      <c r="H449" s="93">
        <v>4585.37</v>
      </c>
      <c r="I449" s="93">
        <v>3267.37</v>
      </c>
      <c r="J449" s="93"/>
      <c r="K449" s="93">
        <f t="shared" si="88"/>
        <v>0</v>
      </c>
      <c r="L449" s="93">
        <f t="shared" si="89"/>
        <v>0</v>
      </c>
      <c r="M449" s="94">
        <v>20</v>
      </c>
      <c r="N449" s="95" t="s">
        <v>289</v>
      </c>
      <c r="O449" s="93">
        <f t="shared" si="81"/>
        <v>0</v>
      </c>
      <c r="P449" s="93">
        <f t="shared" si="82"/>
        <v>0</v>
      </c>
      <c r="Q449" s="93">
        <f t="shared" si="83"/>
        <v>0</v>
      </c>
      <c r="R449" s="93">
        <f t="shared" si="84"/>
        <v>381</v>
      </c>
      <c r="S449" s="93">
        <f t="shared" si="85"/>
        <v>0</v>
      </c>
      <c r="T449" s="93">
        <f t="shared" si="90"/>
        <v>381</v>
      </c>
      <c r="U449" s="253">
        <f t="shared" si="86"/>
        <v>2886.37</v>
      </c>
      <c r="V449" s="93">
        <f t="shared" si="87"/>
        <v>0</v>
      </c>
    </row>
    <row r="450" spans="1:22" ht="18" customHeight="1" x14ac:dyDescent="0.2">
      <c r="A450" s="110" t="s">
        <v>825</v>
      </c>
      <c r="B450" s="111"/>
      <c r="C450" s="90" t="s">
        <v>826</v>
      </c>
      <c r="D450" s="91">
        <v>42553</v>
      </c>
      <c r="E450" s="92"/>
      <c r="F450" s="93"/>
      <c r="G450" s="93"/>
      <c r="H450" s="93">
        <v>3135</v>
      </c>
      <c r="I450" s="93">
        <v>1840</v>
      </c>
      <c r="J450" s="93"/>
      <c r="K450" s="93">
        <f t="shared" si="88"/>
        <v>0</v>
      </c>
      <c r="L450" s="93">
        <f t="shared" si="89"/>
        <v>0</v>
      </c>
      <c r="M450" s="94">
        <v>20</v>
      </c>
      <c r="N450" s="95" t="s">
        <v>289</v>
      </c>
      <c r="O450" s="93">
        <f t="shared" si="81"/>
        <v>0</v>
      </c>
      <c r="P450" s="93">
        <f t="shared" si="82"/>
        <v>0</v>
      </c>
      <c r="Q450" s="93">
        <f t="shared" si="83"/>
        <v>0</v>
      </c>
      <c r="R450" s="93">
        <f t="shared" si="84"/>
        <v>214</v>
      </c>
      <c r="S450" s="93">
        <f t="shared" si="85"/>
        <v>0</v>
      </c>
      <c r="T450" s="93">
        <f t="shared" si="90"/>
        <v>214</v>
      </c>
      <c r="U450" s="253">
        <f t="shared" si="86"/>
        <v>1626</v>
      </c>
      <c r="V450" s="93">
        <f t="shared" si="87"/>
        <v>0</v>
      </c>
    </row>
    <row r="451" spans="1:22" ht="18" customHeight="1" x14ac:dyDescent="0.2">
      <c r="A451" s="110" t="s">
        <v>827</v>
      </c>
      <c r="B451" s="111"/>
      <c r="C451" s="201" t="s">
        <v>828</v>
      </c>
      <c r="D451" s="91">
        <v>42773</v>
      </c>
      <c r="E451" s="92"/>
      <c r="F451" s="93"/>
      <c r="G451" s="93"/>
      <c r="H451" s="93">
        <v>1365</v>
      </c>
      <c r="I451" s="93">
        <v>1058</v>
      </c>
      <c r="J451" s="93"/>
      <c r="K451" s="93">
        <f t="shared" si="88"/>
        <v>0</v>
      </c>
      <c r="L451" s="93">
        <f t="shared" si="89"/>
        <v>0</v>
      </c>
      <c r="M451" s="94">
        <v>13.33</v>
      </c>
      <c r="N451" s="95" t="s">
        <v>289</v>
      </c>
      <c r="O451" s="93">
        <f t="shared" si="81"/>
        <v>0</v>
      </c>
      <c r="P451" s="93">
        <f t="shared" si="82"/>
        <v>0</v>
      </c>
      <c r="Q451" s="93">
        <f t="shared" si="83"/>
        <v>0</v>
      </c>
      <c r="R451" s="93">
        <f t="shared" si="84"/>
        <v>82</v>
      </c>
      <c r="S451" s="93">
        <f t="shared" si="85"/>
        <v>0</v>
      </c>
      <c r="T451" s="93">
        <f t="shared" si="90"/>
        <v>82</v>
      </c>
      <c r="U451" s="253">
        <f t="shared" si="86"/>
        <v>976</v>
      </c>
      <c r="V451" s="93">
        <f t="shared" si="87"/>
        <v>0</v>
      </c>
    </row>
    <row r="452" spans="1:22" ht="18" customHeight="1" x14ac:dyDescent="0.2">
      <c r="A452" s="110" t="s">
        <v>829</v>
      </c>
      <c r="B452" s="111"/>
      <c r="C452" s="201" t="s">
        <v>830</v>
      </c>
      <c r="D452" s="91">
        <v>42826</v>
      </c>
      <c r="E452" s="92"/>
      <c r="F452" s="93"/>
      <c r="G452" s="93"/>
      <c r="H452" s="93">
        <v>20425.25</v>
      </c>
      <c r="I452" s="93">
        <v>16157.25</v>
      </c>
      <c r="J452" s="93"/>
      <c r="K452" s="93">
        <f t="shared" si="88"/>
        <v>0</v>
      </c>
      <c r="L452" s="93">
        <f t="shared" si="89"/>
        <v>0</v>
      </c>
      <c r="M452" s="94">
        <v>13.33</v>
      </c>
      <c r="N452" s="95" t="s">
        <v>289</v>
      </c>
      <c r="O452" s="93">
        <f t="shared" si="81"/>
        <v>0</v>
      </c>
      <c r="P452" s="93">
        <f t="shared" si="82"/>
        <v>0</v>
      </c>
      <c r="Q452" s="93">
        <f t="shared" si="83"/>
        <v>0</v>
      </c>
      <c r="R452" s="93">
        <f t="shared" si="84"/>
        <v>1256</v>
      </c>
      <c r="S452" s="93">
        <f t="shared" si="85"/>
        <v>0</v>
      </c>
      <c r="T452" s="93">
        <f t="shared" si="90"/>
        <v>1256</v>
      </c>
      <c r="U452" s="253">
        <f t="shared" si="86"/>
        <v>14901.25</v>
      </c>
      <c r="V452" s="93">
        <f t="shared" si="87"/>
        <v>0</v>
      </c>
    </row>
    <row r="453" spans="1:22" ht="18" customHeight="1" x14ac:dyDescent="0.2">
      <c r="A453" s="110" t="s">
        <v>831</v>
      </c>
      <c r="B453" s="111"/>
      <c r="C453" s="201" t="s">
        <v>830</v>
      </c>
      <c r="D453" s="91">
        <v>42826</v>
      </c>
      <c r="E453" s="92"/>
      <c r="F453" s="93"/>
      <c r="G453" s="93"/>
      <c r="H453" s="93">
        <v>20425.25</v>
      </c>
      <c r="I453" s="93">
        <v>16157.25</v>
      </c>
      <c r="J453" s="93"/>
      <c r="K453" s="93">
        <f t="shared" si="88"/>
        <v>0</v>
      </c>
      <c r="L453" s="93">
        <f t="shared" si="89"/>
        <v>0</v>
      </c>
      <c r="M453" s="94">
        <v>13.33</v>
      </c>
      <c r="N453" s="95" t="s">
        <v>289</v>
      </c>
      <c r="O453" s="93">
        <f t="shared" si="81"/>
        <v>0</v>
      </c>
      <c r="P453" s="93">
        <f t="shared" si="82"/>
        <v>0</v>
      </c>
      <c r="Q453" s="93">
        <f t="shared" si="83"/>
        <v>0</v>
      </c>
      <c r="R453" s="93">
        <f t="shared" si="84"/>
        <v>1256</v>
      </c>
      <c r="S453" s="93">
        <f t="shared" si="85"/>
        <v>0</v>
      </c>
      <c r="T453" s="93">
        <f t="shared" si="90"/>
        <v>1256</v>
      </c>
      <c r="U453" s="253">
        <f t="shared" si="86"/>
        <v>14901.25</v>
      </c>
      <c r="V453" s="93">
        <f t="shared" si="87"/>
        <v>0</v>
      </c>
    </row>
    <row r="454" spans="1:22" ht="18" customHeight="1" x14ac:dyDescent="0.2">
      <c r="A454" s="110" t="s">
        <v>832</v>
      </c>
      <c r="B454" s="111"/>
      <c r="C454" s="201" t="s">
        <v>833</v>
      </c>
      <c r="D454" s="91">
        <v>42826</v>
      </c>
      <c r="E454" s="92"/>
      <c r="F454" s="93"/>
      <c r="G454" s="93"/>
      <c r="H454" s="93">
        <v>20425.25</v>
      </c>
      <c r="I454" s="93">
        <v>16157.25</v>
      </c>
      <c r="J454" s="93"/>
      <c r="K454" s="93">
        <f t="shared" si="88"/>
        <v>0</v>
      </c>
      <c r="L454" s="93">
        <f t="shared" si="89"/>
        <v>0</v>
      </c>
      <c r="M454" s="94">
        <v>13.33</v>
      </c>
      <c r="N454" s="95" t="s">
        <v>289</v>
      </c>
      <c r="O454" s="93">
        <f t="shared" si="81"/>
        <v>0</v>
      </c>
      <c r="P454" s="93">
        <f t="shared" si="82"/>
        <v>0</v>
      </c>
      <c r="Q454" s="93">
        <f t="shared" si="83"/>
        <v>0</v>
      </c>
      <c r="R454" s="93">
        <f t="shared" si="84"/>
        <v>1256</v>
      </c>
      <c r="S454" s="93">
        <f t="shared" si="85"/>
        <v>0</v>
      </c>
      <c r="T454" s="93">
        <f t="shared" si="90"/>
        <v>1256</v>
      </c>
      <c r="U454" s="253">
        <f t="shared" si="86"/>
        <v>14901.25</v>
      </c>
      <c r="V454" s="93">
        <f t="shared" si="87"/>
        <v>0</v>
      </c>
    </row>
    <row r="455" spans="1:22" ht="18" customHeight="1" x14ac:dyDescent="0.2">
      <c r="A455" s="110" t="s">
        <v>834</v>
      </c>
      <c r="B455" s="111"/>
      <c r="C455" s="201" t="s">
        <v>833</v>
      </c>
      <c r="D455" s="91">
        <v>42826</v>
      </c>
      <c r="E455" s="92"/>
      <c r="F455" s="93"/>
      <c r="G455" s="93"/>
      <c r="H455" s="93">
        <v>20425.25</v>
      </c>
      <c r="I455" s="93">
        <v>16157.25</v>
      </c>
      <c r="J455" s="93"/>
      <c r="K455" s="93">
        <f t="shared" si="88"/>
        <v>0</v>
      </c>
      <c r="L455" s="93">
        <f t="shared" si="89"/>
        <v>0</v>
      </c>
      <c r="M455" s="94">
        <v>13.33</v>
      </c>
      <c r="N455" s="95" t="s">
        <v>289</v>
      </c>
      <c r="O455" s="93">
        <f t="shared" si="81"/>
        <v>0</v>
      </c>
      <c r="P455" s="93">
        <f t="shared" si="82"/>
        <v>0</v>
      </c>
      <c r="Q455" s="93">
        <f t="shared" si="83"/>
        <v>0</v>
      </c>
      <c r="R455" s="93">
        <f t="shared" si="84"/>
        <v>1256</v>
      </c>
      <c r="S455" s="93">
        <f t="shared" si="85"/>
        <v>0</v>
      </c>
      <c r="T455" s="93">
        <f t="shared" si="90"/>
        <v>1256</v>
      </c>
      <c r="U455" s="253">
        <f t="shared" si="86"/>
        <v>14901.25</v>
      </c>
      <c r="V455" s="93">
        <f t="shared" si="87"/>
        <v>0</v>
      </c>
    </row>
    <row r="456" spans="1:22" ht="18" customHeight="1" x14ac:dyDescent="0.2">
      <c r="A456" s="110" t="s">
        <v>835</v>
      </c>
      <c r="B456" s="111"/>
      <c r="C456" s="201" t="s">
        <v>836</v>
      </c>
      <c r="D456" s="91">
        <v>42837</v>
      </c>
      <c r="E456" s="92"/>
      <c r="F456" s="93"/>
      <c r="G456" s="93"/>
      <c r="H456" s="93">
        <v>6600</v>
      </c>
      <c r="I456" s="93">
        <v>5243</v>
      </c>
      <c r="J456" s="93"/>
      <c r="K456" s="93">
        <f t="shared" si="88"/>
        <v>0</v>
      </c>
      <c r="L456" s="93">
        <f t="shared" si="89"/>
        <v>0</v>
      </c>
      <c r="M456" s="94">
        <v>13.33</v>
      </c>
      <c r="N456" s="95" t="s">
        <v>289</v>
      </c>
      <c r="O456" s="93">
        <f t="shared" si="81"/>
        <v>0</v>
      </c>
      <c r="P456" s="93">
        <f t="shared" si="82"/>
        <v>0</v>
      </c>
      <c r="Q456" s="93">
        <f t="shared" si="83"/>
        <v>0</v>
      </c>
      <c r="R456" s="93">
        <f t="shared" si="84"/>
        <v>407</v>
      </c>
      <c r="S456" s="93">
        <f t="shared" si="85"/>
        <v>0</v>
      </c>
      <c r="T456" s="93">
        <f t="shared" si="90"/>
        <v>407</v>
      </c>
      <c r="U456" s="253">
        <f t="shared" si="86"/>
        <v>4836</v>
      </c>
      <c r="V456" s="93">
        <f t="shared" si="87"/>
        <v>0</v>
      </c>
    </row>
    <row r="457" spans="1:22" ht="18" customHeight="1" x14ac:dyDescent="0.2">
      <c r="A457" s="110" t="s">
        <v>837</v>
      </c>
      <c r="B457" s="111"/>
      <c r="C457" s="201" t="s">
        <v>838</v>
      </c>
      <c r="D457" s="91">
        <v>42846</v>
      </c>
      <c r="E457" s="92"/>
      <c r="F457" s="93"/>
      <c r="G457" s="93"/>
      <c r="H457" s="93">
        <v>14900</v>
      </c>
      <c r="I457" s="93">
        <v>11876</v>
      </c>
      <c r="J457" s="93"/>
      <c r="K457" s="93">
        <f t="shared" si="88"/>
        <v>0</v>
      </c>
      <c r="L457" s="93">
        <f t="shared" si="89"/>
        <v>0</v>
      </c>
      <c r="M457" s="94">
        <v>13.33</v>
      </c>
      <c r="N457" s="95" t="s">
        <v>289</v>
      </c>
      <c r="O457" s="93">
        <f t="shared" si="81"/>
        <v>0</v>
      </c>
      <c r="P457" s="93">
        <f t="shared" si="82"/>
        <v>0</v>
      </c>
      <c r="Q457" s="93">
        <f t="shared" si="83"/>
        <v>0</v>
      </c>
      <c r="R457" s="93">
        <f t="shared" si="84"/>
        <v>923</v>
      </c>
      <c r="S457" s="93">
        <f t="shared" si="85"/>
        <v>0</v>
      </c>
      <c r="T457" s="93">
        <f t="shared" si="90"/>
        <v>923</v>
      </c>
      <c r="U457" s="253">
        <f t="shared" si="86"/>
        <v>10953</v>
      </c>
      <c r="V457" s="93">
        <f t="shared" si="87"/>
        <v>0</v>
      </c>
    </row>
    <row r="458" spans="1:22" ht="18" customHeight="1" x14ac:dyDescent="0.2">
      <c r="A458" s="110" t="s">
        <v>839</v>
      </c>
      <c r="B458" s="111"/>
      <c r="C458" s="201" t="s">
        <v>840</v>
      </c>
      <c r="D458" s="91">
        <v>42559</v>
      </c>
      <c r="E458" s="92"/>
      <c r="F458" s="93"/>
      <c r="G458" s="93"/>
      <c r="H458" s="93">
        <v>14332.02</v>
      </c>
      <c r="I458" s="93">
        <v>10194.02</v>
      </c>
      <c r="J458" s="93"/>
      <c r="K458" s="93">
        <f t="shared" si="88"/>
        <v>0</v>
      </c>
      <c r="L458" s="93">
        <f t="shared" si="89"/>
        <v>0</v>
      </c>
      <c r="M458" s="94">
        <v>13.33</v>
      </c>
      <c r="N458" s="95" t="s">
        <v>289</v>
      </c>
      <c r="O458" s="93">
        <f t="shared" si="81"/>
        <v>0</v>
      </c>
      <c r="P458" s="93">
        <f t="shared" si="82"/>
        <v>0</v>
      </c>
      <c r="Q458" s="93">
        <f t="shared" si="83"/>
        <v>0</v>
      </c>
      <c r="R458" s="93">
        <f t="shared" si="84"/>
        <v>792</v>
      </c>
      <c r="S458" s="93">
        <f t="shared" si="85"/>
        <v>0</v>
      </c>
      <c r="T458" s="93">
        <f t="shared" si="90"/>
        <v>792</v>
      </c>
      <c r="U458" s="253">
        <f t="shared" si="86"/>
        <v>9402.02</v>
      </c>
      <c r="V458" s="93">
        <f t="shared" si="87"/>
        <v>0</v>
      </c>
    </row>
    <row r="459" spans="1:22" ht="18" customHeight="1" x14ac:dyDescent="0.2">
      <c r="A459" s="110" t="s">
        <v>841</v>
      </c>
      <c r="B459" s="111"/>
      <c r="C459" s="201" t="s">
        <v>842</v>
      </c>
      <c r="D459" s="91">
        <v>42559</v>
      </c>
      <c r="E459" s="92"/>
      <c r="F459" s="93"/>
      <c r="G459" s="93"/>
      <c r="H459" s="93">
        <v>14332.02</v>
      </c>
      <c r="I459" s="93">
        <v>10194.02</v>
      </c>
      <c r="J459" s="93"/>
      <c r="K459" s="93">
        <f t="shared" si="88"/>
        <v>0</v>
      </c>
      <c r="L459" s="93">
        <f t="shared" si="89"/>
        <v>0</v>
      </c>
      <c r="M459" s="94">
        <v>13.33</v>
      </c>
      <c r="N459" s="95" t="s">
        <v>289</v>
      </c>
      <c r="O459" s="93">
        <f t="shared" si="81"/>
        <v>0</v>
      </c>
      <c r="P459" s="93">
        <f t="shared" si="82"/>
        <v>0</v>
      </c>
      <c r="Q459" s="93">
        <f t="shared" si="83"/>
        <v>0</v>
      </c>
      <c r="R459" s="93">
        <f t="shared" si="84"/>
        <v>792</v>
      </c>
      <c r="S459" s="93">
        <f t="shared" si="85"/>
        <v>0</v>
      </c>
      <c r="T459" s="93">
        <f t="shared" si="90"/>
        <v>792</v>
      </c>
      <c r="U459" s="253">
        <f t="shared" si="86"/>
        <v>9402.02</v>
      </c>
      <c r="V459" s="93">
        <f t="shared" si="87"/>
        <v>0</v>
      </c>
    </row>
    <row r="460" spans="1:22" ht="18" customHeight="1" x14ac:dyDescent="0.2">
      <c r="A460" s="110" t="s">
        <v>843</v>
      </c>
      <c r="B460" s="111"/>
      <c r="C460" s="201" t="s">
        <v>842</v>
      </c>
      <c r="D460" s="91">
        <v>42559</v>
      </c>
      <c r="E460" s="92"/>
      <c r="F460" s="93"/>
      <c r="G460" s="93"/>
      <c r="H460" s="93">
        <v>14332.03</v>
      </c>
      <c r="I460" s="93">
        <v>10194.030000000001</v>
      </c>
      <c r="J460" s="93"/>
      <c r="K460" s="93">
        <f t="shared" si="88"/>
        <v>0</v>
      </c>
      <c r="L460" s="93">
        <f t="shared" si="89"/>
        <v>0</v>
      </c>
      <c r="M460" s="94">
        <v>13.33</v>
      </c>
      <c r="N460" s="95" t="s">
        <v>289</v>
      </c>
      <c r="O460" s="93">
        <f t="shared" si="81"/>
        <v>0</v>
      </c>
      <c r="P460" s="93">
        <f t="shared" si="82"/>
        <v>0</v>
      </c>
      <c r="Q460" s="93">
        <f t="shared" si="83"/>
        <v>0</v>
      </c>
      <c r="R460" s="93">
        <f t="shared" si="84"/>
        <v>792</v>
      </c>
      <c r="S460" s="93">
        <f t="shared" si="85"/>
        <v>0</v>
      </c>
      <c r="T460" s="93">
        <f t="shared" si="90"/>
        <v>792</v>
      </c>
      <c r="U460" s="253">
        <f t="shared" si="86"/>
        <v>9402.0300000000007</v>
      </c>
      <c r="V460" s="93">
        <f t="shared" si="87"/>
        <v>0</v>
      </c>
    </row>
    <row r="461" spans="1:22" ht="18" customHeight="1" x14ac:dyDescent="0.2">
      <c r="A461" s="110" t="s">
        <v>844</v>
      </c>
      <c r="B461" s="111"/>
      <c r="C461" s="201" t="s">
        <v>845</v>
      </c>
      <c r="D461" s="91">
        <v>42559</v>
      </c>
      <c r="E461" s="92"/>
      <c r="F461" s="93"/>
      <c r="G461" s="93"/>
      <c r="H461" s="93">
        <v>10781.01</v>
      </c>
      <c r="I461" s="93">
        <v>7668.01</v>
      </c>
      <c r="J461" s="93"/>
      <c r="K461" s="93">
        <f t="shared" si="88"/>
        <v>0</v>
      </c>
      <c r="L461" s="93">
        <f t="shared" si="89"/>
        <v>0</v>
      </c>
      <c r="M461" s="94">
        <v>13.33</v>
      </c>
      <c r="N461" s="95" t="s">
        <v>289</v>
      </c>
      <c r="O461" s="93">
        <f t="shared" si="81"/>
        <v>0</v>
      </c>
      <c r="P461" s="93">
        <f t="shared" si="82"/>
        <v>0</v>
      </c>
      <c r="Q461" s="93">
        <f t="shared" si="83"/>
        <v>0</v>
      </c>
      <c r="R461" s="93">
        <f t="shared" si="84"/>
        <v>596</v>
      </c>
      <c r="S461" s="93">
        <f t="shared" si="85"/>
        <v>0</v>
      </c>
      <c r="T461" s="93">
        <f t="shared" si="90"/>
        <v>596</v>
      </c>
      <c r="U461" s="253">
        <f t="shared" si="86"/>
        <v>7072.01</v>
      </c>
      <c r="V461" s="93">
        <f t="shared" si="87"/>
        <v>0</v>
      </c>
    </row>
    <row r="462" spans="1:22" ht="18" customHeight="1" x14ac:dyDescent="0.2">
      <c r="A462" s="110" t="s">
        <v>846</v>
      </c>
      <c r="B462" s="111"/>
      <c r="C462" s="201" t="s">
        <v>845</v>
      </c>
      <c r="D462" s="91">
        <v>42559</v>
      </c>
      <c r="E462" s="92"/>
      <c r="F462" s="93"/>
      <c r="G462" s="93"/>
      <c r="H462" s="93">
        <v>10781.01</v>
      </c>
      <c r="I462" s="93">
        <v>7668.01</v>
      </c>
      <c r="J462" s="93"/>
      <c r="K462" s="93">
        <f t="shared" si="88"/>
        <v>0</v>
      </c>
      <c r="L462" s="93">
        <f t="shared" si="89"/>
        <v>0</v>
      </c>
      <c r="M462" s="94">
        <v>13.33</v>
      </c>
      <c r="N462" s="95" t="s">
        <v>289</v>
      </c>
      <c r="O462" s="93">
        <f t="shared" si="81"/>
        <v>0</v>
      </c>
      <c r="P462" s="93">
        <f t="shared" si="82"/>
        <v>0</v>
      </c>
      <c r="Q462" s="93">
        <f t="shared" si="83"/>
        <v>0</v>
      </c>
      <c r="R462" s="93">
        <f t="shared" si="84"/>
        <v>596</v>
      </c>
      <c r="S462" s="93">
        <f t="shared" si="85"/>
        <v>0</v>
      </c>
      <c r="T462" s="93">
        <f t="shared" si="90"/>
        <v>596</v>
      </c>
      <c r="U462" s="253">
        <f t="shared" si="86"/>
        <v>7072.01</v>
      </c>
      <c r="V462" s="93">
        <f t="shared" si="87"/>
        <v>0</v>
      </c>
    </row>
    <row r="463" spans="1:22" ht="18" customHeight="1" x14ac:dyDescent="0.2">
      <c r="A463" s="110" t="s">
        <v>847</v>
      </c>
      <c r="B463" s="111"/>
      <c r="C463" s="201" t="s">
        <v>845</v>
      </c>
      <c r="D463" s="91">
        <v>42559</v>
      </c>
      <c r="E463" s="92"/>
      <c r="F463" s="93"/>
      <c r="G463" s="93"/>
      <c r="H463" s="93">
        <v>10781.01</v>
      </c>
      <c r="I463" s="93">
        <v>7668.01</v>
      </c>
      <c r="J463" s="93"/>
      <c r="K463" s="93">
        <f t="shared" si="88"/>
        <v>0</v>
      </c>
      <c r="L463" s="93">
        <f t="shared" si="89"/>
        <v>0</v>
      </c>
      <c r="M463" s="94">
        <v>13.33</v>
      </c>
      <c r="N463" s="95" t="s">
        <v>289</v>
      </c>
      <c r="O463" s="93">
        <f t="shared" si="81"/>
        <v>0</v>
      </c>
      <c r="P463" s="93">
        <f t="shared" si="82"/>
        <v>0</v>
      </c>
      <c r="Q463" s="93">
        <f t="shared" si="83"/>
        <v>0</v>
      </c>
      <c r="R463" s="93">
        <f t="shared" si="84"/>
        <v>596</v>
      </c>
      <c r="S463" s="93">
        <f t="shared" si="85"/>
        <v>0</v>
      </c>
      <c r="T463" s="93">
        <f t="shared" si="90"/>
        <v>596</v>
      </c>
      <c r="U463" s="253">
        <f t="shared" si="86"/>
        <v>7072.01</v>
      </c>
      <c r="V463" s="93">
        <f t="shared" si="87"/>
        <v>0</v>
      </c>
    </row>
    <row r="464" spans="1:22" ht="18" customHeight="1" x14ac:dyDescent="0.2">
      <c r="A464" s="110" t="s">
        <v>848</v>
      </c>
      <c r="B464" s="111"/>
      <c r="C464" s="201" t="s">
        <v>845</v>
      </c>
      <c r="D464" s="91">
        <v>42559</v>
      </c>
      <c r="E464" s="92"/>
      <c r="F464" s="93"/>
      <c r="G464" s="93"/>
      <c r="H464" s="93">
        <v>10781.01</v>
      </c>
      <c r="I464" s="93">
        <v>7668.01</v>
      </c>
      <c r="J464" s="93"/>
      <c r="K464" s="93">
        <f t="shared" si="88"/>
        <v>0</v>
      </c>
      <c r="L464" s="93">
        <f t="shared" si="89"/>
        <v>0</v>
      </c>
      <c r="M464" s="94">
        <v>13.33</v>
      </c>
      <c r="N464" s="95" t="s">
        <v>289</v>
      </c>
      <c r="O464" s="93">
        <f t="shared" si="81"/>
        <v>0</v>
      </c>
      <c r="P464" s="93">
        <f t="shared" si="82"/>
        <v>0</v>
      </c>
      <c r="Q464" s="93">
        <f t="shared" si="83"/>
        <v>0</v>
      </c>
      <c r="R464" s="93">
        <f t="shared" si="84"/>
        <v>596</v>
      </c>
      <c r="S464" s="93">
        <f t="shared" si="85"/>
        <v>0</v>
      </c>
      <c r="T464" s="93">
        <f t="shared" si="90"/>
        <v>596</v>
      </c>
      <c r="U464" s="253">
        <f t="shared" si="86"/>
        <v>7072.01</v>
      </c>
      <c r="V464" s="93">
        <f t="shared" si="87"/>
        <v>0</v>
      </c>
    </row>
    <row r="465" spans="1:22" ht="18" customHeight="1" x14ac:dyDescent="0.2">
      <c r="A465" s="110" t="s">
        <v>849</v>
      </c>
      <c r="B465" s="111"/>
      <c r="C465" s="201" t="s">
        <v>845</v>
      </c>
      <c r="D465" s="91">
        <v>42559</v>
      </c>
      <c r="E465" s="92"/>
      <c r="F465" s="93"/>
      <c r="G465" s="93"/>
      <c r="H465" s="93">
        <v>10781.01</v>
      </c>
      <c r="I465" s="93">
        <v>7668.01</v>
      </c>
      <c r="J465" s="93"/>
      <c r="K465" s="93">
        <f t="shared" si="88"/>
        <v>0</v>
      </c>
      <c r="L465" s="93">
        <f t="shared" si="89"/>
        <v>0</v>
      </c>
      <c r="M465" s="94">
        <v>13.33</v>
      </c>
      <c r="N465" s="95" t="s">
        <v>289</v>
      </c>
      <c r="O465" s="93">
        <f t="shared" si="81"/>
        <v>0</v>
      </c>
      <c r="P465" s="93">
        <f t="shared" si="82"/>
        <v>0</v>
      </c>
      <c r="Q465" s="93">
        <f t="shared" si="83"/>
        <v>0</v>
      </c>
      <c r="R465" s="93">
        <f t="shared" si="84"/>
        <v>596</v>
      </c>
      <c r="S465" s="93">
        <f t="shared" si="85"/>
        <v>0</v>
      </c>
      <c r="T465" s="93">
        <f t="shared" si="90"/>
        <v>596</v>
      </c>
      <c r="U465" s="253">
        <f t="shared" si="86"/>
        <v>7072.01</v>
      </c>
      <c r="V465" s="93">
        <f t="shared" si="87"/>
        <v>0</v>
      </c>
    </row>
    <row r="466" spans="1:22" ht="18" customHeight="1" x14ac:dyDescent="0.2">
      <c r="A466" s="110" t="s">
        <v>850</v>
      </c>
      <c r="B466" s="111"/>
      <c r="C466" s="201" t="s">
        <v>845</v>
      </c>
      <c r="D466" s="91">
        <v>42559</v>
      </c>
      <c r="E466" s="92"/>
      <c r="F466" s="93"/>
      <c r="G466" s="93"/>
      <c r="H466" s="93">
        <v>10781.01</v>
      </c>
      <c r="I466" s="93">
        <v>7668.01</v>
      </c>
      <c r="J466" s="93"/>
      <c r="K466" s="93">
        <f t="shared" si="88"/>
        <v>0</v>
      </c>
      <c r="L466" s="93">
        <f t="shared" si="89"/>
        <v>0</v>
      </c>
      <c r="M466" s="94">
        <v>13.33</v>
      </c>
      <c r="N466" s="95" t="s">
        <v>289</v>
      </c>
      <c r="O466" s="93">
        <f t="shared" si="81"/>
        <v>0</v>
      </c>
      <c r="P466" s="93">
        <f t="shared" si="82"/>
        <v>0</v>
      </c>
      <c r="Q466" s="93">
        <f t="shared" si="83"/>
        <v>0</v>
      </c>
      <c r="R466" s="93">
        <f t="shared" si="84"/>
        <v>596</v>
      </c>
      <c r="S466" s="93">
        <f t="shared" si="85"/>
        <v>0</v>
      </c>
      <c r="T466" s="93">
        <f t="shared" si="90"/>
        <v>596</v>
      </c>
      <c r="U466" s="253">
        <f t="shared" si="86"/>
        <v>7072.01</v>
      </c>
      <c r="V466" s="93">
        <f t="shared" si="87"/>
        <v>0</v>
      </c>
    </row>
    <row r="467" spans="1:22" ht="18" customHeight="1" x14ac:dyDescent="0.2">
      <c r="A467" s="110" t="s">
        <v>851</v>
      </c>
      <c r="B467" s="111"/>
      <c r="C467" s="201" t="s">
        <v>845</v>
      </c>
      <c r="D467" s="91">
        <v>42559</v>
      </c>
      <c r="E467" s="92"/>
      <c r="F467" s="93"/>
      <c r="G467" s="93"/>
      <c r="H467" s="93">
        <v>10781.01</v>
      </c>
      <c r="I467" s="93">
        <v>7668.01</v>
      </c>
      <c r="J467" s="93"/>
      <c r="K467" s="93">
        <f t="shared" si="88"/>
        <v>0</v>
      </c>
      <c r="L467" s="93">
        <f t="shared" si="89"/>
        <v>0</v>
      </c>
      <c r="M467" s="94">
        <v>13.33</v>
      </c>
      <c r="N467" s="95" t="s">
        <v>289</v>
      </c>
      <c r="O467" s="93">
        <f t="shared" si="81"/>
        <v>0</v>
      </c>
      <c r="P467" s="93">
        <f t="shared" si="82"/>
        <v>0</v>
      </c>
      <c r="Q467" s="93">
        <f t="shared" si="83"/>
        <v>0</v>
      </c>
      <c r="R467" s="93">
        <f t="shared" si="84"/>
        <v>596</v>
      </c>
      <c r="S467" s="93">
        <f t="shared" si="85"/>
        <v>0</v>
      </c>
      <c r="T467" s="93">
        <f t="shared" si="90"/>
        <v>596</v>
      </c>
      <c r="U467" s="253">
        <f t="shared" si="86"/>
        <v>7072.01</v>
      </c>
      <c r="V467" s="93">
        <f t="shared" si="87"/>
        <v>0</v>
      </c>
    </row>
    <row r="468" spans="1:22" ht="18" customHeight="1" x14ac:dyDescent="0.2">
      <c r="A468" s="110" t="s">
        <v>852</v>
      </c>
      <c r="B468" s="111"/>
      <c r="C468" s="201" t="s">
        <v>845</v>
      </c>
      <c r="D468" s="91">
        <v>42559</v>
      </c>
      <c r="E468" s="92"/>
      <c r="F468" s="93"/>
      <c r="G468" s="93"/>
      <c r="H468" s="93">
        <v>10781.01</v>
      </c>
      <c r="I468" s="93">
        <v>7668.01</v>
      </c>
      <c r="J468" s="93"/>
      <c r="K468" s="93">
        <f t="shared" si="88"/>
        <v>0</v>
      </c>
      <c r="L468" s="93">
        <f t="shared" si="89"/>
        <v>0</v>
      </c>
      <c r="M468" s="94">
        <v>13.33</v>
      </c>
      <c r="N468" s="95" t="s">
        <v>289</v>
      </c>
      <c r="O468" s="93">
        <f t="shared" si="81"/>
        <v>0</v>
      </c>
      <c r="P468" s="93">
        <f t="shared" si="82"/>
        <v>0</v>
      </c>
      <c r="Q468" s="93">
        <f t="shared" si="83"/>
        <v>0</v>
      </c>
      <c r="R468" s="93">
        <f t="shared" si="84"/>
        <v>596</v>
      </c>
      <c r="S468" s="93">
        <f t="shared" si="85"/>
        <v>0</v>
      </c>
      <c r="T468" s="93">
        <f t="shared" si="90"/>
        <v>596</v>
      </c>
      <c r="U468" s="253">
        <f t="shared" si="86"/>
        <v>7072.01</v>
      </c>
      <c r="V468" s="93">
        <f t="shared" si="87"/>
        <v>0</v>
      </c>
    </row>
    <row r="469" spans="1:22" ht="18" customHeight="1" x14ac:dyDescent="0.2">
      <c r="A469" s="110" t="s">
        <v>853</v>
      </c>
      <c r="B469" s="111"/>
      <c r="C469" s="201" t="s">
        <v>845</v>
      </c>
      <c r="D469" s="91">
        <v>42559</v>
      </c>
      <c r="E469" s="92"/>
      <c r="F469" s="93"/>
      <c r="G469" s="93"/>
      <c r="H469" s="93">
        <v>10781.01</v>
      </c>
      <c r="I469" s="93">
        <v>7668.01</v>
      </c>
      <c r="J469" s="93"/>
      <c r="K469" s="93">
        <f t="shared" si="88"/>
        <v>0</v>
      </c>
      <c r="L469" s="93">
        <f t="shared" si="89"/>
        <v>0</v>
      </c>
      <c r="M469" s="94">
        <v>13.33</v>
      </c>
      <c r="N469" s="95" t="s">
        <v>289</v>
      </c>
      <c r="O469" s="93">
        <f t="shared" si="81"/>
        <v>0</v>
      </c>
      <c r="P469" s="93">
        <f t="shared" si="82"/>
        <v>0</v>
      </c>
      <c r="Q469" s="93">
        <f t="shared" si="83"/>
        <v>0</v>
      </c>
      <c r="R469" s="93">
        <f t="shared" si="84"/>
        <v>596</v>
      </c>
      <c r="S469" s="93">
        <f t="shared" si="85"/>
        <v>0</v>
      </c>
      <c r="T469" s="93">
        <f t="shared" si="90"/>
        <v>596</v>
      </c>
      <c r="U469" s="253">
        <f t="shared" si="86"/>
        <v>7072.01</v>
      </c>
      <c r="V469" s="93">
        <f t="shared" si="87"/>
        <v>0</v>
      </c>
    </row>
    <row r="470" spans="1:22" ht="18" customHeight="1" x14ac:dyDescent="0.2">
      <c r="A470" s="110" t="s">
        <v>854</v>
      </c>
      <c r="B470" s="111"/>
      <c r="C470" s="201" t="s">
        <v>845</v>
      </c>
      <c r="D470" s="91">
        <v>42559</v>
      </c>
      <c r="E470" s="92"/>
      <c r="F470" s="93"/>
      <c r="G470" s="93"/>
      <c r="H470" s="93">
        <v>10781.01</v>
      </c>
      <c r="I470" s="93">
        <v>7668.01</v>
      </c>
      <c r="J470" s="93"/>
      <c r="K470" s="93">
        <f t="shared" si="88"/>
        <v>0</v>
      </c>
      <c r="L470" s="93">
        <f t="shared" si="89"/>
        <v>0</v>
      </c>
      <c r="M470" s="94">
        <v>13.33</v>
      </c>
      <c r="N470" s="95" t="s">
        <v>289</v>
      </c>
      <c r="O470" s="93">
        <f t="shared" si="81"/>
        <v>0</v>
      </c>
      <c r="P470" s="93">
        <f t="shared" si="82"/>
        <v>0</v>
      </c>
      <c r="Q470" s="93">
        <f t="shared" si="83"/>
        <v>0</v>
      </c>
      <c r="R470" s="93">
        <f t="shared" si="84"/>
        <v>596</v>
      </c>
      <c r="S470" s="93">
        <f t="shared" si="85"/>
        <v>0</v>
      </c>
      <c r="T470" s="93">
        <f t="shared" si="90"/>
        <v>596</v>
      </c>
      <c r="U470" s="253">
        <f t="shared" si="86"/>
        <v>7072.01</v>
      </c>
      <c r="V470" s="93">
        <f t="shared" si="87"/>
        <v>0</v>
      </c>
    </row>
    <row r="471" spans="1:22" ht="18" customHeight="1" x14ac:dyDescent="0.2">
      <c r="A471" s="110" t="s">
        <v>855</v>
      </c>
      <c r="B471" s="111"/>
      <c r="C471" s="201" t="s">
        <v>845</v>
      </c>
      <c r="D471" s="91">
        <v>42559</v>
      </c>
      <c r="E471" s="92"/>
      <c r="F471" s="93"/>
      <c r="G471" s="93"/>
      <c r="H471" s="93">
        <v>10781.01</v>
      </c>
      <c r="I471" s="93">
        <v>7668.01</v>
      </c>
      <c r="J471" s="93"/>
      <c r="K471" s="93">
        <f t="shared" si="88"/>
        <v>0</v>
      </c>
      <c r="L471" s="93">
        <f t="shared" si="89"/>
        <v>0</v>
      </c>
      <c r="M471" s="94">
        <v>13.33</v>
      </c>
      <c r="N471" s="95" t="s">
        <v>289</v>
      </c>
      <c r="O471" s="93">
        <f t="shared" si="81"/>
        <v>0</v>
      </c>
      <c r="P471" s="93">
        <f t="shared" si="82"/>
        <v>0</v>
      </c>
      <c r="Q471" s="93">
        <f t="shared" si="83"/>
        <v>0</v>
      </c>
      <c r="R471" s="93">
        <f t="shared" si="84"/>
        <v>596</v>
      </c>
      <c r="S471" s="93">
        <f t="shared" si="85"/>
        <v>0</v>
      </c>
      <c r="T471" s="93">
        <f t="shared" si="90"/>
        <v>596</v>
      </c>
      <c r="U471" s="253">
        <f t="shared" si="86"/>
        <v>7072.01</v>
      </c>
      <c r="V471" s="93">
        <f t="shared" si="87"/>
        <v>0</v>
      </c>
    </row>
    <row r="472" spans="1:22" ht="18" customHeight="1" x14ac:dyDescent="0.2">
      <c r="A472" s="110" t="s">
        <v>856</v>
      </c>
      <c r="B472" s="111"/>
      <c r="C472" s="201" t="s">
        <v>845</v>
      </c>
      <c r="D472" s="91">
        <v>42559</v>
      </c>
      <c r="E472" s="92"/>
      <c r="F472" s="93"/>
      <c r="G472" s="93"/>
      <c r="H472" s="93">
        <v>10781.04</v>
      </c>
      <c r="I472" s="93">
        <v>7668.04</v>
      </c>
      <c r="J472" s="93"/>
      <c r="K472" s="93">
        <f t="shared" si="88"/>
        <v>0</v>
      </c>
      <c r="L472" s="93">
        <f t="shared" si="89"/>
        <v>0</v>
      </c>
      <c r="M472" s="94">
        <v>13.33</v>
      </c>
      <c r="N472" s="95" t="s">
        <v>289</v>
      </c>
      <c r="O472" s="93">
        <f t="shared" si="81"/>
        <v>0</v>
      </c>
      <c r="P472" s="93">
        <f t="shared" si="82"/>
        <v>0</v>
      </c>
      <c r="Q472" s="93">
        <f t="shared" si="83"/>
        <v>0</v>
      </c>
      <c r="R472" s="93">
        <f t="shared" si="84"/>
        <v>596</v>
      </c>
      <c r="S472" s="93">
        <f t="shared" si="85"/>
        <v>0</v>
      </c>
      <c r="T472" s="93">
        <f t="shared" si="90"/>
        <v>596</v>
      </c>
      <c r="U472" s="253">
        <f t="shared" si="86"/>
        <v>7072.04</v>
      </c>
      <c r="V472" s="93">
        <f t="shared" si="87"/>
        <v>0</v>
      </c>
    </row>
    <row r="473" spans="1:22" ht="18" customHeight="1" x14ac:dyDescent="0.2">
      <c r="A473" s="110" t="s">
        <v>857</v>
      </c>
      <c r="B473" s="111"/>
      <c r="C473" s="201" t="s">
        <v>858</v>
      </c>
      <c r="D473" s="91">
        <v>42559</v>
      </c>
      <c r="E473" s="92"/>
      <c r="F473" s="93"/>
      <c r="G473" s="93"/>
      <c r="H473" s="93">
        <v>12100.24</v>
      </c>
      <c r="I473" s="93">
        <v>8606.24</v>
      </c>
      <c r="J473" s="93"/>
      <c r="K473" s="93">
        <f t="shared" si="88"/>
        <v>0</v>
      </c>
      <c r="L473" s="93">
        <f t="shared" si="89"/>
        <v>0</v>
      </c>
      <c r="M473" s="94">
        <v>13.33</v>
      </c>
      <c r="N473" s="95" t="s">
        <v>289</v>
      </c>
      <c r="O473" s="93">
        <f t="shared" si="81"/>
        <v>0</v>
      </c>
      <c r="P473" s="93">
        <f t="shared" si="82"/>
        <v>0</v>
      </c>
      <c r="Q473" s="93">
        <f t="shared" si="83"/>
        <v>0</v>
      </c>
      <c r="R473" s="93">
        <f t="shared" si="84"/>
        <v>669</v>
      </c>
      <c r="S473" s="93">
        <f t="shared" si="85"/>
        <v>0</v>
      </c>
      <c r="T473" s="93">
        <f t="shared" si="90"/>
        <v>669</v>
      </c>
      <c r="U473" s="253">
        <f t="shared" si="86"/>
        <v>7937.24</v>
      </c>
      <c r="V473" s="93">
        <f t="shared" si="87"/>
        <v>0</v>
      </c>
    </row>
    <row r="474" spans="1:22" ht="18" customHeight="1" x14ac:dyDescent="0.2">
      <c r="A474" s="110" t="s">
        <v>859</v>
      </c>
      <c r="B474" s="111"/>
      <c r="C474" s="201" t="s">
        <v>860</v>
      </c>
      <c r="D474" s="91">
        <v>42559</v>
      </c>
      <c r="E474" s="92"/>
      <c r="F474" s="93"/>
      <c r="G474" s="93"/>
      <c r="H474" s="93">
        <v>12063.04</v>
      </c>
      <c r="I474" s="93">
        <v>8579.0400000000009</v>
      </c>
      <c r="J474" s="93"/>
      <c r="K474" s="93">
        <f t="shared" si="88"/>
        <v>0</v>
      </c>
      <c r="L474" s="93">
        <f t="shared" si="89"/>
        <v>0</v>
      </c>
      <c r="M474" s="94">
        <v>13.33</v>
      </c>
      <c r="N474" s="95" t="s">
        <v>289</v>
      </c>
      <c r="O474" s="93">
        <f t="shared" si="81"/>
        <v>0</v>
      </c>
      <c r="P474" s="93">
        <f t="shared" si="82"/>
        <v>0</v>
      </c>
      <c r="Q474" s="93">
        <f t="shared" si="83"/>
        <v>0</v>
      </c>
      <c r="R474" s="93">
        <f t="shared" si="84"/>
        <v>667</v>
      </c>
      <c r="S474" s="93">
        <f t="shared" si="85"/>
        <v>0</v>
      </c>
      <c r="T474" s="93">
        <f t="shared" si="90"/>
        <v>667</v>
      </c>
      <c r="U474" s="253">
        <f t="shared" si="86"/>
        <v>7912.0400000000009</v>
      </c>
      <c r="V474" s="93">
        <f t="shared" si="87"/>
        <v>0</v>
      </c>
    </row>
    <row r="475" spans="1:22" ht="18" customHeight="1" x14ac:dyDescent="0.2">
      <c r="A475" s="110" t="s">
        <v>861</v>
      </c>
      <c r="B475" s="111"/>
      <c r="C475" s="201" t="s">
        <v>862</v>
      </c>
      <c r="D475" s="91">
        <v>42559</v>
      </c>
      <c r="E475" s="92"/>
      <c r="F475" s="93"/>
      <c r="G475" s="93"/>
      <c r="H475" s="93">
        <v>9762.02</v>
      </c>
      <c r="I475" s="93">
        <v>6943.02</v>
      </c>
      <c r="J475" s="93"/>
      <c r="K475" s="93">
        <f t="shared" si="88"/>
        <v>0</v>
      </c>
      <c r="L475" s="93">
        <f t="shared" si="89"/>
        <v>0</v>
      </c>
      <c r="M475" s="94">
        <v>13.33</v>
      </c>
      <c r="N475" s="95" t="s">
        <v>289</v>
      </c>
      <c r="O475" s="93">
        <f t="shared" si="81"/>
        <v>0</v>
      </c>
      <c r="P475" s="93">
        <f t="shared" si="82"/>
        <v>0</v>
      </c>
      <c r="Q475" s="93">
        <f t="shared" si="83"/>
        <v>0</v>
      </c>
      <c r="R475" s="93">
        <f t="shared" si="84"/>
        <v>539</v>
      </c>
      <c r="S475" s="93">
        <f t="shared" si="85"/>
        <v>0</v>
      </c>
      <c r="T475" s="93">
        <f t="shared" si="90"/>
        <v>539</v>
      </c>
      <c r="U475" s="253">
        <f t="shared" si="86"/>
        <v>6404.02</v>
      </c>
      <c r="V475" s="93">
        <f t="shared" si="87"/>
        <v>0</v>
      </c>
    </row>
    <row r="476" spans="1:22" ht="18" customHeight="1" x14ac:dyDescent="0.2">
      <c r="A476" s="110" t="s">
        <v>863</v>
      </c>
      <c r="B476" s="111"/>
      <c r="C476" s="201" t="s">
        <v>864</v>
      </c>
      <c r="D476" s="91">
        <v>42559</v>
      </c>
      <c r="E476" s="92"/>
      <c r="F476" s="93"/>
      <c r="G476" s="93"/>
      <c r="H476" s="93">
        <v>14643.04</v>
      </c>
      <c r="I476" s="93">
        <v>10414.040000000001</v>
      </c>
      <c r="J476" s="93"/>
      <c r="K476" s="93">
        <f t="shared" si="88"/>
        <v>0</v>
      </c>
      <c r="L476" s="93">
        <f t="shared" si="89"/>
        <v>0</v>
      </c>
      <c r="M476" s="94">
        <v>13.33</v>
      </c>
      <c r="N476" s="95" t="s">
        <v>289</v>
      </c>
      <c r="O476" s="93">
        <f t="shared" si="81"/>
        <v>0</v>
      </c>
      <c r="P476" s="93">
        <f t="shared" si="82"/>
        <v>0</v>
      </c>
      <c r="Q476" s="93">
        <f t="shared" si="83"/>
        <v>0</v>
      </c>
      <c r="R476" s="93">
        <f t="shared" si="84"/>
        <v>809</v>
      </c>
      <c r="S476" s="93">
        <f t="shared" si="85"/>
        <v>0</v>
      </c>
      <c r="T476" s="93">
        <f t="shared" si="90"/>
        <v>809</v>
      </c>
      <c r="U476" s="253">
        <f t="shared" si="86"/>
        <v>9605.0400000000009</v>
      </c>
      <c r="V476" s="93">
        <f t="shared" si="87"/>
        <v>0</v>
      </c>
    </row>
    <row r="477" spans="1:22" ht="18" customHeight="1" x14ac:dyDescent="0.2">
      <c r="A477" s="110" t="s">
        <v>865</v>
      </c>
      <c r="B477" s="111"/>
      <c r="C477" s="201" t="s">
        <v>866</v>
      </c>
      <c r="D477" s="91">
        <v>42559</v>
      </c>
      <c r="E477" s="92"/>
      <c r="F477" s="93"/>
      <c r="G477" s="93"/>
      <c r="H477" s="93">
        <v>15141.01</v>
      </c>
      <c r="I477" s="93">
        <v>12839.01</v>
      </c>
      <c r="J477" s="93"/>
      <c r="K477" s="93">
        <f t="shared" si="88"/>
        <v>0</v>
      </c>
      <c r="L477" s="93">
        <f t="shared" si="89"/>
        <v>0</v>
      </c>
      <c r="M477" s="94">
        <v>6.67</v>
      </c>
      <c r="N477" s="95" t="s">
        <v>289</v>
      </c>
      <c r="O477" s="93">
        <f t="shared" si="81"/>
        <v>0</v>
      </c>
      <c r="P477" s="93">
        <f t="shared" si="82"/>
        <v>0</v>
      </c>
      <c r="Q477" s="93">
        <f t="shared" si="83"/>
        <v>0</v>
      </c>
      <c r="R477" s="93">
        <f t="shared" si="84"/>
        <v>499</v>
      </c>
      <c r="S477" s="93">
        <f t="shared" si="85"/>
        <v>0</v>
      </c>
      <c r="T477" s="93">
        <f t="shared" si="90"/>
        <v>499</v>
      </c>
      <c r="U477" s="253">
        <f t="shared" si="86"/>
        <v>12340.01</v>
      </c>
      <c r="V477" s="93">
        <f t="shared" si="87"/>
        <v>0</v>
      </c>
    </row>
    <row r="478" spans="1:22" ht="18" customHeight="1" x14ac:dyDescent="0.2">
      <c r="A478" s="110" t="s">
        <v>867</v>
      </c>
      <c r="B478" s="111"/>
      <c r="C478" s="201" t="s">
        <v>866</v>
      </c>
      <c r="D478" s="91">
        <v>42559</v>
      </c>
      <c r="E478" s="92"/>
      <c r="F478" s="93"/>
      <c r="G478" s="93"/>
      <c r="H478" s="93">
        <v>15141.01</v>
      </c>
      <c r="I478" s="93">
        <v>8921.01</v>
      </c>
      <c r="J478" s="93"/>
      <c r="K478" s="93">
        <f t="shared" si="88"/>
        <v>0</v>
      </c>
      <c r="L478" s="93">
        <f t="shared" si="89"/>
        <v>0</v>
      </c>
      <c r="M478" s="94">
        <v>20</v>
      </c>
      <c r="N478" s="95" t="s">
        <v>289</v>
      </c>
      <c r="O478" s="93">
        <f t="shared" si="81"/>
        <v>0</v>
      </c>
      <c r="P478" s="93">
        <f t="shared" si="82"/>
        <v>0</v>
      </c>
      <c r="Q478" s="93">
        <f t="shared" si="83"/>
        <v>0</v>
      </c>
      <c r="R478" s="93">
        <f t="shared" si="84"/>
        <v>1040</v>
      </c>
      <c r="S478" s="93">
        <f t="shared" si="85"/>
        <v>0</v>
      </c>
      <c r="T478" s="93">
        <f t="shared" si="90"/>
        <v>1040</v>
      </c>
      <c r="U478" s="253">
        <f t="shared" si="86"/>
        <v>7881.01</v>
      </c>
      <c r="V478" s="93">
        <f t="shared" si="87"/>
        <v>0</v>
      </c>
    </row>
    <row r="479" spans="1:22" ht="18" customHeight="1" x14ac:dyDescent="0.2">
      <c r="A479" s="110" t="s">
        <v>868</v>
      </c>
      <c r="B479" s="111"/>
      <c r="C479" s="201" t="s">
        <v>866</v>
      </c>
      <c r="D479" s="91">
        <v>42559</v>
      </c>
      <c r="E479" s="92"/>
      <c r="F479" s="93"/>
      <c r="G479" s="93"/>
      <c r="H479" s="93">
        <v>15141.01</v>
      </c>
      <c r="I479" s="93">
        <v>12839.01</v>
      </c>
      <c r="J479" s="93"/>
      <c r="K479" s="93">
        <f t="shared" si="88"/>
        <v>0</v>
      </c>
      <c r="L479" s="93">
        <f t="shared" si="89"/>
        <v>0</v>
      </c>
      <c r="M479" s="94">
        <v>6.67</v>
      </c>
      <c r="N479" s="95" t="s">
        <v>289</v>
      </c>
      <c r="O479" s="93">
        <f t="shared" si="81"/>
        <v>0</v>
      </c>
      <c r="P479" s="93">
        <f t="shared" si="82"/>
        <v>0</v>
      </c>
      <c r="Q479" s="93">
        <f t="shared" si="83"/>
        <v>0</v>
      </c>
      <c r="R479" s="93">
        <f t="shared" si="84"/>
        <v>499</v>
      </c>
      <c r="S479" s="93">
        <f t="shared" si="85"/>
        <v>0</v>
      </c>
      <c r="T479" s="93">
        <f t="shared" si="90"/>
        <v>499</v>
      </c>
      <c r="U479" s="253">
        <f t="shared" si="86"/>
        <v>12340.01</v>
      </c>
      <c r="V479" s="93">
        <f t="shared" si="87"/>
        <v>0</v>
      </c>
    </row>
    <row r="480" spans="1:22" ht="18" customHeight="1" x14ac:dyDescent="0.2">
      <c r="A480" s="110" t="s">
        <v>869</v>
      </c>
      <c r="B480" s="111"/>
      <c r="C480" s="201" t="s">
        <v>866</v>
      </c>
      <c r="D480" s="91">
        <v>42559</v>
      </c>
      <c r="E480" s="92"/>
      <c r="F480" s="93"/>
      <c r="G480" s="93"/>
      <c r="H480" s="93">
        <v>15141.01</v>
      </c>
      <c r="I480" s="93">
        <v>12839.01</v>
      </c>
      <c r="J480" s="93"/>
      <c r="K480" s="93">
        <f t="shared" si="88"/>
        <v>0</v>
      </c>
      <c r="L480" s="93">
        <f t="shared" si="89"/>
        <v>0</v>
      </c>
      <c r="M480" s="94">
        <v>6.67</v>
      </c>
      <c r="N480" s="95" t="s">
        <v>289</v>
      </c>
      <c r="O480" s="93">
        <f t="shared" si="81"/>
        <v>0</v>
      </c>
      <c r="P480" s="93">
        <f t="shared" si="82"/>
        <v>0</v>
      </c>
      <c r="Q480" s="93">
        <f t="shared" si="83"/>
        <v>0</v>
      </c>
      <c r="R480" s="93">
        <f t="shared" si="84"/>
        <v>499</v>
      </c>
      <c r="S480" s="93">
        <f t="shared" si="85"/>
        <v>0</v>
      </c>
      <c r="T480" s="93">
        <f t="shared" si="90"/>
        <v>499</v>
      </c>
      <c r="U480" s="253">
        <f t="shared" si="86"/>
        <v>12340.01</v>
      </c>
      <c r="V480" s="93">
        <f t="shared" si="87"/>
        <v>0</v>
      </c>
    </row>
    <row r="481" spans="1:22" ht="18" customHeight="1" x14ac:dyDescent="0.2">
      <c r="A481" s="110" t="s">
        <v>870</v>
      </c>
      <c r="B481" s="111"/>
      <c r="C481" s="201" t="s">
        <v>866</v>
      </c>
      <c r="D481" s="91">
        <v>42559</v>
      </c>
      <c r="E481" s="92"/>
      <c r="F481" s="93"/>
      <c r="G481" s="93"/>
      <c r="H481" s="93">
        <v>15141.02</v>
      </c>
      <c r="I481" s="93">
        <v>12839.02</v>
      </c>
      <c r="J481" s="93"/>
      <c r="K481" s="93">
        <f t="shared" si="88"/>
        <v>0</v>
      </c>
      <c r="L481" s="93">
        <f t="shared" si="89"/>
        <v>0</v>
      </c>
      <c r="M481" s="94">
        <v>6.67</v>
      </c>
      <c r="N481" s="95" t="s">
        <v>289</v>
      </c>
      <c r="O481" s="93">
        <f t="shared" si="81"/>
        <v>0</v>
      </c>
      <c r="P481" s="93">
        <f t="shared" si="82"/>
        <v>0</v>
      </c>
      <c r="Q481" s="93">
        <f t="shared" si="83"/>
        <v>0</v>
      </c>
      <c r="R481" s="93">
        <f t="shared" si="84"/>
        <v>499</v>
      </c>
      <c r="S481" s="93">
        <f t="shared" si="85"/>
        <v>0</v>
      </c>
      <c r="T481" s="93">
        <f t="shared" si="90"/>
        <v>499</v>
      </c>
      <c r="U481" s="253">
        <f t="shared" si="86"/>
        <v>12340.02</v>
      </c>
      <c r="V481" s="93">
        <f t="shared" si="87"/>
        <v>0</v>
      </c>
    </row>
    <row r="482" spans="1:22" ht="18" customHeight="1" x14ac:dyDescent="0.2">
      <c r="A482" s="110" t="s">
        <v>871</v>
      </c>
      <c r="B482" s="111"/>
      <c r="C482" s="201" t="s">
        <v>872</v>
      </c>
      <c r="D482" s="91">
        <v>42559</v>
      </c>
      <c r="E482" s="92"/>
      <c r="F482" s="93"/>
      <c r="G482" s="93"/>
      <c r="H482" s="93">
        <v>20581.010000000002</v>
      </c>
      <c r="I482" s="93">
        <v>17451.010000000002</v>
      </c>
      <c r="J482" s="93"/>
      <c r="K482" s="93">
        <f t="shared" si="88"/>
        <v>0</v>
      </c>
      <c r="L482" s="93">
        <f t="shared" si="89"/>
        <v>0</v>
      </c>
      <c r="M482" s="94">
        <v>6.67</v>
      </c>
      <c r="N482" s="95" t="s">
        <v>289</v>
      </c>
      <c r="O482" s="93">
        <f t="shared" si="81"/>
        <v>0</v>
      </c>
      <c r="P482" s="93">
        <f t="shared" si="82"/>
        <v>0</v>
      </c>
      <c r="Q482" s="93">
        <f t="shared" si="83"/>
        <v>0</v>
      </c>
      <c r="R482" s="93">
        <f t="shared" si="84"/>
        <v>678</v>
      </c>
      <c r="S482" s="93">
        <f t="shared" si="85"/>
        <v>0</v>
      </c>
      <c r="T482" s="93">
        <f t="shared" si="90"/>
        <v>678</v>
      </c>
      <c r="U482" s="253">
        <f t="shared" si="86"/>
        <v>16773.010000000002</v>
      </c>
      <c r="V482" s="93">
        <f t="shared" si="87"/>
        <v>0</v>
      </c>
    </row>
    <row r="483" spans="1:22" ht="18" customHeight="1" x14ac:dyDescent="0.2">
      <c r="A483" s="110" t="s">
        <v>873</v>
      </c>
      <c r="B483" s="111"/>
      <c r="C483" s="201" t="s">
        <v>872</v>
      </c>
      <c r="D483" s="91">
        <v>42559</v>
      </c>
      <c r="E483" s="92"/>
      <c r="F483" s="93"/>
      <c r="G483" s="93"/>
      <c r="H483" s="93">
        <v>20581.010000000002</v>
      </c>
      <c r="I483" s="93">
        <v>17451.010000000002</v>
      </c>
      <c r="J483" s="93"/>
      <c r="K483" s="93">
        <f t="shared" si="88"/>
        <v>0</v>
      </c>
      <c r="L483" s="93">
        <f t="shared" si="89"/>
        <v>0</v>
      </c>
      <c r="M483" s="94">
        <v>6.67</v>
      </c>
      <c r="N483" s="95" t="s">
        <v>289</v>
      </c>
      <c r="O483" s="93">
        <f t="shared" si="81"/>
        <v>0</v>
      </c>
      <c r="P483" s="93">
        <f t="shared" si="82"/>
        <v>0</v>
      </c>
      <c r="Q483" s="93">
        <f t="shared" si="83"/>
        <v>0</v>
      </c>
      <c r="R483" s="93">
        <f t="shared" si="84"/>
        <v>678</v>
      </c>
      <c r="S483" s="93">
        <f t="shared" si="85"/>
        <v>0</v>
      </c>
      <c r="T483" s="93">
        <f t="shared" si="90"/>
        <v>678</v>
      </c>
      <c r="U483" s="253">
        <f t="shared" si="86"/>
        <v>16773.010000000002</v>
      </c>
      <c r="V483" s="93">
        <f t="shared" si="87"/>
        <v>0</v>
      </c>
    </row>
    <row r="484" spans="1:22" ht="18" customHeight="1" x14ac:dyDescent="0.2">
      <c r="A484" s="110" t="s">
        <v>874</v>
      </c>
      <c r="B484" s="111"/>
      <c r="C484" s="201" t="s">
        <v>872</v>
      </c>
      <c r="D484" s="91">
        <v>42559</v>
      </c>
      <c r="E484" s="92"/>
      <c r="F484" s="93"/>
      <c r="G484" s="93"/>
      <c r="H484" s="93">
        <v>20581.010000000002</v>
      </c>
      <c r="I484" s="93">
        <v>17451.010000000002</v>
      </c>
      <c r="J484" s="93"/>
      <c r="K484" s="93">
        <f t="shared" si="88"/>
        <v>0</v>
      </c>
      <c r="L484" s="93">
        <f t="shared" si="89"/>
        <v>0</v>
      </c>
      <c r="M484" s="94">
        <v>6.67</v>
      </c>
      <c r="N484" s="95" t="s">
        <v>289</v>
      </c>
      <c r="O484" s="93">
        <f t="shared" si="81"/>
        <v>0</v>
      </c>
      <c r="P484" s="93">
        <f t="shared" si="82"/>
        <v>0</v>
      </c>
      <c r="Q484" s="93">
        <f t="shared" si="83"/>
        <v>0</v>
      </c>
      <c r="R484" s="93">
        <f t="shared" si="84"/>
        <v>678</v>
      </c>
      <c r="S484" s="93">
        <f t="shared" si="85"/>
        <v>0</v>
      </c>
      <c r="T484" s="93">
        <f t="shared" si="90"/>
        <v>678</v>
      </c>
      <c r="U484" s="253">
        <f t="shared" si="86"/>
        <v>16773.010000000002</v>
      </c>
      <c r="V484" s="93">
        <f t="shared" si="87"/>
        <v>0</v>
      </c>
    </row>
    <row r="485" spans="1:22" ht="18" customHeight="1" x14ac:dyDescent="0.2">
      <c r="A485" s="110" t="s">
        <v>875</v>
      </c>
      <c r="B485" s="111"/>
      <c r="C485" s="201" t="s">
        <v>872</v>
      </c>
      <c r="D485" s="91">
        <v>42559</v>
      </c>
      <c r="E485" s="92"/>
      <c r="F485" s="93"/>
      <c r="G485" s="93"/>
      <c r="H485" s="93">
        <v>20581.010000000002</v>
      </c>
      <c r="I485" s="93">
        <v>17451.010000000002</v>
      </c>
      <c r="J485" s="93"/>
      <c r="K485" s="93">
        <f t="shared" si="88"/>
        <v>0</v>
      </c>
      <c r="L485" s="93">
        <f t="shared" si="89"/>
        <v>0</v>
      </c>
      <c r="M485" s="94">
        <v>6.67</v>
      </c>
      <c r="N485" s="95" t="s">
        <v>289</v>
      </c>
      <c r="O485" s="93">
        <f t="shared" ref="O485:O547" si="91">IF(E485&gt;0,INT(IF($N485="D",IF($D485&lt;$H$3,$I485*($M485/100)*((E485-$H$3)/365),$J485*($M485/100)*($J$3-$D485)/365),0)),0)</f>
        <v>0</v>
      </c>
      <c r="P485" s="93">
        <f t="shared" ref="P485:P547" si="92">IF(E485&gt;0,INT(IF($N485="P",IF($D485&lt;$H$3,$H485*($M485/100)*(E485-$H$3)/365,$J485*($M485/100)*($J$3-$D485)/365),0)),0)</f>
        <v>0</v>
      </c>
      <c r="Q485" s="93">
        <f t="shared" ref="Q485:Q547" si="93">+O485+P485</f>
        <v>0</v>
      </c>
      <c r="R485" s="93">
        <f t="shared" ref="R485:R547" si="94">INT(IF($E485&gt;0,0,(IF($N485="D",IF($D485&lt;$H$3,$I485*($M485/100)*$U$3/12,$J485*($M485/100)*($J$3-$D485)/365),0))))</f>
        <v>678</v>
      </c>
      <c r="S485" s="93">
        <f t="shared" ref="S485:S547" si="95">INT(IF($E485&gt;0,0,(IF($N485="P",IF($D485&lt;$H$3,$H485*($M485/100)*$U$3/12,$J485*($M485/100)*($J$3-$D485)/365),0))))</f>
        <v>0</v>
      </c>
      <c r="T485" s="93">
        <f t="shared" si="90"/>
        <v>678</v>
      </c>
      <c r="U485" s="253">
        <f t="shared" si="86"/>
        <v>16773.010000000002</v>
      </c>
      <c r="V485" s="93">
        <f t="shared" si="87"/>
        <v>0</v>
      </c>
    </row>
    <row r="486" spans="1:22" ht="18" customHeight="1" x14ac:dyDescent="0.2">
      <c r="A486" s="110" t="s">
        <v>876</v>
      </c>
      <c r="B486" s="111"/>
      <c r="C486" s="201" t="s">
        <v>872</v>
      </c>
      <c r="D486" s="91">
        <v>42559</v>
      </c>
      <c r="E486" s="92"/>
      <c r="F486" s="93"/>
      <c r="G486" s="93"/>
      <c r="H486" s="93">
        <v>20581.010000000002</v>
      </c>
      <c r="I486" s="93">
        <v>17451.010000000002</v>
      </c>
      <c r="J486" s="93"/>
      <c r="K486" s="93">
        <f t="shared" si="88"/>
        <v>0</v>
      </c>
      <c r="L486" s="93">
        <f t="shared" si="89"/>
        <v>0</v>
      </c>
      <c r="M486" s="94">
        <v>6.67</v>
      </c>
      <c r="N486" s="95" t="s">
        <v>289</v>
      </c>
      <c r="O486" s="93">
        <f t="shared" si="91"/>
        <v>0</v>
      </c>
      <c r="P486" s="93">
        <f t="shared" si="92"/>
        <v>0</v>
      </c>
      <c r="Q486" s="93">
        <f t="shared" si="93"/>
        <v>0</v>
      </c>
      <c r="R486" s="93">
        <f t="shared" si="94"/>
        <v>678</v>
      </c>
      <c r="S486" s="93">
        <f t="shared" si="95"/>
        <v>0</v>
      </c>
      <c r="T486" s="93">
        <f t="shared" si="90"/>
        <v>678</v>
      </c>
      <c r="U486" s="253">
        <f t="shared" si="86"/>
        <v>16773.010000000002</v>
      </c>
      <c r="V486" s="93">
        <f t="shared" si="87"/>
        <v>0</v>
      </c>
    </row>
    <row r="487" spans="1:22" ht="18" customHeight="1" x14ac:dyDescent="0.2">
      <c r="A487" s="110" t="s">
        <v>877</v>
      </c>
      <c r="B487" s="111"/>
      <c r="C487" s="201" t="s">
        <v>872</v>
      </c>
      <c r="D487" s="91">
        <v>42559</v>
      </c>
      <c r="E487" s="92"/>
      <c r="F487" s="93"/>
      <c r="G487" s="93"/>
      <c r="H487" s="93">
        <v>20581.010000000002</v>
      </c>
      <c r="I487" s="93">
        <v>17451.010000000002</v>
      </c>
      <c r="J487" s="93"/>
      <c r="K487" s="93">
        <f t="shared" si="88"/>
        <v>0</v>
      </c>
      <c r="L487" s="93">
        <f t="shared" si="89"/>
        <v>0</v>
      </c>
      <c r="M487" s="94">
        <v>6.67</v>
      </c>
      <c r="N487" s="95" t="s">
        <v>289</v>
      </c>
      <c r="O487" s="93">
        <f t="shared" si="91"/>
        <v>0</v>
      </c>
      <c r="P487" s="93">
        <f t="shared" si="92"/>
        <v>0</v>
      </c>
      <c r="Q487" s="93">
        <f t="shared" si="93"/>
        <v>0</v>
      </c>
      <c r="R487" s="93">
        <f t="shared" si="94"/>
        <v>678</v>
      </c>
      <c r="S487" s="93">
        <f t="shared" si="95"/>
        <v>0</v>
      </c>
      <c r="T487" s="93">
        <f t="shared" si="90"/>
        <v>678</v>
      </c>
      <c r="U487" s="253">
        <f t="shared" ref="U487:U550" si="96">+I487+J487-T487-F487+K487-L487</f>
        <v>16773.010000000002</v>
      </c>
      <c r="V487" s="93">
        <f t="shared" ref="V487:V550" si="97">IF(E487&gt;0,+H487+J487,0)</f>
        <v>0</v>
      </c>
    </row>
    <row r="488" spans="1:22" ht="18" customHeight="1" x14ac:dyDescent="0.2">
      <c r="A488" s="110" t="s">
        <v>878</v>
      </c>
      <c r="B488" s="111"/>
      <c r="C488" s="201" t="s">
        <v>872</v>
      </c>
      <c r="D488" s="91">
        <v>42559</v>
      </c>
      <c r="E488" s="92"/>
      <c r="F488" s="93"/>
      <c r="G488" s="93"/>
      <c r="H488" s="93">
        <v>20581.010000000002</v>
      </c>
      <c r="I488" s="93">
        <v>17451.010000000002</v>
      </c>
      <c r="J488" s="93"/>
      <c r="K488" s="93">
        <f t="shared" si="88"/>
        <v>0</v>
      </c>
      <c r="L488" s="93">
        <f t="shared" si="89"/>
        <v>0</v>
      </c>
      <c r="M488" s="94">
        <v>6.67</v>
      </c>
      <c r="N488" s="95" t="s">
        <v>289</v>
      </c>
      <c r="O488" s="93">
        <f t="shared" si="91"/>
        <v>0</v>
      </c>
      <c r="P488" s="93">
        <f t="shared" si="92"/>
        <v>0</v>
      </c>
      <c r="Q488" s="93">
        <f t="shared" si="93"/>
        <v>0</v>
      </c>
      <c r="R488" s="93">
        <f t="shared" si="94"/>
        <v>678</v>
      </c>
      <c r="S488" s="93">
        <f t="shared" si="95"/>
        <v>0</v>
      </c>
      <c r="T488" s="93">
        <f t="shared" si="90"/>
        <v>678</v>
      </c>
      <c r="U488" s="253">
        <f t="shared" si="96"/>
        <v>16773.010000000002</v>
      </c>
      <c r="V488" s="93">
        <f t="shared" si="97"/>
        <v>0</v>
      </c>
    </row>
    <row r="489" spans="1:22" ht="18" customHeight="1" x14ac:dyDescent="0.2">
      <c r="A489" s="110" t="s">
        <v>879</v>
      </c>
      <c r="B489" s="111"/>
      <c r="C489" s="201" t="s">
        <v>872</v>
      </c>
      <c r="D489" s="91">
        <v>42559</v>
      </c>
      <c r="E489" s="92"/>
      <c r="F489" s="93"/>
      <c r="G489" s="93"/>
      <c r="H489" s="93">
        <v>20581.010000000002</v>
      </c>
      <c r="I489" s="93">
        <v>17451.010000000002</v>
      </c>
      <c r="J489" s="93"/>
      <c r="K489" s="93">
        <f t="shared" si="88"/>
        <v>0</v>
      </c>
      <c r="L489" s="93">
        <f t="shared" si="89"/>
        <v>0</v>
      </c>
      <c r="M489" s="94">
        <v>6.67</v>
      </c>
      <c r="N489" s="95" t="s">
        <v>289</v>
      </c>
      <c r="O489" s="93">
        <f t="shared" si="91"/>
        <v>0</v>
      </c>
      <c r="P489" s="93">
        <f t="shared" si="92"/>
        <v>0</v>
      </c>
      <c r="Q489" s="93">
        <f t="shared" si="93"/>
        <v>0</v>
      </c>
      <c r="R489" s="93">
        <f t="shared" si="94"/>
        <v>678</v>
      </c>
      <c r="S489" s="93">
        <f t="shared" si="95"/>
        <v>0</v>
      </c>
      <c r="T489" s="93">
        <f t="shared" si="90"/>
        <v>678</v>
      </c>
      <c r="U489" s="253">
        <f t="shared" si="96"/>
        <v>16773.010000000002</v>
      </c>
      <c r="V489" s="93">
        <f t="shared" si="97"/>
        <v>0</v>
      </c>
    </row>
    <row r="490" spans="1:22" ht="18" customHeight="1" x14ac:dyDescent="0.2">
      <c r="A490" s="110" t="s">
        <v>880</v>
      </c>
      <c r="B490" s="111"/>
      <c r="C490" s="201" t="s">
        <v>872</v>
      </c>
      <c r="D490" s="91">
        <v>42559</v>
      </c>
      <c r="E490" s="92"/>
      <c r="F490" s="93"/>
      <c r="G490" s="93"/>
      <c r="H490" s="93">
        <v>20581.010000000002</v>
      </c>
      <c r="I490" s="93">
        <v>17451.010000000002</v>
      </c>
      <c r="J490" s="93"/>
      <c r="K490" s="93">
        <f t="shared" si="88"/>
        <v>0</v>
      </c>
      <c r="L490" s="93">
        <f t="shared" si="89"/>
        <v>0</v>
      </c>
      <c r="M490" s="94">
        <v>6.67</v>
      </c>
      <c r="N490" s="95" t="s">
        <v>289</v>
      </c>
      <c r="O490" s="93">
        <f t="shared" si="91"/>
        <v>0</v>
      </c>
      <c r="P490" s="93">
        <f t="shared" si="92"/>
        <v>0</v>
      </c>
      <c r="Q490" s="93">
        <f t="shared" si="93"/>
        <v>0</v>
      </c>
      <c r="R490" s="93">
        <f t="shared" si="94"/>
        <v>678</v>
      </c>
      <c r="S490" s="93">
        <f t="shared" si="95"/>
        <v>0</v>
      </c>
      <c r="T490" s="93">
        <f t="shared" si="90"/>
        <v>678</v>
      </c>
      <c r="U490" s="253">
        <f t="shared" si="96"/>
        <v>16773.010000000002</v>
      </c>
      <c r="V490" s="93">
        <f t="shared" si="97"/>
        <v>0</v>
      </c>
    </row>
    <row r="491" spans="1:22" ht="18" customHeight="1" x14ac:dyDescent="0.2">
      <c r="A491" s="110" t="s">
        <v>881</v>
      </c>
      <c r="B491" s="111"/>
      <c r="C491" s="201" t="s">
        <v>872</v>
      </c>
      <c r="D491" s="91">
        <v>42559</v>
      </c>
      <c r="E491" s="92"/>
      <c r="F491" s="93"/>
      <c r="G491" s="93"/>
      <c r="H491" s="93">
        <v>20581.03</v>
      </c>
      <c r="I491" s="93">
        <v>17451.03</v>
      </c>
      <c r="J491" s="93"/>
      <c r="K491" s="93">
        <f t="shared" si="88"/>
        <v>0</v>
      </c>
      <c r="L491" s="93">
        <f t="shared" si="89"/>
        <v>0</v>
      </c>
      <c r="M491" s="94">
        <v>6.67</v>
      </c>
      <c r="N491" s="95" t="s">
        <v>289</v>
      </c>
      <c r="O491" s="93">
        <f t="shared" si="91"/>
        <v>0</v>
      </c>
      <c r="P491" s="93">
        <f t="shared" si="92"/>
        <v>0</v>
      </c>
      <c r="Q491" s="93">
        <f t="shared" si="93"/>
        <v>0</v>
      </c>
      <c r="R491" s="93">
        <f t="shared" si="94"/>
        <v>678</v>
      </c>
      <c r="S491" s="93">
        <f t="shared" si="95"/>
        <v>0</v>
      </c>
      <c r="T491" s="93">
        <f t="shared" si="90"/>
        <v>678</v>
      </c>
      <c r="U491" s="253">
        <f t="shared" si="96"/>
        <v>16773.03</v>
      </c>
      <c r="V491" s="93">
        <f t="shared" si="97"/>
        <v>0</v>
      </c>
    </row>
    <row r="492" spans="1:22" ht="18" customHeight="1" x14ac:dyDescent="0.2">
      <c r="A492" s="110" t="s">
        <v>882</v>
      </c>
      <c r="B492" s="111"/>
      <c r="C492" s="201" t="s">
        <v>872</v>
      </c>
      <c r="D492" s="91">
        <v>42559</v>
      </c>
      <c r="E492" s="92"/>
      <c r="F492" s="93"/>
      <c r="G492" s="93"/>
      <c r="H492" s="93">
        <v>16011.01</v>
      </c>
      <c r="I492" s="93">
        <v>13576.01</v>
      </c>
      <c r="J492" s="93"/>
      <c r="K492" s="93">
        <f t="shared" si="88"/>
        <v>0</v>
      </c>
      <c r="L492" s="93">
        <f t="shared" si="89"/>
        <v>0</v>
      </c>
      <c r="M492" s="94">
        <v>6.67</v>
      </c>
      <c r="N492" s="95" t="s">
        <v>289</v>
      </c>
      <c r="O492" s="93">
        <f t="shared" si="91"/>
        <v>0</v>
      </c>
      <c r="P492" s="93">
        <f t="shared" si="92"/>
        <v>0</v>
      </c>
      <c r="Q492" s="93">
        <f t="shared" si="93"/>
        <v>0</v>
      </c>
      <c r="R492" s="93">
        <f t="shared" si="94"/>
        <v>528</v>
      </c>
      <c r="S492" s="93">
        <f t="shared" si="95"/>
        <v>0</v>
      </c>
      <c r="T492" s="93">
        <f t="shared" si="90"/>
        <v>528</v>
      </c>
      <c r="U492" s="253">
        <f t="shared" si="96"/>
        <v>13048.01</v>
      </c>
      <c r="V492" s="93">
        <f t="shared" si="97"/>
        <v>0</v>
      </c>
    </row>
    <row r="493" spans="1:22" ht="18" customHeight="1" x14ac:dyDescent="0.2">
      <c r="A493" s="110" t="s">
        <v>883</v>
      </c>
      <c r="B493" s="111"/>
      <c r="C493" s="201" t="s">
        <v>872</v>
      </c>
      <c r="D493" s="91">
        <v>42559</v>
      </c>
      <c r="E493" s="92"/>
      <c r="F493" s="93"/>
      <c r="G493" s="93"/>
      <c r="H493" s="93">
        <v>16011.01</v>
      </c>
      <c r="I493" s="93">
        <v>13576.01</v>
      </c>
      <c r="J493" s="93"/>
      <c r="K493" s="93">
        <f t="shared" si="88"/>
        <v>0</v>
      </c>
      <c r="L493" s="93">
        <f t="shared" si="89"/>
        <v>0</v>
      </c>
      <c r="M493" s="94">
        <v>6.67</v>
      </c>
      <c r="N493" s="95" t="s">
        <v>289</v>
      </c>
      <c r="O493" s="93">
        <f t="shared" si="91"/>
        <v>0</v>
      </c>
      <c r="P493" s="93">
        <f t="shared" si="92"/>
        <v>0</v>
      </c>
      <c r="Q493" s="93">
        <f t="shared" si="93"/>
        <v>0</v>
      </c>
      <c r="R493" s="93">
        <f t="shared" si="94"/>
        <v>528</v>
      </c>
      <c r="S493" s="93">
        <f t="shared" si="95"/>
        <v>0</v>
      </c>
      <c r="T493" s="93">
        <f t="shared" si="90"/>
        <v>528</v>
      </c>
      <c r="U493" s="253">
        <f t="shared" si="96"/>
        <v>13048.01</v>
      </c>
      <c r="V493" s="93">
        <f t="shared" si="97"/>
        <v>0</v>
      </c>
    </row>
    <row r="494" spans="1:22" ht="18" customHeight="1" x14ac:dyDescent="0.2">
      <c r="A494" s="110" t="s">
        <v>884</v>
      </c>
      <c r="B494" s="111"/>
      <c r="C494" s="201" t="s">
        <v>872</v>
      </c>
      <c r="D494" s="91">
        <v>42559</v>
      </c>
      <c r="E494" s="92"/>
      <c r="F494" s="93"/>
      <c r="G494" s="93"/>
      <c r="H494" s="93">
        <v>16011.01</v>
      </c>
      <c r="I494" s="93">
        <v>13576.01</v>
      </c>
      <c r="J494" s="93"/>
      <c r="K494" s="93">
        <f t="shared" si="88"/>
        <v>0</v>
      </c>
      <c r="L494" s="93">
        <f t="shared" si="89"/>
        <v>0</v>
      </c>
      <c r="M494" s="94">
        <v>6.67</v>
      </c>
      <c r="N494" s="95" t="s">
        <v>289</v>
      </c>
      <c r="O494" s="93">
        <f t="shared" si="91"/>
        <v>0</v>
      </c>
      <c r="P494" s="93">
        <f t="shared" si="92"/>
        <v>0</v>
      </c>
      <c r="Q494" s="93">
        <f t="shared" si="93"/>
        <v>0</v>
      </c>
      <c r="R494" s="93">
        <f t="shared" si="94"/>
        <v>528</v>
      </c>
      <c r="S494" s="93">
        <f t="shared" si="95"/>
        <v>0</v>
      </c>
      <c r="T494" s="93">
        <f t="shared" si="90"/>
        <v>528</v>
      </c>
      <c r="U494" s="253">
        <f t="shared" si="96"/>
        <v>13048.01</v>
      </c>
      <c r="V494" s="93">
        <f t="shared" si="97"/>
        <v>0</v>
      </c>
    </row>
    <row r="495" spans="1:22" ht="18" customHeight="1" x14ac:dyDescent="0.2">
      <c r="A495" s="110" t="s">
        <v>885</v>
      </c>
      <c r="B495" s="111"/>
      <c r="C495" s="201" t="s">
        <v>872</v>
      </c>
      <c r="D495" s="91">
        <v>42559</v>
      </c>
      <c r="E495" s="92"/>
      <c r="F495" s="93"/>
      <c r="G495" s="93"/>
      <c r="H495" s="93">
        <v>16011.01</v>
      </c>
      <c r="I495" s="93">
        <v>13576.01</v>
      </c>
      <c r="J495" s="93"/>
      <c r="K495" s="93">
        <f t="shared" si="88"/>
        <v>0</v>
      </c>
      <c r="L495" s="93">
        <f t="shared" si="89"/>
        <v>0</v>
      </c>
      <c r="M495" s="94">
        <v>6.67</v>
      </c>
      <c r="N495" s="95" t="s">
        <v>289</v>
      </c>
      <c r="O495" s="93">
        <f t="shared" si="91"/>
        <v>0</v>
      </c>
      <c r="P495" s="93">
        <f t="shared" si="92"/>
        <v>0</v>
      </c>
      <c r="Q495" s="93">
        <f t="shared" si="93"/>
        <v>0</v>
      </c>
      <c r="R495" s="93">
        <f t="shared" si="94"/>
        <v>528</v>
      </c>
      <c r="S495" s="93">
        <f t="shared" si="95"/>
        <v>0</v>
      </c>
      <c r="T495" s="93">
        <f t="shared" si="90"/>
        <v>528</v>
      </c>
      <c r="U495" s="253">
        <f t="shared" si="96"/>
        <v>13048.01</v>
      </c>
      <c r="V495" s="93">
        <f t="shared" si="97"/>
        <v>0</v>
      </c>
    </row>
    <row r="496" spans="1:22" ht="18" customHeight="1" x14ac:dyDescent="0.2">
      <c r="A496" s="110" t="s">
        <v>886</v>
      </c>
      <c r="B496" s="111"/>
      <c r="C496" s="201" t="s">
        <v>872</v>
      </c>
      <c r="D496" s="91">
        <v>42559</v>
      </c>
      <c r="E496" s="92"/>
      <c r="F496" s="93"/>
      <c r="G496" s="93"/>
      <c r="H496" s="93">
        <v>16011.01</v>
      </c>
      <c r="I496" s="93">
        <v>13576.01</v>
      </c>
      <c r="J496" s="93"/>
      <c r="K496" s="93">
        <f t="shared" si="88"/>
        <v>0</v>
      </c>
      <c r="L496" s="93">
        <f t="shared" si="89"/>
        <v>0</v>
      </c>
      <c r="M496" s="94">
        <v>6.67</v>
      </c>
      <c r="N496" s="95" t="s">
        <v>289</v>
      </c>
      <c r="O496" s="93">
        <f t="shared" si="91"/>
        <v>0</v>
      </c>
      <c r="P496" s="93">
        <f t="shared" si="92"/>
        <v>0</v>
      </c>
      <c r="Q496" s="93">
        <f t="shared" si="93"/>
        <v>0</v>
      </c>
      <c r="R496" s="93">
        <f t="shared" si="94"/>
        <v>528</v>
      </c>
      <c r="S496" s="93">
        <f t="shared" si="95"/>
        <v>0</v>
      </c>
      <c r="T496" s="93">
        <f t="shared" si="90"/>
        <v>528</v>
      </c>
      <c r="U496" s="253">
        <f t="shared" si="96"/>
        <v>13048.01</v>
      </c>
      <c r="V496" s="93">
        <f t="shared" si="97"/>
        <v>0</v>
      </c>
    </row>
    <row r="497" spans="1:22" ht="18" customHeight="1" x14ac:dyDescent="0.2">
      <c r="A497" s="110" t="s">
        <v>887</v>
      </c>
      <c r="B497" s="111"/>
      <c r="C497" s="201" t="s">
        <v>872</v>
      </c>
      <c r="D497" s="91">
        <v>42559</v>
      </c>
      <c r="E497" s="92"/>
      <c r="F497" s="93"/>
      <c r="G497" s="93"/>
      <c r="H497" s="93">
        <v>16011.01</v>
      </c>
      <c r="I497" s="93">
        <v>13576.01</v>
      </c>
      <c r="J497" s="93"/>
      <c r="K497" s="93">
        <f t="shared" si="88"/>
        <v>0</v>
      </c>
      <c r="L497" s="93">
        <f t="shared" si="89"/>
        <v>0</v>
      </c>
      <c r="M497" s="94">
        <v>6.67</v>
      </c>
      <c r="N497" s="95" t="s">
        <v>289</v>
      </c>
      <c r="O497" s="93">
        <f t="shared" si="91"/>
        <v>0</v>
      </c>
      <c r="P497" s="93">
        <f t="shared" si="92"/>
        <v>0</v>
      </c>
      <c r="Q497" s="93">
        <f t="shared" si="93"/>
        <v>0</v>
      </c>
      <c r="R497" s="93">
        <f t="shared" si="94"/>
        <v>528</v>
      </c>
      <c r="S497" s="93">
        <f t="shared" si="95"/>
        <v>0</v>
      </c>
      <c r="T497" s="93">
        <f t="shared" si="90"/>
        <v>528</v>
      </c>
      <c r="U497" s="253">
        <f t="shared" si="96"/>
        <v>13048.01</v>
      </c>
      <c r="V497" s="93">
        <f t="shared" si="97"/>
        <v>0</v>
      </c>
    </row>
    <row r="498" spans="1:22" ht="18" customHeight="1" x14ac:dyDescent="0.2">
      <c r="A498" s="110" t="s">
        <v>888</v>
      </c>
      <c r="B498" s="111"/>
      <c r="C498" s="201" t="s">
        <v>872</v>
      </c>
      <c r="D498" s="91">
        <v>42559</v>
      </c>
      <c r="E498" s="92"/>
      <c r="F498" s="93"/>
      <c r="G498" s="93"/>
      <c r="H498" s="93">
        <v>16011.01</v>
      </c>
      <c r="I498" s="93">
        <v>13576.01</v>
      </c>
      <c r="J498" s="93"/>
      <c r="K498" s="93">
        <f t="shared" si="88"/>
        <v>0</v>
      </c>
      <c r="L498" s="93">
        <f t="shared" si="89"/>
        <v>0</v>
      </c>
      <c r="M498" s="94">
        <v>6.67</v>
      </c>
      <c r="N498" s="95" t="s">
        <v>289</v>
      </c>
      <c r="O498" s="93">
        <f t="shared" si="91"/>
        <v>0</v>
      </c>
      <c r="P498" s="93">
        <f t="shared" si="92"/>
        <v>0</v>
      </c>
      <c r="Q498" s="93">
        <f t="shared" si="93"/>
        <v>0</v>
      </c>
      <c r="R498" s="93">
        <f t="shared" si="94"/>
        <v>528</v>
      </c>
      <c r="S498" s="93">
        <f t="shared" si="95"/>
        <v>0</v>
      </c>
      <c r="T498" s="93">
        <f t="shared" si="90"/>
        <v>528</v>
      </c>
      <c r="U498" s="253">
        <f t="shared" si="96"/>
        <v>13048.01</v>
      </c>
      <c r="V498" s="93">
        <f t="shared" si="97"/>
        <v>0</v>
      </c>
    </row>
    <row r="499" spans="1:22" ht="18" customHeight="1" x14ac:dyDescent="0.2">
      <c r="A499" s="110" t="s">
        <v>889</v>
      </c>
      <c r="B499" s="111"/>
      <c r="C499" s="201" t="s">
        <v>872</v>
      </c>
      <c r="D499" s="91">
        <v>42559</v>
      </c>
      <c r="E499" s="92"/>
      <c r="F499" s="93"/>
      <c r="G499" s="93"/>
      <c r="H499" s="93">
        <v>16011.01</v>
      </c>
      <c r="I499" s="93">
        <v>13576.01</v>
      </c>
      <c r="J499" s="93"/>
      <c r="K499" s="93">
        <f t="shared" si="88"/>
        <v>0</v>
      </c>
      <c r="L499" s="93">
        <f t="shared" si="89"/>
        <v>0</v>
      </c>
      <c r="M499" s="94">
        <v>6.67</v>
      </c>
      <c r="N499" s="95" t="s">
        <v>289</v>
      </c>
      <c r="O499" s="93">
        <f t="shared" si="91"/>
        <v>0</v>
      </c>
      <c r="P499" s="93">
        <f t="shared" si="92"/>
        <v>0</v>
      </c>
      <c r="Q499" s="93">
        <f t="shared" si="93"/>
        <v>0</v>
      </c>
      <c r="R499" s="93">
        <f t="shared" si="94"/>
        <v>528</v>
      </c>
      <c r="S499" s="93">
        <f t="shared" si="95"/>
        <v>0</v>
      </c>
      <c r="T499" s="93">
        <f t="shared" si="90"/>
        <v>528</v>
      </c>
      <c r="U499" s="253">
        <f t="shared" si="96"/>
        <v>13048.01</v>
      </c>
      <c r="V499" s="93">
        <f t="shared" si="97"/>
        <v>0</v>
      </c>
    </row>
    <row r="500" spans="1:22" ht="18" customHeight="1" x14ac:dyDescent="0.2">
      <c r="A500" s="110" t="s">
        <v>890</v>
      </c>
      <c r="B500" s="111"/>
      <c r="C500" s="201" t="s">
        <v>872</v>
      </c>
      <c r="D500" s="91">
        <v>42559</v>
      </c>
      <c r="E500" s="92"/>
      <c r="F500" s="93"/>
      <c r="G500" s="93"/>
      <c r="H500" s="93">
        <v>16011.01</v>
      </c>
      <c r="I500" s="93">
        <v>13576.01</v>
      </c>
      <c r="J500" s="93"/>
      <c r="K500" s="93">
        <f t="shared" si="88"/>
        <v>0</v>
      </c>
      <c r="L500" s="93">
        <f t="shared" si="89"/>
        <v>0</v>
      </c>
      <c r="M500" s="94">
        <v>6.67</v>
      </c>
      <c r="N500" s="95" t="s">
        <v>289</v>
      </c>
      <c r="O500" s="93">
        <f t="shared" si="91"/>
        <v>0</v>
      </c>
      <c r="P500" s="93">
        <f t="shared" si="92"/>
        <v>0</v>
      </c>
      <c r="Q500" s="93">
        <f t="shared" si="93"/>
        <v>0</v>
      </c>
      <c r="R500" s="93">
        <f t="shared" si="94"/>
        <v>528</v>
      </c>
      <c r="S500" s="93">
        <f t="shared" si="95"/>
        <v>0</v>
      </c>
      <c r="T500" s="93">
        <f t="shared" si="90"/>
        <v>528</v>
      </c>
      <c r="U500" s="253">
        <f t="shared" si="96"/>
        <v>13048.01</v>
      </c>
      <c r="V500" s="93">
        <f t="shared" si="97"/>
        <v>0</v>
      </c>
    </row>
    <row r="501" spans="1:22" ht="18" customHeight="1" x14ac:dyDescent="0.2">
      <c r="A501" s="110" t="s">
        <v>891</v>
      </c>
      <c r="B501" s="111"/>
      <c r="C501" s="201" t="s">
        <v>872</v>
      </c>
      <c r="D501" s="91">
        <v>42559</v>
      </c>
      <c r="E501" s="92"/>
      <c r="F501" s="93"/>
      <c r="G501" s="93"/>
      <c r="H501" s="93">
        <v>16011.03</v>
      </c>
      <c r="I501" s="93">
        <v>13576.03</v>
      </c>
      <c r="J501" s="93"/>
      <c r="K501" s="93">
        <f t="shared" si="88"/>
        <v>0</v>
      </c>
      <c r="L501" s="93">
        <f t="shared" si="89"/>
        <v>0</v>
      </c>
      <c r="M501" s="94">
        <v>6.67</v>
      </c>
      <c r="N501" s="95" t="s">
        <v>289</v>
      </c>
      <c r="O501" s="93">
        <f t="shared" si="91"/>
        <v>0</v>
      </c>
      <c r="P501" s="93">
        <f t="shared" si="92"/>
        <v>0</v>
      </c>
      <c r="Q501" s="93">
        <f t="shared" si="93"/>
        <v>0</v>
      </c>
      <c r="R501" s="93">
        <f t="shared" si="94"/>
        <v>528</v>
      </c>
      <c r="S501" s="93">
        <f t="shared" si="95"/>
        <v>0</v>
      </c>
      <c r="T501" s="93">
        <f t="shared" si="90"/>
        <v>528</v>
      </c>
      <c r="U501" s="253">
        <f t="shared" si="96"/>
        <v>13048.03</v>
      </c>
      <c r="V501" s="93">
        <f t="shared" si="97"/>
        <v>0</v>
      </c>
    </row>
    <row r="502" spans="1:22" ht="18" customHeight="1" x14ac:dyDescent="0.2">
      <c r="A502" s="110" t="s">
        <v>892</v>
      </c>
      <c r="B502" s="111"/>
      <c r="C502" s="201" t="s">
        <v>893</v>
      </c>
      <c r="D502" s="91">
        <v>42559</v>
      </c>
      <c r="E502" s="92"/>
      <c r="F502" s="93"/>
      <c r="G502" s="93"/>
      <c r="H502" s="93">
        <v>14261.01</v>
      </c>
      <c r="I502" s="93">
        <v>12091.01</v>
      </c>
      <c r="J502" s="93"/>
      <c r="K502" s="93">
        <f t="shared" si="88"/>
        <v>0</v>
      </c>
      <c r="L502" s="93">
        <f t="shared" si="89"/>
        <v>0</v>
      </c>
      <c r="M502" s="94">
        <v>6.67</v>
      </c>
      <c r="N502" s="95" t="s">
        <v>289</v>
      </c>
      <c r="O502" s="93">
        <f t="shared" si="91"/>
        <v>0</v>
      </c>
      <c r="P502" s="93">
        <f t="shared" si="92"/>
        <v>0</v>
      </c>
      <c r="Q502" s="93">
        <f t="shared" si="93"/>
        <v>0</v>
      </c>
      <c r="R502" s="93">
        <f t="shared" si="94"/>
        <v>470</v>
      </c>
      <c r="S502" s="93">
        <f t="shared" si="95"/>
        <v>0</v>
      </c>
      <c r="T502" s="93">
        <f t="shared" si="90"/>
        <v>470</v>
      </c>
      <c r="U502" s="253">
        <f t="shared" si="96"/>
        <v>11621.01</v>
      </c>
      <c r="V502" s="93">
        <f t="shared" si="97"/>
        <v>0</v>
      </c>
    </row>
    <row r="503" spans="1:22" ht="18" customHeight="1" x14ac:dyDescent="0.2">
      <c r="A503" s="110" t="s">
        <v>894</v>
      </c>
      <c r="B503" s="111"/>
      <c r="C503" s="201" t="s">
        <v>895</v>
      </c>
      <c r="D503" s="91">
        <v>42634</v>
      </c>
      <c r="E503" s="92"/>
      <c r="F503" s="93"/>
      <c r="G503" s="93"/>
      <c r="H503" s="93">
        <v>7161.01</v>
      </c>
      <c r="I503" s="93">
        <v>5254.01</v>
      </c>
      <c r="J503" s="93"/>
      <c r="K503" s="93">
        <f t="shared" si="88"/>
        <v>0</v>
      </c>
      <c r="L503" s="93">
        <f t="shared" si="89"/>
        <v>0</v>
      </c>
      <c r="M503" s="94">
        <v>13.33</v>
      </c>
      <c r="N503" s="95" t="s">
        <v>289</v>
      </c>
      <c r="O503" s="93">
        <f t="shared" si="91"/>
        <v>0</v>
      </c>
      <c r="P503" s="93">
        <f t="shared" si="92"/>
        <v>0</v>
      </c>
      <c r="Q503" s="93">
        <f t="shared" si="93"/>
        <v>0</v>
      </c>
      <c r="R503" s="93">
        <f t="shared" si="94"/>
        <v>408</v>
      </c>
      <c r="S503" s="93">
        <f t="shared" si="95"/>
        <v>0</v>
      </c>
      <c r="T503" s="93">
        <f t="shared" si="90"/>
        <v>408</v>
      </c>
      <c r="U503" s="253">
        <f t="shared" si="96"/>
        <v>4846.01</v>
      </c>
      <c r="V503" s="93">
        <f t="shared" si="97"/>
        <v>0</v>
      </c>
    </row>
    <row r="504" spans="1:22" ht="18" customHeight="1" x14ac:dyDescent="0.2">
      <c r="A504" s="110" t="s">
        <v>896</v>
      </c>
      <c r="B504" s="111"/>
      <c r="C504" s="201" t="s">
        <v>897</v>
      </c>
      <c r="D504" s="91">
        <v>42782</v>
      </c>
      <c r="E504" s="92"/>
      <c r="F504" s="93"/>
      <c r="G504" s="93"/>
      <c r="H504" s="93">
        <v>4493.01</v>
      </c>
      <c r="I504" s="93">
        <v>3976.01</v>
      </c>
      <c r="J504" s="93"/>
      <c r="K504" s="93">
        <f t="shared" si="88"/>
        <v>0</v>
      </c>
      <c r="L504" s="93">
        <f t="shared" si="89"/>
        <v>0</v>
      </c>
      <c r="M504" s="94">
        <v>6.67</v>
      </c>
      <c r="N504" s="95" t="s">
        <v>289</v>
      </c>
      <c r="O504" s="93">
        <f t="shared" si="91"/>
        <v>0</v>
      </c>
      <c r="P504" s="93">
        <f t="shared" si="92"/>
        <v>0</v>
      </c>
      <c r="Q504" s="93">
        <f t="shared" si="93"/>
        <v>0</v>
      </c>
      <c r="R504" s="93">
        <f t="shared" si="94"/>
        <v>154</v>
      </c>
      <c r="S504" s="93">
        <f t="shared" si="95"/>
        <v>0</v>
      </c>
      <c r="T504" s="93">
        <f t="shared" si="90"/>
        <v>154</v>
      </c>
      <c r="U504" s="253">
        <f t="shared" si="96"/>
        <v>3822.01</v>
      </c>
      <c r="V504" s="93">
        <f t="shared" si="97"/>
        <v>0</v>
      </c>
    </row>
    <row r="505" spans="1:22" ht="18" customHeight="1" x14ac:dyDescent="0.2">
      <c r="A505" s="110" t="s">
        <v>898</v>
      </c>
      <c r="B505" s="111"/>
      <c r="C505" s="201" t="s">
        <v>899</v>
      </c>
      <c r="D505" s="91">
        <v>42782</v>
      </c>
      <c r="E505" s="92"/>
      <c r="F505" s="93"/>
      <c r="G505" s="93"/>
      <c r="H505" s="93">
        <v>10161.01</v>
      </c>
      <c r="I505" s="93">
        <v>7904.01</v>
      </c>
      <c r="J505" s="93"/>
      <c r="K505" s="93">
        <f t="shared" ref="K505:K567" si="98">INT(IF($E505&gt;0,IF(+F505-I505+Q505&lt;0,0,+F505-I505+Q505),0))</f>
        <v>0</v>
      </c>
      <c r="L505" s="93">
        <f t="shared" ref="L505:L567" si="99">INT(IF($E505&gt;0,IF(K505=0,-F505+I505-Q505,0),0))</f>
        <v>0</v>
      </c>
      <c r="M505" s="94">
        <v>13.33</v>
      </c>
      <c r="N505" s="95" t="s">
        <v>289</v>
      </c>
      <c r="O505" s="93">
        <f t="shared" si="91"/>
        <v>0</v>
      </c>
      <c r="P505" s="93">
        <f t="shared" si="92"/>
        <v>0</v>
      </c>
      <c r="Q505" s="93">
        <f t="shared" si="93"/>
        <v>0</v>
      </c>
      <c r="R505" s="93">
        <f t="shared" si="94"/>
        <v>614</v>
      </c>
      <c r="S505" s="93">
        <f t="shared" si="95"/>
        <v>0</v>
      </c>
      <c r="T505" s="93">
        <f t="shared" si="90"/>
        <v>614</v>
      </c>
      <c r="U505" s="253">
        <f t="shared" si="96"/>
        <v>7290.01</v>
      </c>
      <c r="V505" s="93">
        <f t="shared" si="97"/>
        <v>0</v>
      </c>
    </row>
    <row r="506" spans="1:22" ht="18" customHeight="1" x14ac:dyDescent="0.2">
      <c r="A506" s="110" t="s">
        <v>900</v>
      </c>
      <c r="B506" s="111"/>
      <c r="C506" s="201" t="s">
        <v>899</v>
      </c>
      <c r="D506" s="91">
        <v>42782</v>
      </c>
      <c r="E506" s="92"/>
      <c r="F506" s="93"/>
      <c r="G506" s="93"/>
      <c r="H506" s="93">
        <v>10161.01</v>
      </c>
      <c r="I506" s="93">
        <v>7904.01</v>
      </c>
      <c r="J506" s="93"/>
      <c r="K506" s="93">
        <f t="shared" si="98"/>
        <v>0</v>
      </c>
      <c r="L506" s="93">
        <f t="shared" si="99"/>
        <v>0</v>
      </c>
      <c r="M506" s="94">
        <v>13.33</v>
      </c>
      <c r="N506" s="95" t="s">
        <v>289</v>
      </c>
      <c r="O506" s="93">
        <f t="shared" si="91"/>
        <v>0</v>
      </c>
      <c r="P506" s="93">
        <f t="shared" si="92"/>
        <v>0</v>
      </c>
      <c r="Q506" s="93">
        <f t="shared" si="93"/>
        <v>0</v>
      </c>
      <c r="R506" s="93">
        <f t="shared" si="94"/>
        <v>614</v>
      </c>
      <c r="S506" s="93">
        <f t="shared" si="95"/>
        <v>0</v>
      </c>
      <c r="T506" s="93">
        <f t="shared" ref="T506:T568" si="100">+R506+S506+Q506</f>
        <v>614</v>
      </c>
      <c r="U506" s="253">
        <f t="shared" si="96"/>
        <v>7290.01</v>
      </c>
      <c r="V506" s="93">
        <f t="shared" si="97"/>
        <v>0</v>
      </c>
    </row>
    <row r="507" spans="1:22" ht="18" customHeight="1" x14ac:dyDescent="0.2">
      <c r="A507" s="110" t="s">
        <v>901</v>
      </c>
      <c r="B507" s="111"/>
      <c r="C507" s="201" t="s">
        <v>899</v>
      </c>
      <c r="D507" s="91">
        <v>42782</v>
      </c>
      <c r="E507" s="92"/>
      <c r="F507" s="93"/>
      <c r="G507" s="93"/>
      <c r="H507" s="93">
        <v>10161.02</v>
      </c>
      <c r="I507" s="93">
        <v>7904.02</v>
      </c>
      <c r="J507" s="93"/>
      <c r="K507" s="93">
        <f t="shared" si="98"/>
        <v>0</v>
      </c>
      <c r="L507" s="93">
        <f t="shared" si="99"/>
        <v>0</v>
      </c>
      <c r="M507" s="94">
        <v>13.33</v>
      </c>
      <c r="N507" s="95" t="s">
        <v>289</v>
      </c>
      <c r="O507" s="93">
        <f t="shared" si="91"/>
        <v>0</v>
      </c>
      <c r="P507" s="93">
        <f t="shared" si="92"/>
        <v>0</v>
      </c>
      <c r="Q507" s="93">
        <f t="shared" si="93"/>
        <v>0</v>
      </c>
      <c r="R507" s="93">
        <f t="shared" si="94"/>
        <v>614</v>
      </c>
      <c r="S507" s="93">
        <f t="shared" si="95"/>
        <v>0</v>
      </c>
      <c r="T507" s="93">
        <f t="shared" si="100"/>
        <v>614</v>
      </c>
      <c r="U507" s="253">
        <f t="shared" si="96"/>
        <v>7290.02</v>
      </c>
      <c r="V507" s="93">
        <f t="shared" si="97"/>
        <v>0</v>
      </c>
    </row>
    <row r="508" spans="1:22" ht="18" customHeight="1" x14ac:dyDescent="0.2">
      <c r="A508" s="110" t="s">
        <v>902</v>
      </c>
      <c r="B508" s="111"/>
      <c r="C508" s="201" t="s">
        <v>903</v>
      </c>
      <c r="D508" s="91">
        <v>42879</v>
      </c>
      <c r="E508" s="92"/>
      <c r="F508" s="93"/>
      <c r="G508" s="93"/>
      <c r="H508" s="93">
        <v>103895.25</v>
      </c>
      <c r="I508" s="93">
        <v>88653.25</v>
      </c>
      <c r="J508" s="93"/>
      <c r="K508" s="93">
        <f t="shared" si="98"/>
        <v>0</v>
      </c>
      <c r="L508" s="93">
        <f t="shared" si="99"/>
        <v>0</v>
      </c>
      <c r="M508" s="94">
        <v>10</v>
      </c>
      <c r="N508" s="95" t="s">
        <v>289</v>
      </c>
      <c r="O508" s="93">
        <f t="shared" si="91"/>
        <v>0</v>
      </c>
      <c r="P508" s="93">
        <f t="shared" si="92"/>
        <v>0</v>
      </c>
      <c r="Q508" s="93">
        <f t="shared" si="93"/>
        <v>0</v>
      </c>
      <c r="R508" s="93">
        <f t="shared" si="94"/>
        <v>5171</v>
      </c>
      <c r="S508" s="93">
        <f t="shared" si="95"/>
        <v>0</v>
      </c>
      <c r="T508" s="93">
        <f t="shared" si="100"/>
        <v>5171</v>
      </c>
      <c r="U508" s="253">
        <f t="shared" si="96"/>
        <v>83482.25</v>
      </c>
      <c r="V508" s="93">
        <f t="shared" si="97"/>
        <v>0</v>
      </c>
    </row>
    <row r="509" spans="1:22" ht="18" customHeight="1" x14ac:dyDescent="0.2">
      <c r="A509" s="110" t="s">
        <v>904</v>
      </c>
      <c r="B509" s="111"/>
      <c r="C509" s="201" t="s">
        <v>905</v>
      </c>
      <c r="D509" s="91">
        <v>42698</v>
      </c>
      <c r="E509" s="92"/>
      <c r="F509" s="93"/>
      <c r="G509" s="93"/>
      <c r="H509" s="93">
        <v>190864.32</v>
      </c>
      <c r="I509" s="93">
        <v>143676.32</v>
      </c>
      <c r="J509" s="93"/>
      <c r="K509" s="93">
        <f t="shared" si="98"/>
        <v>0</v>
      </c>
      <c r="L509" s="93">
        <f t="shared" si="99"/>
        <v>0</v>
      </c>
      <c r="M509" s="94">
        <v>13.33</v>
      </c>
      <c r="N509" s="95" t="s">
        <v>289</v>
      </c>
      <c r="O509" s="93">
        <f t="shared" si="91"/>
        <v>0</v>
      </c>
      <c r="P509" s="93">
        <f t="shared" si="92"/>
        <v>0</v>
      </c>
      <c r="Q509" s="93">
        <f t="shared" si="93"/>
        <v>0</v>
      </c>
      <c r="R509" s="93">
        <f t="shared" si="94"/>
        <v>11172</v>
      </c>
      <c r="S509" s="93">
        <f t="shared" si="95"/>
        <v>0</v>
      </c>
      <c r="T509" s="93">
        <f t="shared" si="100"/>
        <v>11172</v>
      </c>
      <c r="U509" s="253">
        <f t="shared" si="96"/>
        <v>132504.32000000001</v>
      </c>
      <c r="V509" s="93">
        <f t="shared" si="97"/>
        <v>0</v>
      </c>
    </row>
    <row r="510" spans="1:22" ht="18" customHeight="1" x14ac:dyDescent="0.2">
      <c r="A510" s="110" t="s">
        <v>906</v>
      </c>
      <c r="B510" s="111"/>
      <c r="C510" s="201" t="s">
        <v>907</v>
      </c>
      <c r="D510" s="91">
        <v>42611</v>
      </c>
      <c r="E510" s="92"/>
      <c r="F510" s="93"/>
      <c r="G510" s="93"/>
      <c r="H510" s="93">
        <v>24295.25</v>
      </c>
      <c r="I510" s="93">
        <v>17657.25</v>
      </c>
      <c r="J510" s="93"/>
      <c r="K510" s="93">
        <f t="shared" si="98"/>
        <v>0</v>
      </c>
      <c r="L510" s="93">
        <f t="shared" si="99"/>
        <v>0</v>
      </c>
      <c r="M510" s="94">
        <v>13.33</v>
      </c>
      <c r="N510" s="95" t="s">
        <v>289</v>
      </c>
      <c r="O510" s="93">
        <f t="shared" si="91"/>
        <v>0</v>
      </c>
      <c r="P510" s="93">
        <f t="shared" si="92"/>
        <v>0</v>
      </c>
      <c r="Q510" s="93">
        <f t="shared" si="93"/>
        <v>0</v>
      </c>
      <c r="R510" s="93">
        <f t="shared" si="94"/>
        <v>1372</v>
      </c>
      <c r="S510" s="93">
        <f t="shared" si="95"/>
        <v>0</v>
      </c>
      <c r="T510" s="93">
        <f t="shared" si="100"/>
        <v>1372</v>
      </c>
      <c r="U510" s="253">
        <f t="shared" si="96"/>
        <v>16285.25</v>
      </c>
      <c r="V510" s="93">
        <f t="shared" si="97"/>
        <v>0</v>
      </c>
    </row>
    <row r="511" spans="1:22" ht="18" customHeight="1" x14ac:dyDescent="0.2">
      <c r="A511" s="110" t="s">
        <v>908</v>
      </c>
      <c r="B511" s="111"/>
      <c r="C511" s="201" t="s">
        <v>909</v>
      </c>
      <c r="D511" s="91">
        <v>42829</v>
      </c>
      <c r="E511" s="92"/>
      <c r="F511" s="93"/>
      <c r="G511" s="93"/>
      <c r="H511" s="93">
        <v>27978.93</v>
      </c>
      <c r="I511" s="93">
        <v>22156.93</v>
      </c>
      <c r="J511" s="93"/>
      <c r="K511" s="93">
        <f t="shared" si="98"/>
        <v>0</v>
      </c>
      <c r="L511" s="93">
        <f t="shared" si="99"/>
        <v>0</v>
      </c>
      <c r="M511" s="94">
        <v>13.33</v>
      </c>
      <c r="N511" s="95" t="s">
        <v>289</v>
      </c>
      <c r="O511" s="93">
        <f t="shared" si="91"/>
        <v>0</v>
      </c>
      <c r="P511" s="93">
        <f t="shared" si="92"/>
        <v>0</v>
      </c>
      <c r="Q511" s="93">
        <f t="shared" si="93"/>
        <v>0</v>
      </c>
      <c r="R511" s="93">
        <f t="shared" si="94"/>
        <v>1722</v>
      </c>
      <c r="S511" s="93">
        <f t="shared" si="95"/>
        <v>0</v>
      </c>
      <c r="T511" s="93">
        <f t="shared" si="100"/>
        <v>1722</v>
      </c>
      <c r="U511" s="253">
        <f t="shared" si="96"/>
        <v>20434.93</v>
      </c>
      <c r="V511" s="93">
        <f t="shared" si="97"/>
        <v>0</v>
      </c>
    </row>
    <row r="512" spans="1:22" ht="18" customHeight="1" x14ac:dyDescent="0.2">
      <c r="A512" s="110" t="s">
        <v>910</v>
      </c>
      <c r="B512" s="111"/>
      <c r="C512" s="90" t="s">
        <v>911</v>
      </c>
      <c r="D512" s="91">
        <v>42735</v>
      </c>
      <c r="E512" s="92"/>
      <c r="F512" s="93"/>
      <c r="G512" s="93"/>
      <c r="H512" s="93">
        <v>26028</v>
      </c>
      <c r="I512" s="93">
        <v>17174</v>
      </c>
      <c r="J512" s="93"/>
      <c r="K512" s="93">
        <f t="shared" si="98"/>
        <v>0</v>
      </c>
      <c r="L512" s="93">
        <f t="shared" si="99"/>
        <v>0</v>
      </c>
      <c r="M512" s="94">
        <v>20</v>
      </c>
      <c r="N512" s="95" t="s">
        <v>289</v>
      </c>
      <c r="O512" s="93">
        <f t="shared" si="91"/>
        <v>0</v>
      </c>
      <c r="P512" s="93">
        <f t="shared" si="92"/>
        <v>0</v>
      </c>
      <c r="Q512" s="93">
        <f t="shared" si="93"/>
        <v>0</v>
      </c>
      <c r="R512" s="93">
        <f t="shared" si="94"/>
        <v>2003</v>
      </c>
      <c r="S512" s="93">
        <f t="shared" si="95"/>
        <v>0</v>
      </c>
      <c r="T512" s="93">
        <f t="shared" si="100"/>
        <v>2003</v>
      </c>
      <c r="U512" s="253">
        <f t="shared" si="96"/>
        <v>15171</v>
      </c>
      <c r="V512" s="93">
        <f t="shared" si="97"/>
        <v>0</v>
      </c>
    </row>
    <row r="513" spans="1:22" ht="18" customHeight="1" x14ac:dyDescent="0.2">
      <c r="A513" s="110" t="s">
        <v>912</v>
      </c>
      <c r="B513" s="111"/>
      <c r="C513" s="201" t="s">
        <v>913</v>
      </c>
      <c r="D513" s="91">
        <v>42792</v>
      </c>
      <c r="E513" s="92"/>
      <c r="F513" s="93"/>
      <c r="G513" s="93"/>
      <c r="H513" s="93">
        <v>2180</v>
      </c>
      <c r="I513" s="93">
        <v>1489</v>
      </c>
      <c r="J513" s="93"/>
      <c r="K513" s="93">
        <f t="shared" si="98"/>
        <v>0</v>
      </c>
      <c r="L513" s="93">
        <f t="shared" si="99"/>
        <v>0</v>
      </c>
      <c r="M513" s="94">
        <v>20</v>
      </c>
      <c r="N513" s="95" t="s">
        <v>289</v>
      </c>
      <c r="O513" s="93">
        <f t="shared" si="91"/>
        <v>0</v>
      </c>
      <c r="P513" s="93">
        <f t="shared" si="92"/>
        <v>0</v>
      </c>
      <c r="Q513" s="93">
        <f t="shared" si="93"/>
        <v>0</v>
      </c>
      <c r="R513" s="93">
        <f t="shared" si="94"/>
        <v>173</v>
      </c>
      <c r="S513" s="93">
        <f t="shared" si="95"/>
        <v>0</v>
      </c>
      <c r="T513" s="93">
        <f t="shared" si="100"/>
        <v>173</v>
      </c>
      <c r="U513" s="253">
        <f t="shared" si="96"/>
        <v>1316</v>
      </c>
      <c r="V513" s="93">
        <f t="shared" si="97"/>
        <v>0</v>
      </c>
    </row>
    <row r="514" spans="1:22" ht="18" customHeight="1" x14ac:dyDescent="0.2">
      <c r="A514" s="110" t="s">
        <v>914</v>
      </c>
      <c r="B514" s="111"/>
      <c r="C514" s="201" t="s">
        <v>915</v>
      </c>
      <c r="D514" s="91">
        <v>42792</v>
      </c>
      <c r="E514" s="92"/>
      <c r="F514" s="93"/>
      <c r="G514" s="93"/>
      <c r="H514" s="93">
        <v>2740</v>
      </c>
      <c r="I514" s="93">
        <v>1871</v>
      </c>
      <c r="J514" s="93"/>
      <c r="K514" s="93">
        <f t="shared" si="98"/>
        <v>0</v>
      </c>
      <c r="L514" s="93">
        <f t="shared" si="99"/>
        <v>0</v>
      </c>
      <c r="M514" s="94">
        <v>20</v>
      </c>
      <c r="N514" s="95" t="s">
        <v>289</v>
      </c>
      <c r="O514" s="93">
        <f t="shared" si="91"/>
        <v>0</v>
      </c>
      <c r="P514" s="93">
        <f t="shared" si="92"/>
        <v>0</v>
      </c>
      <c r="Q514" s="93">
        <f t="shared" si="93"/>
        <v>0</v>
      </c>
      <c r="R514" s="93">
        <f t="shared" si="94"/>
        <v>218</v>
      </c>
      <c r="S514" s="93">
        <f t="shared" si="95"/>
        <v>0</v>
      </c>
      <c r="T514" s="93">
        <f t="shared" si="100"/>
        <v>218</v>
      </c>
      <c r="U514" s="253">
        <f t="shared" si="96"/>
        <v>1653</v>
      </c>
      <c r="V514" s="93">
        <f t="shared" si="97"/>
        <v>0</v>
      </c>
    </row>
    <row r="515" spans="1:22" ht="18" customHeight="1" x14ac:dyDescent="0.2">
      <c r="A515" s="110" t="s">
        <v>916</v>
      </c>
      <c r="B515" s="111"/>
      <c r="C515" s="90" t="s">
        <v>917</v>
      </c>
      <c r="D515" s="91">
        <v>42792</v>
      </c>
      <c r="E515" s="92"/>
      <c r="F515" s="93"/>
      <c r="G515" s="93"/>
      <c r="H515" s="93">
        <v>2000</v>
      </c>
      <c r="I515" s="93">
        <v>1365</v>
      </c>
      <c r="J515" s="93"/>
      <c r="K515" s="93">
        <f t="shared" si="98"/>
        <v>0</v>
      </c>
      <c r="L515" s="93">
        <f t="shared" si="99"/>
        <v>0</v>
      </c>
      <c r="M515" s="94">
        <v>20</v>
      </c>
      <c r="N515" s="95" t="s">
        <v>289</v>
      </c>
      <c r="O515" s="93">
        <f t="shared" si="91"/>
        <v>0</v>
      </c>
      <c r="P515" s="93">
        <f t="shared" si="92"/>
        <v>0</v>
      </c>
      <c r="Q515" s="93">
        <f t="shared" si="93"/>
        <v>0</v>
      </c>
      <c r="R515" s="93">
        <f t="shared" si="94"/>
        <v>159</v>
      </c>
      <c r="S515" s="93">
        <f t="shared" si="95"/>
        <v>0</v>
      </c>
      <c r="T515" s="93">
        <f t="shared" si="100"/>
        <v>159</v>
      </c>
      <c r="U515" s="253">
        <f t="shared" si="96"/>
        <v>1206</v>
      </c>
      <c r="V515" s="93">
        <f t="shared" si="97"/>
        <v>0</v>
      </c>
    </row>
    <row r="516" spans="1:22" ht="18" customHeight="1" x14ac:dyDescent="0.2">
      <c r="A516" s="110" t="s">
        <v>918</v>
      </c>
      <c r="B516" s="111"/>
      <c r="C516" s="201" t="s">
        <v>919</v>
      </c>
      <c r="D516" s="91">
        <v>42818</v>
      </c>
      <c r="E516" s="92"/>
      <c r="F516" s="93"/>
      <c r="G516" s="93"/>
      <c r="H516" s="93">
        <v>5512</v>
      </c>
      <c r="I516" s="93">
        <v>3820</v>
      </c>
      <c r="J516" s="93"/>
      <c r="K516" s="93">
        <f t="shared" si="98"/>
        <v>0</v>
      </c>
      <c r="L516" s="93">
        <f t="shared" si="99"/>
        <v>0</v>
      </c>
      <c r="M516" s="94">
        <v>20</v>
      </c>
      <c r="N516" s="95" t="s">
        <v>289</v>
      </c>
      <c r="O516" s="93">
        <f t="shared" si="91"/>
        <v>0</v>
      </c>
      <c r="P516" s="93">
        <f t="shared" si="92"/>
        <v>0</v>
      </c>
      <c r="Q516" s="93">
        <f t="shared" si="93"/>
        <v>0</v>
      </c>
      <c r="R516" s="93">
        <f t="shared" si="94"/>
        <v>445</v>
      </c>
      <c r="S516" s="93">
        <f t="shared" si="95"/>
        <v>0</v>
      </c>
      <c r="T516" s="93">
        <f t="shared" si="100"/>
        <v>445</v>
      </c>
      <c r="U516" s="253">
        <f t="shared" si="96"/>
        <v>3375</v>
      </c>
      <c r="V516" s="93">
        <f t="shared" si="97"/>
        <v>0</v>
      </c>
    </row>
    <row r="517" spans="1:22" ht="18" customHeight="1" x14ac:dyDescent="0.2">
      <c r="A517" s="110" t="s">
        <v>920</v>
      </c>
      <c r="B517" s="111"/>
      <c r="C517" s="201" t="s">
        <v>921</v>
      </c>
      <c r="D517" s="91">
        <v>42816</v>
      </c>
      <c r="E517" s="92"/>
      <c r="F517" s="93"/>
      <c r="G517" s="93"/>
      <c r="H517" s="93">
        <v>4772</v>
      </c>
      <c r="I517" s="93">
        <v>2119</v>
      </c>
      <c r="J517" s="93"/>
      <c r="K517" s="93">
        <f t="shared" si="98"/>
        <v>0</v>
      </c>
      <c r="L517" s="93">
        <f t="shared" si="99"/>
        <v>0</v>
      </c>
      <c r="M517" s="94">
        <v>40</v>
      </c>
      <c r="N517" s="95" t="s">
        <v>289</v>
      </c>
      <c r="O517" s="93">
        <f t="shared" si="91"/>
        <v>0</v>
      </c>
      <c r="P517" s="93">
        <f t="shared" si="92"/>
        <v>0</v>
      </c>
      <c r="Q517" s="93">
        <f t="shared" si="93"/>
        <v>0</v>
      </c>
      <c r="R517" s="93">
        <f t="shared" si="94"/>
        <v>494</v>
      </c>
      <c r="S517" s="93">
        <f t="shared" si="95"/>
        <v>0</v>
      </c>
      <c r="T517" s="93">
        <f t="shared" si="100"/>
        <v>494</v>
      </c>
      <c r="U517" s="253">
        <f t="shared" si="96"/>
        <v>1625</v>
      </c>
      <c r="V517" s="93">
        <f t="shared" si="97"/>
        <v>0</v>
      </c>
    </row>
    <row r="518" spans="1:22" ht="18" customHeight="1" x14ac:dyDescent="0.2">
      <c r="A518" s="110" t="s">
        <v>922</v>
      </c>
      <c r="B518" s="111"/>
      <c r="C518" s="201" t="s">
        <v>923</v>
      </c>
      <c r="D518" s="91">
        <v>42822</v>
      </c>
      <c r="E518" s="92"/>
      <c r="F518" s="93"/>
      <c r="G518" s="93"/>
      <c r="H518" s="93">
        <v>19447.55</v>
      </c>
      <c r="I518" s="93">
        <v>15360.550000000001</v>
      </c>
      <c r="J518" s="93"/>
      <c r="K518" s="93">
        <f t="shared" si="98"/>
        <v>0</v>
      </c>
      <c r="L518" s="93">
        <f t="shared" si="99"/>
        <v>0</v>
      </c>
      <c r="M518" s="94">
        <v>13.33</v>
      </c>
      <c r="N518" s="95" t="s">
        <v>289</v>
      </c>
      <c r="O518" s="93">
        <f t="shared" si="91"/>
        <v>0</v>
      </c>
      <c r="P518" s="93">
        <f t="shared" si="92"/>
        <v>0</v>
      </c>
      <c r="Q518" s="93">
        <f t="shared" si="93"/>
        <v>0</v>
      </c>
      <c r="R518" s="93">
        <f t="shared" si="94"/>
        <v>1194</v>
      </c>
      <c r="S518" s="93">
        <f t="shared" si="95"/>
        <v>0</v>
      </c>
      <c r="T518" s="93">
        <f t="shared" si="100"/>
        <v>1194</v>
      </c>
      <c r="U518" s="253">
        <f t="shared" si="96"/>
        <v>14166.550000000001</v>
      </c>
      <c r="V518" s="93">
        <f t="shared" si="97"/>
        <v>0</v>
      </c>
    </row>
    <row r="519" spans="1:22" ht="18" customHeight="1" x14ac:dyDescent="0.2">
      <c r="A519" s="110" t="s">
        <v>924</v>
      </c>
      <c r="B519" s="111"/>
      <c r="C519" s="201" t="s">
        <v>923</v>
      </c>
      <c r="D519" s="91">
        <v>42822</v>
      </c>
      <c r="E519" s="92"/>
      <c r="F519" s="93"/>
      <c r="G519" s="93"/>
      <c r="H519" s="93">
        <v>19447.560000000001</v>
      </c>
      <c r="I519" s="93">
        <v>15360.56</v>
      </c>
      <c r="J519" s="93"/>
      <c r="K519" s="93">
        <f t="shared" si="98"/>
        <v>0</v>
      </c>
      <c r="L519" s="93">
        <f t="shared" si="99"/>
        <v>0</v>
      </c>
      <c r="M519" s="94">
        <v>13.33</v>
      </c>
      <c r="N519" s="95" t="s">
        <v>289</v>
      </c>
      <c r="O519" s="93">
        <f t="shared" si="91"/>
        <v>0</v>
      </c>
      <c r="P519" s="93">
        <f t="shared" si="92"/>
        <v>0</v>
      </c>
      <c r="Q519" s="93">
        <f t="shared" si="93"/>
        <v>0</v>
      </c>
      <c r="R519" s="93">
        <f t="shared" si="94"/>
        <v>1194</v>
      </c>
      <c r="S519" s="93">
        <f t="shared" si="95"/>
        <v>0</v>
      </c>
      <c r="T519" s="93">
        <f t="shared" si="100"/>
        <v>1194</v>
      </c>
      <c r="U519" s="253">
        <f t="shared" si="96"/>
        <v>14166.56</v>
      </c>
      <c r="V519" s="93">
        <f t="shared" si="97"/>
        <v>0</v>
      </c>
    </row>
    <row r="520" spans="1:22" ht="18" customHeight="1" x14ac:dyDescent="0.2">
      <c r="A520" s="110" t="s">
        <v>925</v>
      </c>
      <c r="B520" s="111"/>
      <c r="C520" s="201" t="s">
        <v>926</v>
      </c>
      <c r="D520" s="91">
        <v>42873</v>
      </c>
      <c r="E520" s="92"/>
      <c r="F520" s="93"/>
      <c r="G520" s="93"/>
      <c r="H520" s="93">
        <v>5826.29</v>
      </c>
      <c r="I520" s="93">
        <v>2769.29</v>
      </c>
      <c r="J520" s="93"/>
      <c r="K520" s="93">
        <f t="shared" si="98"/>
        <v>0</v>
      </c>
      <c r="L520" s="93">
        <f t="shared" si="99"/>
        <v>0</v>
      </c>
      <c r="M520" s="94">
        <v>40</v>
      </c>
      <c r="N520" s="95" t="s">
        <v>289</v>
      </c>
      <c r="O520" s="93">
        <f t="shared" si="91"/>
        <v>0</v>
      </c>
      <c r="P520" s="93">
        <f t="shared" si="92"/>
        <v>0</v>
      </c>
      <c r="Q520" s="93">
        <f t="shared" si="93"/>
        <v>0</v>
      </c>
      <c r="R520" s="93">
        <f t="shared" si="94"/>
        <v>646</v>
      </c>
      <c r="S520" s="93">
        <f t="shared" si="95"/>
        <v>0</v>
      </c>
      <c r="T520" s="93">
        <f t="shared" si="100"/>
        <v>646</v>
      </c>
      <c r="U520" s="253">
        <f t="shared" si="96"/>
        <v>2123.29</v>
      </c>
      <c r="V520" s="93">
        <f t="shared" si="97"/>
        <v>0</v>
      </c>
    </row>
    <row r="521" spans="1:22" ht="18" customHeight="1" x14ac:dyDescent="0.2">
      <c r="A521" s="110" t="s">
        <v>927</v>
      </c>
      <c r="B521" s="111"/>
      <c r="C521" s="201" t="s">
        <v>928</v>
      </c>
      <c r="D521" s="91">
        <v>42552</v>
      </c>
      <c r="E521" s="92"/>
      <c r="F521" s="93"/>
      <c r="G521" s="93"/>
      <c r="H521" s="93">
        <v>893.86</v>
      </c>
      <c r="I521" s="93">
        <v>70.86</v>
      </c>
      <c r="J521" s="93"/>
      <c r="K521" s="93">
        <f t="shared" si="98"/>
        <v>0</v>
      </c>
      <c r="L521" s="93">
        <f t="shared" si="99"/>
        <v>0</v>
      </c>
      <c r="M521" s="94">
        <v>66.67</v>
      </c>
      <c r="N521" s="95" t="s">
        <v>289</v>
      </c>
      <c r="O521" s="93">
        <f t="shared" si="91"/>
        <v>0</v>
      </c>
      <c r="P521" s="93">
        <f t="shared" si="92"/>
        <v>0</v>
      </c>
      <c r="Q521" s="93">
        <f t="shared" si="93"/>
        <v>0</v>
      </c>
      <c r="R521" s="93">
        <f t="shared" si="94"/>
        <v>27</v>
      </c>
      <c r="S521" s="93">
        <f t="shared" si="95"/>
        <v>0</v>
      </c>
      <c r="T521" s="93">
        <f t="shared" si="100"/>
        <v>27</v>
      </c>
      <c r="U521" s="253">
        <f t="shared" si="96"/>
        <v>43.86</v>
      </c>
      <c r="V521" s="93">
        <f t="shared" si="97"/>
        <v>0</v>
      </c>
    </row>
    <row r="522" spans="1:22" ht="18" customHeight="1" x14ac:dyDescent="0.2">
      <c r="A522" s="110" t="s">
        <v>929</v>
      </c>
      <c r="B522" s="111"/>
      <c r="C522" s="201" t="s">
        <v>930</v>
      </c>
      <c r="D522" s="91">
        <v>42590</v>
      </c>
      <c r="E522" s="92"/>
      <c r="F522" s="93"/>
      <c r="G522" s="93"/>
      <c r="H522" s="93">
        <v>30000</v>
      </c>
      <c r="I522" s="93">
        <v>18981</v>
      </c>
      <c r="J522" s="93"/>
      <c r="K522" s="93">
        <f t="shared" si="98"/>
        <v>0</v>
      </c>
      <c r="L522" s="93">
        <f t="shared" si="99"/>
        <v>0</v>
      </c>
      <c r="M522" s="94">
        <v>18.18</v>
      </c>
      <c r="N522" s="95" t="s">
        <v>289</v>
      </c>
      <c r="O522" s="93">
        <f t="shared" si="91"/>
        <v>0</v>
      </c>
      <c r="P522" s="93">
        <f t="shared" si="92"/>
        <v>0</v>
      </c>
      <c r="Q522" s="93">
        <f t="shared" si="93"/>
        <v>0</v>
      </c>
      <c r="R522" s="93">
        <f t="shared" si="94"/>
        <v>2012</v>
      </c>
      <c r="S522" s="93">
        <f t="shared" si="95"/>
        <v>0</v>
      </c>
      <c r="T522" s="93">
        <f t="shared" si="100"/>
        <v>2012</v>
      </c>
      <c r="U522" s="253">
        <f t="shared" si="96"/>
        <v>16969</v>
      </c>
      <c r="V522" s="93">
        <f t="shared" si="97"/>
        <v>0</v>
      </c>
    </row>
    <row r="523" spans="1:22" ht="18" customHeight="1" x14ac:dyDescent="0.2">
      <c r="A523" s="110" t="s">
        <v>931</v>
      </c>
      <c r="B523" s="111"/>
      <c r="C523" s="90" t="s">
        <v>932</v>
      </c>
      <c r="D523" s="91">
        <v>42641</v>
      </c>
      <c r="E523" s="92"/>
      <c r="F523" s="93"/>
      <c r="G523" s="93"/>
      <c r="H523" s="93">
        <v>6750</v>
      </c>
      <c r="I523" s="93">
        <v>4199</v>
      </c>
      <c r="J523" s="93"/>
      <c r="K523" s="93">
        <f t="shared" si="98"/>
        <v>0</v>
      </c>
      <c r="L523" s="93">
        <f t="shared" si="99"/>
        <v>0</v>
      </c>
      <c r="M523" s="94">
        <v>20</v>
      </c>
      <c r="N523" s="95" t="s">
        <v>289</v>
      </c>
      <c r="O523" s="93">
        <f t="shared" si="91"/>
        <v>0</v>
      </c>
      <c r="P523" s="93">
        <f t="shared" si="92"/>
        <v>0</v>
      </c>
      <c r="Q523" s="93">
        <f t="shared" si="93"/>
        <v>0</v>
      </c>
      <c r="R523" s="93">
        <f t="shared" si="94"/>
        <v>489</v>
      </c>
      <c r="S523" s="93">
        <f t="shared" si="95"/>
        <v>0</v>
      </c>
      <c r="T523" s="93">
        <f t="shared" si="100"/>
        <v>489</v>
      </c>
      <c r="U523" s="253">
        <f t="shared" si="96"/>
        <v>3710</v>
      </c>
      <c r="V523" s="93">
        <f t="shared" si="97"/>
        <v>0</v>
      </c>
    </row>
    <row r="524" spans="1:22" ht="18" customHeight="1" x14ac:dyDescent="0.2">
      <c r="A524" s="110" t="s">
        <v>933</v>
      </c>
      <c r="B524" s="111"/>
      <c r="C524" s="201" t="s">
        <v>934</v>
      </c>
      <c r="D524" s="91">
        <v>42648</v>
      </c>
      <c r="E524" s="92"/>
      <c r="F524" s="93"/>
      <c r="G524" s="93"/>
      <c r="H524" s="93">
        <v>4500</v>
      </c>
      <c r="I524" s="93">
        <v>3594</v>
      </c>
      <c r="J524" s="93"/>
      <c r="K524" s="93">
        <f t="shared" si="98"/>
        <v>0</v>
      </c>
      <c r="L524" s="93">
        <f t="shared" si="99"/>
        <v>0</v>
      </c>
      <c r="M524" s="94">
        <v>10</v>
      </c>
      <c r="N524" s="95" t="s">
        <v>289</v>
      </c>
      <c r="O524" s="93">
        <f t="shared" si="91"/>
        <v>0</v>
      </c>
      <c r="P524" s="93">
        <f t="shared" si="92"/>
        <v>0</v>
      </c>
      <c r="Q524" s="93">
        <f t="shared" si="93"/>
        <v>0</v>
      </c>
      <c r="R524" s="93">
        <f t="shared" si="94"/>
        <v>209</v>
      </c>
      <c r="S524" s="93">
        <f t="shared" si="95"/>
        <v>0</v>
      </c>
      <c r="T524" s="93">
        <f t="shared" si="100"/>
        <v>209</v>
      </c>
      <c r="U524" s="253">
        <f t="shared" si="96"/>
        <v>3385</v>
      </c>
      <c r="V524" s="93">
        <f t="shared" si="97"/>
        <v>0</v>
      </c>
    </row>
    <row r="525" spans="1:22" ht="18" customHeight="1" x14ac:dyDescent="0.2">
      <c r="A525" s="110" t="s">
        <v>935</v>
      </c>
      <c r="B525" s="111"/>
      <c r="C525" s="201" t="s">
        <v>936</v>
      </c>
      <c r="D525" s="91">
        <v>42664</v>
      </c>
      <c r="E525" s="92"/>
      <c r="F525" s="93"/>
      <c r="G525" s="93"/>
      <c r="H525" s="93">
        <v>817.27</v>
      </c>
      <c r="I525" s="93">
        <v>516.27</v>
      </c>
      <c r="J525" s="93"/>
      <c r="K525" s="93">
        <f t="shared" si="98"/>
        <v>0</v>
      </c>
      <c r="L525" s="93">
        <f t="shared" si="99"/>
        <v>0</v>
      </c>
      <c r="M525" s="94">
        <v>20</v>
      </c>
      <c r="N525" s="95" t="s">
        <v>289</v>
      </c>
      <c r="O525" s="93">
        <f t="shared" si="91"/>
        <v>0</v>
      </c>
      <c r="P525" s="93">
        <f t="shared" si="92"/>
        <v>0</v>
      </c>
      <c r="Q525" s="93">
        <f t="shared" si="93"/>
        <v>0</v>
      </c>
      <c r="R525" s="93">
        <f t="shared" si="94"/>
        <v>60</v>
      </c>
      <c r="S525" s="93">
        <f t="shared" si="95"/>
        <v>0</v>
      </c>
      <c r="T525" s="93">
        <f t="shared" si="100"/>
        <v>60</v>
      </c>
      <c r="U525" s="253">
        <f t="shared" si="96"/>
        <v>456.27</v>
      </c>
      <c r="V525" s="93">
        <f t="shared" si="97"/>
        <v>0</v>
      </c>
    </row>
    <row r="526" spans="1:22" ht="18" customHeight="1" x14ac:dyDescent="0.2">
      <c r="A526" s="110" t="s">
        <v>937</v>
      </c>
      <c r="B526" s="111"/>
      <c r="C526" s="201" t="s">
        <v>938</v>
      </c>
      <c r="D526" s="91">
        <v>42677</v>
      </c>
      <c r="E526" s="92"/>
      <c r="F526" s="93"/>
      <c r="G526" s="93"/>
      <c r="H526" s="93">
        <v>754.38</v>
      </c>
      <c r="I526" s="93">
        <v>480.38</v>
      </c>
      <c r="J526" s="93"/>
      <c r="K526" s="93">
        <f t="shared" si="98"/>
        <v>0</v>
      </c>
      <c r="L526" s="93">
        <f t="shared" si="99"/>
        <v>0</v>
      </c>
      <c r="M526" s="94">
        <v>20</v>
      </c>
      <c r="N526" s="95" t="s">
        <v>289</v>
      </c>
      <c r="O526" s="93">
        <f t="shared" si="91"/>
        <v>0</v>
      </c>
      <c r="P526" s="93">
        <f t="shared" si="92"/>
        <v>0</v>
      </c>
      <c r="Q526" s="93">
        <f t="shared" si="93"/>
        <v>0</v>
      </c>
      <c r="R526" s="93">
        <f t="shared" si="94"/>
        <v>56</v>
      </c>
      <c r="S526" s="93">
        <f t="shared" si="95"/>
        <v>0</v>
      </c>
      <c r="T526" s="93">
        <f t="shared" si="100"/>
        <v>56</v>
      </c>
      <c r="U526" s="253">
        <f t="shared" si="96"/>
        <v>424.38</v>
      </c>
      <c r="V526" s="93">
        <f t="shared" si="97"/>
        <v>0</v>
      </c>
    </row>
    <row r="527" spans="1:22" ht="18" customHeight="1" x14ac:dyDescent="0.2">
      <c r="A527" s="110" t="s">
        <v>939</v>
      </c>
      <c r="B527" s="111"/>
      <c r="C527" s="201" t="s">
        <v>940</v>
      </c>
      <c r="D527" s="91">
        <v>42744</v>
      </c>
      <c r="E527" s="92"/>
      <c r="F527" s="93"/>
      <c r="G527" s="93"/>
      <c r="H527" s="93">
        <v>4545.45</v>
      </c>
      <c r="I527" s="93">
        <v>1839.45</v>
      </c>
      <c r="J527" s="93"/>
      <c r="K527" s="93">
        <f t="shared" si="98"/>
        <v>0</v>
      </c>
      <c r="L527" s="93">
        <f t="shared" si="99"/>
        <v>0</v>
      </c>
      <c r="M527" s="94">
        <v>40</v>
      </c>
      <c r="N527" s="95" t="s">
        <v>289</v>
      </c>
      <c r="O527" s="93">
        <f t="shared" si="91"/>
        <v>0</v>
      </c>
      <c r="P527" s="93">
        <f t="shared" si="92"/>
        <v>0</v>
      </c>
      <c r="Q527" s="93">
        <f t="shared" si="93"/>
        <v>0</v>
      </c>
      <c r="R527" s="93">
        <f t="shared" si="94"/>
        <v>429</v>
      </c>
      <c r="S527" s="93">
        <f t="shared" si="95"/>
        <v>0</v>
      </c>
      <c r="T527" s="93">
        <f t="shared" si="100"/>
        <v>429</v>
      </c>
      <c r="U527" s="253">
        <f t="shared" si="96"/>
        <v>1410.45</v>
      </c>
      <c r="V527" s="93">
        <f t="shared" si="97"/>
        <v>0</v>
      </c>
    </row>
    <row r="528" spans="1:22" ht="18" customHeight="1" x14ac:dyDescent="0.2">
      <c r="A528" s="110" t="s">
        <v>941</v>
      </c>
      <c r="B528" s="111"/>
      <c r="C528" s="201" t="s">
        <v>942</v>
      </c>
      <c r="D528" s="91">
        <v>42766</v>
      </c>
      <c r="E528" s="92"/>
      <c r="F528" s="93"/>
      <c r="G528" s="93"/>
      <c r="H528" s="93">
        <v>2208.23</v>
      </c>
      <c r="I528" s="93">
        <v>1484.23</v>
      </c>
      <c r="J528" s="93"/>
      <c r="K528" s="93">
        <f t="shared" si="98"/>
        <v>0</v>
      </c>
      <c r="L528" s="93">
        <f t="shared" si="99"/>
        <v>0</v>
      </c>
      <c r="M528" s="94">
        <v>20</v>
      </c>
      <c r="N528" s="95" t="s">
        <v>289</v>
      </c>
      <c r="O528" s="93">
        <f t="shared" si="91"/>
        <v>0</v>
      </c>
      <c r="P528" s="93">
        <f t="shared" si="92"/>
        <v>0</v>
      </c>
      <c r="Q528" s="93">
        <f t="shared" si="93"/>
        <v>0</v>
      </c>
      <c r="R528" s="93">
        <f t="shared" si="94"/>
        <v>173</v>
      </c>
      <c r="S528" s="93">
        <f t="shared" si="95"/>
        <v>0</v>
      </c>
      <c r="T528" s="93">
        <f t="shared" si="100"/>
        <v>173</v>
      </c>
      <c r="U528" s="253">
        <f t="shared" si="96"/>
        <v>1311.23</v>
      </c>
      <c r="V528" s="93">
        <f t="shared" si="97"/>
        <v>0</v>
      </c>
    </row>
    <row r="529" spans="1:22" ht="18" customHeight="1" x14ac:dyDescent="0.2">
      <c r="A529" s="110" t="s">
        <v>943</v>
      </c>
      <c r="B529" s="111"/>
      <c r="C529" s="201" t="s">
        <v>944</v>
      </c>
      <c r="D529" s="91">
        <v>42775</v>
      </c>
      <c r="E529" s="92"/>
      <c r="F529" s="93"/>
      <c r="G529" s="93"/>
      <c r="H529" s="93">
        <v>14147.26</v>
      </c>
      <c r="I529" s="93">
        <v>11724.26</v>
      </c>
      <c r="J529" s="93"/>
      <c r="K529" s="93">
        <f t="shared" si="98"/>
        <v>0</v>
      </c>
      <c r="L529" s="93">
        <f t="shared" si="99"/>
        <v>0</v>
      </c>
      <c r="M529" s="94">
        <v>10</v>
      </c>
      <c r="N529" s="95" t="s">
        <v>289</v>
      </c>
      <c r="O529" s="93">
        <f t="shared" si="91"/>
        <v>0</v>
      </c>
      <c r="P529" s="93">
        <f t="shared" si="92"/>
        <v>0</v>
      </c>
      <c r="Q529" s="93">
        <f t="shared" si="93"/>
        <v>0</v>
      </c>
      <c r="R529" s="93">
        <f t="shared" si="94"/>
        <v>683</v>
      </c>
      <c r="S529" s="93">
        <f t="shared" si="95"/>
        <v>0</v>
      </c>
      <c r="T529" s="93">
        <f t="shared" si="100"/>
        <v>683</v>
      </c>
      <c r="U529" s="253">
        <f t="shared" si="96"/>
        <v>11041.26</v>
      </c>
      <c r="V529" s="93">
        <f t="shared" si="97"/>
        <v>0</v>
      </c>
    </row>
    <row r="530" spans="1:22" ht="18" customHeight="1" x14ac:dyDescent="0.2">
      <c r="A530" s="110" t="s">
        <v>945</v>
      </c>
      <c r="B530" s="111"/>
      <c r="C530" s="201" t="s">
        <v>946</v>
      </c>
      <c r="D530" s="91">
        <v>42837</v>
      </c>
      <c r="E530" s="92"/>
      <c r="F530" s="93"/>
      <c r="G530" s="93"/>
      <c r="H530" s="93">
        <v>5000</v>
      </c>
      <c r="I530" s="93">
        <v>2947</v>
      </c>
      <c r="J530" s="93"/>
      <c r="K530" s="93">
        <f t="shared" si="98"/>
        <v>0</v>
      </c>
      <c r="L530" s="93">
        <f t="shared" si="99"/>
        <v>0</v>
      </c>
      <c r="M530" s="94">
        <v>28.57</v>
      </c>
      <c r="N530" s="95" t="s">
        <v>289</v>
      </c>
      <c r="O530" s="93">
        <f t="shared" si="91"/>
        <v>0</v>
      </c>
      <c r="P530" s="93">
        <f t="shared" si="92"/>
        <v>0</v>
      </c>
      <c r="Q530" s="93">
        <f t="shared" si="93"/>
        <v>0</v>
      </c>
      <c r="R530" s="93">
        <f t="shared" si="94"/>
        <v>491</v>
      </c>
      <c r="S530" s="93">
        <f t="shared" si="95"/>
        <v>0</v>
      </c>
      <c r="T530" s="93">
        <f t="shared" si="100"/>
        <v>491</v>
      </c>
      <c r="U530" s="253">
        <f t="shared" si="96"/>
        <v>2456</v>
      </c>
      <c r="V530" s="93">
        <f t="shared" si="97"/>
        <v>0</v>
      </c>
    </row>
    <row r="531" spans="1:22" ht="18" customHeight="1" x14ac:dyDescent="0.2">
      <c r="A531" s="110" t="s">
        <v>947</v>
      </c>
      <c r="B531" s="111"/>
      <c r="C531" s="201" t="s">
        <v>948</v>
      </c>
      <c r="D531" s="91">
        <v>42905</v>
      </c>
      <c r="E531" s="92"/>
      <c r="F531" s="93"/>
      <c r="G531" s="93"/>
      <c r="H531" s="93">
        <v>3505.09</v>
      </c>
      <c r="I531" s="93">
        <v>1727.0900000000001</v>
      </c>
      <c r="J531" s="93"/>
      <c r="K531" s="93">
        <f t="shared" si="98"/>
        <v>0</v>
      </c>
      <c r="L531" s="93">
        <f t="shared" si="99"/>
        <v>0</v>
      </c>
      <c r="M531" s="94">
        <v>40</v>
      </c>
      <c r="N531" s="95" t="s">
        <v>289</v>
      </c>
      <c r="O531" s="93">
        <f t="shared" si="91"/>
        <v>0</v>
      </c>
      <c r="P531" s="93">
        <f t="shared" si="92"/>
        <v>0</v>
      </c>
      <c r="Q531" s="93">
        <f t="shared" si="93"/>
        <v>0</v>
      </c>
      <c r="R531" s="93">
        <f t="shared" si="94"/>
        <v>402</v>
      </c>
      <c r="S531" s="93">
        <f t="shared" si="95"/>
        <v>0</v>
      </c>
      <c r="T531" s="93">
        <f t="shared" si="100"/>
        <v>402</v>
      </c>
      <c r="U531" s="253">
        <f t="shared" si="96"/>
        <v>1325.0900000000001</v>
      </c>
      <c r="V531" s="93">
        <f t="shared" si="97"/>
        <v>0</v>
      </c>
    </row>
    <row r="532" spans="1:22" ht="18" customHeight="1" x14ac:dyDescent="0.2">
      <c r="A532" s="110" t="s">
        <v>949</v>
      </c>
      <c r="B532" s="111"/>
      <c r="C532" s="201" t="s">
        <v>950</v>
      </c>
      <c r="D532" s="91">
        <v>42916</v>
      </c>
      <c r="E532" s="92"/>
      <c r="F532" s="93"/>
      <c r="G532" s="93"/>
      <c r="H532" s="93">
        <v>3906</v>
      </c>
      <c r="I532" s="93">
        <v>3195</v>
      </c>
      <c r="J532" s="93"/>
      <c r="K532" s="93">
        <f t="shared" si="98"/>
        <v>0</v>
      </c>
      <c r="L532" s="93">
        <f t="shared" si="99"/>
        <v>0</v>
      </c>
      <c r="M532" s="94">
        <v>13.33</v>
      </c>
      <c r="N532" s="95" t="s">
        <v>289</v>
      </c>
      <c r="O532" s="93">
        <f t="shared" si="91"/>
        <v>0</v>
      </c>
      <c r="P532" s="93">
        <f t="shared" si="92"/>
        <v>0</v>
      </c>
      <c r="Q532" s="93">
        <f t="shared" si="93"/>
        <v>0</v>
      </c>
      <c r="R532" s="93">
        <f t="shared" si="94"/>
        <v>248</v>
      </c>
      <c r="S532" s="93">
        <f t="shared" si="95"/>
        <v>0</v>
      </c>
      <c r="T532" s="93">
        <f t="shared" si="100"/>
        <v>248</v>
      </c>
      <c r="U532" s="253">
        <f t="shared" si="96"/>
        <v>2947</v>
      </c>
      <c r="V532" s="93">
        <f t="shared" si="97"/>
        <v>0</v>
      </c>
    </row>
    <row r="533" spans="1:22" ht="18" customHeight="1" x14ac:dyDescent="0.2">
      <c r="A533" s="110" t="s">
        <v>951</v>
      </c>
      <c r="B533" s="111"/>
      <c r="C533" s="201" t="s">
        <v>952</v>
      </c>
      <c r="D533" s="91">
        <v>42864</v>
      </c>
      <c r="E533" s="92"/>
      <c r="F533" s="93"/>
      <c r="G533" s="93"/>
      <c r="H533" s="93">
        <v>9572.5</v>
      </c>
      <c r="I533" s="93">
        <v>6812.5</v>
      </c>
      <c r="J533" s="93"/>
      <c r="K533" s="93">
        <f t="shared" si="98"/>
        <v>0</v>
      </c>
      <c r="L533" s="93">
        <f t="shared" si="99"/>
        <v>0</v>
      </c>
      <c r="M533" s="94">
        <v>20</v>
      </c>
      <c r="N533" s="95" t="s">
        <v>289</v>
      </c>
      <c r="O533" s="93">
        <f t="shared" si="91"/>
        <v>0</v>
      </c>
      <c r="P533" s="93">
        <f t="shared" si="92"/>
        <v>0</v>
      </c>
      <c r="Q533" s="93">
        <f t="shared" si="93"/>
        <v>0</v>
      </c>
      <c r="R533" s="93">
        <f t="shared" si="94"/>
        <v>794</v>
      </c>
      <c r="S533" s="93">
        <f t="shared" si="95"/>
        <v>0</v>
      </c>
      <c r="T533" s="93">
        <f t="shared" si="100"/>
        <v>794</v>
      </c>
      <c r="U533" s="253">
        <f t="shared" si="96"/>
        <v>6018.5</v>
      </c>
      <c r="V533" s="93">
        <f t="shared" si="97"/>
        <v>0</v>
      </c>
    </row>
    <row r="534" spans="1:22" ht="18" customHeight="1" x14ac:dyDescent="0.2">
      <c r="A534" s="110" t="s">
        <v>953</v>
      </c>
      <c r="B534" s="111"/>
      <c r="C534" s="201" t="s">
        <v>954</v>
      </c>
      <c r="D534" s="91">
        <v>42803</v>
      </c>
      <c r="E534" s="92"/>
      <c r="F534" s="93"/>
      <c r="G534" s="93"/>
      <c r="H534" s="93">
        <v>1170</v>
      </c>
      <c r="I534" s="93">
        <v>511</v>
      </c>
      <c r="J534" s="93"/>
      <c r="K534" s="93">
        <f t="shared" si="98"/>
        <v>0</v>
      </c>
      <c r="L534" s="93">
        <f t="shared" si="99"/>
        <v>0</v>
      </c>
      <c r="M534" s="94">
        <v>40</v>
      </c>
      <c r="N534" s="95" t="s">
        <v>289</v>
      </c>
      <c r="O534" s="93">
        <f t="shared" si="91"/>
        <v>0</v>
      </c>
      <c r="P534" s="93">
        <f t="shared" si="92"/>
        <v>0</v>
      </c>
      <c r="Q534" s="93">
        <f t="shared" si="93"/>
        <v>0</v>
      </c>
      <c r="R534" s="93">
        <f t="shared" si="94"/>
        <v>119</v>
      </c>
      <c r="S534" s="93">
        <f t="shared" si="95"/>
        <v>0</v>
      </c>
      <c r="T534" s="93">
        <f t="shared" si="100"/>
        <v>119</v>
      </c>
      <c r="U534" s="253">
        <f t="shared" si="96"/>
        <v>392</v>
      </c>
      <c r="V534" s="93">
        <f t="shared" si="97"/>
        <v>0</v>
      </c>
    </row>
    <row r="535" spans="1:22" ht="18" customHeight="1" x14ac:dyDescent="0.2">
      <c r="A535" s="110" t="s">
        <v>955</v>
      </c>
      <c r="B535" s="111"/>
      <c r="C535" s="201" t="s">
        <v>956</v>
      </c>
      <c r="D535" s="91">
        <v>42803</v>
      </c>
      <c r="E535" s="92"/>
      <c r="F535" s="93"/>
      <c r="G535" s="93"/>
      <c r="H535" s="93">
        <v>1320</v>
      </c>
      <c r="I535" s="93">
        <v>577</v>
      </c>
      <c r="J535" s="93"/>
      <c r="K535" s="93">
        <f t="shared" si="98"/>
        <v>0</v>
      </c>
      <c r="L535" s="93">
        <f t="shared" si="99"/>
        <v>0</v>
      </c>
      <c r="M535" s="94">
        <v>40</v>
      </c>
      <c r="N535" s="95" t="s">
        <v>289</v>
      </c>
      <c r="O535" s="93">
        <f t="shared" si="91"/>
        <v>0</v>
      </c>
      <c r="P535" s="93">
        <f t="shared" si="92"/>
        <v>0</v>
      </c>
      <c r="Q535" s="93">
        <f t="shared" si="93"/>
        <v>0</v>
      </c>
      <c r="R535" s="93">
        <f t="shared" si="94"/>
        <v>134</v>
      </c>
      <c r="S535" s="93">
        <f t="shared" si="95"/>
        <v>0</v>
      </c>
      <c r="T535" s="93">
        <f t="shared" si="100"/>
        <v>134</v>
      </c>
      <c r="U535" s="253">
        <f t="shared" si="96"/>
        <v>443</v>
      </c>
      <c r="V535" s="93">
        <f t="shared" si="97"/>
        <v>0</v>
      </c>
    </row>
    <row r="536" spans="1:22" ht="18" customHeight="1" x14ac:dyDescent="0.2">
      <c r="A536" s="110" t="s">
        <v>957</v>
      </c>
      <c r="B536" s="111"/>
      <c r="C536" s="201" t="s">
        <v>958</v>
      </c>
      <c r="D536" s="91">
        <v>42803</v>
      </c>
      <c r="E536" s="92"/>
      <c r="F536" s="93"/>
      <c r="G536" s="93"/>
      <c r="H536" s="93">
        <v>1192.5</v>
      </c>
      <c r="I536" s="93">
        <v>521.5</v>
      </c>
      <c r="J536" s="93"/>
      <c r="K536" s="93">
        <f t="shared" si="98"/>
        <v>0</v>
      </c>
      <c r="L536" s="93">
        <f t="shared" si="99"/>
        <v>0</v>
      </c>
      <c r="M536" s="94">
        <v>40</v>
      </c>
      <c r="N536" s="95" t="s">
        <v>289</v>
      </c>
      <c r="O536" s="93">
        <f t="shared" si="91"/>
        <v>0</v>
      </c>
      <c r="P536" s="93">
        <f t="shared" si="92"/>
        <v>0</v>
      </c>
      <c r="Q536" s="93">
        <f t="shared" si="93"/>
        <v>0</v>
      </c>
      <c r="R536" s="93">
        <f t="shared" si="94"/>
        <v>121</v>
      </c>
      <c r="S536" s="93">
        <f t="shared" si="95"/>
        <v>0</v>
      </c>
      <c r="T536" s="93">
        <f t="shared" si="100"/>
        <v>121</v>
      </c>
      <c r="U536" s="253">
        <f t="shared" si="96"/>
        <v>400.5</v>
      </c>
      <c r="V536" s="93">
        <f t="shared" si="97"/>
        <v>0</v>
      </c>
    </row>
    <row r="537" spans="1:22" ht="18" customHeight="1" x14ac:dyDescent="0.2">
      <c r="A537" s="110" t="s">
        <v>959</v>
      </c>
      <c r="B537" s="111"/>
      <c r="C537" s="201" t="s">
        <v>960</v>
      </c>
      <c r="D537" s="91">
        <v>42978</v>
      </c>
      <c r="E537" s="92"/>
      <c r="F537" s="93"/>
      <c r="G537" s="93"/>
      <c r="H537" s="93">
        <v>3300</v>
      </c>
      <c r="I537" s="93">
        <v>2770</v>
      </c>
      <c r="J537" s="93"/>
      <c r="K537" s="93">
        <f t="shared" si="98"/>
        <v>0</v>
      </c>
      <c r="L537" s="93">
        <f t="shared" si="99"/>
        <v>0</v>
      </c>
      <c r="M537" s="94">
        <v>13.33</v>
      </c>
      <c r="N537" s="95" t="s">
        <v>289</v>
      </c>
      <c r="O537" s="93">
        <f t="shared" si="91"/>
        <v>0</v>
      </c>
      <c r="P537" s="93">
        <f t="shared" si="92"/>
        <v>0</v>
      </c>
      <c r="Q537" s="93">
        <f t="shared" si="93"/>
        <v>0</v>
      </c>
      <c r="R537" s="93">
        <f t="shared" si="94"/>
        <v>215</v>
      </c>
      <c r="S537" s="93">
        <f t="shared" si="95"/>
        <v>0</v>
      </c>
      <c r="T537" s="93">
        <f t="shared" si="100"/>
        <v>215</v>
      </c>
      <c r="U537" s="253">
        <f t="shared" si="96"/>
        <v>2555</v>
      </c>
      <c r="V537" s="93">
        <f t="shared" si="97"/>
        <v>0</v>
      </c>
    </row>
    <row r="538" spans="1:22" ht="18" customHeight="1" x14ac:dyDescent="0.2">
      <c r="A538" s="110" t="s">
        <v>961</v>
      </c>
      <c r="B538" s="111"/>
      <c r="C538" s="201" t="s">
        <v>962</v>
      </c>
      <c r="D538" s="91">
        <v>43057</v>
      </c>
      <c r="E538" s="92"/>
      <c r="F538" s="93"/>
      <c r="G538" s="93"/>
      <c r="H538" s="93">
        <v>7000</v>
      </c>
      <c r="I538" s="93">
        <v>6066</v>
      </c>
      <c r="J538" s="93"/>
      <c r="K538" s="93">
        <f t="shared" si="98"/>
        <v>0</v>
      </c>
      <c r="L538" s="93">
        <f t="shared" si="99"/>
        <v>0</v>
      </c>
      <c r="M538" s="94">
        <v>13.33</v>
      </c>
      <c r="N538" s="95" t="s">
        <v>289</v>
      </c>
      <c r="O538" s="93">
        <f t="shared" si="91"/>
        <v>0</v>
      </c>
      <c r="P538" s="93">
        <f t="shared" si="92"/>
        <v>0</v>
      </c>
      <c r="Q538" s="93">
        <f t="shared" si="93"/>
        <v>0</v>
      </c>
      <c r="R538" s="93">
        <f t="shared" si="94"/>
        <v>471</v>
      </c>
      <c r="S538" s="93">
        <f t="shared" si="95"/>
        <v>0</v>
      </c>
      <c r="T538" s="93">
        <f t="shared" si="100"/>
        <v>471</v>
      </c>
      <c r="U538" s="253">
        <f t="shared" si="96"/>
        <v>5595</v>
      </c>
      <c r="V538" s="93">
        <f t="shared" si="97"/>
        <v>0</v>
      </c>
    </row>
    <row r="539" spans="1:22" ht="18" customHeight="1" x14ac:dyDescent="0.2">
      <c r="A539" s="110" t="s">
        <v>963</v>
      </c>
      <c r="B539" s="111"/>
      <c r="C539" s="201" t="s">
        <v>964</v>
      </c>
      <c r="D539" s="91">
        <v>43088</v>
      </c>
      <c r="E539" s="92"/>
      <c r="F539" s="93"/>
      <c r="G539" s="93"/>
      <c r="H539" s="93">
        <v>30000</v>
      </c>
      <c r="I539" s="93">
        <v>26316</v>
      </c>
      <c r="J539" s="93"/>
      <c r="K539" s="93">
        <f t="shared" si="98"/>
        <v>0</v>
      </c>
      <c r="L539" s="93">
        <f t="shared" si="99"/>
        <v>0</v>
      </c>
      <c r="M539" s="94">
        <v>13.33</v>
      </c>
      <c r="N539" s="95" t="s">
        <v>289</v>
      </c>
      <c r="O539" s="93">
        <f t="shared" si="91"/>
        <v>0</v>
      </c>
      <c r="P539" s="93">
        <f t="shared" si="92"/>
        <v>0</v>
      </c>
      <c r="Q539" s="93">
        <f t="shared" si="93"/>
        <v>0</v>
      </c>
      <c r="R539" s="93">
        <f t="shared" si="94"/>
        <v>2046</v>
      </c>
      <c r="S539" s="93">
        <f t="shared" si="95"/>
        <v>0</v>
      </c>
      <c r="T539" s="93">
        <f t="shared" si="100"/>
        <v>2046</v>
      </c>
      <c r="U539" s="253">
        <f t="shared" si="96"/>
        <v>24270</v>
      </c>
      <c r="V539" s="93">
        <f t="shared" si="97"/>
        <v>0</v>
      </c>
    </row>
    <row r="540" spans="1:22" ht="18" customHeight="1" x14ac:dyDescent="0.2">
      <c r="A540" s="110" t="s">
        <v>965</v>
      </c>
      <c r="B540" s="111"/>
      <c r="C540" s="201" t="s">
        <v>966</v>
      </c>
      <c r="D540" s="91">
        <v>43147</v>
      </c>
      <c r="E540" s="92"/>
      <c r="F540" s="93"/>
      <c r="G540" s="93"/>
      <c r="H540" s="93">
        <v>10000</v>
      </c>
      <c r="I540" s="93">
        <v>8976</v>
      </c>
      <c r="J540" s="93"/>
      <c r="K540" s="93">
        <f t="shared" si="98"/>
        <v>0</v>
      </c>
      <c r="L540" s="93">
        <f t="shared" si="99"/>
        <v>0</v>
      </c>
      <c r="M540" s="94">
        <v>13.33</v>
      </c>
      <c r="N540" s="95" t="s">
        <v>289</v>
      </c>
      <c r="O540" s="93">
        <f t="shared" si="91"/>
        <v>0</v>
      </c>
      <c r="P540" s="93">
        <f t="shared" si="92"/>
        <v>0</v>
      </c>
      <c r="Q540" s="93">
        <f t="shared" si="93"/>
        <v>0</v>
      </c>
      <c r="R540" s="93">
        <f t="shared" si="94"/>
        <v>697</v>
      </c>
      <c r="S540" s="93">
        <f t="shared" si="95"/>
        <v>0</v>
      </c>
      <c r="T540" s="93">
        <f t="shared" si="100"/>
        <v>697</v>
      </c>
      <c r="U540" s="253">
        <f t="shared" si="96"/>
        <v>8279</v>
      </c>
      <c r="V540" s="93">
        <f t="shared" si="97"/>
        <v>0</v>
      </c>
    </row>
    <row r="541" spans="1:22" ht="18" customHeight="1" x14ac:dyDescent="0.2">
      <c r="A541" s="110" t="s">
        <v>967</v>
      </c>
      <c r="B541" s="111"/>
      <c r="C541" s="201" t="s">
        <v>968</v>
      </c>
      <c r="D541" s="91">
        <v>43223</v>
      </c>
      <c r="E541" s="92"/>
      <c r="F541" s="93"/>
      <c r="G541" s="93"/>
      <c r="H541" s="93">
        <v>12717</v>
      </c>
      <c r="I541" s="93">
        <v>11748</v>
      </c>
      <c r="J541" s="93"/>
      <c r="K541" s="93">
        <f t="shared" si="98"/>
        <v>0</v>
      </c>
      <c r="L541" s="93">
        <f t="shared" si="99"/>
        <v>0</v>
      </c>
      <c r="M541" s="94">
        <v>13.33</v>
      </c>
      <c r="N541" s="95" t="s">
        <v>289</v>
      </c>
      <c r="O541" s="93">
        <f t="shared" si="91"/>
        <v>0</v>
      </c>
      <c r="P541" s="93">
        <f t="shared" si="92"/>
        <v>0</v>
      </c>
      <c r="Q541" s="93">
        <f t="shared" si="93"/>
        <v>0</v>
      </c>
      <c r="R541" s="93">
        <f t="shared" si="94"/>
        <v>913</v>
      </c>
      <c r="S541" s="93">
        <f t="shared" si="95"/>
        <v>0</v>
      </c>
      <c r="T541" s="93">
        <f t="shared" si="100"/>
        <v>913</v>
      </c>
      <c r="U541" s="253">
        <f t="shared" si="96"/>
        <v>10835</v>
      </c>
      <c r="V541" s="93">
        <f t="shared" si="97"/>
        <v>0</v>
      </c>
    </row>
    <row r="542" spans="1:22" ht="18" customHeight="1" x14ac:dyDescent="0.2">
      <c r="A542" s="110" t="s">
        <v>971</v>
      </c>
      <c r="B542" s="111"/>
      <c r="C542" s="201" t="s">
        <v>972</v>
      </c>
      <c r="D542" s="91">
        <v>42917</v>
      </c>
      <c r="E542" s="92"/>
      <c r="F542" s="93"/>
      <c r="G542" s="93"/>
      <c r="H542" s="93">
        <v>1000</v>
      </c>
      <c r="I542" s="93">
        <v>907</v>
      </c>
      <c r="J542" s="93"/>
      <c r="K542" s="93">
        <f t="shared" si="98"/>
        <v>0</v>
      </c>
      <c r="L542" s="93">
        <f t="shared" si="99"/>
        <v>0</v>
      </c>
      <c r="M542" s="94">
        <v>6.67</v>
      </c>
      <c r="N542" s="95" t="s">
        <v>289</v>
      </c>
      <c r="O542" s="93">
        <f t="shared" si="91"/>
        <v>0</v>
      </c>
      <c r="P542" s="93">
        <f t="shared" si="92"/>
        <v>0</v>
      </c>
      <c r="Q542" s="93">
        <f t="shared" si="93"/>
        <v>0</v>
      </c>
      <c r="R542" s="93">
        <f t="shared" si="94"/>
        <v>35</v>
      </c>
      <c r="S542" s="93">
        <f t="shared" si="95"/>
        <v>0</v>
      </c>
      <c r="T542" s="93">
        <f t="shared" si="100"/>
        <v>35</v>
      </c>
      <c r="U542" s="253">
        <f t="shared" si="96"/>
        <v>872</v>
      </c>
      <c r="V542" s="93">
        <f t="shared" si="97"/>
        <v>0</v>
      </c>
    </row>
    <row r="543" spans="1:22" ht="18" customHeight="1" x14ac:dyDescent="0.2">
      <c r="A543" s="110" t="s">
        <v>973</v>
      </c>
      <c r="B543" s="111"/>
      <c r="C543" s="201" t="s">
        <v>974</v>
      </c>
      <c r="D543" s="91">
        <v>42917</v>
      </c>
      <c r="E543" s="92"/>
      <c r="F543" s="93"/>
      <c r="G543" s="93"/>
      <c r="H543" s="93">
        <v>2240</v>
      </c>
      <c r="I543" s="93">
        <v>2033</v>
      </c>
      <c r="J543" s="93"/>
      <c r="K543" s="93">
        <f t="shared" si="98"/>
        <v>0</v>
      </c>
      <c r="L543" s="93">
        <f t="shared" si="99"/>
        <v>0</v>
      </c>
      <c r="M543" s="94">
        <v>6.67</v>
      </c>
      <c r="N543" s="95" t="s">
        <v>289</v>
      </c>
      <c r="O543" s="93">
        <f t="shared" si="91"/>
        <v>0</v>
      </c>
      <c r="P543" s="93">
        <f t="shared" si="92"/>
        <v>0</v>
      </c>
      <c r="Q543" s="93">
        <f t="shared" si="93"/>
        <v>0</v>
      </c>
      <c r="R543" s="93">
        <f t="shared" si="94"/>
        <v>79</v>
      </c>
      <c r="S543" s="93">
        <f t="shared" si="95"/>
        <v>0</v>
      </c>
      <c r="T543" s="93">
        <f t="shared" si="100"/>
        <v>79</v>
      </c>
      <c r="U543" s="253">
        <f t="shared" si="96"/>
        <v>1954</v>
      </c>
      <c r="V543" s="93">
        <f t="shared" si="97"/>
        <v>0</v>
      </c>
    </row>
    <row r="544" spans="1:22" ht="18" customHeight="1" x14ac:dyDescent="0.2">
      <c r="A544" s="110" t="s">
        <v>975</v>
      </c>
      <c r="B544" s="111"/>
      <c r="C544" s="201" t="s">
        <v>976</v>
      </c>
      <c r="D544" s="91">
        <v>43008</v>
      </c>
      <c r="E544" s="92"/>
      <c r="F544" s="93"/>
      <c r="G544" s="93"/>
      <c r="H544" s="93">
        <v>1858.5</v>
      </c>
      <c r="I544" s="93">
        <v>1579.5</v>
      </c>
      <c r="J544" s="93"/>
      <c r="K544" s="93">
        <f t="shared" si="98"/>
        <v>0</v>
      </c>
      <c r="L544" s="93">
        <f t="shared" si="99"/>
        <v>0</v>
      </c>
      <c r="M544" s="94">
        <v>13.33</v>
      </c>
      <c r="N544" s="95" t="s">
        <v>289</v>
      </c>
      <c r="O544" s="93">
        <f t="shared" si="91"/>
        <v>0</v>
      </c>
      <c r="P544" s="93">
        <f t="shared" si="92"/>
        <v>0</v>
      </c>
      <c r="Q544" s="93">
        <f t="shared" si="93"/>
        <v>0</v>
      </c>
      <c r="R544" s="93">
        <f t="shared" si="94"/>
        <v>122</v>
      </c>
      <c r="S544" s="93">
        <f t="shared" si="95"/>
        <v>0</v>
      </c>
      <c r="T544" s="93">
        <f t="shared" si="100"/>
        <v>122</v>
      </c>
      <c r="U544" s="253">
        <f t="shared" si="96"/>
        <v>1457.5</v>
      </c>
      <c r="V544" s="93">
        <f t="shared" si="97"/>
        <v>0</v>
      </c>
    </row>
    <row r="545" spans="1:22" ht="18" customHeight="1" x14ac:dyDescent="0.2">
      <c r="A545" s="110" t="s">
        <v>977</v>
      </c>
      <c r="B545" s="111"/>
      <c r="C545" s="201" t="s">
        <v>978</v>
      </c>
      <c r="D545" s="91">
        <v>43069</v>
      </c>
      <c r="E545" s="92"/>
      <c r="F545" s="93"/>
      <c r="G545" s="93"/>
      <c r="H545" s="93">
        <v>3843</v>
      </c>
      <c r="I545" s="93">
        <v>3346</v>
      </c>
      <c r="J545" s="93"/>
      <c r="K545" s="93">
        <f t="shared" si="98"/>
        <v>0</v>
      </c>
      <c r="L545" s="93">
        <f t="shared" si="99"/>
        <v>0</v>
      </c>
      <c r="M545" s="94">
        <v>13.33</v>
      </c>
      <c r="N545" s="95" t="s">
        <v>289</v>
      </c>
      <c r="O545" s="93">
        <f t="shared" si="91"/>
        <v>0</v>
      </c>
      <c r="P545" s="93">
        <f t="shared" si="92"/>
        <v>0</v>
      </c>
      <c r="Q545" s="93">
        <f t="shared" si="93"/>
        <v>0</v>
      </c>
      <c r="R545" s="93">
        <f t="shared" si="94"/>
        <v>260</v>
      </c>
      <c r="S545" s="93">
        <f t="shared" si="95"/>
        <v>0</v>
      </c>
      <c r="T545" s="93">
        <f t="shared" si="100"/>
        <v>260</v>
      </c>
      <c r="U545" s="253">
        <f t="shared" si="96"/>
        <v>3086</v>
      </c>
      <c r="V545" s="93">
        <f t="shared" si="97"/>
        <v>0</v>
      </c>
    </row>
    <row r="546" spans="1:22" ht="18" customHeight="1" x14ac:dyDescent="0.2">
      <c r="A546" s="110" t="s">
        <v>979</v>
      </c>
      <c r="B546" s="111"/>
      <c r="C546" s="228" t="s">
        <v>980</v>
      </c>
      <c r="D546" s="91">
        <v>43131</v>
      </c>
      <c r="E546" s="92"/>
      <c r="F546" s="93"/>
      <c r="G546" s="209"/>
      <c r="H546" s="93">
        <v>3024</v>
      </c>
      <c r="I546" s="93">
        <v>2541</v>
      </c>
      <c r="J546" s="93"/>
      <c r="K546" s="93">
        <f t="shared" si="98"/>
        <v>0</v>
      </c>
      <c r="L546" s="93">
        <f t="shared" si="99"/>
        <v>0</v>
      </c>
      <c r="M546" s="94">
        <v>20</v>
      </c>
      <c r="N546" s="95" t="s">
        <v>289</v>
      </c>
      <c r="O546" s="93">
        <f t="shared" si="91"/>
        <v>0</v>
      </c>
      <c r="P546" s="93">
        <f t="shared" si="92"/>
        <v>0</v>
      </c>
      <c r="Q546" s="93">
        <f t="shared" si="93"/>
        <v>0</v>
      </c>
      <c r="R546" s="93">
        <f t="shared" si="94"/>
        <v>296</v>
      </c>
      <c r="S546" s="93">
        <f t="shared" si="95"/>
        <v>0</v>
      </c>
      <c r="T546" s="93">
        <f t="shared" si="100"/>
        <v>296</v>
      </c>
      <c r="U546" s="253">
        <f t="shared" si="96"/>
        <v>2245</v>
      </c>
      <c r="V546" s="93">
        <f t="shared" si="97"/>
        <v>0</v>
      </c>
    </row>
    <row r="547" spans="1:22" ht="18" customHeight="1" x14ac:dyDescent="0.2">
      <c r="A547" s="110" t="s">
        <v>981</v>
      </c>
      <c r="B547" s="111"/>
      <c r="C547" s="201" t="s">
        <v>982</v>
      </c>
      <c r="D547" s="91">
        <v>43131</v>
      </c>
      <c r="E547" s="92"/>
      <c r="F547" s="93"/>
      <c r="G547" s="93"/>
      <c r="H547" s="93">
        <v>1386</v>
      </c>
      <c r="I547" s="93">
        <v>1164</v>
      </c>
      <c r="J547" s="93"/>
      <c r="K547" s="93">
        <f t="shared" si="98"/>
        <v>0</v>
      </c>
      <c r="L547" s="93">
        <f t="shared" si="99"/>
        <v>0</v>
      </c>
      <c r="M547" s="94">
        <v>20</v>
      </c>
      <c r="N547" s="95" t="s">
        <v>289</v>
      </c>
      <c r="O547" s="93">
        <f t="shared" si="91"/>
        <v>0</v>
      </c>
      <c r="P547" s="93">
        <f t="shared" si="92"/>
        <v>0</v>
      </c>
      <c r="Q547" s="93">
        <f t="shared" si="93"/>
        <v>0</v>
      </c>
      <c r="R547" s="93">
        <f t="shared" si="94"/>
        <v>135</v>
      </c>
      <c r="S547" s="93">
        <f t="shared" si="95"/>
        <v>0</v>
      </c>
      <c r="T547" s="93">
        <f t="shared" si="100"/>
        <v>135</v>
      </c>
      <c r="U547" s="253">
        <f t="shared" si="96"/>
        <v>1029</v>
      </c>
      <c r="V547" s="93">
        <f t="shared" si="97"/>
        <v>0</v>
      </c>
    </row>
    <row r="548" spans="1:22" ht="18" customHeight="1" x14ac:dyDescent="0.2">
      <c r="A548" s="110" t="s">
        <v>983</v>
      </c>
      <c r="B548" s="111"/>
      <c r="C548" s="201" t="s">
        <v>984</v>
      </c>
      <c r="D548" s="91">
        <v>43145</v>
      </c>
      <c r="E548" s="92"/>
      <c r="F548" s="93"/>
      <c r="G548" s="93"/>
      <c r="H548" s="93">
        <v>13800</v>
      </c>
      <c r="I548" s="93">
        <v>12376</v>
      </c>
      <c r="J548" s="93"/>
      <c r="K548" s="93">
        <f t="shared" si="98"/>
        <v>0</v>
      </c>
      <c r="L548" s="93">
        <f t="shared" si="99"/>
        <v>0</v>
      </c>
      <c r="M548" s="94">
        <v>13.33</v>
      </c>
      <c r="N548" s="95" t="s">
        <v>289</v>
      </c>
      <c r="O548" s="93">
        <f t="shared" ref="O548:O612" si="101">IF(E548&gt;0,INT(IF($N548="D",IF($D548&lt;$H$3,$I548*($M548/100)*((E548-$H$3)/365),$J548*($M548/100)*($J$3-$D548)/365),0)),0)</f>
        <v>0</v>
      </c>
      <c r="P548" s="93">
        <f t="shared" ref="P548:P612" si="102">IF(E548&gt;0,INT(IF($N548="P",IF($D548&lt;$H$3,$H548*($M548/100)*(E548-$H$3)/365,$J548*($M548/100)*($J$3-$D548)/365),0)),0)</f>
        <v>0</v>
      </c>
      <c r="Q548" s="93">
        <f t="shared" ref="Q548:Q612" si="103">+O548+P548</f>
        <v>0</v>
      </c>
      <c r="R548" s="93">
        <f t="shared" ref="R548:R612" si="104">INT(IF($E548&gt;0,0,(IF($N548="D",IF($D548&lt;$H$3,$I548*($M548/100)*$U$3/12,$J548*($M548/100)*($J$3-$D548)/365),0))))</f>
        <v>962</v>
      </c>
      <c r="S548" s="93">
        <f t="shared" ref="S548:S612" si="105">INT(IF($E548&gt;0,0,(IF($N548="P",IF($D548&lt;$H$3,$H548*($M548/100)*$U$3/12,$J548*($M548/100)*($J$3-$D548)/365),0))))</f>
        <v>0</v>
      </c>
      <c r="T548" s="93">
        <f t="shared" si="100"/>
        <v>962</v>
      </c>
      <c r="U548" s="253">
        <f t="shared" si="96"/>
        <v>11414</v>
      </c>
      <c r="V548" s="93">
        <f t="shared" si="97"/>
        <v>0</v>
      </c>
    </row>
    <row r="549" spans="1:22" ht="18" customHeight="1" x14ac:dyDescent="0.2">
      <c r="A549" s="110" t="s">
        <v>985</v>
      </c>
      <c r="B549" s="111"/>
      <c r="C549" s="201" t="s">
        <v>986</v>
      </c>
      <c r="D549" s="91">
        <v>43145</v>
      </c>
      <c r="E549" s="92"/>
      <c r="F549" s="93"/>
      <c r="G549" s="93"/>
      <c r="H549" s="93">
        <v>4469.54</v>
      </c>
      <c r="I549" s="93">
        <v>4008.54</v>
      </c>
      <c r="J549" s="93"/>
      <c r="K549" s="93">
        <f t="shared" si="98"/>
        <v>0</v>
      </c>
      <c r="L549" s="93">
        <f t="shared" si="99"/>
        <v>0</v>
      </c>
      <c r="M549" s="94">
        <v>13.33</v>
      </c>
      <c r="N549" s="95" t="s">
        <v>289</v>
      </c>
      <c r="O549" s="93">
        <f t="shared" si="101"/>
        <v>0</v>
      </c>
      <c r="P549" s="93">
        <f t="shared" si="102"/>
        <v>0</v>
      </c>
      <c r="Q549" s="93">
        <f t="shared" si="103"/>
        <v>0</v>
      </c>
      <c r="R549" s="93">
        <f t="shared" si="104"/>
        <v>311</v>
      </c>
      <c r="S549" s="93">
        <f t="shared" si="105"/>
        <v>0</v>
      </c>
      <c r="T549" s="93">
        <f t="shared" si="100"/>
        <v>311</v>
      </c>
      <c r="U549" s="253">
        <f t="shared" si="96"/>
        <v>3697.54</v>
      </c>
      <c r="V549" s="93">
        <f t="shared" si="97"/>
        <v>0</v>
      </c>
    </row>
    <row r="550" spans="1:22" ht="18" customHeight="1" x14ac:dyDescent="0.2">
      <c r="A550" s="110" t="s">
        <v>987</v>
      </c>
      <c r="B550" s="111"/>
      <c r="C550" s="201" t="s">
        <v>988</v>
      </c>
      <c r="D550" s="91">
        <v>43145</v>
      </c>
      <c r="E550" s="92"/>
      <c r="F550" s="93"/>
      <c r="G550" s="93"/>
      <c r="H550" s="93">
        <v>7285.6</v>
      </c>
      <c r="I550" s="93">
        <v>6533.6</v>
      </c>
      <c r="J550" s="93"/>
      <c r="K550" s="93">
        <f t="shared" si="98"/>
        <v>0</v>
      </c>
      <c r="L550" s="93">
        <f t="shared" si="99"/>
        <v>0</v>
      </c>
      <c r="M550" s="94">
        <v>13.33</v>
      </c>
      <c r="N550" s="95" t="s">
        <v>289</v>
      </c>
      <c r="O550" s="93">
        <f t="shared" si="101"/>
        <v>0</v>
      </c>
      <c r="P550" s="93">
        <f t="shared" si="102"/>
        <v>0</v>
      </c>
      <c r="Q550" s="93">
        <f t="shared" si="103"/>
        <v>0</v>
      </c>
      <c r="R550" s="93">
        <f t="shared" si="104"/>
        <v>508</v>
      </c>
      <c r="S550" s="93">
        <f t="shared" si="105"/>
        <v>0</v>
      </c>
      <c r="T550" s="93">
        <f t="shared" si="100"/>
        <v>508</v>
      </c>
      <c r="U550" s="253">
        <f t="shared" si="96"/>
        <v>6025.6</v>
      </c>
      <c r="V550" s="93">
        <f t="shared" si="97"/>
        <v>0</v>
      </c>
    </row>
    <row r="551" spans="1:22" ht="18" customHeight="1" x14ac:dyDescent="0.2">
      <c r="A551" s="110" t="s">
        <v>989</v>
      </c>
      <c r="B551" s="111"/>
      <c r="C551" s="201" t="s">
        <v>990</v>
      </c>
      <c r="D551" s="91">
        <v>43158</v>
      </c>
      <c r="E551" s="92"/>
      <c r="F551" s="93"/>
      <c r="G551" s="93"/>
      <c r="H551" s="93">
        <v>2072.7200000000003</v>
      </c>
      <c r="I551" s="93">
        <v>1867.72</v>
      </c>
      <c r="J551" s="93"/>
      <c r="K551" s="93">
        <f t="shared" si="98"/>
        <v>0</v>
      </c>
      <c r="L551" s="93">
        <f t="shared" si="99"/>
        <v>0</v>
      </c>
      <c r="M551" s="94">
        <v>13.33</v>
      </c>
      <c r="N551" s="95" t="s">
        <v>289</v>
      </c>
      <c r="O551" s="93">
        <f t="shared" si="101"/>
        <v>0</v>
      </c>
      <c r="P551" s="93">
        <f t="shared" si="102"/>
        <v>0</v>
      </c>
      <c r="Q551" s="93">
        <f t="shared" si="103"/>
        <v>0</v>
      </c>
      <c r="R551" s="93">
        <f t="shared" si="104"/>
        <v>145</v>
      </c>
      <c r="S551" s="93">
        <f t="shared" si="105"/>
        <v>0</v>
      </c>
      <c r="T551" s="93">
        <f t="shared" si="100"/>
        <v>145</v>
      </c>
      <c r="U551" s="253">
        <f t="shared" ref="U551:U616" si="106">+I551+J551-T551-F551+K551-L551</f>
        <v>1722.72</v>
      </c>
      <c r="V551" s="93">
        <f t="shared" ref="V551:V614" si="107">IF(E551&gt;0,+H551+J551,0)</f>
        <v>0</v>
      </c>
    </row>
    <row r="552" spans="1:22" ht="18" customHeight="1" x14ac:dyDescent="0.2">
      <c r="A552" s="110" t="s">
        <v>991</v>
      </c>
      <c r="B552" s="111"/>
      <c r="C552" s="90" t="s">
        <v>992</v>
      </c>
      <c r="D552" s="91">
        <v>43159</v>
      </c>
      <c r="E552" s="92"/>
      <c r="F552" s="93"/>
      <c r="G552" s="93"/>
      <c r="H552" s="93">
        <v>2976</v>
      </c>
      <c r="I552" s="93">
        <v>2542</v>
      </c>
      <c r="J552" s="93"/>
      <c r="K552" s="93">
        <f t="shared" si="98"/>
        <v>0</v>
      </c>
      <c r="L552" s="93">
        <f t="shared" si="99"/>
        <v>0</v>
      </c>
      <c r="M552" s="94">
        <v>20</v>
      </c>
      <c r="N552" s="95" t="s">
        <v>289</v>
      </c>
      <c r="O552" s="93">
        <f t="shared" si="101"/>
        <v>0</v>
      </c>
      <c r="P552" s="93">
        <f t="shared" si="102"/>
        <v>0</v>
      </c>
      <c r="Q552" s="93">
        <f t="shared" si="103"/>
        <v>0</v>
      </c>
      <c r="R552" s="93">
        <f t="shared" si="104"/>
        <v>296</v>
      </c>
      <c r="S552" s="93">
        <f t="shared" si="105"/>
        <v>0</v>
      </c>
      <c r="T552" s="93">
        <f t="shared" si="100"/>
        <v>296</v>
      </c>
      <c r="U552" s="253">
        <f t="shared" si="106"/>
        <v>2246</v>
      </c>
      <c r="V552" s="93">
        <f t="shared" si="107"/>
        <v>0</v>
      </c>
    </row>
    <row r="553" spans="1:22" ht="18" customHeight="1" x14ac:dyDescent="0.2">
      <c r="A553" s="110" t="s">
        <v>993</v>
      </c>
      <c r="B553" s="111"/>
      <c r="C553" s="90" t="s">
        <v>994</v>
      </c>
      <c r="D553" s="91">
        <v>43159</v>
      </c>
      <c r="E553" s="92"/>
      <c r="F553" s="93"/>
      <c r="G553" s="93"/>
      <c r="H553" s="93">
        <v>1860</v>
      </c>
      <c r="I553" s="93">
        <v>1590</v>
      </c>
      <c r="J553" s="93"/>
      <c r="K553" s="93">
        <f t="shared" si="98"/>
        <v>0</v>
      </c>
      <c r="L553" s="93">
        <f t="shared" si="99"/>
        <v>0</v>
      </c>
      <c r="M553" s="94">
        <v>20</v>
      </c>
      <c r="N553" s="95" t="s">
        <v>289</v>
      </c>
      <c r="O553" s="93">
        <f t="shared" si="101"/>
        <v>0</v>
      </c>
      <c r="P553" s="93">
        <f t="shared" si="102"/>
        <v>0</v>
      </c>
      <c r="Q553" s="93">
        <f t="shared" si="103"/>
        <v>0</v>
      </c>
      <c r="R553" s="93">
        <f t="shared" si="104"/>
        <v>185</v>
      </c>
      <c r="S553" s="93">
        <f t="shared" si="105"/>
        <v>0</v>
      </c>
      <c r="T553" s="93">
        <f t="shared" si="100"/>
        <v>185</v>
      </c>
      <c r="U553" s="253">
        <f t="shared" si="106"/>
        <v>1405</v>
      </c>
      <c r="V553" s="93">
        <f t="shared" si="107"/>
        <v>0</v>
      </c>
    </row>
    <row r="554" spans="1:22" ht="18" customHeight="1" x14ac:dyDescent="0.2">
      <c r="A554" s="110" t="s">
        <v>995</v>
      </c>
      <c r="B554" s="111"/>
      <c r="C554" s="90" t="s">
        <v>996</v>
      </c>
      <c r="D554" s="91">
        <v>43159</v>
      </c>
      <c r="E554" s="92"/>
      <c r="F554" s="93"/>
      <c r="G554" s="93"/>
      <c r="H554" s="93">
        <v>5650</v>
      </c>
      <c r="I554" s="93">
        <v>5369</v>
      </c>
      <c r="J554" s="93"/>
      <c r="K554" s="93">
        <f t="shared" si="98"/>
        <v>0</v>
      </c>
      <c r="L554" s="93">
        <f t="shared" si="99"/>
        <v>0</v>
      </c>
      <c r="M554" s="94">
        <v>6.67</v>
      </c>
      <c r="N554" s="95" t="s">
        <v>289</v>
      </c>
      <c r="O554" s="93">
        <f t="shared" si="101"/>
        <v>0</v>
      </c>
      <c r="P554" s="93">
        <f t="shared" si="102"/>
        <v>0</v>
      </c>
      <c r="Q554" s="93">
        <f t="shared" si="103"/>
        <v>0</v>
      </c>
      <c r="R554" s="93">
        <f t="shared" si="104"/>
        <v>208</v>
      </c>
      <c r="S554" s="93">
        <f t="shared" si="105"/>
        <v>0</v>
      </c>
      <c r="T554" s="93">
        <f t="shared" si="100"/>
        <v>208</v>
      </c>
      <c r="U554" s="253">
        <f t="shared" si="106"/>
        <v>5161</v>
      </c>
      <c r="V554" s="93">
        <f t="shared" si="107"/>
        <v>0</v>
      </c>
    </row>
    <row r="555" spans="1:22" ht="18" customHeight="1" x14ac:dyDescent="0.2">
      <c r="A555" s="110" t="s">
        <v>997</v>
      </c>
      <c r="B555" s="111"/>
      <c r="C555" s="90" t="s">
        <v>996</v>
      </c>
      <c r="D555" s="91">
        <v>43159</v>
      </c>
      <c r="E555" s="92"/>
      <c r="F555" s="93"/>
      <c r="G555" s="93"/>
      <c r="H555" s="93">
        <v>9300</v>
      </c>
      <c r="I555" s="93">
        <v>8837</v>
      </c>
      <c r="J555" s="93"/>
      <c r="K555" s="93">
        <f t="shared" si="98"/>
        <v>0</v>
      </c>
      <c r="L555" s="93">
        <f t="shared" si="99"/>
        <v>0</v>
      </c>
      <c r="M555" s="94">
        <v>6.67</v>
      </c>
      <c r="N555" s="95" t="s">
        <v>289</v>
      </c>
      <c r="O555" s="93">
        <f t="shared" si="101"/>
        <v>0</v>
      </c>
      <c r="P555" s="93">
        <f t="shared" si="102"/>
        <v>0</v>
      </c>
      <c r="Q555" s="93">
        <f t="shared" si="103"/>
        <v>0</v>
      </c>
      <c r="R555" s="93">
        <f t="shared" si="104"/>
        <v>343</v>
      </c>
      <c r="S555" s="93">
        <f t="shared" si="105"/>
        <v>0</v>
      </c>
      <c r="T555" s="93">
        <f t="shared" si="100"/>
        <v>343</v>
      </c>
      <c r="U555" s="253">
        <f t="shared" si="106"/>
        <v>8494</v>
      </c>
      <c r="V555" s="93">
        <f t="shared" si="107"/>
        <v>0</v>
      </c>
    </row>
    <row r="556" spans="1:22" ht="18" customHeight="1" x14ac:dyDescent="0.2">
      <c r="A556" s="110" t="s">
        <v>998</v>
      </c>
      <c r="B556" s="111"/>
      <c r="C556" s="201" t="s">
        <v>999</v>
      </c>
      <c r="D556" s="91">
        <v>43189</v>
      </c>
      <c r="E556" s="92"/>
      <c r="F556" s="93"/>
      <c r="G556" s="93"/>
      <c r="H556" s="93">
        <v>2542</v>
      </c>
      <c r="I556" s="93">
        <v>2210</v>
      </c>
      <c r="J556" s="93"/>
      <c r="K556" s="93">
        <f t="shared" si="98"/>
        <v>0</v>
      </c>
      <c r="L556" s="93">
        <f t="shared" si="99"/>
        <v>0</v>
      </c>
      <c r="M556" s="94">
        <v>20</v>
      </c>
      <c r="N556" s="95" t="s">
        <v>289</v>
      </c>
      <c r="O556" s="93">
        <f t="shared" si="101"/>
        <v>0</v>
      </c>
      <c r="P556" s="93">
        <f t="shared" si="102"/>
        <v>0</v>
      </c>
      <c r="Q556" s="93">
        <f t="shared" si="103"/>
        <v>0</v>
      </c>
      <c r="R556" s="93">
        <f t="shared" si="104"/>
        <v>257</v>
      </c>
      <c r="S556" s="93">
        <f t="shared" si="105"/>
        <v>0</v>
      </c>
      <c r="T556" s="93">
        <f t="shared" si="100"/>
        <v>257</v>
      </c>
      <c r="U556" s="253">
        <f t="shared" si="106"/>
        <v>1953</v>
      </c>
      <c r="V556" s="93">
        <f t="shared" si="107"/>
        <v>0</v>
      </c>
    </row>
    <row r="557" spans="1:22" ht="18" customHeight="1" x14ac:dyDescent="0.2">
      <c r="A557" s="110" t="s">
        <v>1000</v>
      </c>
      <c r="B557" s="111"/>
      <c r="C557" s="201" t="s">
        <v>1001</v>
      </c>
      <c r="D557" s="91">
        <v>43258</v>
      </c>
      <c r="E557" s="92"/>
      <c r="F557" s="93"/>
      <c r="G557" s="93"/>
      <c r="H557" s="93">
        <v>158048</v>
      </c>
      <c r="I557" s="93">
        <v>147906</v>
      </c>
      <c r="J557" s="93"/>
      <c r="K557" s="93">
        <f t="shared" si="98"/>
        <v>0</v>
      </c>
      <c r="L557" s="93">
        <f t="shared" si="99"/>
        <v>0</v>
      </c>
      <c r="M557" s="94">
        <v>13.33</v>
      </c>
      <c r="N557" s="95" t="s">
        <v>289</v>
      </c>
      <c r="O557" s="93">
        <f t="shared" si="101"/>
        <v>0</v>
      </c>
      <c r="P557" s="93">
        <f t="shared" si="102"/>
        <v>0</v>
      </c>
      <c r="Q557" s="93">
        <f t="shared" si="103"/>
        <v>0</v>
      </c>
      <c r="R557" s="93">
        <f t="shared" si="104"/>
        <v>11500</v>
      </c>
      <c r="S557" s="93">
        <f t="shared" si="105"/>
        <v>0</v>
      </c>
      <c r="T557" s="93">
        <f t="shared" si="100"/>
        <v>11500</v>
      </c>
      <c r="U557" s="253">
        <f t="shared" si="106"/>
        <v>136406</v>
      </c>
      <c r="V557" s="93">
        <f t="shared" si="107"/>
        <v>0</v>
      </c>
    </row>
    <row r="558" spans="1:22" ht="18" customHeight="1" x14ac:dyDescent="0.2">
      <c r="A558" s="110" t="s">
        <v>1002</v>
      </c>
      <c r="B558" s="111"/>
      <c r="C558" s="201" t="s">
        <v>1003</v>
      </c>
      <c r="D558" s="91">
        <v>42924</v>
      </c>
      <c r="E558" s="92"/>
      <c r="F558" s="93"/>
      <c r="G558" s="93"/>
      <c r="H558" s="93">
        <v>1092.0999999999999</v>
      </c>
      <c r="I558" s="93">
        <v>804.1</v>
      </c>
      <c r="J558" s="93"/>
      <c r="K558" s="93">
        <f t="shared" si="98"/>
        <v>0</v>
      </c>
      <c r="L558" s="93">
        <f t="shared" si="99"/>
        <v>0</v>
      </c>
      <c r="M558" s="94">
        <v>20</v>
      </c>
      <c r="N558" s="95" t="s">
        <v>289</v>
      </c>
      <c r="O558" s="93">
        <f t="shared" si="101"/>
        <v>0</v>
      </c>
      <c r="P558" s="93">
        <f t="shared" si="102"/>
        <v>0</v>
      </c>
      <c r="Q558" s="93">
        <f t="shared" si="103"/>
        <v>0</v>
      </c>
      <c r="R558" s="93">
        <f t="shared" si="104"/>
        <v>93</v>
      </c>
      <c r="S558" s="93">
        <f t="shared" si="105"/>
        <v>0</v>
      </c>
      <c r="T558" s="93">
        <f t="shared" si="100"/>
        <v>93</v>
      </c>
      <c r="U558" s="253">
        <f t="shared" si="106"/>
        <v>711.1</v>
      </c>
      <c r="V558" s="93">
        <f t="shared" si="107"/>
        <v>0</v>
      </c>
    </row>
    <row r="559" spans="1:22" ht="18" customHeight="1" x14ac:dyDescent="0.2">
      <c r="A559" s="110" t="s">
        <v>1004</v>
      </c>
      <c r="B559" s="111"/>
      <c r="C559" s="201" t="s">
        <v>1005</v>
      </c>
      <c r="D559" s="91">
        <v>42933</v>
      </c>
      <c r="E559" s="92"/>
      <c r="F559" s="93"/>
      <c r="G559" s="93"/>
      <c r="H559" s="93">
        <v>2876.54</v>
      </c>
      <c r="I559" s="93">
        <v>2131.54</v>
      </c>
      <c r="J559" s="93"/>
      <c r="K559" s="93">
        <f t="shared" si="98"/>
        <v>0</v>
      </c>
      <c r="L559" s="93">
        <f t="shared" si="99"/>
        <v>0</v>
      </c>
      <c r="M559" s="94">
        <v>20</v>
      </c>
      <c r="N559" s="95" t="s">
        <v>289</v>
      </c>
      <c r="O559" s="93">
        <f t="shared" si="101"/>
        <v>0</v>
      </c>
      <c r="P559" s="93">
        <f t="shared" si="102"/>
        <v>0</v>
      </c>
      <c r="Q559" s="93">
        <f t="shared" si="103"/>
        <v>0</v>
      </c>
      <c r="R559" s="93">
        <f t="shared" si="104"/>
        <v>248</v>
      </c>
      <c r="S559" s="93">
        <f t="shared" si="105"/>
        <v>0</v>
      </c>
      <c r="T559" s="93">
        <f t="shared" si="100"/>
        <v>248</v>
      </c>
      <c r="U559" s="253">
        <f t="shared" si="106"/>
        <v>1883.54</v>
      </c>
      <c r="V559" s="93">
        <f t="shared" si="107"/>
        <v>0</v>
      </c>
    </row>
    <row r="560" spans="1:22" ht="18" customHeight="1" x14ac:dyDescent="0.2">
      <c r="A560" s="110" t="s">
        <v>1006</v>
      </c>
      <c r="B560" s="111"/>
      <c r="C560" s="201" t="s">
        <v>1007</v>
      </c>
      <c r="D560" s="91">
        <v>42961</v>
      </c>
      <c r="E560" s="92"/>
      <c r="F560" s="93"/>
      <c r="G560" s="93"/>
      <c r="H560" s="93">
        <v>4662</v>
      </c>
      <c r="I560" s="93">
        <v>3520</v>
      </c>
      <c r="J560" s="93"/>
      <c r="K560" s="93">
        <f t="shared" si="98"/>
        <v>0</v>
      </c>
      <c r="L560" s="93">
        <f t="shared" si="99"/>
        <v>0</v>
      </c>
      <c r="M560" s="94">
        <v>20</v>
      </c>
      <c r="N560" s="95" t="s">
        <v>289</v>
      </c>
      <c r="O560" s="93">
        <f t="shared" si="101"/>
        <v>0</v>
      </c>
      <c r="P560" s="93">
        <f t="shared" si="102"/>
        <v>0</v>
      </c>
      <c r="Q560" s="93">
        <f t="shared" si="103"/>
        <v>0</v>
      </c>
      <c r="R560" s="93">
        <f t="shared" si="104"/>
        <v>410</v>
      </c>
      <c r="S560" s="93">
        <f t="shared" si="105"/>
        <v>0</v>
      </c>
      <c r="T560" s="93">
        <f t="shared" si="100"/>
        <v>410</v>
      </c>
      <c r="U560" s="253">
        <f t="shared" si="106"/>
        <v>3110</v>
      </c>
      <c r="V560" s="93">
        <f t="shared" si="107"/>
        <v>0</v>
      </c>
    </row>
    <row r="561" spans="1:22" ht="18" customHeight="1" x14ac:dyDescent="0.2">
      <c r="A561" s="110" t="s">
        <v>1008</v>
      </c>
      <c r="B561" s="111"/>
      <c r="C561" s="201" t="s">
        <v>1009</v>
      </c>
      <c r="D561" s="91">
        <v>43140</v>
      </c>
      <c r="E561" s="92"/>
      <c r="F561" s="93"/>
      <c r="G561" s="93"/>
      <c r="H561" s="93">
        <v>12750</v>
      </c>
      <c r="I561" s="93">
        <v>11740</v>
      </c>
      <c r="J561" s="93"/>
      <c r="K561" s="93">
        <f t="shared" si="98"/>
        <v>0</v>
      </c>
      <c r="L561" s="93">
        <f t="shared" si="99"/>
        <v>0</v>
      </c>
      <c r="M561" s="94">
        <v>10</v>
      </c>
      <c r="N561" s="95" t="s">
        <v>289</v>
      </c>
      <c r="O561" s="93">
        <f t="shared" si="101"/>
        <v>0</v>
      </c>
      <c r="P561" s="93">
        <f t="shared" si="102"/>
        <v>0</v>
      </c>
      <c r="Q561" s="93">
        <f t="shared" si="103"/>
        <v>0</v>
      </c>
      <c r="R561" s="93">
        <f t="shared" si="104"/>
        <v>684</v>
      </c>
      <c r="S561" s="93">
        <f t="shared" si="105"/>
        <v>0</v>
      </c>
      <c r="T561" s="93">
        <f t="shared" si="100"/>
        <v>684</v>
      </c>
      <c r="U561" s="253">
        <f t="shared" si="106"/>
        <v>11056</v>
      </c>
      <c r="V561" s="93">
        <f t="shared" si="107"/>
        <v>0</v>
      </c>
    </row>
    <row r="562" spans="1:22" ht="18" customHeight="1" x14ac:dyDescent="0.2">
      <c r="A562" s="110" t="s">
        <v>1010</v>
      </c>
      <c r="B562" s="111"/>
      <c r="C562" s="201" t="s">
        <v>1011</v>
      </c>
      <c r="D562" s="91">
        <v>42978</v>
      </c>
      <c r="E562" s="92"/>
      <c r="F562" s="93"/>
      <c r="G562" s="93"/>
      <c r="H562" s="93">
        <v>1638</v>
      </c>
      <c r="I562" s="93">
        <v>1251</v>
      </c>
      <c r="J562" s="93"/>
      <c r="K562" s="93">
        <f t="shared" si="98"/>
        <v>0</v>
      </c>
      <c r="L562" s="93">
        <f t="shared" si="99"/>
        <v>0</v>
      </c>
      <c r="M562" s="94">
        <v>20</v>
      </c>
      <c r="N562" s="95" t="s">
        <v>289</v>
      </c>
      <c r="O562" s="93">
        <f t="shared" si="101"/>
        <v>0</v>
      </c>
      <c r="P562" s="93">
        <f t="shared" si="102"/>
        <v>0</v>
      </c>
      <c r="Q562" s="93">
        <f t="shared" si="103"/>
        <v>0</v>
      </c>
      <c r="R562" s="93">
        <f t="shared" si="104"/>
        <v>145</v>
      </c>
      <c r="S562" s="93">
        <f t="shared" si="105"/>
        <v>0</v>
      </c>
      <c r="T562" s="93">
        <f t="shared" si="100"/>
        <v>145</v>
      </c>
      <c r="U562" s="253">
        <f t="shared" si="106"/>
        <v>1106</v>
      </c>
      <c r="V562" s="93">
        <f t="shared" si="107"/>
        <v>0</v>
      </c>
    </row>
    <row r="563" spans="1:22" ht="18" customHeight="1" x14ac:dyDescent="0.2">
      <c r="A563" s="110" t="s">
        <v>1012</v>
      </c>
      <c r="B563" s="111"/>
      <c r="C563" s="201" t="s">
        <v>1013</v>
      </c>
      <c r="D563" s="91">
        <v>42978</v>
      </c>
      <c r="E563" s="92"/>
      <c r="F563" s="93"/>
      <c r="G563" s="93"/>
      <c r="H563" s="93">
        <v>104498.59</v>
      </c>
      <c r="I563" s="93">
        <v>91779.59</v>
      </c>
      <c r="J563" s="93"/>
      <c r="K563" s="93">
        <f t="shared" si="98"/>
        <v>0</v>
      </c>
      <c r="L563" s="93">
        <f t="shared" si="99"/>
        <v>0</v>
      </c>
      <c r="M563" s="94">
        <v>10</v>
      </c>
      <c r="N563" s="95" t="s">
        <v>289</v>
      </c>
      <c r="O563" s="93">
        <f t="shared" si="101"/>
        <v>0</v>
      </c>
      <c r="P563" s="93">
        <f t="shared" si="102"/>
        <v>0</v>
      </c>
      <c r="Q563" s="93">
        <f t="shared" si="103"/>
        <v>0</v>
      </c>
      <c r="R563" s="93">
        <f t="shared" si="104"/>
        <v>5353</v>
      </c>
      <c r="S563" s="93">
        <f t="shared" si="105"/>
        <v>0</v>
      </c>
      <c r="T563" s="93">
        <f t="shared" si="100"/>
        <v>5353</v>
      </c>
      <c r="U563" s="253">
        <f t="shared" si="106"/>
        <v>86426.59</v>
      </c>
      <c r="V563" s="93">
        <f t="shared" si="107"/>
        <v>0</v>
      </c>
    </row>
    <row r="564" spans="1:22" ht="18" customHeight="1" x14ac:dyDescent="0.2">
      <c r="A564" s="110" t="s">
        <v>1014</v>
      </c>
      <c r="B564" s="111"/>
      <c r="C564" s="90" t="s">
        <v>1015</v>
      </c>
      <c r="D564" s="91">
        <v>43100</v>
      </c>
      <c r="E564" s="92"/>
      <c r="F564" s="93"/>
      <c r="G564" s="93"/>
      <c r="H564" s="93">
        <v>1953</v>
      </c>
      <c r="I564" s="93">
        <v>1611</v>
      </c>
      <c r="J564" s="93"/>
      <c r="K564" s="93">
        <f t="shared" si="98"/>
        <v>0</v>
      </c>
      <c r="L564" s="93">
        <f t="shared" si="99"/>
        <v>0</v>
      </c>
      <c r="M564" s="94">
        <v>20</v>
      </c>
      <c r="N564" s="95" t="s">
        <v>289</v>
      </c>
      <c r="O564" s="93">
        <f t="shared" si="101"/>
        <v>0</v>
      </c>
      <c r="P564" s="93">
        <f t="shared" si="102"/>
        <v>0</v>
      </c>
      <c r="Q564" s="93">
        <f t="shared" si="103"/>
        <v>0</v>
      </c>
      <c r="R564" s="93">
        <f t="shared" si="104"/>
        <v>187</v>
      </c>
      <c r="S564" s="93">
        <f t="shared" si="105"/>
        <v>0</v>
      </c>
      <c r="T564" s="93">
        <f t="shared" si="100"/>
        <v>187</v>
      </c>
      <c r="U564" s="253">
        <f t="shared" si="106"/>
        <v>1424</v>
      </c>
      <c r="V564" s="93">
        <f t="shared" si="107"/>
        <v>0</v>
      </c>
    </row>
    <row r="565" spans="1:22" ht="18" customHeight="1" x14ac:dyDescent="0.2">
      <c r="A565" s="110" t="s">
        <v>1016</v>
      </c>
      <c r="B565" s="111"/>
      <c r="C565" s="201" t="s">
        <v>1017</v>
      </c>
      <c r="D565" s="91">
        <v>43188</v>
      </c>
      <c r="E565" s="92"/>
      <c r="F565" s="93"/>
      <c r="G565" s="93"/>
      <c r="H565" s="93">
        <v>1143.76</v>
      </c>
      <c r="I565" s="93">
        <v>993.76</v>
      </c>
      <c r="J565" s="93"/>
      <c r="K565" s="93">
        <f t="shared" si="98"/>
        <v>0</v>
      </c>
      <c r="L565" s="93">
        <f t="shared" si="99"/>
        <v>0</v>
      </c>
      <c r="M565" s="94">
        <v>20</v>
      </c>
      <c r="N565" s="95" t="s">
        <v>289</v>
      </c>
      <c r="O565" s="93">
        <f t="shared" si="101"/>
        <v>0</v>
      </c>
      <c r="P565" s="93">
        <f t="shared" si="102"/>
        <v>0</v>
      </c>
      <c r="Q565" s="93">
        <f t="shared" si="103"/>
        <v>0</v>
      </c>
      <c r="R565" s="93">
        <f t="shared" si="104"/>
        <v>115</v>
      </c>
      <c r="S565" s="93">
        <f t="shared" si="105"/>
        <v>0</v>
      </c>
      <c r="T565" s="93">
        <f t="shared" si="100"/>
        <v>115</v>
      </c>
      <c r="U565" s="253">
        <f t="shared" si="106"/>
        <v>878.76</v>
      </c>
      <c r="V565" s="93">
        <f t="shared" si="107"/>
        <v>0</v>
      </c>
    </row>
    <row r="566" spans="1:22" ht="18" customHeight="1" x14ac:dyDescent="0.2">
      <c r="A566" s="110" t="s">
        <v>1018</v>
      </c>
      <c r="B566" s="111"/>
      <c r="C566" s="201" t="s">
        <v>1019</v>
      </c>
      <c r="D566" s="91">
        <v>43189</v>
      </c>
      <c r="E566" s="92"/>
      <c r="F566" s="93"/>
      <c r="G566" s="93"/>
      <c r="H566" s="93">
        <v>1798</v>
      </c>
      <c r="I566" s="93">
        <v>1563</v>
      </c>
      <c r="J566" s="93"/>
      <c r="K566" s="93">
        <f t="shared" si="98"/>
        <v>0</v>
      </c>
      <c r="L566" s="93">
        <f t="shared" si="99"/>
        <v>0</v>
      </c>
      <c r="M566" s="94">
        <v>20</v>
      </c>
      <c r="N566" s="95" t="s">
        <v>289</v>
      </c>
      <c r="O566" s="93">
        <f t="shared" si="101"/>
        <v>0</v>
      </c>
      <c r="P566" s="93">
        <f t="shared" si="102"/>
        <v>0</v>
      </c>
      <c r="Q566" s="93">
        <f t="shared" si="103"/>
        <v>0</v>
      </c>
      <c r="R566" s="93">
        <f t="shared" si="104"/>
        <v>182</v>
      </c>
      <c r="S566" s="93">
        <f t="shared" si="105"/>
        <v>0</v>
      </c>
      <c r="T566" s="93">
        <f t="shared" si="100"/>
        <v>182</v>
      </c>
      <c r="U566" s="253">
        <f t="shared" si="106"/>
        <v>1381</v>
      </c>
      <c r="V566" s="93">
        <f t="shared" si="107"/>
        <v>0</v>
      </c>
    </row>
    <row r="567" spans="1:22" ht="18" customHeight="1" x14ac:dyDescent="0.2">
      <c r="A567" s="110" t="s">
        <v>1020</v>
      </c>
      <c r="B567" s="111"/>
      <c r="C567" s="201" t="s">
        <v>1021</v>
      </c>
      <c r="D567" s="91">
        <v>43281</v>
      </c>
      <c r="E567" s="92"/>
      <c r="F567" s="93"/>
      <c r="G567" s="93"/>
      <c r="H567" s="93">
        <v>1240</v>
      </c>
      <c r="I567" s="93">
        <v>1187</v>
      </c>
      <c r="J567" s="93"/>
      <c r="K567" s="93">
        <f t="shared" si="98"/>
        <v>0</v>
      </c>
      <c r="L567" s="93">
        <f t="shared" si="99"/>
        <v>0</v>
      </c>
      <c r="M567" s="94">
        <v>10</v>
      </c>
      <c r="N567" s="95" t="s">
        <v>289</v>
      </c>
      <c r="O567" s="93">
        <f t="shared" si="101"/>
        <v>0</v>
      </c>
      <c r="P567" s="93">
        <f t="shared" si="102"/>
        <v>0</v>
      </c>
      <c r="Q567" s="93">
        <f t="shared" si="103"/>
        <v>0</v>
      </c>
      <c r="R567" s="93">
        <f t="shared" si="104"/>
        <v>69</v>
      </c>
      <c r="S567" s="93">
        <f t="shared" si="105"/>
        <v>0</v>
      </c>
      <c r="T567" s="93">
        <f t="shared" si="100"/>
        <v>69</v>
      </c>
      <c r="U567" s="253">
        <f t="shared" si="106"/>
        <v>1118</v>
      </c>
      <c r="V567" s="93">
        <f t="shared" si="107"/>
        <v>0</v>
      </c>
    </row>
    <row r="568" spans="1:22" ht="18" customHeight="1" x14ac:dyDescent="0.2">
      <c r="A568" s="110" t="s">
        <v>1022</v>
      </c>
      <c r="B568" s="111"/>
      <c r="C568" s="90" t="s">
        <v>1023</v>
      </c>
      <c r="D568" s="91">
        <v>43251</v>
      </c>
      <c r="E568" s="92"/>
      <c r="F568" s="93"/>
      <c r="G568" s="93"/>
      <c r="H568" s="93">
        <v>1178</v>
      </c>
      <c r="I568" s="93">
        <v>1061</v>
      </c>
      <c r="J568" s="93"/>
      <c r="K568" s="93">
        <f t="shared" ref="K568:K616" si="108">INT(IF($E568&gt;0,IF(+F568-I568+Q568&lt;0,0,+F568-I568+Q568),0))</f>
        <v>0</v>
      </c>
      <c r="L568" s="93">
        <f t="shared" ref="L568:L616" si="109">INT(IF($E568&gt;0,IF(K568=0,-F568+I568-Q568,0),0))</f>
        <v>0</v>
      </c>
      <c r="M568" s="94">
        <v>20</v>
      </c>
      <c r="N568" s="95" t="s">
        <v>289</v>
      </c>
      <c r="O568" s="93">
        <f t="shared" si="101"/>
        <v>0</v>
      </c>
      <c r="P568" s="93">
        <f t="shared" si="102"/>
        <v>0</v>
      </c>
      <c r="Q568" s="93">
        <f t="shared" si="103"/>
        <v>0</v>
      </c>
      <c r="R568" s="93">
        <f t="shared" si="104"/>
        <v>123</v>
      </c>
      <c r="S568" s="93">
        <f t="shared" si="105"/>
        <v>0</v>
      </c>
      <c r="T568" s="93">
        <f t="shared" si="100"/>
        <v>123</v>
      </c>
      <c r="U568" s="253">
        <f t="shared" si="106"/>
        <v>938</v>
      </c>
      <c r="V568" s="93">
        <f t="shared" si="107"/>
        <v>0</v>
      </c>
    </row>
    <row r="569" spans="1:22" ht="18" customHeight="1" x14ac:dyDescent="0.2">
      <c r="A569" s="110" t="s">
        <v>1024</v>
      </c>
      <c r="B569" s="111"/>
      <c r="C569" s="201" t="s">
        <v>1025</v>
      </c>
      <c r="D569" s="91">
        <v>43014</v>
      </c>
      <c r="E569" s="92"/>
      <c r="F569" s="93"/>
      <c r="G569" s="93"/>
      <c r="H569" s="93">
        <v>7187.29</v>
      </c>
      <c r="I569" s="93">
        <v>5618.29</v>
      </c>
      <c r="J569" s="93"/>
      <c r="K569" s="93">
        <f t="shared" si="108"/>
        <v>0</v>
      </c>
      <c r="L569" s="93">
        <f t="shared" si="109"/>
        <v>0</v>
      </c>
      <c r="M569" s="94">
        <v>20</v>
      </c>
      <c r="N569" s="95" t="s">
        <v>289</v>
      </c>
      <c r="O569" s="93">
        <f t="shared" si="101"/>
        <v>0</v>
      </c>
      <c r="P569" s="93">
        <f t="shared" si="102"/>
        <v>0</v>
      </c>
      <c r="Q569" s="93">
        <f t="shared" si="103"/>
        <v>0</v>
      </c>
      <c r="R569" s="93">
        <f t="shared" si="104"/>
        <v>655</v>
      </c>
      <c r="S569" s="93">
        <f t="shared" si="105"/>
        <v>0</v>
      </c>
      <c r="T569" s="93">
        <f t="shared" ref="T569:T616" si="110">+R569+S569+Q569</f>
        <v>655</v>
      </c>
      <c r="U569" s="253">
        <f t="shared" si="106"/>
        <v>4963.29</v>
      </c>
      <c r="V569" s="93">
        <f t="shared" si="107"/>
        <v>0</v>
      </c>
    </row>
    <row r="570" spans="1:22" ht="18" customHeight="1" x14ac:dyDescent="0.2">
      <c r="A570" s="110" t="s">
        <v>1026</v>
      </c>
      <c r="B570" s="111"/>
      <c r="C570" s="201" t="s">
        <v>1027</v>
      </c>
      <c r="D570" s="91">
        <v>43022</v>
      </c>
      <c r="E570" s="92"/>
      <c r="F570" s="93"/>
      <c r="G570" s="93"/>
      <c r="H570" s="93">
        <v>4195.2</v>
      </c>
      <c r="I570" s="93">
        <v>3295.2000000000003</v>
      </c>
      <c r="J570" s="93"/>
      <c r="K570" s="93">
        <f t="shared" si="108"/>
        <v>0</v>
      </c>
      <c r="L570" s="93">
        <f t="shared" si="109"/>
        <v>0</v>
      </c>
      <c r="M570" s="94">
        <v>20</v>
      </c>
      <c r="N570" s="95" t="s">
        <v>289</v>
      </c>
      <c r="O570" s="93">
        <f t="shared" si="101"/>
        <v>0</v>
      </c>
      <c r="P570" s="93">
        <f t="shared" si="102"/>
        <v>0</v>
      </c>
      <c r="Q570" s="93">
        <f t="shared" si="103"/>
        <v>0</v>
      </c>
      <c r="R570" s="93">
        <f t="shared" si="104"/>
        <v>384</v>
      </c>
      <c r="S570" s="93">
        <f t="shared" si="105"/>
        <v>0</v>
      </c>
      <c r="T570" s="93">
        <f t="shared" si="110"/>
        <v>384</v>
      </c>
      <c r="U570" s="253">
        <f t="shared" si="106"/>
        <v>2911.2000000000003</v>
      </c>
      <c r="V570" s="93">
        <f t="shared" si="107"/>
        <v>0</v>
      </c>
    </row>
    <row r="571" spans="1:22" ht="18" customHeight="1" x14ac:dyDescent="0.2">
      <c r="A571" s="110" t="s">
        <v>1028</v>
      </c>
      <c r="B571" s="111"/>
      <c r="C571" s="201" t="s">
        <v>1029</v>
      </c>
      <c r="D571" s="91">
        <v>43188</v>
      </c>
      <c r="E571" s="92"/>
      <c r="F571" s="93"/>
      <c r="G571" s="93"/>
      <c r="H571" s="93">
        <v>1128</v>
      </c>
      <c r="I571" s="93">
        <v>980</v>
      </c>
      <c r="J571" s="93"/>
      <c r="K571" s="93">
        <f t="shared" si="108"/>
        <v>0</v>
      </c>
      <c r="L571" s="93">
        <f t="shared" si="109"/>
        <v>0</v>
      </c>
      <c r="M571" s="94">
        <v>20</v>
      </c>
      <c r="N571" s="95" t="s">
        <v>289</v>
      </c>
      <c r="O571" s="93">
        <f t="shared" si="101"/>
        <v>0</v>
      </c>
      <c r="P571" s="93">
        <f t="shared" si="102"/>
        <v>0</v>
      </c>
      <c r="Q571" s="93">
        <f t="shared" si="103"/>
        <v>0</v>
      </c>
      <c r="R571" s="93">
        <f t="shared" si="104"/>
        <v>114</v>
      </c>
      <c r="S571" s="93">
        <f t="shared" si="105"/>
        <v>0</v>
      </c>
      <c r="T571" s="93">
        <f t="shared" si="110"/>
        <v>114</v>
      </c>
      <c r="U571" s="253">
        <f t="shared" si="106"/>
        <v>866</v>
      </c>
      <c r="V571" s="93">
        <f t="shared" si="107"/>
        <v>0</v>
      </c>
    </row>
    <row r="572" spans="1:22" ht="18" customHeight="1" x14ac:dyDescent="0.2">
      <c r="A572" s="110" t="s">
        <v>1030</v>
      </c>
      <c r="B572" s="111"/>
      <c r="C572" s="201" t="s">
        <v>1031</v>
      </c>
      <c r="D572" s="91">
        <v>43191</v>
      </c>
      <c r="E572" s="92"/>
      <c r="F572" s="93"/>
      <c r="G572" s="93"/>
      <c r="H572" s="93">
        <v>5451</v>
      </c>
      <c r="I572" s="93">
        <v>4745</v>
      </c>
      <c r="J572" s="93"/>
      <c r="K572" s="93">
        <f t="shared" si="108"/>
        <v>0</v>
      </c>
      <c r="L572" s="93">
        <f t="shared" si="109"/>
        <v>0</v>
      </c>
      <c r="M572" s="94">
        <v>20</v>
      </c>
      <c r="N572" s="95" t="s">
        <v>289</v>
      </c>
      <c r="O572" s="93">
        <f t="shared" si="101"/>
        <v>0</v>
      </c>
      <c r="P572" s="93">
        <f t="shared" si="102"/>
        <v>0</v>
      </c>
      <c r="Q572" s="93">
        <f t="shared" si="103"/>
        <v>0</v>
      </c>
      <c r="R572" s="93">
        <f t="shared" si="104"/>
        <v>553</v>
      </c>
      <c r="S572" s="93">
        <f t="shared" si="105"/>
        <v>0</v>
      </c>
      <c r="T572" s="93">
        <f t="shared" si="110"/>
        <v>553</v>
      </c>
      <c r="U572" s="253">
        <f t="shared" si="106"/>
        <v>4192</v>
      </c>
      <c r="V572" s="93">
        <f t="shared" si="107"/>
        <v>0</v>
      </c>
    </row>
    <row r="573" spans="1:22" ht="18" customHeight="1" x14ac:dyDescent="0.2">
      <c r="A573" s="110" t="s">
        <v>1032</v>
      </c>
      <c r="B573" s="111"/>
      <c r="C573" s="201" t="s">
        <v>1033</v>
      </c>
      <c r="D573" s="91">
        <v>43108</v>
      </c>
      <c r="E573" s="92"/>
      <c r="F573" s="93"/>
      <c r="G573" s="93"/>
      <c r="H573" s="93">
        <v>7200</v>
      </c>
      <c r="I573" s="93">
        <v>5968</v>
      </c>
      <c r="J573" s="93"/>
      <c r="K573" s="93">
        <f t="shared" si="108"/>
        <v>0</v>
      </c>
      <c r="L573" s="93">
        <f t="shared" si="109"/>
        <v>0</v>
      </c>
      <c r="M573" s="94">
        <v>20</v>
      </c>
      <c r="N573" s="95" t="s">
        <v>289</v>
      </c>
      <c r="O573" s="93">
        <f t="shared" si="101"/>
        <v>0</v>
      </c>
      <c r="P573" s="93">
        <f t="shared" si="102"/>
        <v>0</v>
      </c>
      <c r="Q573" s="93">
        <f t="shared" si="103"/>
        <v>0</v>
      </c>
      <c r="R573" s="93">
        <f t="shared" si="104"/>
        <v>696</v>
      </c>
      <c r="S573" s="93">
        <f t="shared" si="105"/>
        <v>0</v>
      </c>
      <c r="T573" s="93">
        <f t="shared" si="110"/>
        <v>696</v>
      </c>
      <c r="U573" s="253">
        <f t="shared" si="106"/>
        <v>5272</v>
      </c>
      <c r="V573" s="93">
        <f t="shared" si="107"/>
        <v>0</v>
      </c>
    </row>
    <row r="574" spans="1:22" ht="18" customHeight="1" x14ac:dyDescent="0.2">
      <c r="A574" s="110" t="s">
        <v>1034</v>
      </c>
      <c r="B574" s="111"/>
      <c r="C574" s="201" t="s">
        <v>1035</v>
      </c>
      <c r="D574" s="91">
        <v>43145</v>
      </c>
      <c r="E574" s="92"/>
      <c r="F574" s="93"/>
      <c r="G574" s="93"/>
      <c r="H574" s="93">
        <v>4000</v>
      </c>
      <c r="I574" s="93">
        <v>3390</v>
      </c>
      <c r="J574" s="93"/>
      <c r="K574" s="93">
        <f t="shared" si="108"/>
        <v>0</v>
      </c>
      <c r="L574" s="93">
        <f t="shared" si="109"/>
        <v>0</v>
      </c>
      <c r="M574" s="94">
        <v>20</v>
      </c>
      <c r="N574" s="95" t="s">
        <v>289</v>
      </c>
      <c r="O574" s="93">
        <f t="shared" si="101"/>
        <v>0</v>
      </c>
      <c r="P574" s="93">
        <f t="shared" si="102"/>
        <v>0</v>
      </c>
      <c r="Q574" s="93">
        <f t="shared" si="103"/>
        <v>0</v>
      </c>
      <c r="R574" s="93">
        <f t="shared" si="104"/>
        <v>395</v>
      </c>
      <c r="S574" s="93">
        <f t="shared" si="105"/>
        <v>0</v>
      </c>
      <c r="T574" s="93">
        <f t="shared" si="110"/>
        <v>395</v>
      </c>
      <c r="U574" s="253">
        <f t="shared" si="106"/>
        <v>2995</v>
      </c>
      <c r="V574" s="93">
        <f t="shared" si="107"/>
        <v>0</v>
      </c>
    </row>
    <row r="575" spans="1:22" ht="18" customHeight="1" x14ac:dyDescent="0.2">
      <c r="A575" s="110" t="s">
        <v>1036</v>
      </c>
      <c r="B575" s="111"/>
      <c r="C575" s="201" t="s">
        <v>1037</v>
      </c>
      <c r="D575" s="91">
        <v>43273</v>
      </c>
      <c r="E575" s="92"/>
      <c r="F575" s="93"/>
      <c r="G575" s="93"/>
      <c r="H575" s="93">
        <v>4727.2700000000004</v>
      </c>
      <c r="I575" s="93">
        <v>4310.2700000000004</v>
      </c>
      <c r="J575" s="93"/>
      <c r="K575" s="93">
        <f t="shared" si="108"/>
        <v>0</v>
      </c>
      <c r="L575" s="93">
        <f t="shared" si="109"/>
        <v>0</v>
      </c>
      <c r="M575" s="94">
        <v>20</v>
      </c>
      <c r="N575" s="95" t="s">
        <v>289</v>
      </c>
      <c r="O575" s="93">
        <f t="shared" si="101"/>
        <v>0</v>
      </c>
      <c r="P575" s="93">
        <f t="shared" si="102"/>
        <v>0</v>
      </c>
      <c r="Q575" s="93">
        <f t="shared" si="103"/>
        <v>0</v>
      </c>
      <c r="R575" s="93">
        <f t="shared" si="104"/>
        <v>502</v>
      </c>
      <c r="S575" s="93">
        <f t="shared" si="105"/>
        <v>0</v>
      </c>
      <c r="T575" s="93">
        <f t="shared" si="110"/>
        <v>502</v>
      </c>
      <c r="U575" s="253">
        <f t="shared" si="106"/>
        <v>3808.2700000000004</v>
      </c>
      <c r="V575" s="93">
        <f t="shared" si="107"/>
        <v>0</v>
      </c>
    </row>
    <row r="576" spans="1:22" ht="18" customHeight="1" x14ac:dyDescent="0.2">
      <c r="A576" s="110" t="s">
        <v>1038</v>
      </c>
      <c r="B576" s="111"/>
      <c r="C576" s="201" t="s">
        <v>1039</v>
      </c>
      <c r="D576" s="91">
        <v>43213</v>
      </c>
      <c r="E576" s="92"/>
      <c r="F576" s="93"/>
      <c r="G576" s="93"/>
      <c r="H576" s="93">
        <v>1186.04</v>
      </c>
      <c r="I576" s="93">
        <v>1045.04</v>
      </c>
      <c r="J576" s="93"/>
      <c r="K576" s="93">
        <f t="shared" si="108"/>
        <v>0</v>
      </c>
      <c r="L576" s="93">
        <f t="shared" si="109"/>
        <v>0</v>
      </c>
      <c r="M576" s="94">
        <v>20</v>
      </c>
      <c r="N576" s="95" t="s">
        <v>289</v>
      </c>
      <c r="O576" s="93">
        <f t="shared" si="101"/>
        <v>0</v>
      </c>
      <c r="P576" s="93">
        <f t="shared" si="102"/>
        <v>0</v>
      </c>
      <c r="Q576" s="93">
        <f t="shared" si="103"/>
        <v>0</v>
      </c>
      <c r="R576" s="93">
        <f t="shared" si="104"/>
        <v>121</v>
      </c>
      <c r="S576" s="93">
        <f t="shared" si="105"/>
        <v>0</v>
      </c>
      <c r="T576" s="93">
        <f t="shared" si="110"/>
        <v>121</v>
      </c>
      <c r="U576" s="253">
        <f t="shared" si="106"/>
        <v>924.04</v>
      </c>
      <c r="V576" s="93">
        <f t="shared" si="107"/>
        <v>0</v>
      </c>
    </row>
    <row r="577" spans="1:22" ht="18" customHeight="1" x14ac:dyDescent="0.2">
      <c r="A577" s="110" t="s">
        <v>1040</v>
      </c>
      <c r="B577" s="111"/>
      <c r="C577" s="90" t="s">
        <v>1041</v>
      </c>
      <c r="D577" s="91">
        <v>42956</v>
      </c>
      <c r="E577" s="92"/>
      <c r="F577" s="93"/>
      <c r="G577" s="93"/>
      <c r="H577" s="93">
        <v>5700</v>
      </c>
      <c r="I577" s="93">
        <v>4973</v>
      </c>
      <c r="J577" s="93"/>
      <c r="K577" s="93">
        <f t="shared" si="108"/>
        <v>0</v>
      </c>
      <c r="L577" s="93">
        <f t="shared" si="109"/>
        <v>0</v>
      </c>
      <c r="M577" s="94">
        <v>10</v>
      </c>
      <c r="N577" s="95" t="s">
        <v>289</v>
      </c>
      <c r="O577" s="93">
        <f t="shared" si="101"/>
        <v>0</v>
      </c>
      <c r="P577" s="93">
        <f t="shared" si="102"/>
        <v>0</v>
      </c>
      <c r="Q577" s="93">
        <f t="shared" si="103"/>
        <v>0</v>
      </c>
      <c r="R577" s="93">
        <f t="shared" si="104"/>
        <v>290</v>
      </c>
      <c r="S577" s="93">
        <f t="shared" si="105"/>
        <v>0</v>
      </c>
      <c r="T577" s="93">
        <f t="shared" si="110"/>
        <v>290</v>
      </c>
      <c r="U577" s="253">
        <f t="shared" si="106"/>
        <v>4683</v>
      </c>
      <c r="V577" s="93">
        <f t="shared" si="107"/>
        <v>0</v>
      </c>
    </row>
    <row r="578" spans="1:22" ht="18" customHeight="1" x14ac:dyDescent="0.2">
      <c r="A578" s="110" t="s">
        <v>1042</v>
      </c>
      <c r="B578" s="111"/>
      <c r="C578" s="201" t="s">
        <v>1043</v>
      </c>
      <c r="D578" s="91">
        <v>43047</v>
      </c>
      <c r="E578" s="92"/>
      <c r="F578" s="93"/>
      <c r="G578" s="93"/>
      <c r="H578" s="93">
        <v>21755.040000000001</v>
      </c>
      <c r="I578" s="93">
        <v>19501.04</v>
      </c>
      <c r="J578" s="93"/>
      <c r="K578" s="93">
        <f t="shared" si="108"/>
        <v>0</v>
      </c>
      <c r="L578" s="93">
        <f t="shared" si="109"/>
        <v>0</v>
      </c>
      <c r="M578" s="94">
        <v>10</v>
      </c>
      <c r="N578" s="95" t="s">
        <v>289</v>
      </c>
      <c r="O578" s="93">
        <f t="shared" si="101"/>
        <v>0</v>
      </c>
      <c r="P578" s="93">
        <f t="shared" si="102"/>
        <v>0</v>
      </c>
      <c r="Q578" s="93">
        <f t="shared" si="103"/>
        <v>0</v>
      </c>
      <c r="R578" s="93">
        <f t="shared" si="104"/>
        <v>1137</v>
      </c>
      <c r="S578" s="93">
        <f t="shared" si="105"/>
        <v>0</v>
      </c>
      <c r="T578" s="93">
        <f t="shared" si="110"/>
        <v>1137</v>
      </c>
      <c r="U578" s="253">
        <f t="shared" si="106"/>
        <v>18364.04</v>
      </c>
      <c r="V578" s="93">
        <f t="shared" si="107"/>
        <v>0</v>
      </c>
    </row>
    <row r="579" spans="1:22" ht="18" customHeight="1" x14ac:dyDescent="0.2">
      <c r="A579" s="110" t="s">
        <v>1044</v>
      </c>
      <c r="B579" s="111"/>
      <c r="C579" s="201" t="s">
        <v>1045</v>
      </c>
      <c r="D579" s="91">
        <v>43154</v>
      </c>
      <c r="E579" s="92"/>
      <c r="F579" s="93"/>
      <c r="G579" s="93"/>
      <c r="H579" s="93">
        <v>2305</v>
      </c>
      <c r="I579" s="93">
        <v>2131</v>
      </c>
      <c r="J579" s="93"/>
      <c r="K579" s="93">
        <f t="shared" si="108"/>
        <v>0</v>
      </c>
      <c r="L579" s="93">
        <f t="shared" si="109"/>
        <v>0</v>
      </c>
      <c r="M579" s="94">
        <v>10</v>
      </c>
      <c r="N579" s="95" t="s">
        <v>289</v>
      </c>
      <c r="O579" s="93">
        <f t="shared" si="101"/>
        <v>0</v>
      </c>
      <c r="P579" s="93">
        <f t="shared" si="102"/>
        <v>0</v>
      </c>
      <c r="Q579" s="93">
        <f t="shared" si="103"/>
        <v>0</v>
      </c>
      <c r="R579" s="93">
        <f t="shared" si="104"/>
        <v>124</v>
      </c>
      <c r="S579" s="93">
        <f t="shared" si="105"/>
        <v>0</v>
      </c>
      <c r="T579" s="93">
        <f t="shared" si="110"/>
        <v>124</v>
      </c>
      <c r="U579" s="253">
        <f t="shared" si="106"/>
        <v>2007</v>
      </c>
      <c r="V579" s="93">
        <f t="shared" si="107"/>
        <v>0</v>
      </c>
    </row>
    <row r="580" spans="1:22" ht="18" customHeight="1" x14ac:dyDescent="0.2">
      <c r="A580" s="110" t="s">
        <v>1046</v>
      </c>
      <c r="B580" s="111"/>
      <c r="C580" s="201" t="s">
        <v>1047</v>
      </c>
      <c r="D580" s="91">
        <v>43159</v>
      </c>
      <c r="E580" s="92"/>
      <c r="F580" s="93"/>
      <c r="G580" s="93"/>
      <c r="H580" s="93">
        <v>1408</v>
      </c>
      <c r="I580" s="93">
        <v>1203</v>
      </c>
      <c r="J580" s="93"/>
      <c r="K580" s="93">
        <f t="shared" si="108"/>
        <v>0</v>
      </c>
      <c r="L580" s="93">
        <f t="shared" si="109"/>
        <v>0</v>
      </c>
      <c r="M580" s="94">
        <v>20</v>
      </c>
      <c r="N580" s="95" t="s">
        <v>289</v>
      </c>
      <c r="O580" s="93">
        <f t="shared" si="101"/>
        <v>0</v>
      </c>
      <c r="P580" s="93">
        <f t="shared" si="102"/>
        <v>0</v>
      </c>
      <c r="Q580" s="93">
        <f t="shared" si="103"/>
        <v>0</v>
      </c>
      <c r="R580" s="93">
        <f t="shared" si="104"/>
        <v>140</v>
      </c>
      <c r="S580" s="93">
        <f t="shared" si="105"/>
        <v>0</v>
      </c>
      <c r="T580" s="93">
        <f t="shared" si="110"/>
        <v>140</v>
      </c>
      <c r="U580" s="253">
        <f t="shared" si="106"/>
        <v>1063</v>
      </c>
      <c r="V580" s="93">
        <f t="shared" si="107"/>
        <v>0</v>
      </c>
    </row>
    <row r="581" spans="1:22" ht="18" customHeight="1" x14ac:dyDescent="0.2">
      <c r="A581" s="110" t="s">
        <v>1048</v>
      </c>
      <c r="B581" s="111"/>
      <c r="C581" s="201" t="s">
        <v>1045</v>
      </c>
      <c r="D581" s="91">
        <v>43173</v>
      </c>
      <c r="E581" s="92"/>
      <c r="F581" s="93"/>
      <c r="G581" s="93"/>
      <c r="H581" s="93">
        <v>2305</v>
      </c>
      <c r="I581" s="93">
        <v>2142</v>
      </c>
      <c r="J581" s="93"/>
      <c r="K581" s="93">
        <f t="shared" si="108"/>
        <v>0</v>
      </c>
      <c r="L581" s="93">
        <f t="shared" si="109"/>
        <v>0</v>
      </c>
      <c r="M581" s="94">
        <v>10</v>
      </c>
      <c r="N581" s="95" t="s">
        <v>289</v>
      </c>
      <c r="O581" s="93">
        <f t="shared" si="101"/>
        <v>0</v>
      </c>
      <c r="P581" s="93">
        <f t="shared" si="102"/>
        <v>0</v>
      </c>
      <c r="Q581" s="93">
        <f t="shared" si="103"/>
        <v>0</v>
      </c>
      <c r="R581" s="93">
        <f t="shared" si="104"/>
        <v>124</v>
      </c>
      <c r="S581" s="93">
        <f t="shared" si="105"/>
        <v>0</v>
      </c>
      <c r="T581" s="93">
        <f t="shared" si="110"/>
        <v>124</v>
      </c>
      <c r="U581" s="253">
        <f t="shared" si="106"/>
        <v>2018</v>
      </c>
      <c r="V581" s="93">
        <f t="shared" si="107"/>
        <v>0</v>
      </c>
    </row>
    <row r="582" spans="1:22" ht="18" customHeight="1" x14ac:dyDescent="0.2">
      <c r="A582" s="110" t="s">
        <v>1049</v>
      </c>
      <c r="B582" s="111"/>
      <c r="C582" s="201" t="s">
        <v>1050</v>
      </c>
      <c r="D582" s="91">
        <v>43241</v>
      </c>
      <c r="E582" s="92"/>
      <c r="F582" s="93"/>
      <c r="G582" s="93"/>
      <c r="H582" s="93">
        <v>18636.36</v>
      </c>
      <c r="I582" s="93">
        <v>16690.36</v>
      </c>
      <c r="J582" s="93"/>
      <c r="K582" s="93">
        <f t="shared" si="108"/>
        <v>0</v>
      </c>
      <c r="L582" s="93">
        <f t="shared" si="109"/>
        <v>0</v>
      </c>
      <c r="M582" s="94">
        <v>20</v>
      </c>
      <c r="N582" s="95" t="s">
        <v>289</v>
      </c>
      <c r="O582" s="93">
        <f t="shared" si="101"/>
        <v>0</v>
      </c>
      <c r="P582" s="93">
        <f t="shared" si="102"/>
        <v>0</v>
      </c>
      <c r="Q582" s="93">
        <f t="shared" si="103"/>
        <v>0</v>
      </c>
      <c r="R582" s="93">
        <f t="shared" si="104"/>
        <v>1947</v>
      </c>
      <c r="S582" s="93">
        <f t="shared" si="105"/>
        <v>0</v>
      </c>
      <c r="T582" s="93">
        <f t="shared" si="110"/>
        <v>1947</v>
      </c>
      <c r="U582" s="253">
        <f t="shared" si="106"/>
        <v>14743.36</v>
      </c>
      <c r="V582" s="93">
        <f t="shared" si="107"/>
        <v>0</v>
      </c>
    </row>
    <row r="583" spans="1:22" ht="18" customHeight="1" x14ac:dyDescent="0.2">
      <c r="A583" s="110" t="s">
        <v>1051</v>
      </c>
      <c r="B583" s="111"/>
      <c r="C583" s="201" t="s">
        <v>1052</v>
      </c>
      <c r="D583" s="91">
        <v>43264</v>
      </c>
      <c r="E583" s="92"/>
      <c r="F583" s="93"/>
      <c r="G583" s="93"/>
      <c r="H583" s="93">
        <v>50099</v>
      </c>
      <c r="I583" s="93">
        <v>47762</v>
      </c>
      <c r="J583" s="93"/>
      <c r="K583" s="93">
        <f t="shared" si="108"/>
        <v>0</v>
      </c>
      <c r="L583" s="93">
        <f t="shared" si="109"/>
        <v>0</v>
      </c>
      <c r="M583" s="94">
        <v>10</v>
      </c>
      <c r="N583" s="95" t="s">
        <v>289</v>
      </c>
      <c r="O583" s="93">
        <f t="shared" si="101"/>
        <v>0</v>
      </c>
      <c r="P583" s="93">
        <f t="shared" si="102"/>
        <v>0</v>
      </c>
      <c r="Q583" s="93">
        <f t="shared" si="103"/>
        <v>0</v>
      </c>
      <c r="R583" s="93">
        <f t="shared" si="104"/>
        <v>2786</v>
      </c>
      <c r="S583" s="93">
        <f t="shared" si="105"/>
        <v>0</v>
      </c>
      <c r="T583" s="93">
        <f t="shared" si="110"/>
        <v>2786</v>
      </c>
      <c r="U583" s="253">
        <f t="shared" si="106"/>
        <v>44976</v>
      </c>
      <c r="V583" s="93">
        <f t="shared" si="107"/>
        <v>0</v>
      </c>
    </row>
    <row r="584" spans="1:22" ht="18" customHeight="1" x14ac:dyDescent="0.2">
      <c r="A584" s="110" t="s">
        <v>1053</v>
      </c>
      <c r="B584" s="111"/>
      <c r="C584" s="201" t="s">
        <v>1054</v>
      </c>
      <c r="D584" s="91">
        <v>43146</v>
      </c>
      <c r="E584" s="92"/>
      <c r="F584" s="93"/>
      <c r="G584" s="93"/>
      <c r="H584" s="93">
        <v>2340</v>
      </c>
      <c r="I584" s="93">
        <v>1984</v>
      </c>
      <c r="J584" s="93"/>
      <c r="K584" s="93">
        <f t="shared" si="108"/>
        <v>0</v>
      </c>
      <c r="L584" s="93">
        <f t="shared" si="109"/>
        <v>0</v>
      </c>
      <c r="M584" s="94">
        <v>20</v>
      </c>
      <c r="N584" s="95" t="s">
        <v>289</v>
      </c>
      <c r="O584" s="93">
        <f t="shared" si="101"/>
        <v>0</v>
      </c>
      <c r="P584" s="93">
        <f t="shared" si="102"/>
        <v>0</v>
      </c>
      <c r="Q584" s="93">
        <f t="shared" si="103"/>
        <v>0</v>
      </c>
      <c r="R584" s="93">
        <f t="shared" si="104"/>
        <v>231</v>
      </c>
      <c r="S584" s="93">
        <f t="shared" si="105"/>
        <v>0</v>
      </c>
      <c r="T584" s="93">
        <f t="shared" si="110"/>
        <v>231</v>
      </c>
      <c r="U584" s="253">
        <f t="shared" si="106"/>
        <v>1753</v>
      </c>
      <c r="V584" s="93">
        <f t="shared" si="107"/>
        <v>0</v>
      </c>
    </row>
    <row r="585" spans="1:22" ht="18" customHeight="1" x14ac:dyDescent="0.2">
      <c r="A585" s="110" t="s">
        <v>1055</v>
      </c>
      <c r="B585" s="111"/>
      <c r="C585" s="201" t="s">
        <v>1056</v>
      </c>
      <c r="D585" s="91">
        <v>43146</v>
      </c>
      <c r="E585" s="92"/>
      <c r="F585" s="93"/>
      <c r="G585" s="93"/>
      <c r="H585" s="93">
        <v>3960</v>
      </c>
      <c r="I585" s="93">
        <v>3358</v>
      </c>
      <c r="J585" s="93"/>
      <c r="K585" s="93">
        <f t="shared" si="108"/>
        <v>0</v>
      </c>
      <c r="L585" s="93">
        <f t="shared" si="109"/>
        <v>0</v>
      </c>
      <c r="M585" s="94">
        <v>20</v>
      </c>
      <c r="N585" s="95" t="s">
        <v>289</v>
      </c>
      <c r="O585" s="93">
        <f t="shared" si="101"/>
        <v>0</v>
      </c>
      <c r="P585" s="93">
        <f t="shared" si="102"/>
        <v>0</v>
      </c>
      <c r="Q585" s="93">
        <f t="shared" si="103"/>
        <v>0</v>
      </c>
      <c r="R585" s="93">
        <f t="shared" si="104"/>
        <v>391</v>
      </c>
      <c r="S585" s="93">
        <f t="shared" si="105"/>
        <v>0</v>
      </c>
      <c r="T585" s="93">
        <f t="shared" si="110"/>
        <v>391</v>
      </c>
      <c r="U585" s="253">
        <f t="shared" si="106"/>
        <v>2967</v>
      </c>
      <c r="V585" s="93">
        <f t="shared" si="107"/>
        <v>0</v>
      </c>
    </row>
    <row r="586" spans="1:22" ht="18" customHeight="1" x14ac:dyDescent="0.2">
      <c r="A586" s="110" t="s">
        <v>1057</v>
      </c>
      <c r="B586" s="111"/>
      <c r="C586" s="229" t="s">
        <v>1058</v>
      </c>
      <c r="D586" s="91">
        <v>43318</v>
      </c>
      <c r="E586" s="92"/>
      <c r="F586" s="93"/>
      <c r="G586" s="93"/>
      <c r="H586" s="93">
        <v>25000</v>
      </c>
      <c r="I586" s="93">
        <v>23932</v>
      </c>
      <c r="J586" s="93"/>
      <c r="K586" s="93">
        <f t="shared" si="108"/>
        <v>0</v>
      </c>
      <c r="L586" s="93">
        <f t="shared" si="109"/>
        <v>0</v>
      </c>
      <c r="M586" s="94">
        <v>13.33</v>
      </c>
      <c r="N586" s="95" t="s">
        <v>289</v>
      </c>
      <c r="O586" s="93">
        <f t="shared" si="101"/>
        <v>0</v>
      </c>
      <c r="P586" s="93">
        <f t="shared" si="102"/>
        <v>0</v>
      </c>
      <c r="Q586" s="93">
        <f t="shared" si="103"/>
        <v>0</v>
      </c>
      <c r="R586" s="93">
        <f t="shared" si="104"/>
        <v>1860</v>
      </c>
      <c r="S586" s="93">
        <f t="shared" si="105"/>
        <v>0</v>
      </c>
      <c r="T586" s="93">
        <f t="shared" si="110"/>
        <v>1860</v>
      </c>
      <c r="U586" s="253">
        <f t="shared" si="106"/>
        <v>22072</v>
      </c>
      <c r="V586" s="93">
        <f t="shared" si="107"/>
        <v>0</v>
      </c>
    </row>
    <row r="587" spans="1:22" ht="18" customHeight="1" x14ac:dyDescent="0.2">
      <c r="A587" s="110" t="s">
        <v>1059</v>
      </c>
      <c r="B587" s="111"/>
      <c r="C587" s="230" t="s">
        <v>1060</v>
      </c>
      <c r="D587" s="91">
        <v>43342</v>
      </c>
      <c r="E587" s="92"/>
      <c r="F587" s="93"/>
      <c r="G587" s="93"/>
      <c r="H587" s="93">
        <v>361854</v>
      </c>
      <c r="I587" s="93">
        <v>355704</v>
      </c>
      <c r="J587" s="93"/>
      <c r="K587" s="93">
        <f t="shared" si="108"/>
        <v>0</v>
      </c>
      <c r="L587" s="93">
        <f t="shared" si="109"/>
        <v>0</v>
      </c>
      <c r="M587" s="94">
        <v>6.67</v>
      </c>
      <c r="N587" s="95" t="s">
        <v>289</v>
      </c>
      <c r="O587" s="93">
        <f t="shared" si="101"/>
        <v>0</v>
      </c>
      <c r="P587" s="93">
        <f t="shared" si="102"/>
        <v>0</v>
      </c>
      <c r="Q587" s="93">
        <f t="shared" si="103"/>
        <v>0</v>
      </c>
      <c r="R587" s="93">
        <f t="shared" si="104"/>
        <v>13839</v>
      </c>
      <c r="S587" s="93">
        <f t="shared" si="105"/>
        <v>0</v>
      </c>
      <c r="T587" s="93">
        <f t="shared" si="110"/>
        <v>13839</v>
      </c>
      <c r="U587" s="253">
        <f t="shared" si="106"/>
        <v>341865</v>
      </c>
      <c r="V587" s="93">
        <f t="shared" si="107"/>
        <v>0</v>
      </c>
    </row>
    <row r="588" spans="1:22" ht="18" customHeight="1" x14ac:dyDescent="0.2">
      <c r="A588" s="110" t="s">
        <v>1061</v>
      </c>
      <c r="B588" s="111"/>
      <c r="C588" s="201" t="s">
        <v>1062</v>
      </c>
      <c r="D588" s="91">
        <v>43342</v>
      </c>
      <c r="E588" s="92"/>
      <c r="F588" s="93"/>
      <c r="G588" s="93"/>
      <c r="H588" s="93">
        <v>33926</v>
      </c>
      <c r="I588" s="93">
        <v>33349</v>
      </c>
      <c r="J588" s="93"/>
      <c r="K588" s="93">
        <f t="shared" si="108"/>
        <v>0</v>
      </c>
      <c r="L588" s="93">
        <f t="shared" si="109"/>
        <v>0</v>
      </c>
      <c r="M588" s="94">
        <v>6.67</v>
      </c>
      <c r="N588" s="95" t="s">
        <v>289</v>
      </c>
      <c r="O588" s="93">
        <f t="shared" si="101"/>
        <v>0</v>
      </c>
      <c r="P588" s="93">
        <f t="shared" si="102"/>
        <v>0</v>
      </c>
      <c r="Q588" s="93">
        <f t="shared" si="103"/>
        <v>0</v>
      </c>
      <c r="R588" s="93">
        <f t="shared" si="104"/>
        <v>1297</v>
      </c>
      <c r="S588" s="93">
        <f t="shared" si="105"/>
        <v>0</v>
      </c>
      <c r="T588" s="93">
        <f t="shared" si="110"/>
        <v>1297</v>
      </c>
      <c r="U588" s="253">
        <f t="shared" si="106"/>
        <v>32052</v>
      </c>
      <c r="V588" s="93">
        <f t="shared" si="107"/>
        <v>0</v>
      </c>
    </row>
    <row r="589" spans="1:22" ht="18" customHeight="1" x14ac:dyDescent="0.2">
      <c r="A589" s="110" t="s">
        <v>1063</v>
      </c>
      <c r="B589" s="111"/>
      <c r="C589" s="201" t="s">
        <v>1064</v>
      </c>
      <c r="D589" s="91">
        <v>43342</v>
      </c>
      <c r="E589" s="92"/>
      <c r="F589" s="93"/>
      <c r="G589" s="93"/>
      <c r="H589" s="93">
        <v>26846</v>
      </c>
      <c r="I589" s="93">
        <v>26390</v>
      </c>
      <c r="J589" s="93"/>
      <c r="K589" s="93">
        <f t="shared" si="108"/>
        <v>0</v>
      </c>
      <c r="L589" s="93">
        <f t="shared" si="109"/>
        <v>0</v>
      </c>
      <c r="M589" s="94">
        <v>6.67</v>
      </c>
      <c r="N589" s="95" t="s">
        <v>289</v>
      </c>
      <c r="O589" s="93">
        <f t="shared" si="101"/>
        <v>0</v>
      </c>
      <c r="P589" s="93">
        <f t="shared" si="102"/>
        <v>0</v>
      </c>
      <c r="Q589" s="93">
        <f t="shared" si="103"/>
        <v>0</v>
      </c>
      <c r="R589" s="93">
        <f t="shared" si="104"/>
        <v>1026</v>
      </c>
      <c r="S589" s="93">
        <f t="shared" si="105"/>
        <v>0</v>
      </c>
      <c r="T589" s="93">
        <f t="shared" si="110"/>
        <v>1026</v>
      </c>
      <c r="U589" s="253">
        <f t="shared" si="106"/>
        <v>25364</v>
      </c>
      <c r="V589" s="93">
        <f t="shared" si="107"/>
        <v>0</v>
      </c>
    </row>
    <row r="590" spans="1:22" ht="18" customHeight="1" x14ac:dyDescent="0.2">
      <c r="A590" s="110" t="s">
        <v>1065</v>
      </c>
      <c r="B590" s="111"/>
      <c r="C590" s="201" t="s">
        <v>1066</v>
      </c>
      <c r="D590" s="91">
        <v>43342</v>
      </c>
      <c r="E590" s="92"/>
      <c r="F590" s="93"/>
      <c r="G590" s="93"/>
      <c r="H590" s="93">
        <v>53006</v>
      </c>
      <c r="I590" s="93">
        <v>52105</v>
      </c>
      <c r="J590" s="93"/>
      <c r="K590" s="93">
        <f t="shared" si="108"/>
        <v>0</v>
      </c>
      <c r="L590" s="93">
        <f t="shared" si="109"/>
        <v>0</v>
      </c>
      <c r="M590" s="94">
        <v>6.67</v>
      </c>
      <c r="N590" s="95" t="s">
        <v>289</v>
      </c>
      <c r="O590" s="93">
        <f t="shared" si="101"/>
        <v>0</v>
      </c>
      <c r="P590" s="93">
        <f t="shared" si="102"/>
        <v>0</v>
      </c>
      <c r="Q590" s="93">
        <f t="shared" si="103"/>
        <v>0</v>
      </c>
      <c r="R590" s="93">
        <f t="shared" si="104"/>
        <v>2027</v>
      </c>
      <c r="S590" s="93">
        <f t="shared" si="105"/>
        <v>0</v>
      </c>
      <c r="T590" s="93">
        <f t="shared" si="110"/>
        <v>2027</v>
      </c>
      <c r="U590" s="253">
        <f t="shared" si="106"/>
        <v>50078</v>
      </c>
      <c r="V590" s="93">
        <f t="shared" si="107"/>
        <v>0</v>
      </c>
    </row>
    <row r="591" spans="1:22" ht="18" customHeight="1" x14ac:dyDescent="0.2">
      <c r="A591" s="110" t="s">
        <v>2046</v>
      </c>
      <c r="B591" s="111"/>
      <c r="C591" s="231" t="s">
        <v>2056</v>
      </c>
      <c r="D591" s="91">
        <v>43497</v>
      </c>
      <c r="E591" s="92"/>
      <c r="F591" s="93"/>
      <c r="G591" s="93"/>
      <c r="H591" s="93"/>
      <c r="I591" s="93"/>
      <c r="J591" s="93">
        <v>17684.939999999999</v>
      </c>
      <c r="K591" s="93">
        <f>INT(IF($E591&gt;0,IF(+F591-I591+Q591&lt;0,0,+F591-I591+Q591),0))</f>
        <v>0</v>
      </c>
      <c r="L591" s="93">
        <f>INT(IF($E591&gt;0,IF(K591=0,-F591+I591-Q591,0),0))</f>
        <v>0</v>
      </c>
      <c r="M591" s="94">
        <v>6.67</v>
      </c>
      <c r="N591" s="95" t="s">
        <v>289</v>
      </c>
      <c r="O591" s="93">
        <f>IF(E591&gt;0,INT(IF($N591="D",IF($D591&lt;$H$3,$I591*($M591/100)*((E591-$H$3)/365),$J591*($M591/100)*($J$3-$D591)/365),0)),0)</f>
        <v>0</v>
      </c>
      <c r="P591" s="93">
        <f>IF(E591&gt;0,INT(IF($N591="P",IF($D591&lt;$H$3,$H591*($M591/100)*(E591-$H$3)/365,$J591*($M591/100)*($J$3-$D591)/365),0)),0)</f>
        <v>0</v>
      </c>
      <c r="Q591" s="93">
        <f>+O591+P591</f>
        <v>0</v>
      </c>
      <c r="R591" s="93">
        <f t="shared" si="104"/>
        <v>481</v>
      </c>
      <c r="S591" s="93">
        <f t="shared" si="105"/>
        <v>0</v>
      </c>
      <c r="T591" s="93">
        <f>+R591+S591+Q591</f>
        <v>481</v>
      </c>
      <c r="U591" s="253">
        <f>+I591+J591-T591-F591+K591-L591</f>
        <v>17203.939999999999</v>
      </c>
      <c r="V591" s="93">
        <f t="shared" si="107"/>
        <v>0</v>
      </c>
    </row>
    <row r="592" spans="1:22" ht="18" customHeight="1" x14ac:dyDescent="0.2">
      <c r="A592" s="110" t="s">
        <v>1067</v>
      </c>
      <c r="B592" s="111"/>
      <c r="C592" s="232" t="s">
        <v>1068</v>
      </c>
      <c r="D592" s="91">
        <v>43374</v>
      </c>
      <c r="E592" s="92"/>
      <c r="F592" s="93"/>
      <c r="G592" s="93"/>
      <c r="H592" s="93">
        <v>74600</v>
      </c>
      <c r="I592" s="93">
        <v>72938</v>
      </c>
      <c r="J592" s="93"/>
      <c r="K592" s="93">
        <f t="shared" si="108"/>
        <v>0</v>
      </c>
      <c r="L592" s="93">
        <f t="shared" si="109"/>
        <v>0</v>
      </c>
      <c r="M592" s="94">
        <v>13.33</v>
      </c>
      <c r="N592" s="95" t="s">
        <v>289</v>
      </c>
      <c r="O592" s="93">
        <f t="shared" si="101"/>
        <v>0</v>
      </c>
      <c r="P592" s="93">
        <f t="shared" si="102"/>
        <v>0</v>
      </c>
      <c r="Q592" s="93">
        <f t="shared" si="103"/>
        <v>0</v>
      </c>
      <c r="R592" s="93">
        <f t="shared" si="104"/>
        <v>5671</v>
      </c>
      <c r="S592" s="93">
        <f t="shared" si="105"/>
        <v>0</v>
      </c>
      <c r="T592" s="93">
        <f t="shared" si="110"/>
        <v>5671</v>
      </c>
      <c r="U592" s="253">
        <f t="shared" si="106"/>
        <v>67267</v>
      </c>
      <c r="V592" s="93">
        <f t="shared" si="107"/>
        <v>0</v>
      </c>
    </row>
    <row r="593" spans="1:22" ht="18" customHeight="1" x14ac:dyDescent="0.2">
      <c r="A593" s="110" t="s">
        <v>1069</v>
      </c>
      <c r="B593" s="111"/>
      <c r="C593" s="201" t="s">
        <v>1070</v>
      </c>
      <c r="D593" s="91">
        <v>43374</v>
      </c>
      <c r="E593" s="92"/>
      <c r="F593" s="93"/>
      <c r="G593" s="93"/>
      <c r="H593" s="93">
        <v>80600</v>
      </c>
      <c r="I593" s="93">
        <v>78804</v>
      </c>
      <c r="J593" s="93"/>
      <c r="K593" s="93">
        <f t="shared" si="108"/>
        <v>0</v>
      </c>
      <c r="L593" s="93">
        <f t="shared" si="109"/>
        <v>0</v>
      </c>
      <c r="M593" s="94">
        <v>13.33</v>
      </c>
      <c r="N593" s="95" t="s">
        <v>289</v>
      </c>
      <c r="O593" s="93">
        <f t="shared" si="101"/>
        <v>0</v>
      </c>
      <c r="P593" s="93">
        <f t="shared" si="102"/>
        <v>0</v>
      </c>
      <c r="Q593" s="93">
        <f t="shared" si="103"/>
        <v>0</v>
      </c>
      <c r="R593" s="93">
        <f t="shared" si="104"/>
        <v>6127</v>
      </c>
      <c r="S593" s="93">
        <f t="shared" si="105"/>
        <v>0</v>
      </c>
      <c r="T593" s="93">
        <f t="shared" si="110"/>
        <v>6127</v>
      </c>
      <c r="U593" s="253">
        <f t="shared" si="106"/>
        <v>72677</v>
      </c>
      <c r="V593" s="93">
        <f t="shared" si="107"/>
        <v>0</v>
      </c>
    </row>
    <row r="594" spans="1:22" ht="18" customHeight="1" x14ac:dyDescent="0.2">
      <c r="A594" s="110" t="s">
        <v>2047</v>
      </c>
      <c r="B594" s="111"/>
      <c r="C594" s="201" t="s">
        <v>2057</v>
      </c>
      <c r="D594" s="91">
        <v>43572</v>
      </c>
      <c r="E594" s="92"/>
      <c r="F594" s="93"/>
      <c r="G594" s="93"/>
      <c r="H594" s="93"/>
      <c r="I594" s="93"/>
      <c r="J594" s="93">
        <v>18581.009999999998</v>
      </c>
      <c r="K594" s="93">
        <f>INT(IF($E594&gt;0,IF(+F594-I594+Q594&lt;0,0,+F594-I594+Q594),0))</f>
        <v>0</v>
      </c>
      <c r="L594" s="93">
        <f>INT(IF($E594&gt;0,IF(K594=0,-F594+I594-Q594,0),0))</f>
        <v>0</v>
      </c>
      <c r="M594" s="94">
        <v>13.33</v>
      </c>
      <c r="N594" s="95" t="s">
        <v>289</v>
      </c>
      <c r="O594" s="93">
        <f>IF(E594&gt;0,INT(IF($N594="D",IF($D594&lt;$H$3,$I594*($M594/100)*((E594-$H$3)/365),$J594*($M594/100)*($J$3-$D594)/365),0)),0)</f>
        <v>0</v>
      </c>
      <c r="P594" s="93">
        <f>IF(E594&gt;0,INT(IF($N594="P",IF($D594&lt;$H$3,$H594*($M594/100)*(E594-$H$3)/365,$J594*($M594/100)*($J$3-$D594)/365),0)),0)</f>
        <v>0</v>
      </c>
      <c r="Q594" s="93">
        <f>+O594+P594</f>
        <v>0</v>
      </c>
      <c r="R594" s="93">
        <f t="shared" si="104"/>
        <v>502</v>
      </c>
      <c r="S594" s="93">
        <f t="shared" si="105"/>
        <v>0</v>
      </c>
      <c r="T594" s="93">
        <f>+R594+S594+Q594</f>
        <v>502</v>
      </c>
      <c r="U594" s="253">
        <f>+I594+J594-T594-F594+K594-L594</f>
        <v>18079.009999999998</v>
      </c>
      <c r="V594" s="93">
        <f t="shared" si="107"/>
        <v>0</v>
      </c>
    </row>
    <row r="595" spans="1:22" ht="18" customHeight="1" x14ac:dyDescent="0.2">
      <c r="A595" s="110" t="s">
        <v>1071</v>
      </c>
      <c r="B595" s="111"/>
      <c r="C595" s="90" t="s">
        <v>1072</v>
      </c>
      <c r="D595" s="91">
        <v>43299</v>
      </c>
      <c r="E595" s="92"/>
      <c r="F595" s="93"/>
      <c r="G595" s="93"/>
      <c r="H595" s="93">
        <v>616</v>
      </c>
      <c r="I595" s="93">
        <v>570</v>
      </c>
      <c r="J595" s="93"/>
      <c r="K595" s="93">
        <f>INT(IF($E595&gt;0,IF(+F595-I595+Q595&lt;0,0,+F595-I595+Q595),0))</f>
        <v>0</v>
      </c>
      <c r="L595" s="93">
        <f>INT(IF($E595&gt;0,IF(K595=0,-F595+I595-Q595,0),0))</f>
        <v>0</v>
      </c>
      <c r="M595" s="94">
        <v>20</v>
      </c>
      <c r="N595" s="95" t="s">
        <v>289</v>
      </c>
      <c r="O595" s="93">
        <f t="shared" si="101"/>
        <v>0</v>
      </c>
      <c r="P595" s="93">
        <f t="shared" si="102"/>
        <v>0</v>
      </c>
      <c r="Q595" s="93">
        <f t="shared" si="103"/>
        <v>0</v>
      </c>
      <c r="R595" s="93">
        <f t="shared" si="104"/>
        <v>66</v>
      </c>
      <c r="S595" s="93">
        <f t="shared" si="105"/>
        <v>0</v>
      </c>
      <c r="T595" s="93">
        <f t="shared" si="110"/>
        <v>66</v>
      </c>
      <c r="U595" s="253">
        <f t="shared" si="106"/>
        <v>504</v>
      </c>
      <c r="V595" s="93">
        <f t="shared" si="107"/>
        <v>0</v>
      </c>
    </row>
    <row r="596" spans="1:22" ht="18" customHeight="1" x14ac:dyDescent="0.2">
      <c r="A596" s="110" t="s">
        <v>1073</v>
      </c>
      <c r="B596" s="111"/>
      <c r="C596" s="90" t="s">
        <v>1074</v>
      </c>
      <c r="D596" s="91">
        <v>43299</v>
      </c>
      <c r="E596" s="92"/>
      <c r="F596" s="93"/>
      <c r="G596" s="93"/>
      <c r="H596" s="93">
        <v>556</v>
      </c>
      <c r="I596" s="93">
        <v>515</v>
      </c>
      <c r="J596" s="93"/>
      <c r="K596" s="93">
        <f t="shared" si="108"/>
        <v>0</v>
      </c>
      <c r="L596" s="93">
        <f t="shared" si="109"/>
        <v>0</v>
      </c>
      <c r="M596" s="94">
        <v>20</v>
      </c>
      <c r="N596" s="95" t="s">
        <v>289</v>
      </c>
      <c r="O596" s="93">
        <f t="shared" si="101"/>
        <v>0</v>
      </c>
      <c r="P596" s="93">
        <f t="shared" si="102"/>
        <v>0</v>
      </c>
      <c r="Q596" s="93">
        <f t="shared" si="103"/>
        <v>0</v>
      </c>
      <c r="R596" s="93">
        <f t="shared" si="104"/>
        <v>60</v>
      </c>
      <c r="S596" s="93">
        <f t="shared" si="105"/>
        <v>0</v>
      </c>
      <c r="T596" s="93">
        <f t="shared" si="110"/>
        <v>60</v>
      </c>
      <c r="U596" s="253">
        <f t="shared" si="106"/>
        <v>455</v>
      </c>
      <c r="V596" s="93">
        <f t="shared" si="107"/>
        <v>0</v>
      </c>
    </row>
    <row r="597" spans="1:22" ht="18" customHeight="1" x14ac:dyDescent="0.2">
      <c r="A597" s="110" t="s">
        <v>1075</v>
      </c>
      <c r="B597" s="111"/>
      <c r="C597" s="201" t="s">
        <v>1076</v>
      </c>
      <c r="D597" s="91">
        <v>43312</v>
      </c>
      <c r="E597" s="92"/>
      <c r="F597" s="93"/>
      <c r="G597" s="93"/>
      <c r="H597" s="93">
        <v>434</v>
      </c>
      <c r="I597" s="93">
        <v>405</v>
      </c>
      <c r="J597" s="93"/>
      <c r="K597" s="93">
        <f t="shared" si="108"/>
        <v>0</v>
      </c>
      <c r="L597" s="93">
        <f t="shared" si="109"/>
        <v>0</v>
      </c>
      <c r="M597" s="94">
        <v>20</v>
      </c>
      <c r="N597" s="95" t="s">
        <v>289</v>
      </c>
      <c r="O597" s="93">
        <f t="shared" si="101"/>
        <v>0</v>
      </c>
      <c r="P597" s="93">
        <f t="shared" si="102"/>
        <v>0</v>
      </c>
      <c r="Q597" s="93">
        <f t="shared" si="103"/>
        <v>0</v>
      </c>
      <c r="R597" s="93">
        <f t="shared" si="104"/>
        <v>47</v>
      </c>
      <c r="S597" s="93">
        <f t="shared" si="105"/>
        <v>0</v>
      </c>
      <c r="T597" s="93">
        <f t="shared" si="110"/>
        <v>47</v>
      </c>
      <c r="U597" s="253">
        <f t="shared" si="106"/>
        <v>358</v>
      </c>
      <c r="V597" s="93">
        <f t="shared" si="107"/>
        <v>0</v>
      </c>
    </row>
    <row r="598" spans="1:22" ht="18" customHeight="1" x14ac:dyDescent="0.2">
      <c r="A598" s="110" t="s">
        <v>1077</v>
      </c>
      <c r="B598" s="111"/>
      <c r="C598" s="201" t="s">
        <v>1078</v>
      </c>
      <c r="D598" s="91">
        <v>43313</v>
      </c>
      <c r="E598" s="92"/>
      <c r="F598" s="93"/>
      <c r="G598" s="93"/>
      <c r="H598" s="93">
        <v>367.09000000000003</v>
      </c>
      <c r="I598" s="93">
        <v>351.09000000000003</v>
      </c>
      <c r="J598" s="93"/>
      <c r="K598" s="93">
        <f t="shared" si="108"/>
        <v>0</v>
      </c>
      <c r="L598" s="93">
        <f t="shared" si="109"/>
        <v>0</v>
      </c>
      <c r="M598" s="94">
        <v>13.33</v>
      </c>
      <c r="N598" s="95" t="s">
        <v>289</v>
      </c>
      <c r="O598" s="93">
        <f t="shared" si="101"/>
        <v>0</v>
      </c>
      <c r="P598" s="93">
        <f t="shared" si="102"/>
        <v>0</v>
      </c>
      <c r="Q598" s="93">
        <f t="shared" si="103"/>
        <v>0</v>
      </c>
      <c r="R598" s="93">
        <f t="shared" si="104"/>
        <v>27</v>
      </c>
      <c r="S598" s="93">
        <f t="shared" si="105"/>
        <v>0</v>
      </c>
      <c r="T598" s="93">
        <f t="shared" si="110"/>
        <v>27</v>
      </c>
      <c r="U598" s="253">
        <f t="shared" si="106"/>
        <v>324.09000000000003</v>
      </c>
      <c r="V598" s="93">
        <f t="shared" si="107"/>
        <v>0</v>
      </c>
    </row>
    <row r="599" spans="1:22" ht="18" customHeight="1" x14ac:dyDescent="0.2">
      <c r="A599" s="110" t="s">
        <v>1079</v>
      </c>
      <c r="B599" s="111"/>
      <c r="C599" s="201" t="s">
        <v>1080</v>
      </c>
      <c r="D599" s="91">
        <v>43326</v>
      </c>
      <c r="E599" s="92"/>
      <c r="F599" s="93"/>
      <c r="G599" s="93"/>
      <c r="H599" s="93">
        <v>20080.14</v>
      </c>
      <c r="I599" s="93">
        <v>19281.14</v>
      </c>
      <c r="J599" s="93"/>
      <c r="K599" s="93">
        <f t="shared" si="108"/>
        <v>0</v>
      </c>
      <c r="L599" s="93">
        <f t="shared" si="109"/>
        <v>0</v>
      </c>
      <c r="M599" s="94">
        <v>13.33</v>
      </c>
      <c r="N599" s="95" t="s">
        <v>289</v>
      </c>
      <c r="O599" s="93">
        <f t="shared" si="101"/>
        <v>0</v>
      </c>
      <c r="P599" s="93">
        <f t="shared" si="102"/>
        <v>0</v>
      </c>
      <c r="Q599" s="93">
        <f t="shared" si="103"/>
        <v>0</v>
      </c>
      <c r="R599" s="93">
        <f t="shared" si="104"/>
        <v>1499</v>
      </c>
      <c r="S599" s="93">
        <f t="shared" si="105"/>
        <v>0</v>
      </c>
      <c r="T599" s="93">
        <f t="shared" si="110"/>
        <v>1499</v>
      </c>
      <c r="U599" s="253">
        <f t="shared" si="106"/>
        <v>17782.14</v>
      </c>
      <c r="V599" s="93">
        <f t="shared" si="107"/>
        <v>0</v>
      </c>
    </row>
    <row r="600" spans="1:22" ht="18" customHeight="1" x14ac:dyDescent="0.2">
      <c r="A600" s="110" t="s">
        <v>1081</v>
      </c>
      <c r="B600" s="111"/>
      <c r="C600" s="201" t="s">
        <v>1082</v>
      </c>
      <c r="D600" s="91">
        <v>43339</v>
      </c>
      <c r="E600" s="92"/>
      <c r="F600" s="93"/>
      <c r="G600" s="93"/>
      <c r="H600" s="93">
        <v>975.30000000000007</v>
      </c>
      <c r="I600" s="93">
        <v>941.30000000000007</v>
      </c>
      <c r="J600" s="93"/>
      <c r="K600" s="93">
        <f t="shared" si="108"/>
        <v>0</v>
      </c>
      <c r="L600" s="93">
        <f t="shared" si="109"/>
        <v>0</v>
      </c>
      <c r="M600" s="94">
        <v>13.33</v>
      </c>
      <c r="N600" s="95" t="s">
        <v>289</v>
      </c>
      <c r="O600" s="93">
        <f t="shared" si="101"/>
        <v>0</v>
      </c>
      <c r="P600" s="93">
        <f t="shared" si="102"/>
        <v>0</v>
      </c>
      <c r="Q600" s="93">
        <f t="shared" si="103"/>
        <v>0</v>
      </c>
      <c r="R600" s="93">
        <f t="shared" si="104"/>
        <v>73</v>
      </c>
      <c r="S600" s="93">
        <f t="shared" si="105"/>
        <v>0</v>
      </c>
      <c r="T600" s="93">
        <f t="shared" si="110"/>
        <v>73</v>
      </c>
      <c r="U600" s="253">
        <f t="shared" si="106"/>
        <v>868.30000000000007</v>
      </c>
      <c r="V600" s="93">
        <f t="shared" si="107"/>
        <v>0</v>
      </c>
    </row>
    <row r="601" spans="1:22" ht="18" customHeight="1" x14ac:dyDescent="0.2">
      <c r="A601" s="110" t="s">
        <v>1083</v>
      </c>
      <c r="B601" s="111"/>
      <c r="C601" s="201" t="s">
        <v>1084</v>
      </c>
      <c r="D601" s="91">
        <v>43342</v>
      </c>
      <c r="E601" s="92"/>
      <c r="F601" s="93"/>
      <c r="G601" s="93"/>
      <c r="H601" s="93">
        <v>3844</v>
      </c>
      <c r="I601" s="93">
        <v>3713</v>
      </c>
      <c r="J601" s="93"/>
      <c r="K601" s="93">
        <f t="shared" si="108"/>
        <v>0</v>
      </c>
      <c r="L601" s="93">
        <f t="shared" si="109"/>
        <v>0</v>
      </c>
      <c r="M601" s="94">
        <v>13.33</v>
      </c>
      <c r="N601" s="95" t="s">
        <v>289</v>
      </c>
      <c r="O601" s="93">
        <f t="shared" si="101"/>
        <v>0</v>
      </c>
      <c r="P601" s="93">
        <f t="shared" si="102"/>
        <v>0</v>
      </c>
      <c r="Q601" s="93">
        <f t="shared" si="103"/>
        <v>0</v>
      </c>
      <c r="R601" s="93">
        <f t="shared" si="104"/>
        <v>288</v>
      </c>
      <c r="S601" s="93">
        <f t="shared" si="105"/>
        <v>0</v>
      </c>
      <c r="T601" s="93">
        <f t="shared" si="110"/>
        <v>288</v>
      </c>
      <c r="U601" s="253">
        <f t="shared" si="106"/>
        <v>3425</v>
      </c>
      <c r="V601" s="93">
        <f t="shared" si="107"/>
        <v>0</v>
      </c>
    </row>
    <row r="602" spans="1:22" ht="18" customHeight="1" x14ac:dyDescent="0.2">
      <c r="A602" s="110" t="s">
        <v>1085</v>
      </c>
      <c r="B602" s="111"/>
      <c r="C602" s="90" t="s">
        <v>1086</v>
      </c>
      <c r="D602" s="91">
        <v>43331</v>
      </c>
      <c r="E602" s="92"/>
      <c r="F602" s="93"/>
      <c r="G602" s="93"/>
      <c r="H602" s="93">
        <v>960</v>
      </c>
      <c r="I602" s="93">
        <v>924</v>
      </c>
      <c r="J602" s="93"/>
      <c r="K602" s="93">
        <f t="shared" si="108"/>
        <v>0</v>
      </c>
      <c r="L602" s="93">
        <f t="shared" si="109"/>
        <v>0</v>
      </c>
      <c r="M602" s="94">
        <v>13.33</v>
      </c>
      <c r="N602" s="95" t="s">
        <v>289</v>
      </c>
      <c r="O602" s="93">
        <f t="shared" si="101"/>
        <v>0</v>
      </c>
      <c r="P602" s="93">
        <f t="shared" si="102"/>
        <v>0</v>
      </c>
      <c r="Q602" s="93">
        <f t="shared" si="103"/>
        <v>0</v>
      </c>
      <c r="R602" s="93">
        <f t="shared" si="104"/>
        <v>71</v>
      </c>
      <c r="S602" s="93">
        <f t="shared" si="105"/>
        <v>0</v>
      </c>
      <c r="T602" s="93">
        <f t="shared" si="110"/>
        <v>71</v>
      </c>
      <c r="U602" s="253">
        <f t="shared" si="106"/>
        <v>853</v>
      </c>
      <c r="V602" s="93">
        <f t="shared" si="107"/>
        <v>0</v>
      </c>
    </row>
    <row r="603" spans="1:22" ht="18" customHeight="1" x14ac:dyDescent="0.2">
      <c r="A603" s="110" t="s">
        <v>1087</v>
      </c>
      <c r="B603" s="111"/>
      <c r="C603" s="201" t="s">
        <v>1088</v>
      </c>
      <c r="D603" s="91">
        <v>43312</v>
      </c>
      <c r="E603" s="92"/>
      <c r="F603" s="93"/>
      <c r="G603" s="93"/>
      <c r="H603" s="93">
        <v>1364</v>
      </c>
      <c r="I603" s="93">
        <v>1318</v>
      </c>
      <c r="J603" s="93"/>
      <c r="K603" s="93">
        <f t="shared" si="108"/>
        <v>0</v>
      </c>
      <c r="L603" s="93">
        <f t="shared" si="109"/>
        <v>0</v>
      </c>
      <c r="M603" s="94">
        <v>10</v>
      </c>
      <c r="N603" s="95" t="s">
        <v>289</v>
      </c>
      <c r="O603" s="93">
        <f t="shared" si="101"/>
        <v>0</v>
      </c>
      <c r="P603" s="93">
        <f t="shared" si="102"/>
        <v>0</v>
      </c>
      <c r="Q603" s="93">
        <f t="shared" si="103"/>
        <v>0</v>
      </c>
      <c r="R603" s="93">
        <f t="shared" si="104"/>
        <v>76</v>
      </c>
      <c r="S603" s="93">
        <f t="shared" si="105"/>
        <v>0</v>
      </c>
      <c r="T603" s="93">
        <f t="shared" si="110"/>
        <v>76</v>
      </c>
      <c r="U603" s="253">
        <f t="shared" si="106"/>
        <v>1242</v>
      </c>
      <c r="V603" s="93">
        <f t="shared" si="107"/>
        <v>0</v>
      </c>
    </row>
    <row r="604" spans="1:22" ht="18" customHeight="1" x14ac:dyDescent="0.2">
      <c r="A604" s="110" t="s">
        <v>1089</v>
      </c>
      <c r="B604" s="111"/>
      <c r="C604" s="201" t="s">
        <v>1090</v>
      </c>
      <c r="D604" s="91">
        <v>43343</v>
      </c>
      <c r="E604" s="92"/>
      <c r="F604" s="93"/>
      <c r="G604" s="93"/>
      <c r="H604" s="93">
        <v>4658</v>
      </c>
      <c r="I604" s="93">
        <v>4541</v>
      </c>
      <c r="J604" s="93"/>
      <c r="K604" s="93">
        <f t="shared" si="108"/>
        <v>0</v>
      </c>
      <c r="L604" s="93">
        <f t="shared" si="109"/>
        <v>0</v>
      </c>
      <c r="M604" s="94">
        <v>10</v>
      </c>
      <c r="N604" s="95" t="s">
        <v>289</v>
      </c>
      <c r="O604" s="93">
        <f t="shared" si="101"/>
        <v>0</v>
      </c>
      <c r="P604" s="93">
        <f t="shared" si="102"/>
        <v>0</v>
      </c>
      <c r="Q604" s="93">
        <f t="shared" si="103"/>
        <v>0</v>
      </c>
      <c r="R604" s="93">
        <f t="shared" si="104"/>
        <v>264</v>
      </c>
      <c r="S604" s="93">
        <f t="shared" si="105"/>
        <v>0</v>
      </c>
      <c r="T604" s="93">
        <f t="shared" si="110"/>
        <v>264</v>
      </c>
      <c r="U604" s="253">
        <f t="shared" si="106"/>
        <v>4277</v>
      </c>
      <c r="V604" s="93">
        <f t="shared" si="107"/>
        <v>0</v>
      </c>
    </row>
    <row r="605" spans="1:22" ht="18" customHeight="1" x14ac:dyDescent="0.2">
      <c r="A605" s="110" t="s">
        <v>1093</v>
      </c>
      <c r="B605" s="111"/>
      <c r="C605" s="201" t="s">
        <v>1094</v>
      </c>
      <c r="D605" s="91">
        <v>43290</v>
      </c>
      <c r="E605" s="92"/>
      <c r="F605" s="93"/>
      <c r="G605" s="93"/>
      <c r="H605" s="93">
        <v>10454.550000000001</v>
      </c>
      <c r="I605" s="93">
        <v>9623.5500000000011</v>
      </c>
      <c r="J605" s="93"/>
      <c r="K605" s="93">
        <f t="shared" si="108"/>
        <v>0</v>
      </c>
      <c r="L605" s="93">
        <f t="shared" si="109"/>
        <v>0</v>
      </c>
      <c r="M605" s="94">
        <v>20</v>
      </c>
      <c r="N605" s="95" t="s">
        <v>289</v>
      </c>
      <c r="O605" s="93">
        <f t="shared" si="101"/>
        <v>0</v>
      </c>
      <c r="P605" s="93">
        <f t="shared" si="102"/>
        <v>0</v>
      </c>
      <c r="Q605" s="93">
        <f t="shared" si="103"/>
        <v>0</v>
      </c>
      <c r="R605" s="93">
        <f t="shared" si="104"/>
        <v>1122</v>
      </c>
      <c r="S605" s="93">
        <f t="shared" si="105"/>
        <v>0</v>
      </c>
      <c r="T605" s="93">
        <f t="shared" si="110"/>
        <v>1122</v>
      </c>
      <c r="U605" s="253">
        <f t="shared" si="106"/>
        <v>8501.5500000000011</v>
      </c>
      <c r="V605" s="93">
        <f t="shared" si="107"/>
        <v>0</v>
      </c>
    </row>
    <row r="606" spans="1:22" ht="18" customHeight="1" x14ac:dyDescent="0.2">
      <c r="A606" s="110" t="s">
        <v>1095</v>
      </c>
      <c r="B606" s="111"/>
      <c r="C606" s="201" t="s">
        <v>1096</v>
      </c>
      <c r="D606" s="91">
        <v>43298</v>
      </c>
      <c r="E606" s="92"/>
      <c r="F606" s="93"/>
      <c r="G606" s="93"/>
      <c r="H606" s="93">
        <v>1512.73</v>
      </c>
      <c r="I606" s="93">
        <v>1398.73</v>
      </c>
      <c r="J606" s="93"/>
      <c r="K606" s="93">
        <f t="shared" si="108"/>
        <v>0</v>
      </c>
      <c r="L606" s="93">
        <f t="shared" si="109"/>
        <v>0</v>
      </c>
      <c r="M606" s="94">
        <v>20</v>
      </c>
      <c r="N606" s="95" t="s">
        <v>289</v>
      </c>
      <c r="O606" s="93">
        <f t="shared" si="101"/>
        <v>0</v>
      </c>
      <c r="P606" s="93">
        <f t="shared" si="102"/>
        <v>0</v>
      </c>
      <c r="Q606" s="93">
        <f t="shared" si="103"/>
        <v>0</v>
      </c>
      <c r="R606" s="93">
        <f t="shared" si="104"/>
        <v>163</v>
      </c>
      <c r="S606" s="93">
        <f t="shared" si="105"/>
        <v>0</v>
      </c>
      <c r="T606" s="93">
        <f t="shared" si="110"/>
        <v>163</v>
      </c>
      <c r="U606" s="253">
        <f t="shared" si="106"/>
        <v>1235.73</v>
      </c>
      <c r="V606" s="93">
        <f t="shared" si="107"/>
        <v>0</v>
      </c>
    </row>
    <row r="607" spans="1:22" ht="18" customHeight="1" x14ac:dyDescent="0.2">
      <c r="A607" s="110" t="s">
        <v>1097</v>
      </c>
      <c r="B607" s="111"/>
      <c r="C607" s="201" t="s">
        <v>1098</v>
      </c>
      <c r="D607" s="91">
        <v>43298</v>
      </c>
      <c r="E607" s="92"/>
      <c r="F607" s="93"/>
      <c r="G607" s="93"/>
      <c r="H607" s="93">
        <v>3528.1800000000003</v>
      </c>
      <c r="I607" s="93">
        <v>3263.1800000000003</v>
      </c>
      <c r="J607" s="93"/>
      <c r="K607" s="93">
        <f t="shared" si="108"/>
        <v>0</v>
      </c>
      <c r="L607" s="93">
        <f t="shared" si="109"/>
        <v>0</v>
      </c>
      <c r="M607" s="94">
        <v>20</v>
      </c>
      <c r="N607" s="95" t="s">
        <v>289</v>
      </c>
      <c r="O607" s="93">
        <f t="shared" si="101"/>
        <v>0</v>
      </c>
      <c r="P607" s="93">
        <f t="shared" si="102"/>
        <v>0</v>
      </c>
      <c r="Q607" s="93">
        <f t="shared" si="103"/>
        <v>0</v>
      </c>
      <c r="R607" s="93">
        <f t="shared" si="104"/>
        <v>380</v>
      </c>
      <c r="S607" s="93">
        <f t="shared" si="105"/>
        <v>0</v>
      </c>
      <c r="T607" s="93">
        <f t="shared" si="110"/>
        <v>380</v>
      </c>
      <c r="U607" s="253">
        <f t="shared" si="106"/>
        <v>2883.1800000000003</v>
      </c>
      <c r="V607" s="93">
        <f t="shared" si="107"/>
        <v>0</v>
      </c>
    </row>
    <row r="608" spans="1:22" ht="18" customHeight="1" x14ac:dyDescent="0.2">
      <c r="A608" s="110" t="s">
        <v>1099</v>
      </c>
      <c r="B608" s="111"/>
      <c r="C608" s="201" t="s">
        <v>1100</v>
      </c>
      <c r="D608" s="91">
        <v>43319</v>
      </c>
      <c r="E608" s="92"/>
      <c r="F608" s="93"/>
      <c r="G608" s="93"/>
      <c r="H608" s="93">
        <v>1747.32</v>
      </c>
      <c r="I608" s="93">
        <v>1636.32</v>
      </c>
      <c r="J608" s="93"/>
      <c r="K608" s="93">
        <f t="shared" si="108"/>
        <v>0</v>
      </c>
      <c r="L608" s="93">
        <f t="shared" si="109"/>
        <v>0</v>
      </c>
      <c r="M608" s="94">
        <v>20</v>
      </c>
      <c r="N608" s="95" t="s">
        <v>289</v>
      </c>
      <c r="O608" s="93">
        <f t="shared" si="101"/>
        <v>0</v>
      </c>
      <c r="P608" s="93">
        <f t="shared" si="102"/>
        <v>0</v>
      </c>
      <c r="Q608" s="93">
        <f t="shared" si="103"/>
        <v>0</v>
      </c>
      <c r="R608" s="93">
        <f t="shared" si="104"/>
        <v>190</v>
      </c>
      <c r="S608" s="93">
        <f t="shared" si="105"/>
        <v>0</v>
      </c>
      <c r="T608" s="93">
        <f t="shared" si="110"/>
        <v>190</v>
      </c>
      <c r="U608" s="253">
        <f t="shared" si="106"/>
        <v>1446.32</v>
      </c>
      <c r="V608" s="93">
        <f t="shared" si="107"/>
        <v>0</v>
      </c>
    </row>
    <row r="609" spans="1:24" ht="18" customHeight="1" x14ac:dyDescent="0.2">
      <c r="A609" s="110" t="s">
        <v>1101</v>
      </c>
      <c r="B609" s="111"/>
      <c r="C609" s="201" t="s">
        <v>1102</v>
      </c>
      <c r="D609" s="91">
        <v>43383</v>
      </c>
      <c r="E609" s="92"/>
      <c r="F609" s="93"/>
      <c r="G609" s="93"/>
      <c r="H609" s="93">
        <v>1715.45</v>
      </c>
      <c r="I609" s="93">
        <v>1666.45</v>
      </c>
      <c r="J609" s="93"/>
      <c r="K609" s="93">
        <f t="shared" si="108"/>
        <v>0</v>
      </c>
      <c r="L609" s="93">
        <f t="shared" si="109"/>
        <v>0</v>
      </c>
      <c r="M609" s="94">
        <v>20</v>
      </c>
      <c r="N609" s="95" t="s">
        <v>289</v>
      </c>
      <c r="O609" s="93">
        <f t="shared" si="101"/>
        <v>0</v>
      </c>
      <c r="P609" s="93">
        <f t="shared" si="102"/>
        <v>0</v>
      </c>
      <c r="Q609" s="93">
        <f t="shared" si="103"/>
        <v>0</v>
      </c>
      <c r="R609" s="93">
        <f t="shared" si="104"/>
        <v>194</v>
      </c>
      <c r="S609" s="93">
        <f t="shared" si="105"/>
        <v>0</v>
      </c>
      <c r="T609" s="93">
        <f t="shared" si="110"/>
        <v>194</v>
      </c>
      <c r="U609" s="253">
        <f t="shared" si="106"/>
        <v>1472.45</v>
      </c>
      <c r="V609" s="93">
        <f t="shared" si="107"/>
        <v>0</v>
      </c>
    </row>
    <row r="610" spans="1:24" ht="18" customHeight="1" x14ac:dyDescent="0.2">
      <c r="A610" s="110" t="s">
        <v>1103</v>
      </c>
      <c r="B610" s="111"/>
      <c r="C610" s="203" t="s">
        <v>1104</v>
      </c>
      <c r="D610" s="91">
        <v>43395</v>
      </c>
      <c r="E610" s="92"/>
      <c r="F610" s="93"/>
      <c r="G610" s="209"/>
      <c r="H610" s="93">
        <v>30000</v>
      </c>
      <c r="I610" s="93">
        <v>29671</v>
      </c>
      <c r="J610" s="93"/>
      <c r="K610" s="93">
        <f t="shared" si="108"/>
        <v>0</v>
      </c>
      <c r="L610" s="93">
        <f t="shared" si="109"/>
        <v>0</v>
      </c>
      <c r="M610" s="94">
        <v>10</v>
      </c>
      <c r="N610" s="95" t="s">
        <v>289</v>
      </c>
      <c r="O610" s="93">
        <f t="shared" si="101"/>
        <v>0</v>
      </c>
      <c r="P610" s="93">
        <f t="shared" si="102"/>
        <v>0</v>
      </c>
      <c r="Q610" s="93">
        <f t="shared" si="103"/>
        <v>0</v>
      </c>
      <c r="R610" s="93">
        <f t="shared" si="104"/>
        <v>1730</v>
      </c>
      <c r="S610" s="93">
        <f t="shared" si="105"/>
        <v>0</v>
      </c>
      <c r="T610" s="93">
        <f t="shared" si="110"/>
        <v>1730</v>
      </c>
      <c r="U610" s="253">
        <f t="shared" si="106"/>
        <v>27941</v>
      </c>
      <c r="V610" s="93">
        <f t="shared" si="107"/>
        <v>0</v>
      </c>
    </row>
    <row r="611" spans="1:24" ht="18" customHeight="1" x14ac:dyDescent="0.2">
      <c r="A611" s="110" t="s">
        <v>1105</v>
      </c>
      <c r="B611" s="111"/>
      <c r="C611" s="201" t="s">
        <v>1106</v>
      </c>
      <c r="D611" s="91">
        <v>43374</v>
      </c>
      <c r="E611" s="92"/>
      <c r="F611" s="93"/>
      <c r="G611" s="93"/>
      <c r="H611" s="93">
        <v>1060</v>
      </c>
      <c r="I611" s="93">
        <v>1025</v>
      </c>
      <c r="J611" s="93"/>
      <c r="K611" s="93">
        <f t="shared" si="108"/>
        <v>0</v>
      </c>
      <c r="L611" s="93">
        <f t="shared" si="109"/>
        <v>0</v>
      </c>
      <c r="M611" s="94">
        <v>20</v>
      </c>
      <c r="N611" s="95" t="s">
        <v>289</v>
      </c>
      <c r="O611" s="93">
        <f t="shared" si="101"/>
        <v>0</v>
      </c>
      <c r="P611" s="93">
        <f t="shared" si="102"/>
        <v>0</v>
      </c>
      <c r="Q611" s="93">
        <f t="shared" si="103"/>
        <v>0</v>
      </c>
      <c r="R611" s="93">
        <f t="shared" si="104"/>
        <v>119</v>
      </c>
      <c r="S611" s="93">
        <f t="shared" si="105"/>
        <v>0</v>
      </c>
      <c r="T611" s="93">
        <f t="shared" si="110"/>
        <v>119</v>
      </c>
      <c r="U611" s="253">
        <f t="shared" si="106"/>
        <v>906</v>
      </c>
      <c r="V611" s="93">
        <f t="shared" si="107"/>
        <v>0</v>
      </c>
    </row>
    <row r="612" spans="1:24" ht="18" customHeight="1" x14ac:dyDescent="0.2">
      <c r="A612" s="110" t="s">
        <v>1107</v>
      </c>
      <c r="B612" s="111"/>
      <c r="C612" s="201" t="s">
        <v>1108</v>
      </c>
      <c r="D612" s="91">
        <v>43406</v>
      </c>
      <c r="E612" s="92"/>
      <c r="F612" s="93"/>
      <c r="G612" s="93"/>
      <c r="H612" s="93">
        <v>2036.3600000000001</v>
      </c>
      <c r="I612" s="93">
        <v>2004.3600000000001</v>
      </c>
      <c r="J612" s="93"/>
      <c r="K612" s="93">
        <f t="shared" si="108"/>
        <v>0</v>
      </c>
      <c r="L612" s="93">
        <f t="shared" si="109"/>
        <v>0</v>
      </c>
      <c r="M612" s="94">
        <v>20</v>
      </c>
      <c r="N612" s="95" t="s">
        <v>289</v>
      </c>
      <c r="O612" s="93">
        <f t="shared" si="101"/>
        <v>0</v>
      </c>
      <c r="P612" s="93">
        <f t="shared" si="102"/>
        <v>0</v>
      </c>
      <c r="Q612" s="93">
        <f t="shared" si="103"/>
        <v>0</v>
      </c>
      <c r="R612" s="93">
        <f t="shared" si="104"/>
        <v>233</v>
      </c>
      <c r="S612" s="93">
        <f t="shared" si="105"/>
        <v>0</v>
      </c>
      <c r="T612" s="93">
        <f t="shared" si="110"/>
        <v>233</v>
      </c>
      <c r="U612" s="253">
        <f t="shared" si="106"/>
        <v>1771.3600000000001</v>
      </c>
      <c r="V612" s="93">
        <f t="shared" si="107"/>
        <v>0</v>
      </c>
    </row>
    <row r="613" spans="1:24" ht="18" customHeight="1" x14ac:dyDescent="0.2">
      <c r="A613" s="110" t="s">
        <v>1109</v>
      </c>
      <c r="B613" s="111"/>
      <c r="C613" s="201" t="s">
        <v>1110</v>
      </c>
      <c r="D613" s="91">
        <v>43410</v>
      </c>
      <c r="E613" s="92"/>
      <c r="F613" s="93"/>
      <c r="G613" s="93"/>
      <c r="H613" s="93">
        <v>545.45000000000005</v>
      </c>
      <c r="I613" s="93">
        <v>538.45000000000005</v>
      </c>
      <c r="J613" s="93"/>
      <c r="K613" s="93">
        <f t="shared" si="108"/>
        <v>0</v>
      </c>
      <c r="L613" s="93">
        <f t="shared" si="109"/>
        <v>0</v>
      </c>
      <c r="M613" s="94">
        <v>20</v>
      </c>
      <c r="N613" s="95" t="s">
        <v>289</v>
      </c>
      <c r="O613" s="93">
        <f>IF(E613&gt;0,INT(IF($N613="D",IF($D613&lt;$H$3,$I613*($M613/100)*((E613-$H$3)/365),$J613*($M613/100)*($J$3-$D613)/365),0)),0)</f>
        <v>0</v>
      </c>
      <c r="P613" s="93">
        <f>IF(E613&gt;0,INT(IF($N613="P",IF($D613&lt;$H$3,$H613*($M613/100)*(E613-$H$3)/365,$J613*($M613/100)*($J$3-$D613)/365),0)),0)</f>
        <v>0</v>
      </c>
      <c r="Q613" s="93">
        <f>+O613+P613</f>
        <v>0</v>
      </c>
      <c r="R613" s="93">
        <f>INT(IF($E613&gt;0,0,(IF($N613="D",IF($D613&lt;$H$3,$I613*($M613/100)*$U$3/12,$J613*($M613/100)*($J$3-$D613)/365),0))))</f>
        <v>62</v>
      </c>
      <c r="S613" s="93">
        <f>INT(IF($E613&gt;0,0,(IF($N613="P",IF($D613&lt;$H$3,$H613*($M613/100)*$U$3/12,$J613*($M613/100)*($J$3-$D613)/365),0))))</f>
        <v>0</v>
      </c>
      <c r="T613" s="93">
        <f t="shared" si="110"/>
        <v>62</v>
      </c>
      <c r="U613" s="253">
        <f t="shared" si="106"/>
        <v>476.45000000000005</v>
      </c>
      <c r="V613" s="93">
        <f t="shared" si="107"/>
        <v>0</v>
      </c>
    </row>
    <row r="614" spans="1:24" ht="18" customHeight="1" x14ac:dyDescent="0.2">
      <c r="A614" s="110" t="s">
        <v>1111</v>
      </c>
      <c r="B614" s="111"/>
      <c r="C614" s="201" t="s">
        <v>1112</v>
      </c>
      <c r="D614" s="91">
        <v>43410</v>
      </c>
      <c r="E614" s="92"/>
      <c r="F614" s="93"/>
      <c r="G614" s="93"/>
      <c r="H614" s="93">
        <v>690.73</v>
      </c>
      <c r="I614" s="93">
        <v>681.73</v>
      </c>
      <c r="J614" s="93"/>
      <c r="K614" s="93">
        <f t="shared" si="108"/>
        <v>0</v>
      </c>
      <c r="L614" s="93">
        <f t="shared" si="109"/>
        <v>0</v>
      </c>
      <c r="M614" s="94">
        <v>20</v>
      </c>
      <c r="N614" s="95" t="s">
        <v>289</v>
      </c>
      <c r="O614" s="93">
        <f>IF(E614&gt;0,INT(IF($N614="D",IF($D614&lt;$H$3,$I614*($M614/100)*((E614-$H$3)/365),$J614*($M614/100)*($J$3-$D614)/365),0)),0)</f>
        <v>0</v>
      </c>
      <c r="P614" s="93">
        <f>IF(E614&gt;0,INT(IF($N614="P",IF($D614&lt;$H$3,$H614*($M614/100)*(E614-$H$3)/365,$J614*($M614/100)*($J$3-$D614)/365),0)),0)</f>
        <v>0</v>
      </c>
      <c r="Q614" s="93">
        <f>+O614+P614</f>
        <v>0</v>
      </c>
      <c r="R614" s="93">
        <f>INT(IF($E614&gt;0,0,(IF($N614="D",IF($D614&lt;$H$3,$I614*($M614/100)*$U$3/12,$J614*($M614/100)*($J$3-$D614)/365),0))))</f>
        <v>79</v>
      </c>
      <c r="S614" s="93">
        <f>INT(IF($E614&gt;0,0,(IF($N614="P",IF($D614&lt;$H$3,$H614*($M614/100)*$U$3/12,$J614*($M614/100)*($J$3-$D614)/365),0))))</f>
        <v>0</v>
      </c>
      <c r="T614" s="93">
        <f t="shared" si="110"/>
        <v>79</v>
      </c>
      <c r="U614" s="253">
        <f t="shared" si="106"/>
        <v>602.73</v>
      </c>
      <c r="V614" s="93">
        <f t="shared" si="107"/>
        <v>0</v>
      </c>
    </row>
    <row r="615" spans="1:24" ht="18" customHeight="1" x14ac:dyDescent="0.2">
      <c r="A615" s="110" t="s">
        <v>1113</v>
      </c>
      <c r="B615" s="111"/>
      <c r="C615" s="90" t="s">
        <v>1114</v>
      </c>
      <c r="D615" s="91">
        <v>43427</v>
      </c>
      <c r="E615" s="92"/>
      <c r="F615" s="93"/>
      <c r="G615" s="93"/>
      <c r="H615" s="93">
        <v>11137.12</v>
      </c>
      <c r="I615" s="93">
        <v>11088.12</v>
      </c>
      <c r="J615" s="93"/>
      <c r="K615" s="93">
        <f t="shared" si="108"/>
        <v>0</v>
      </c>
      <c r="L615" s="93">
        <f t="shared" si="109"/>
        <v>0</v>
      </c>
      <c r="M615" s="94">
        <v>20</v>
      </c>
      <c r="N615" s="95" t="s">
        <v>289</v>
      </c>
      <c r="O615" s="93">
        <f>IF(E615&gt;0,INT(IF($N615="D",IF($D615&lt;$H$3,$I615*($M615/100)*((E615-$H$3)/365),$J615*($M615/100)*($J$3-$D615)/365),0)),0)</f>
        <v>0</v>
      </c>
      <c r="P615" s="93">
        <f>IF(E615&gt;0,INT(IF($N615="P",IF($D615&lt;$H$3,$H615*($M615/100)*(E615-$H$3)/365,$J615*($M615/100)*($J$3-$D615)/365),0)),0)</f>
        <v>0</v>
      </c>
      <c r="Q615" s="93">
        <f>+O615+P615</f>
        <v>0</v>
      </c>
      <c r="R615" s="93">
        <f>INT(IF($E615&gt;0,0,(IF($N615="D",IF($D615&lt;$H$3,$I615*($M615/100)*$U$3/12,$J615*($M615/100)*($J$3-$D615)/365),0))))</f>
        <v>1293</v>
      </c>
      <c r="S615" s="93">
        <f>INT(IF($E615&gt;0,0,(IF($N615="P",IF($D615&lt;$H$3,$H615*($M615/100)*$U$3/12,$J615*($M615/100)*($J$3-$D615)/365),0))))</f>
        <v>0</v>
      </c>
      <c r="T615" s="93">
        <f t="shared" si="110"/>
        <v>1293</v>
      </c>
      <c r="U615" s="253">
        <f t="shared" si="106"/>
        <v>9795.1200000000008</v>
      </c>
      <c r="V615" s="93">
        <f t="shared" ref="V615:V630" si="111">IF(E615&gt;0,+H615+J615,0)</f>
        <v>0</v>
      </c>
    </row>
    <row r="616" spans="1:24" ht="18" customHeight="1" x14ac:dyDescent="0.2">
      <c r="A616" s="110" t="s">
        <v>1115</v>
      </c>
      <c r="B616" s="111"/>
      <c r="C616" s="201" t="s">
        <v>1116</v>
      </c>
      <c r="D616" s="91">
        <v>43432</v>
      </c>
      <c r="E616" s="92"/>
      <c r="F616" s="93"/>
      <c r="G616" s="93"/>
      <c r="H616" s="93">
        <v>7168.75</v>
      </c>
      <c r="I616" s="93">
        <v>7156.75</v>
      </c>
      <c r="J616" s="93"/>
      <c r="K616" s="93">
        <f t="shared" si="108"/>
        <v>0</v>
      </c>
      <c r="L616" s="93">
        <f t="shared" si="109"/>
        <v>0</v>
      </c>
      <c r="M616" s="94">
        <v>20</v>
      </c>
      <c r="N616" s="95" t="s">
        <v>289</v>
      </c>
      <c r="O616" s="93">
        <f>IF(E616&gt;0,INT(IF($N616="D",IF($D616&lt;$H$3,$I616*($M616/100)*((E616-$H$3)/365),$J616*($M616/100)*($J$3-$D616)/365),0)),0)</f>
        <v>0</v>
      </c>
      <c r="P616" s="93">
        <f>IF(E616&gt;0,INT(IF($N616="P",IF($D616&lt;$H$3,$H616*($M616/100)*(E616-$H$3)/365,$J616*($M616/100)*($J$3-$D616)/365),0)),0)</f>
        <v>0</v>
      </c>
      <c r="Q616" s="93">
        <f>+O616+P616</f>
        <v>0</v>
      </c>
      <c r="R616" s="93">
        <f>INT(IF($E616&gt;0,0,(IF($N616="D",IF($D616&lt;$H$3,$I616*($M616/100)*$U$3/12,$J616*($M616/100)*($J$3-$D616)/365),0))))</f>
        <v>834</v>
      </c>
      <c r="S616" s="93">
        <f>INT(IF($E616&gt;0,0,(IF($N616="P",IF($D616&lt;$H$3,$H616*($M616/100)*$U$3/12,$J616*($M616/100)*($J$3-$D616)/365),0))))</f>
        <v>0</v>
      </c>
      <c r="T616" s="93">
        <f t="shared" si="110"/>
        <v>834</v>
      </c>
      <c r="U616" s="253">
        <f t="shared" si="106"/>
        <v>6322.75</v>
      </c>
      <c r="V616" s="93">
        <f t="shared" si="111"/>
        <v>0</v>
      </c>
    </row>
    <row r="617" spans="1:24" ht="18" customHeight="1" x14ac:dyDescent="0.2">
      <c r="A617" s="110" t="s">
        <v>2045</v>
      </c>
      <c r="B617" s="111"/>
      <c r="C617" s="201" t="s">
        <v>2055</v>
      </c>
      <c r="D617" s="91">
        <v>43585</v>
      </c>
      <c r="E617" s="92"/>
      <c r="F617" s="93"/>
      <c r="G617" s="93"/>
      <c r="H617" s="93"/>
      <c r="I617" s="93"/>
      <c r="J617" s="93">
        <v>54800</v>
      </c>
      <c r="K617" s="93">
        <f t="shared" ref="K617:K622" si="112">INT(IF($E617&gt;0,IF(+F617-I617+Q617&lt;0,0,+F617-I617+Q617),0))</f>
        <v>0</v>
      </c>
      <c r="L617" s="93">
        <f t="shared" ref="L617:L622" si="113">INT(IF($E617&gt;0,IF(K617=0,-F617+I617-Q617,0),0))</f>
        <v>0</v>
      </c>
      <c r="M617" s="94">
        <v>6.67</v>
      </c>
      <c r="N617" s="95" t="s">
        <v>289</v>
      </c>
      <c r="O617" s="93">
        <f t="shared" ref="O617:O622" si="114">IF(E617&gt;0,INT(IF($N617="D",IF($D617&lt;$H$3,$I617*($M617/100)*((E617-$H$3)/365),$J617*($M617/100)*($J$3-$D617)/365),0)),0)</f>
        <v>0</v>
      </c>
      <c r="P617" s="93">
        <f t="shared" ref="P617:P622" si="115">IF(E617&gt;0,INT(IF($N617="P",IF($D617&lt;$H$3,$H617*($M617/100)*(E617-$H$3)/365,$J617*($M617/100)*($J$3-$D617)/365),0)),0)</f>
        <v>0</v>
      </c>
      <c r="Q617" s="93">
        <f t="shared" ref="Q617:Q622" si="116">+O617+P617</f>
        <v>0</v>
      </c>
      <c r="R617" s="93">
        <f t="shared" ref="R617:R630" si="117">INT(IF($E617&gt;0,0,(IF($N617="D",IF($D617&lt;$H$3,$I617*($M617/100)*$U$3/12,$J617*($M617/100)*($J$3-$D617)/365),0))))</f>
        <v>610</v>
      </c>
      <c r="S617" s="93">
        <f t="shared" ref="S617:S630" si="118">INT(IF($E617&gt;0,0,(IF($N617="P",IF($D617&lt;$H$3,$H617*($M617/100)*$U$3/12,$J617*($M617/100)*($J$3-$D617)/365),0))))</f>
        <v>0</v>
      </c>
      <c r="T617" s="93">
        <f t="shared" ref="T617:T622" si="119">+R617+S617+Q617</f>
        <v>610</v>
      </c>
      <c r="U617" s="253">
        <f t="shared" ref="U617:U622" si="120">+I617+J617-T617-F617+K617-L617</f>
        <v>54190</v>
      </c>
      <c r="V617" s="93">
        <f t="shared" si="111"/>
        <v>0</v>
      </c>
      <c r="X617" s="159"/>
    </row>
    <row r="618" spans="1:24" ht="18" customHeight="1" x14ac:dyDescent="0.2">
      <c r="A618" s="110" t="s">
        <v>2048</v>
      </c>
      <c r="B618" s="111"/>
      <c r="C618" s="201" t="s">
        <v>2058</v>
      </c>
      <c r="D618" s="91">
        <v>43538</v>
      </c>
      <c r="E618" s="92"/>
      <c r="F618" s="93"/>
      <c r="G618" s="93"/>
      <c r="H618" s="93"/>
      <c r="I618" s="93"/>
      <c r="J618" s="93">
        <v>14614</v>
      </c>
      <c r="K618" s="93">
        <f t="shared" si="112"/>
        <v>0</v>
      </c>
      <c r="L618" s="93">
        <f t="shared" si="113"/>
        <v>0</v>
      </c>
      <c r="M618" s="94">
        <v>6.67</v>
      </c>
      <c r="N618" s="95" t="s">
        <v>289</v>
      </c>
      <c r="O618" s="93">
        <f t="shared" si="114"/>
        <v>0</v>
      </c>
      <c r="P618" s="93">
        <f t="shared" si="115"/>
        <v>0</v>
      </c>
      <c r="Q618" s="93">
        <f t="shared" si="116"/>
        <v>0</v>
      </c>
      <c r="R618" s="93">
        <f t="shared" si="117"/>
        <v>288</v>
      </c>
      <c r="S618" s="93">
        <f t="shared" si="118"/>
        <v>0</v>
      </c>
      <c r="T618" s="93">
        <f t="shared" si="119"/>
        <v>288</v>
      </c>
      <c r="U618" s="253">
        <f t="shared" si="120"/>
        <v>14326</v>
      </c>
      <c r="V618" s="93">
        <f t="shared" si="111"/>
        <v>0</v>
      </c>
    </row>
    <row r="619" spans="1:24" ht="18" customHeight="1" x14ac:dyDescent="0.2">
      <c r="A619" s="110" t="s">
        <v>2049</v>
      </c>
      <c r="B619" s="111"/>
      <c r="C619" s="201" t="s">
        <v>2059</v>
      </c>
      <c r="D619" s="91">
        <v>43555</v>
      </c>
      <c r="E619" s="92"/>
      <c r="F619" s="93"/>
      <c r="G619" s="93"/>
      <c r="H619" s="93"/>
      <c r="I619" s="93"/>
      <c r="J619" s="93">
        <v>65105</v>
      </c>
      <c r="K619" s="93">
        <f t="shared" si="112"/>
        <v>0</v>
      </c>
      <c r="L619" s="93">
        <f t="shared" si="113"/>
        <v>0</v>
      </c>
      <c r="M619" s="94">
        <v>10</v>
      </c>
      <c r="N619" s="95" t="s">
        <v>289</v>
      </c>
      <c r="O619" s="93">
        <f t="shared" si="114"/>
        <v>0</v>
      </c>
      <c r="P619" s="93">
        <f t="shared" si="115"/>
        <v>0</v>
      </c>
      <c r="Q619" s="93">
        <f t="shared" si="116"/>
        <v>0</v>
      </c>
      <c r="R619" s="93">
        <f t="shared" si="117"/>
        <v>1623</v>
      </c>
      <c r="S619" s="93">
        <f t="shared" si="118"/>
        <v>0</v>
      </c>
      <c r="T619" s="93">
        <f t="shared" si="119"/>
        <v>1623</v>
      </c>
      <c r="U619" s="253">
        <f t="shared" si="120"/>
        <v>63482</v>
      </c>
      <c r="V619" s="93">
        <f t="shared" si="111"/>
        <v>0</v>
      </c>
    </row>
    <row r="620" spans="1:24" ht="18" customHeight="1" x14ac:dyDescent="0.2">
      <c r="A620" s="110" t="s">
        <v>2050</v>
      </c>
      <c r="B620" s="111"/>
      <c r="C620" s="201" t="s">
        <v>2060</v>
      </c>
      <c r="D620" s="91">
        <v>43524</v>
      </c>
      <c r="E620" s="92"/>
      <c r="F620" s="93"/>
      <c r="G620" s="93"/>
      <c r="H620" s="93"/>
      <c r="I620" s="93"/>
      <c r="J620" s="93">
        <v>42780</v>
      </c>
      <c r="K620" s="93">
        <f>INT(IF($E620&gt;0,IF(+F620-I620+Q620&lt;0,0,+F620-I620+Q620),0))</f>
        <v>0</v>
      </c>
      <c r="L620" s="93">
        <f>INT(IF($E620&gt;0,IF(K620=0,-F620+I620-Q620,0),0))</f>
        <v>0</v>
      </c>
      <c r="M620" s="94">
        <v>10</v>
      </c>
      <c r="N620" s="95" t="s">
        <v>289</v>
      </c>
      <c r="O620" s="93">
        <f>IF(E620&gt;0,INT(IF($N620="D",IF($D620&lt;$H$3,$I620*($M620/100)*((E620-$H$3)/365),$J620*($M620/100)*($J$3-$D620)/365),0)),0)</f>
        <v>0</v>
      </c>
      <c r="P620" s="93">
        <f>IF(E620&gt;0,INT(IF($N620="P",IF($D620&lt;$H$3,$H620*($M620/100)*(E620-$H$3)/365,$J620*($M620/100)*($J$3-$D620)/365),0)),0)</f>
        <v>0</v>
      </c>
      <c r="Q620" s="93">
        <f>+O620+P620</f>
        <v>0</v>
      </c>
      <c r="R620" s="93">
        <f t="shared" si="117"/>
        <v>1429</v>
      </c>
      <c r="S620" s="93">
        <f t="shared" si="118"/>
        <v>0</v>
      </c>
      <c r="T620" s="93">
        <f>+R620+S620+Q620</f>
        <v>1429</v>
      </c>
      <c r="U620" s="253">
        <f>+I620+J620-T620-F620+K620-L620</f>
        <v>41351</v>
      </c>
      <c r="V620" s="93">
        <f t="shared" si="111"/>
        <v>0</v>
      </c>
    </row>
    <row r="621" spans="1:24" ht="18" customHeight="1" x14ac:dyDescent="0.2">
      <c r="A621" s="110" t="s">
        <v>2051</v>
      </c>
      <c r="B621" s="111"/>
      <c r="C621" s="201" t="s">
        <v>2037</v>
      </c>
      <c r="D621" s="91">
        <v>43487</v>
      </c>
      <c r="E621" s="92"/>
      <c r="F621" s="93"/>
      <c r="G621" s="93"/>
      <c r="H621" s="93"/>
      <c r="I621" s="93"/>
      <c r="J621" s="93">
        <v>33510</v>
      </c>
      <c r="K621" s="93">
        <f t="shared" si="112"/>
        <v>0</v>
      </c>
      <c r="L621" s="93">
        <f t="shared" si="113"/>
        <v>0</v>
      </c>
      <c r="M621" s="94">
        <v>20</v>
      </c>
      <c r="N621" s="95" t="s">
        <v>289</v>
      </c>
      <c r="O621" s="93">
        <f t="shared" si="114"/>
        <v>0</v>
      </c>
      <c r="P621" s="93">
        <f t="shared" si="115"/>
        <v>0</v>
      </c>
      <c r="Q621" s="93">
        <f t="shared" si="116"/>
        <v>0</v>
      </c>
      <c r="R621" s="93">
        <f t="shared" si="117"/>
        <v>2919</v>
      </c>
      <c r="S621" s="93">
        <f t="shared" si="118"/>
        <v>0</v>
      </c>
      <c r="T621" s="93">
        <f t="shared" si="119"/>
        <v>2919</v>
      </c>
      <c r="U621" s="253">
        <f t="shared" si="120"/>
        <v>30591</v>
      </c>
      <c r="V621" s="93">
        <f t="shared" si="111"/>
        <v>0</v>
      </c>
    </row>
    <row r="622" spans="1:24" ht="18" customHeight="1" x14ac:dyDescent="0.2">
      <c r="A622" s="110" t="s">
        <v>2052</v>
      </c>
      <c r="B622" s="111"/>
      <c r="C622" s="201" t="s">
        <v>2062</v>
      </c>
      <c r="D622" s="91">
        <v>43524</v>
      </c>
      <c r="E622" s="92"/>
      <c r="F622" s="93"/>
      <c r="G622" s="93"/>
      <c r="H622" s="93"/>
      <c r="I622" s="93"/>
      <c r="J622" s="93">
        <v>10285.01</v>
      </c>
      <c r="K622" s="93">
        <f t="shared" si="112"/>
        <v>0</v>
      </c>
      <c r="L622" s="93">
        <f t="shared" si="113"/>
        <v>0</v>
      </c>
      <c r="M622" s="94">
        <v>20</v>
      </c>
      <c r="N622" s="95" t="s">
        <v>289</v>
      </c>
      <c r="O622" s="93">
        <f t="shared" si="114"/>
        <v>0</v>
      </c>
      <c r="P622" s="93">
        <f t="shared" si="115"/>
        <v>0</v>
      </c>
      <c r="Q622" s="93">
        <f t="shared" si="116"/>
        <v>0</v>
      </c>
      <c r="R622" s="93">
        <f t="shared" si="117"/>
        <v>687</v>
      </c>
      <c r="S622" s="93">
        <f t="shared" si="118"/>
        <v>0</v>
      </c>
      <c r="T622" s="93">
        <f t="shared" si="119"/>
        <v>687</v>
      </c>
      <c r="U622" s="253">
        <f t="shared" si="120"/>
        <v>9598.01</v>
      </c>
      <c r="V622" s="93">
        <f t="shared" si="111"/>
        <v>0</v>
      </c>
    </row>
    <row r="623" spans="1:24" ht="18" customHeight="1" x14ac:dyDescent="0.2">
      <c r="A623" s="110" t="s">
        <v>2053</v>
      </c>
      <c r="B623" s="111"/>
      <c r="C623" s="201" t="s">
        <v>2073</v>
      </c>
      <c r="D623" s="91">
        <v>43461</v>
      </c>
      <c r="E623" s="92"/>
      <c r="F623" s="93"/>
      <c r="G623" s="93"/>
      <c r="H623" s="93"/>
      <c r="I623" s="93"/>
      <c r="J623" s="93">
        <v>2515</v>
      </c>
      <c r="K623" s="93">
        <f t="shared" ref="K623:K628" si="121">INT(IF($E623&gt;0,IF(+F623-I623+Q623&lt;0,0,+F623-I623+Q623),0))</f>
        <v>0</v>
      </c>
      <c r="L623" s="93">
        <f t="shared" ref="L623:L628" si="122">INT(IF($E623&gt;0,IF(K623=0,-F623+I623-Q623,0),0))</f>
        <v>0</v>
      </c>
      <c r="M623" s="94">
        <v>20</v>
      </c>
      <c r="N623" s="95" t="s">
        <v>289</v>
      </c>
      <c r="O623" s="93">
        <f t="shared" ref="O623:O628" si="123">IF(E623&gt;0,INT(IF($N623="D",IF($D623&lt;$H$3,$I623*($M623/100)*((E623-$H$3)/365),$J623*($M623/100)*($J$3-$D623)/365),0)),0)</f>
        <v>0</v>
      </c>
      <c r="P623" s="93">
        <f t="shared" ref="P623:P628" si="124">IF(E623&gt;0,INT(IF($N623="P",IF($D623&lt;$H$3,$H623*($M623/100)*(E623-$H$3)/365,$J623*($M623/100)*($J$3-$D623)/365),0)),0)</f>
        <v>0</v>
      </c>
      <c r="Q623" s="93">
        <f t="shared" ref="Q623:Q628" si="125">+O623+P623</f>
        <v>0</v>
      </c>
      <c r="R623" s="93">
        <f t="shared" si="117"/>
        <v>254</v>
      </c>
      <c r="S623" s="93">
        <f t="shared" si="118"/>
        <v>0</v>
      </c>
      <c r="T623" s="93">
        <f t="shared" ref="T623:T628" si="126">+R623+S623+Q623</f>
        <v>254</v>
      </c>
      <c r="U623" s="253">
        <f t="shared" ref="U623:U628" si="127">+I623+J623-T623-F623+K623-L623</f>
        <v>2261</v>
      </c>
      <c r="V623" s="93">
        <f t="shared" si="111"/>
        <v>0</v>
      </c>
    </row>
    <row r="624" spans="1:24" ht="18" customHeight="1" x14ac:dyDescent="0.2">
      <c r="A624" s="110" t="s">
        <v>2054</v>
      </c>
      <c r="B624" s="111"/>
      <c r="C624" s="201" t="s">
        <v>2069</v>
      </c>
      <c r="D624" s="91">
        <v>43466</v>
      </c>
      <c r="E624" s="92"/>
      <c r="F624" s="93"/>
      <c r="G624" s="93"/>
      <c r="H624" s="93"/>
      <c r="I624" s="93"/>
      <c r="J624" s="93">
        <v>2487.87</v>
      </c>
      <c r="K624" s="93">
        <f t="shared" si="121"/>
        <v>0</v>
      </c>
      <c r="L624" s="93">
        <f t="shared" si="122"/>
        <v>0</v>
      </c>
      <c r="M624" s="94">
        <v>20</v>
      </c>
      <c r="N624" s="95" t="s">
        <v>289</v>
      </c>
      <c r="O624" s="93">
        <f t="shared" si="123"/>
        <v>0</v>
      </c>
      <c r="P624" s="93">
        <f t="shared" si="124"/>
        <v>0</v>
      </c>
      <c r="Q624" s="93">
        <f t="shared" si="125"/>
        <v>0</v>
      </c>
      <c r="R624" s="93">
        <f t="shared" si="117"/>
        <v>245</v>
      </c>
      <c r="S624" s="93">
        <f t="shared" si="118"/>
        <v>0</v>
      </c>
      <c r="T624" s="93">
        <f t="shared" si="126"/>
        <v>245</v>
      </c>
      <c r="U624" s="253">
        <f t="shared" si="127"/>
        <v>2242.87</v>
      </c>
      <c r="V624" s="93">
        <f t="shared" si="111"/>
        <v>0</v>
      </c>
    </row>
    <row r="625" spans="1:24" ht="18" customHeight="1" x14ac:dyDescent="0.2">
      <c r="A625" s="110" t="s">
        <v>2063</v>
      </c>
      <c r="B625" s="111"/>
      <c r="C625" s="201" t="s">
        <v>1932</v>
      </c>
      <c r="D625" s="91">
        <v>43476</v>
      </c>
      <c r="E625" s="92"/>
      <c r="F625" s="93"/>
      <c r="G625" s="93"/>
      <c r="H625" s="93"/>
      <c r="I625" s="93"/>
      <c r="J625" s="93">
        <v>2305</v>
      </c>
      <c r="K625" s="93">
        <f t="shared" si="121"/>
        <v>0</v>
      </c>
      <c r="L625" s="93">
        <f t="shared" si="122"/>
        <v>0</v>
      </c>
      <c r="M625" s="94">
        <v>20</v>
      </c>
      <c r="N625" s="95" t="s">
        <v>289</v>
      </c>
      <c r="O625" s="93">
        <f t="shared" si="123"/>
        <v>0</v>
      </c>
      <c r="P625" s="93">
        <f t="shared" si="124"/>
        <v>0</v>
      </c>
      <c r="Q625" s="93">
        <f t="shared" si="125"/>
        <v>0</v>
      </c>
      <c r="R625" s="93">
        <f t="shared" si="117"/>
        <v>214</v>
      </c>
      <c r="S625" s="93">
        <f t="shared" si="118"/>
        <v>0</v>
      </c>
      <c r="T625" s="93">
        <f t="shared" si="126"/>
        <v>214</v>
      </c>
      <c r="U625" s="253">
        <f t="shared" si="127"/>
        <v>2091</v>
      </c>
      <c r="V625" s="93">
        <f t="shared" si="111"/>
        <v>0</v>
      </c>
    </row>
    <row r="626" spans="1:24" ht="18" customHeight="1" x14ac:dyDescent="0.2">
      <c r="A626" s="110" t="s">
        <v>2064</v>
      </c>
      <c r="B626" s="111"/>
      <c r="C626" s="201" t="s">
        <v>1935</v>
      </c>
      <c r="D626" s="91">
        <v>43497</v>
      </c>
      <c r="E626" s="92"/>
      <c r="F626" s="93"/>
      <c r="G626" s="93"/>
      <c r="H626" s="93"/>
      <c r="I626" s="93"/>
      <c r="J626" s="93">
        <v>1657.5</v>
      </c>
      <c r="K626" s="93">
        <f t="shared" si="121"/>
        <v>0</v>
      </c>
      <c r="L626" s="93">
        <f t="shared" si="122"/>
        <v>0</v>
      </c>
      <c r="M626" s="94">
        <v>6.67</v>
      </c>
      <c r="N626" s="95" t="s">
        <v>289</v>
      </c>
      <c r="O626" s="93">
        <f t="shared" si="123"/>
        <v>0</v>
      </c>
      <c r="P626" s="93">
        <f t="shared" si="124"/>
        <v>0</v>
      </c>
      <c r="Q626" s="93">
        <f t="shared" si="125"/>
        <v>0</v>
      </c>
      <c r="R626" s="93">
        <f t="shared" si="117"/>
        <v>45</v>
      </c>
      <c r="S626" s="93">
        <f t="shared" si="118"/>
        <v>0</v>
      </c>
      <c r="T626" s="93">
        <f t="shared" si="126"/>
        <v>45</v>
      </c>
      <c r="U626" s="253">
        <f t="shared" si="127"/>
        <v>1612.5</v>
      </c>
      <c r="V626" s="93">
        <f t="shared" si="111"/>
        <v>0</v>
      </c>
    </row>
    <row r="627" spans="1:24" ht="18" customHeight="1" x14ac:dyDescent="0.2">
      <c r="A627" s="110" t="s">
        <v>2065</v>
      </c>
      <c r="B627" s="111"/>
      <c r="C627" s="201" t="s">
        <v>2068</v>
      </c>
      <c r="D627" s="91">
        <v>43466</v>
      </c>
      <c r="E627" s="92"/>
      <c r="F627" s="93"/>
      <c r="G627" s="93"/>
      <c r="H627" s="93"/>
      <c r="I627" s="93"/>
      <c r="J627" s="93">
        <v>6500</v>
      </c>
      <c r="K627" s="93">
        <f t="shared" si="121"/>
        <v>0</v>
      </c>
      <c r="L627" s="93">
        <f t="shared" si="122"/>
        <v>0</v>
      </c>
      <c r="M627" s="94">
        <v>6.67</v>
      </c>
      <c r="N627" s="95" t="s">
        <v>289</v>
      </c>
      <c r="O627" s="93">
        <f t="shared" si="123"/>
        <v>0</v>
      </c>
      <c r="P627" s="93">
        <f t="shared" si="124"/>
        <v>0</v>
      </c>
      <c r="Q627" s="93">
        <f t="shared" si="125"/>
        <v>0</v>
      </c>
      <c r="R627" s="93">
        <f t="shared" si="117"/>
        <v>213</v>
      </c>
      <c r="S627" s="93">
        <f t="shared" si="118"/>
        <v>0</v>
      </c>
      <c r="T627" s="93">
        <f t="shared" si="126"/>
        <v>213</v>
      </c>
      <c r="U627" s="253">
        <f t="shared" si="127"/>
        <v>6287</v>
      </c>
      <c r="V627" s="93">
        <f t="shared" si="111"/>
        <v>0</v>
      </c>
    </row>
    <row r="628" spans="1:24" ht="18" customHeight="1" x14ac:dyDescent="0.2">
      <c r="A628" s="110" t="s">
        <v>2066</v>
      </c>
      <c r="B628" s="111"/>
      <c r="C628" s="201" t="s">
        <v>2068</v>
      </c>
      <c r="D628" s="91">
        <v>43525</v>
      </c>
      <c r="E628" s="92"/>
      <c r="F628" s="93"/>
      <c r="G628" s="93"/>
      <c r="H628" s="93"/>
      <c r="I628" s="93"/>
      <c r="J628" s="93">
        <v>6500</v>
      </c>
      <c r="K628" s="93">
        <f t="shared" si="121"/>
        <v>0</v>
      </c>
      <c r="L628" s="93">
        <f t="shared" si="122"/>
        <v>0</v>
      </c>
      <c r="M628" s="94">
        <v>6.67</v>
      </c>
      <c r="N628" s="95" t="s">
        <v>289</v>
      </c>
      <c r="O628" s="93">
        <f t="shared" si="123"/>
        <v>0</v>
      </c>
      <c r="P628" s="93">
        <f t="shared" si="124"/>
        <v>0</v>
      </c>
      <c r="Q628" s="93">
        <f t="shared" si="125"/>
        <v>0</v>
      </c>
      <c r="R628" s="93">
        <f t="shared" si="117"/>
        <v>143</v>
      </c>
      <c r="S628" s="93">
        <f t="shared" si="118"/>
        <v>0</v>
      </c>
      <c r="T628" s="93">
        <f t="shared" si="126"/>
        <v>143</v>
      </c>
      <c r="U628" s="253">
        <f t="shared" si="127"/>
        <v>6357</v>
      </c>
      <c r="V628" s="93">
        <f t="shared" si="111"/>
        <v>0</v>
      </c>
    </row>
    <row r="629" spans="1:24" ht="18" customHeight="1" x14ac:dyDescent="0.2">
      <c r="A629" s="110" t="s">
        <v>2067</v>
      </c>
      <c r="B629" s="111"/>
      <c r="C629" s="201" t="s">
        <v>2071</v>
      </c>
      <c r="D629" s="91">
        <v>43487</v>
      </c>
      <c r="E629" s="92"/>
      <c r="F629" s="93"/>
      <c r="G629" s="93"/>
      <c r="H629" s="93"/>
      <c r="I629" s="93"/>
      <c r="J629" s="93">
        <v>1120.5999999999999</v>
      </c>
      <c r="K629" s="93">
        <f>INT(IF($E629&gt;0,IF(+F629-I629+Q629&lt;0,0,+F629-I629+Q629),0))</f>
        <v>0</v>
      </c>
      <c r="L629" s="93">
        <f>INT(IF($E629&gt;0,IF(K629=0,-F629+I629-Q629,0),0))</f>
        <v>0</v>
      </c>
      <c r="M629" s="94">
        <v>10</v>
      </c>
      <c r="N629" s="95" t="s">
        <v>289</v>
      </c>
      <c r="O629" s="93">
        <f>IF(E629&gt;0,INT(IF($N629="D",IF($D629&lt;$H$3,$I629*($M629/100)*((E629-$H$3)/365),$J629*($M629/100)*($J$3-$D629)/365),0)),0)</f>
        <v>0</v>
      </c>
      <c r="P629" s="93">
        <f>IF(E629&gt;0,INT(IF($N629="P",IF($D629&lt;$H$3,$H629*($M629/100)*(E629-$H$3)/365,$J629*($M629/100)*($J$3-$D629)/365),0)),0)</f>
        <v>0</v>
      </c>
      <c r="Q629" s="93">
        <f>+O629+P629</f>
        <v>0</v>
      </c>
      <c r="R629" s="93">
        <f t="shared" si="117"/>
        <v>48</v>
      </c>
      <c r="S629" s="93">
        <f t="shared" si="118"/>
        <v>0</v>
      </c>
      <c r="T629" s="93">
        <f>+R629+S629+Q629</f>
        <v>48</v>
      </c>
      <c r="U629" s="253">
        <f>+I629+J629-T629-F629+K629-L629</f>
        <v>1072.5999999999999</v>
      </c>
      <c r="V629" s="93">
        <f t="shared" si="111"/>
        <v>0</v>
      </c>
    </row>
    <row r="630" spans="1:24" ht="18" customHeight="1" x14ac:dyDescent="0.2">
      <c r="A630" s="110" t="s">
        <v>2070</v>
      </c>
      <c r="B630" s="111"/>
      <c r="C630" s="201" t="s">
        <v>2072</v>
      </c>
      <c r="D630" s="91">
        <v>43509</v>
      </c>
      <c r="E630" s="92"/>
      <c r="F630" s="93"/>
      <c r="G630" s="93"/>
      <c r="H630" s="93"/>
      <c r="I630" s="93"/>
      <c r="J630" s="93">
        <v>4820</v>
      </c>
      <c r="K630" s="93">
        <f>INT(IF($E630&gt;0,IF(+F630-I630+Q630&lt;0,0,+F630-I630+Q630),0))</f>
        <v>0</v>
      </c>
      <c r="L630" s="93">
        <f>INT(IF($E630&gt;0,IF(K630=0,-F630+I630-Q630,0),0))</f>
        <v>0</v>
      </c>
      <c r="M630" s="94">
        <v>20</v>
      </c>
      <c r="N630" s="95" t="s">
        <v>289</v>
      </c>
      <c r="O630" s="93">
        <f>IF(E630&gt;0,INT(IF($N630="D",IF($D630&lt;$H$3,$I630*($M630/100)*((E630-$H$3)/365),$J630*($M630/100)*($J$3-$D630)/365),0)),0)</f>
        <v>0</v>
      </c>
      <c r="P630" s="93">
        <f>IF(E630&gt;0,INT(IF($N630="P",IF($D630&lt;$H$3,$H630*($M630/100)*(E630-$H$3)/365,$J630*($M630/100)*($J$3-$D630)/365),0)),0)</f>
        <v>0</v>
      </c>
      <c r="Q630" s="93">
        <f>+O630+P630</f>
        <v>0</v>
      </c>
      <c r="R630" s="93">
        <f t="shared" si="117"/>
        <v>361</v>
      </c>
      <c r="S630" s="93">
        <f t="shared" si="118"/>
        <v>0</v>
      </c>
      <c r="T630" s="93">
        <f>+R630+S630+Q630</f>
        <v>361</v>
      </c>
      <c r="U630" s="253">
        <f>+I630+J630-T630-F630+K630-L630</f>
        <v>4459</v>
      </c>
      <c r="V630" s="93">
        <f t="shared" si="111"/>
        <v>0</v>
      </c>
    </row>
    <row r="631" spans="1:24" ht="18" customHeight="1" x14ac:dyDescent="0.2">
      <c r="A631" s="204"/>
      <c r="B631" s="205"/>
      <c r="C631" s="207"/>
      <c r="D631" s="207"/>
      <c r="E631" s="92"/>
      <c r="F631" s="93"/>
      <c r="G631" s="93"/>
      <c r="H631" s="93"/>
      <c r="I631" s="209"/>
      <c r="J631" s="209"/>
      <c r="K631" s="209"/>
      <c r="L631" s="209"/>
      <c r="M631" s="210"/>
      <c r="N631" s="95"/>
      <c r="O631" s="95"/>
      <c r="P631" s="209"/>
      <c r="Q631" s="209"/>
      <c r="R631" s="95"/>
      <c r="S631" s="209"/>
      <c r="T631" s="209"/>
      <c r="U631" s="254"/>
      <c r="V631" s="209"/>
    </row>
    <row r="632" spans="1:24" ht="18" customHeight="1" x14ac:dyDescent="0.2">
      <c r="A632" s="204"/>
      <c r="B632" s="205"/>
      <c r="C632" s="206" t="s">
        <v>2043</v>
      </c>
      <c r="D632" s="207"/>
      <c r="E632" s="92"/>
      <c r="F632" s="93"/>
      <c r="G632" s="93"/>
      <c r="H632" s="208">
        <f>+J633-V633</f>
        <v>221014.21</v>
      </c>
      <c r="I632" s="209"/>
      <c r="J632" s="209"/>
      <c r="K632" s="209"/>
      <c r="L632" s="209"/>
      <c r="M632" s="210"/>
      <c r="N632" s="95"/>
      <c r="O632" s="95"/>
      <c r="P632" s="209"/>
      <c r="Q632" s="209"/>
      <c r="R632" s="95"/>
      <c r="S632" s="209"/>
      <c r="T632" s="209"/>
      <c r="U632" s="254"/>
      <c r="V632" s="209"/>
    </row>
    <row r="633" spans="1:24" s="14" customFormat="1" ht="18" customHeight="1" x14ac:dyDescent="0.2">
      <c r="A633" s="211"/>
      <c r="B633" s="212"/>
      <c r="C633" s="213" t="s">
        <v>1654</v>
      </c>
      <c r="D633" s="206"/>
      <c r="E633" s="219"/>
      <c r="F633" s="208">
        <f>SUM(F167:F631)</f>
        <v>7500</v>
      </c>
      <c r="G633" s="208">
        <f>SUM(G167:G631)</f>
        <v>0</v>
      </c>
      <c r="H633" s="208">
        <f>SUM(H167:H632)</f>
        <v>4476755.9599999972</v>
      </c>
      <c r="I633" s="208">
        <f>SUM(I167:I631)</f>
        <v>2927725.8470000005</v>
      </c>
      <c r="J633" s="208">
        <f>SUM(J167:J631)</f>
        <v>285265.93</v>
      </c>
      <c r="K633" s="208">
        <f>SUM(K167:K631)</f>
        <v>2119</v>
      </c>
      <c r="L633" s="208">
        <f>SUM(L167:L631)</f>
        <v>0</v>
      </c>
      <c r="M633" s="206"/>
      <c r="N633" s="217"/>
      <c r="O633" s="208">
        <f t="shared" ref="O633:S633" si="128">SUM(O167:O616)</f>
        <v>145</v>
      </c>
      <c r="P633" s="208">
        <f t="shared" si="128"/>
        <v>0</v>
      </c>
      <c r="Q633" s="208">
        <f t="shared" si="128"/>
        <v>145</v>
      </c>
      <c r="R633" s="208">
        <f t="shared" si="128"/>
        <v>192247</v>
      </c>
      <c r="S633" s="208">
        <f t="shared" si="128"/>
        <v>472</v>
      </c>
      <c r="T633" s="208">
        <f>SUM(T167:T631)</f>
        <v>201943</v>
      </c>
      <c r="U633" s="255">
        <f>SUM(U167:U631)</f>
        <v>3005668.2870000009</v>
      </c>
      <c r="V633" s="247">
        <f>SUM(V167:V631)</f>
        <v>64251.719999999994</v>
      </c>
      <c r="W633" s="160"/>
      <c r="X633" s="14">
        <f>4476755.31-1471088.33</f>
        <v>3005666.9799999995</v>
      </c>
    </row>
    <row r="634" spans="1:24" ht="18" customHeight="1" x14ac:dyDescent="0.2">
      <c r="A634" s="110"/>
      <c r="B634" s="111"/>
      <c r="C634" s="207"/>
      <c r="D634" s="207"/>
      <c r="E634" s="92"/>
      <c r="F634" s="93"/>
      <c r="G634" s="93"/>
      <c r="H634" s="93"/>
      <c r="I634" s="93"/>
      <c r="J634" s="93"/>
      <c r="K634" s="93"/>
      <c r="L634" s="93"/>
      <c r="M634" s="207"/>
      <c r="N634" s="207"/>
      <c r="O634" s="207"/>
      <c r="P634" s="93"/>
      <c r="Q634" s="93"/>
      <c r="R634" s="207"/>
      <c r="S634" s="93"/>
      <c r="T634" s="93"/>
      <c r="U634" s="253"/>
      <c r="V634" s="93"/>
      <c r="W634" s="42"/>
      <c r="X634" s="159"/>
    </row>
    <row r="635" spans="1:24" ht="18" customHeight="1" x14ac:dyDescent="0.2">
      <c r="A635" s="221" t="s">
        <v>1118</v>
      </c>
      <c r="B635" s="222"/>
      <c r="C635" s="207"/>
      <c r="D635" s="218"/>
      <c r="E635" s="223"/>
      <c r="F635" s="224"/>
      <c r="G635" s="224"/>
      <c r="H635" s="224"/>
      <c r="I635" s="224"/>
      <c r="J635" s="224"/>
      <c r="K635" s="224"/>
      <c r="L635" s="224"/>
      <c r="M635" s="218"/>
      <c r="N635" s="225"/>
      <c r="O635" s="225"/>
      <c r="P635" s="224"/>
      <c r="Q635" s="224"/>
      <c r="R635" s="225"/>
      <c r="S635" s="224"/>
      <c r="T635" s="224"/>
      <c r="U635" s="254"/>
      <c r="V635" s="209"/>
    </row>
    <row r="636" spans="1:24" ht="18" customHeight="1" x14ac:dyDescent="0.2">
      <c r="A636" s="226" t="s">
        <v>1119</v>
      </c>
      <c r="B636" s="205"/>
      <c r="C636" s="207"/>
      <c r="D636" s="207"/>
      <c r="E636" s="92"/>
      <c r="F636" s="93"/>
      <c r="G636" s="93"/>
      <c r="H636" s="93"/>
      <c r="I636" s="209"/>
      <c r="J636" s="209"/>
      <c r="K636" s="209"/>
      <c r="L636" s="209"/>
      <c r="M636" s="210"/>
      <c r="N636" s="95"/>
      <c r="O636" s="95"/>
      <c r="P636" s="209"/>
      <c r="Q636" s="209"/>
      <c r="R636" s="95"/>
      <c r="S636" s="209"/>
      <c r="T636" s="209"/>
      <c r="U636" s="254"/>
      <c r="V636" s="209"/>
      <c r="X636" s="159"/>
    </row>
    <row r="637" spans="1:24" ht="18" customHeight="1" x14ac:dyDescent="0.2">
      <c r="A637" s="110" t="s">
        <v>1120</v>
      </c>
      <c r="B637" s="111"/>
      <c r="C637" s="201" t="s">
        <v>630</v>
      </c>
      <c r="D637" s="91">
        <v>39973</v>
      </c>
      <c r="E637" s="92"/>
      <c r="F637" s="93"/>
      <c r="G637" s="93"/>
      <c r="H637" s="93">
        <v>17499</v>
      </c>
      <c r="I637" s="93">
        <v>2624</v>
      </c>
      <c r="J637" s="93"/>
      <c r="K637" s="93">
        <f t="shared" ref="K637:K647" si="129">INT(IF($E637&gt;0,IF(+F637-I637+Q637&lt;0,0,+F637-I637+Q637),0))</f>
        <v>0</v>
      </c>
      <c r="L637" s="93">
        <f t="shared" ref="L637:L647" si="130">INT(IF($E637&gt;0,IF(K637=0,-F637+I637-Q637,0),0))</f>
        <v>0</v>
      </c>
      <c r="M637" s="94">
        <v>18.18</v>
      </c>
      <c r="N637" s="95" t="s">
        <v>289</v>
      </c>
      <c r="O637" s="93">
        <f t="shared" ref="O637:O647" si="131">IF(E637&gt;0,INT(IF($N637="D",IF($D637&lt;$H$3,$I637*($M637/100)*((E637-$H$3)/365),$J637*($M637/100)*($J$3-$D637)/365),0)),0)</f>
        <v>0</v>
      </c>
      <c r="P637" s="93">
        <f t="shared" ref="P637:P647" si="132">IF(E637&gt;0,INT(IF($N637="P",IF($D637&lt;$H$3,$H637*($M637/100)*(E637-$H$3)/365,$J637*($M637/100)*($J$3-$D637)/365),0)),0)</f>
        <v>0</v>
      </c>
      <c r="Q637" s="93">
        <f t="shared" ref="Q637:Q647" si="133">+O637+P637</f>
        <v>0</v>
      </c>
      <c r="R637" s="93">
        <f t="shared" ref="R637:R647" si="134">INT(IF($E637&gt;0,0,(IF($N637="D",IF($D637&lt;$H$3,$I637*($M637/100)*$U$3/12,$J637*($M637/100)*($J$3-$D637)/365),0))))</f>
        <v>278</v>
      </c>
      <c r="S637" s="93">
        <f t="shared" ref="S637:S647" si="135">INT(IF($E637&gt;0,0,(IF($N637="P",IF($D637&lt;$H$3,$H637*($M637/100)*$U$3/12,$J637*($M637/100)*($J$3-$D637)/365),0))))</f>
        <v>0</v>
      </c>
      <c r="T637" s="93">
        <f t="shared" ref="T637:T647" si="136">+R637+S637+Q637</f>
        <v>278</v>
      </c>
      <c r="U637" s="253">
        <f>+I637+J637-T637-F637+K637-L637</f>
        <v>2346</v>
      </c>
      <c r="V637" s="93">
        <f t="shared" ref="V637:V647" si="137">IF(E637&gt;0,+H637+J637,0)</f>
        <v>0</v>
      </c>
    </row>
    <row r="638" spans="1:24" ht="18" customHeight="1" x14ac:dyDescent="0.2">
      <c r="A638" s="110" t="s">
        <v>1121</v>
      </c>
      <c r="B638" s="111"/>
      <c r="C638" s="203" t="s">
        <v>1122</v>
      </c>
      <c r="D638" s="91">
        <v>40268</v>
      </c>
      <c r="E638" s="92"/>
      <c r="F638" s="93"/>
      <c r="G638" s="93"/>
      <c r="H638" s="93">
        <v>13034.44</v>
      </c>
      <c r="I638" s="93">
        <v>2305.2600000000002</v>
      </c>
      <c r="J638" s="93"/>
      <c r="K638" s="93">
        <f t="shared" si="129"/>
        <v>0</v>
      </c>
      <c r="L638" s="93">
        <f t="shared" si="130"/>
        <v>0</v>
      </c>
      <c r="M638" s="94">
        <v>18.18</v>
      </c>
      <c r="N638" s="95" t="s">
        <v>289</v>
      </c>
      <c r="O638" s="93">
        <f t="shared" si="131"/>
        <v>0</v>
      </c>
      <c r="P638" s="93">
        <f t="shared" si="132"/>
        <v>0</v>
      </c>
      <c r="Q638" s="93">
        <f t="shared" si="133"/>
        <v>0</v>
      </c>
      <c r="R638" s="93">
        <f t="shared" si="134"/>
        <v>244</v>
      </c>
      <c r="S638" s="93">
        <f t="shared" si="135"/>
        <v>0</v>
      </c>
      <c r="T638" s="93">
        <f t="shared" si="136"/>
        <v>244</v>
      </c>
      <c r="U638" s="253">
        <f>+I638+J638-T638-F638+K638-L638</f>
        <v>2061.2600000000002</v>
      </c>
      <c r="V638" s="93">
        <f t="shared" si="137"/>
        <v>0</v>
      </c>
    </row>
    <row r="639" spans="1:24" ht="18" customHeight="1" x14ac:dyDescent="0.2">
      <c r="A639" s="110" t="s">
        <v>1123</v>
      </c>
      <c r="B639" s="111"/>
      <c r="C639" s="228" t="s">
        <v>1124</v>
      </c>
      <c r="D639" s="91">
        <v>41611</v>
      </c>
      <c r="E639" s="92"/>
      <c r="F639" s="93"/>
      <c r="G639" s="93"/>
      <c r="H639" s="93">
        <v>37380.36</v>
      </c>
      <c r="I639" s="93">
        <v>15157.36</v>
      </c>
      <c r="J639" s="93"/>
      <c r="K639" s="93">
        <f t="shared" si="129"/>
        <v>0</v>
      </c>
      <c r="L639" s="93">
        <f t="shared" si="130"/>
        <v>0</v>
      </c>
      <c r="M639" s="94">
        <v>16.66</v>
      </c>
      <c r="N639" s="95" t="s">
        <v>289</v>
      </c>
      <c r="O639" s="93">
        <f t="shared" si="131"/>
        <v>0</v>
      </c>
      <c r="P639" s="93">
        <f t="shared" si="132"/>
        <v>0</v>
      </c>
      <c r="Q639" s="93">
        <f t="shared" si="133"/>
        <v>0</v>
      </c>
      <c r="R639" s="93">
        <f t="shared" si="134"/>
        <v>1473</v>
      </c>
      <c r="S639" s="93">
        <f t="shared" si="135"/>
        <v>0</v>
      </c>
      <c r="T639" s="93">
        <f t="shared" si="136"/>
        <v>1473</v>
      </c>
      <c r="U639" s="253">
        <f>+I639+J639-T639-F639+K639-L639</f>
        <v>13684.36</v>
      </c>
      <c r="V639" s="93">
        <f t="shared" si="137"/>
        <v>0</v>
      </c>
    </row>
    <row r="640" spans="1:24" ht="18" customHeight="1" x14ac:dyDescent="0.2">
      <c r="A640" s="110" t="s">
        <v>1127</v>
      </c>
      <c r="B640" s="111"/>
      <c r="C640" s="203" t="s">
        <v>1128</v>
      </c>
      <c r="D640" s="91">
        <v>42125</v>
      </c>
      <c r="E640" s="92"/>
      <c r="F640" s="93"/>
      <c r="G640" s="93"/>
      <c r="H640" s="93">
        <v>19272</v>
      </c>
      <c r="I640" s="93">
        <v>6967</v>
      </c>
      <c r="J640" s="93"/>
      <c r="K640" s="93">
        <f t="shared" si="129"/>
        <v>0</v>
      </c>
      <c r="L640" s="93">
        <f t="shared" si="130"/>
        <v>0</v>
      </c>
      <c r="M640" s="94">
        <v>25</v>
      </c>
      <c r="N640" s="95" t="s">
        <v>289</v>
      </c>
      <c r="O640" s="93">
        <f t="shared" si="131"/>
        <v>0</v>
      </c>
      <c r="P640" s="93">
        <f t="shared" si="132"/>
        <v>0</v>
      </c>
      <c r="Q640" s="93">
        <f t="shared" si="133"/>
        <v>0</v>
      </c>
      <c r="R640" s="93">
        <f t="shared" si="134"/>
        <v>1016</v>
      </c>
      <c r="S640" s="93">
        <f t="shared" si="135"/>
        <v>0</v>
      </c>
      <c r="T640" s="93">
        <f t="shared" si="136"/>
        <v>1016</v>
      </c>
      <c r="U640" s="253">
        <f>+I640+J640-T640-F640+K640-L640</f>
        <v>5951</v>
      </c>
      <c r="V640" s="93">
        <f t="shared" si="137"/>
        <v>0</v>
      </c>
    </row>
    <row r="641" spans="1:24" ht="18" customHeight="1" x14ac:dyDescent="0.2">
      <c r="A641" s="110" t="s">
        <v>1129</v>
      </c>
      <c r="B641" s="111"/>
      <c r="C641" s="228" t="s">
        <v>1130</v>
      </c>
      <c r="D641" s="91">
        <v>42229</v>
      </c>
      <c r="E641" s="92">
        <v>43497</v>
      </c>
      <c r="F641" s="93">
        <v>21818.18</v>
      </c>
      <c r="G641" s="93"/>
      <c r="H641" s="93">
        <v>41117.03</v>
      </c>
      <c r="I641" s="93">
        <v>16124.03</v>
      </c>
      <c r="J641" s="93"/>
      <c r="K641" s="93">
        <f t="shared" si="129"/>
        <v>6378</v>
      </c>
      <c r="L641" s="93">
        <f t="shared" si="130"/>
        <v>0</v>
      </c>
      <c r="M641" s="94">
        <v>25</v>
      </c>
      <c r="N641" s="95" t="s">
        <v>289</v>
      </c>
      <c r="O641" s="93">
        <f t="shared" si="131"/>
        <v>684</v>
      </c>
      <c r="P641" s="93">
        <f t="shared" si="132"/>
        <v>0</v>
      </c>
      <c r="Q641" s="93">
        <f t="shared" si="133"/>
        <v>684</v>
      </c>
      <c r="R641" s="93">
        <f t="shared" si="134"/>
        <v>0</v>
      </c>
      <c r="S641" s="93">
        <f t="shared" si="135"/>
        <v>0</v>
      </c>
      <c r="T641" s="93">
        <f t="shared" si="136"/>
        <v>684</v>
      </c>
      <c r="U641" s="253">
        <f>+I641+J641-T641-F641+K641-L641</f>
        <v>-0.1499999999996362</v>
      </c>
      <c r="V641" s="93">
        <f t="shared" si="137"/>
        <v>41117.03</v>
      </c>
    </row>
    <row r="642" spans="1:24" ht="18" customHeight="1" x14ac:dyDescent="0.2">
      <c r="A642" s="110" t="s">
        <v>1131</v>
      </c>
      <c r="B642" s="111"/>
      <c r="C642" s="203" t="s">
        <v>1132</v>
      </c>
      <c r="D642" s="91">
        <v>42360</v>
      </c>
      <c r="E642" s="92"/>
      <c r="F642" s="93"/>
      <c r="G642" s="93"/>
      <c r="H642" s="93">
        <v>37434</v>
      </c>
      <c r="I642" s="93">
        <v>17047</v>
      </c>
      <c r="J642" s="93"/>
      <c r="K642" s="93">
        <f t="shared" si="129"/>
        <v>0</v>
      </c>
      <c r="L642" s="93">
        <f t="shared" si="130"/>
        <v>0</v>
      </c>
      <c r="M642" s="94">
        <v>25</v>
      </c>
      <c r="N642" s="95" t="s">
        <v>289</v>
      </c>
      <c r="O642" s="93">
        <f t="shared" si="131"/>
        <v>0</v>
      </c>
      <c r="P642" s="93">
        <f t="shared" si="132"/>
        <v>0</v>
      </c>
      <c r="Q642" s="93">
        <f t="shared" si="133"/>
        <v>0</v>
      </c>
      <c r="R642" s="93">
        <f t="shared" si="134"/>
        <v>2486</v>
      </c>
      <c r="S642" s="93">
        <f t="shared" si="135"/>
        <v>0</v>
      </c>
      <c r="T642" s="93">
        <f t="shared" si="136"/>
        <v>2486</v>
      </c>
      <c r="U642" s="253">
        <f t="shared" ref="U642:U647" si="138">+I642+J642-T642-F642+K642-L642</f>
        <v>14561</v>
      </c>
      <c r="V642" s="93">
        <f t="shared" si="137"/>
        <v>0</v>
      </c>
    </row>
    <row r="643" spans="1:24" ht="18" customHeight="1" x14ac:dyDescent="0.2">
      <c r="A643" s="110" t="s">
        <v>1133</v>
      </c>
      <c r="B643" s="111"/>
      <c r="C643" s="203" t="s">
        <v>1134</v>
      </c>
      <c r="D643" s="91">
        <v>42387</v>
      </c>
      <c r="E643" s="92"/>
      <c r="F643" s="93"/>
      <c r="G643" s="93"/>
      <c r="H643" s="93">
        <v>2100</v>
      </c>
      <c r="I643" s="93">
        <v>970</v>
      </c>
      <c r="J643" s="93"/>
      <c r="K643" s="93">
        <f t="shared" si="129"/>
        <v>0</v>
      </c>
      <c r="L643" s="93">
        <f t="shared" si="130"/>
        <v>0</v>
      </c>
      <c r="M643" s="94">
        <v>25</v>
      </c>
      <c r="N643" s="95" t="s">
        <v>289</v>
      </c>
      <c r="O643" s="93">
        <f t="shared" si="131"/>
        <v>0</v>
      </c>
      <c r="P643" s="93">
        <f t="shared" si="132"/>
        <v>0</v>
      </c>
      <c r="Q643" s="93">
        <f t="shared" si="133"/>
        <v>0</v>
      </c>
      <c r="R643" s="93">
        <f t="shared" si="134"/>
        <v>141</v>
      </c>
      <c r="S643" s="93">
        <f t="shared" si="135"/>
        <v>0</v>
      </c>
      <c r="T643" s="93">
        <f t="shared" si="136"/>
        <v>141</v>
      </c>
      <c r="U643" s="253">
        <f t="shared" si="138"/>
        <v>829</v>
      </c>
      <c r="V643" s="93">
        <f t="shared" si="137"/>
        <v>0</v>
      </c>
    </row>
    <row r="644" spans="1:24" ht="18" customHeight="1" x14ac:dyDescent="0.2">
      <c r="A644" s="110" t="s">
        <v>1135</v>
      </c>
      <c r="B644" s="111"/>
      <c r="C644" s="203" t="s">
        <v>1136</v>
      </c>
      <c r="D644" s="91">
        <v>42678</v>
      </c>
      <c r="E644" s="92"/>
      <c r="F644" s="93"/>
      <c r="G644" s="93"/>
      <c r="H644" s="93">
        <v>95298.62</v>
      </c>
      <c r="I644" s="93">
        <v>53509.62</v>
      </c>
      <c r="J644" s="93"/>
      <c r="K644" s="93">
        <f t="shared" si="129"/>
        <v>0</v>
      </c>
      <c r="L644" s="93">
        <f t="shared" si="130"/>
        <v>0</v>
      </c>
      <c r="M644" s="94">
        <v>25</v>
      </c>
      <c r="N644" s="95" t="s">
        <v>289</v>
      </c>
      <c r="O644" s="93">
        <f t="shared" si="131"/>
        <v>0</v>
      </c>
      <c r="P644" s="93">
        <f t="shared" si="132"/>
        <v>0</v>
      </c>
      <c r="Q644" s="93">
        <f t="shared" si="133"/>
        <v>0</v>
      </c>
      <c r="R644" s="93">
        <f t="shared" si="134"/>
        <v>7803</v>
      </c>
      <c r="S644" s="93">
        <f t="shared" si="135"/>
        <v>0</v>
      </c>
      <c r="T644" s="93">
        <f t="shared" si="136"/>
        <v>7803</v>
      </c>
      <c r="U644" s="253">
        <f t="shared" si="138"/>
        <v>45706.62</v>
      </c>
      <c r="V644" s="93">
        <f t="shared" si="137"/>
        <v>0</v>
      </c>
    </row>
    <row r="645" spans="1:24" ht="18" customHeight="1" x14ac:dyDescent="0.2">
      <c r="A645" s="110" t="s">
        <v>1137</v>
      </c>
      <c r="B645" s="111"/>
      <c r="C645" s="203" t="s">
        <v>1138</v>
      </c>
      <c r="D645" s="91">
        <v>42829</v>
      </c>
      <c r="E645" s="92"/>
      <c r="F645" s="93"/>
      <c r="G645" s="93"/>
      <c r="H645" s="93">
        <v>51566.81</v>
      </c>
      <c r="I645" s="93">
        <v>32534.81</v>
      </c>
      <c r="J645" s="93"/>
      <c r="K645" s="93">
        <f t="shared" si="129"/>
        <v>0</v>
      </c>
      <c r="L645" s="93">
        <f t="shared" si="130"/>
        <v>0</v>
      </c>
      <c r="M645" s="94">
        <v>25</v>
      </c>
      <c r="N645" s="95" t="s">
        <v>289</v>
      </c>
      <c r="O645" s="93">
        <f t="shared" si="131"/>
        <v>0</v>
      </c>
      <c r="P645" s="93">
        <f t="shared" si="132"/>
        <v>0</v>
      </c>
      <c r="Q645" s="93">
        <f t="shared" si="133"/>
        <v>0</v>
      </c>
      <c r="R645" s="93">
        <f t="shared" si="134"/>
        <v>4744</v>
      </c>
      <c r="S645" s="93">
        <f t="shared" si="135"/>
        <v>0</v>
      </c>
      <c r="T645" s="93">
        <f t="shared" si="136"/>
        <v>4744</v>
      </c>
      <c r="U645" s="253">
        <f t="shared" si="138"/>
        <v>27790.81</v>
      </c>
      <c r="V645" s="93">
        <f t="shared" si="137"/>
        <v>0</v>
      </c>
    </row>
    <row r="646" spans="1:24" ht="18" customHeight="1" x14ac:dyDescent="0.2">
      <c r="A646" s="110" t="s">
        <v>1139</v>
      </c>
      <c r="B646" s="111"/>
      <c r="C646" s="201" t="s">
        <v>1140</v>
      </c>
      <c r="D646" s="91">
        <v>43159</v>
      </c>
      <c r="E646" s="92"/>
      <c r="F646" s="93"/>
      <c r="G646" s="93"/>
      <c r="H646" s="93">
        <v>98531.82</v>
      </c>
      <c r="I646" s="93">
        <v>80774.820000000007</v>
      </c>
      <c r="J646" s="93"/>
      <c r="K646" s="93">
        <f t="shared" si="129"/>
        <v>0</v>
      </c>
      <c r="L646" s="93">
        <f t="shared" si="130"/>
        <v>0</v>
      </c>
      <c r="M646" s="94">
        <v>25</v>
      </c>
      <c r="N646" s="95" t="s">
        <v>289</v>
      </c>
      <c r="O646" s="93">
        <f t="shared" si="131"/>
        <v>0</v>
      </c>
      <c r="P646" s="93">
        <f t="shared" si="132"/>
        <v>0</v>
      </c>
      <c r="Q646" s="93">
        <f t="shared" si="133"/>
        <v>0</v>
      </c>
      <c r="R646" s="93">
        <f t="shared" si="134"/>
        <v>11779</v>
      </c>
      <c r="S646" s="93">
        <f t="shared" si="135"/>
        <v>0</v>
      </c>
      <c r="T646" s="93">
        <f t="shared" si="136"/>
        <v>11779</v>
      </c>
      <c r="U646" s="253">
        <f t="shared" si="138"/>
        <v>68995.820000000007</v>
      </c>
      <c r="V646" s="93">
        <f t="shared" si="137"/>
        <v>0</v>
      </c>
    </row>
    <row r="647" spans="1:24" ht="18" customHeight="1" x14ac:dyDescent="0.2">
      <c r="A647" s="110" t="s">
        <v>2074</v>
      </c>
      <c r="B647" s="111"/>
      <c r="C647" s="201" t="s">
        <v>1922</v>
      </c>
      <c r="D647" s="91">
        <v>43437</v>
      </c>
      <c r="E647" s="92"/>
      <c r="F647" s="93"/>
      <c r="G647" s="93"/>
      <c r="H647" s="93"/>
      <c r="I647" s="93"/>
      <c r="J647" s="93">
        <v>37034</v>
      </c>
      <c r="K647" s="93">
        <f t="shared" si="129"/>
        <v>0</v>
      </c>
      <c r="L647" s="93">
        <f t="shared" si="130"/>
        <v>0</v>
      </c>
      <c r="M647" s="94">
        <v>20</v>
      </c>
      <c r="N647" s="95" t="s">
        <v>289</v>
      </c>
      <c r="O647" s="93">
        <f t="shared" si="131"/>
        <v>0</v>
      </c>
      <c r="P647" s="93">
        <f t="shared" si="132"/>
        <v>0</v>
      </c>
      <c r="Q647" s="93">
        <f t="shared" si="133"/>
        <v>0</v>
      </c>
      <c r="R647" s="93">
        <f t="shared" si="134"/>
        <v>4241</v>
      </c>
      <c r="S647" s="93">
        <f t="shared" si="135"/>
        <v>0</v>
      </c>
      <c r="T647" s="93">
        <f t="shared" si="136"/>
        <v>4241</v>
      </c>
      <c r="U647" s="253">
        <f t="shared" si="138"/>
        <v>32793</v>
      </c>
      <c r="V647" s="93">
        <f t="shared" si="137"/>
        <v>0</v>
      </c>
    </row>
    <row r="648" spans="1:24" ht="18" customHeight="1" x14ac:dyDescent="0.2">
      <c r="A648" s="204"/>
      <c r="B648" s="205"/>
      <c r="C648" s="206" t="s">
        <v>2043</v>
      </c>
      <c r="D648" s="207"/>
      <c r="E648" s="92"/>
      <c r="F648" s="93"/>
      <c r="G648" s="93"/>
      <c r="H648" s="208">
        <f>+J649-V649</f>
        <v>-4083.0299999999988</v>
      </c>
      <c r="I648" s="209"/>
      <c r="J648" s="209"/>
      <c r="K648" s="209"/>
      <c r="L648" s="209"/>
      <c r="M648" s="210"/>
      <c r="N648" s="95"/>
      <c r="O648" s="95"/>
      <c r="P648" s="209"/>
      <c r="Q648" s="209"/>
      <c r="R648" s="95"/>
      <c r="S648" s="209"/>
      <c r="T648" s="209"/>
      <c r="U648" s="254"/>
      <c r="V648" s="209"/>
    </row>
    <row r="649" spans="1:24" s="14" customFormat="1" ht="18" customHeight="1" x14ac:dyDescent="0.2">
      <c r="A649" s="211"/>
      <c r="B649" s="212"/>
      <c r="C649" s="213" t="s">
        <v>1655</v>
      </c>
      <c r="D649" s="206"/>
      <c r="E649" s="219"/>
      <c r="F649" s="247">
        <f t="shared" ref="F649:L649" si="139">SUM(F637:F648)</f>
        <v>21818.18</v>
      </c>
      <c r="G649" s="208">
        <f t="shared" si="139"/>
        <v>0</v>
      </c>
      <c r="H649" s="208">
        <f t="shared" si="139"/>
        <v>409151.05000000005</v>
      </c>
      <c r="I649" s="208">
        <f t="shared" si="139"/>
        <v>228013.90000000002</v>
      </c>
      <c r="J649" s="208">
        <f t="shared" si="139"/>
        <v>37034</v>
      </c>
      <c r="K649" s="247">
        <f t="shared" si="139"/>
        <v>6378</v>
      </c>
      <c r="L649" s="208">
        <f t="shared" si="139"/>
        <v>0</v>
      </c>
      <c r="M649" s="214"/>
      <c r="N649" s="233"/>
      <c r="O649" s="208">
        <f>SUM(O637:O648)</f>
        <v>684</v>
      </c>
      <c r="P649" s="208">
        <f>SUM(P637:P648)</f>
        <v>0</v>
      </c>
      <c r="Q649" s="208"/>
      <c r="R649" s="208">
        <f>SUM(R637:R648)</f>
        <v>34205</v>
      </c>
      <c r="S649" s="208">
        <f>SUM(S637:S648)</f>
        <v>0</v>
      </c>
      <c r="T649" s="208">
        <f>SUM(T637:T648)</f>
        <v>34889</v>
      </c>
      <c r="U649" s="255">
        <f>SUM(U637:U648)</f>
        <v>214718.72</v>
      </c>
      <c r="V649" s="247">
        <f>SUM(V637:V648)</f>
        <v>41117.03</v>
      </c>
      <c r="X649" s="14">
        <f>409151.13-194432.41</f>
        <v>214718.72</v>
      </c>
    </row>
    <row r="650" spans="1:24" ht="18" customHeight="1" x14ac:dyDescent="0.2">
      <c r="A650" s="110"/>
      <c r="B650" s="111"/>
      <c r="C650" s="207"/>
      <c r="D650" s="207"/>
      <c r="E650" s="92"/>
      <c r="F650" s="93"/>
      <c r="G650" s="93"/>
      <c r="H650" s="93"/>
      <c r="I650" s="93"/>
      <c r="J650" s="93"/>
      <c r="K650" s="93"/>
      <c r="L650" s="93"/>
      <c r="M650" s="210"/>
      <c r="N650" s="95"/>
      <c r="O650" s="95">
        <v>277</v>
      </c>
      <c r="P650" s="93">
        <v>0</v>
      </c>
      <c r="Q650" s="93"/>
      <c r="R650" s="95">
        <v>25880</v>
      </c>
      <c r="S650" s="93">
        <v>0</v>
      </c>
      <c r="T650" s="93"/>
      <c r="U650" s="253"/>
      <c r="V650" s="93"/>
      <c r="X650" s="159"/>
    </row>
    <row r="651" spans="1:24" ht="18" customHeight="1" x14ac:dyDescent="0.2">
      <c r="A651" s="221" t="s">
        <v>1141</v>
      </c>
      <c r="B651" s="222"/>
      <c r="C651" s="210"/>
      <c r="D651" s="206"/>
      <c r="E651" s="219"/>
      <c r="F651" s="208"/>
      <c r="G651" s="208"/>
      <c r="H651" s="208"/>
      <c r="I651" s="208"/>
      <c r="J651" s="208"/>
      <c r="K651" s="208"/>
      <c r="L651" s="208"/>
      <c r="M651" s="206"/>
      <c r="N651" s="233"/>
      <c r="O651" s="233"/>
      <c r="P651" s="208"/>
      <c r="Q651" s="208"/>
      <c r="R651" s="233"/>
      <c r="S651" s="208"/>
      <c r="T651" s="208"/>
      <c r="U651" s="254"/>
      <c r="V651" s="209"/>
    </row>
    <row r="652" spans="1:24" ht="18" customHeight="1" x14ac:dyDescent="0.2">
      <c r="A652" s="226" t="s">
        <v>1142</v>
      </c>
      <c r="B652" s="205"/>
      <c r="C652" s="207"/>
      <c r="D652" s="207"/>
      <c r="E652" s="92"/>
      <c r="F652" s="93"/>
      <c r="G652" s="93"/>
      <c r="H652" s="93"/>
      <c r="I652" s="209"/>
      <c r="J652" s="209"/>
      <c r="K652" s="209"/>
      <c r="L652" s="209"/>
      <c r="M652" s="210"/>
      <c r="N652" s="95"/>
      <c r="O652" s="95"/>
      <c r="P652" s="209"/>
      <c r="Q652" s="209"/>
      <c r="R652" s="95"/>
      <c r="S652" s="209"/>
      <c r="T652" s="209"/>
      <c r="U652" s="254"/>
      <c r="V652" s="209"/>
    </row>
    <row r="653" spans="1:24" ht="18" customHeight="1" x14ac:dyDescent="0.2">
      <c r="A653" s="110" t="s">
        <v>1143</v>
      </c>
      <c r="B653" s="111"/>
      <c r="C653" s="201" t="s">
        <v>1144</v>
      </c>
      <c r="D653" s="91">
        <v>42453</v>
      </c>
      <c r="E653" s="92"/>
      <c r="F653" s="93"/>
      <c r="G653" s="93"/>
      <c r="H653" s="93">
        <v>8580</v>
      </c>
      <c r="I653" s="93">
        <v>1465</v>
      </c>
      <c r="J653" s="93"/>
      <c r="K653" s="93">
        <f t="shared" ref="K653:K716" si="140">INT(IF($E653&gt;0,IF(+F653-I653+Q653&lt;0,0,+F653-I653+Q653),0))</f>
        <v>0</v>
      </c>
      <c r="L653" s="93">
        <f t="shared" ref="L653:L716" si="141">INT(IF($E653&gt;0,IF(K653=0,-F653+I653-Q653,0),0))</f>
        <v>0</v>
      </c>
      <c r="M653" s="94">
        <v>50</v>
      </c>
      <c r="N653" s="95" t="s">
        <v>289</v>
      </c>
      <c r="O653" s="93">
        <f t="shared" ref="O653:O716" si="142">IF(E653&gt;0,INT(IF($N653="D",IF($D653&lt;$H$3,$I653*($M653/100)*((E653-$H$3)/365),$J653*($M653/100)*($J$3-$D653)/365),0)),0)</f>
        <v>0</v>
      </c>
      <c r="P653" s="93">
        <f t="shared" ref="P653:P716" si="143">IF(E653&gt;0,INT(IF($N653="P",IF($D653&lt;$H$3,$H653*($M653/100)*(E653-$H$3)/365,$J653*($M653/100)*($J$3-$D653)/365),0)),0)</f>
        <v>0</v>
      </c>
      <c r="Q653" s="93">
        <f t="shared" ref="Q653:Q716" si="144">+O653+P653</f>
        <v>0</v>
      </c>
      <c r="R653" s="93">
        <f t="shared" ref="R653:R716" si="145">INT(IF($E653&gt;0,0,(IF($N653="D",IF($D653&lt;$H$3,$I653*($M653/100)*$U$3/12,$J653*($M653/100)*($J$3-$D653)/365),0))))</f>
        <v>427</v>
      </c>
      <c r="S653" s="93">
        <f t="shared" ref="S653:S716" si="146">INT(IF($E653&gt;0,0,(IF($N653="P",IF($D653&lt;$H$3,$H653*($M653/100)*$U$3/12,$J653*($M653/100)*($J$3-$D653)/365),0))))</f>
        <v>0</v>
      </c>
      <c r="T653" s="93">
        <f t="shared" ref="T653:T716" si="147">+R653+S653+Q653</f>
        <v>427</v>
      </c>
      <c r="U653" s="253">
        <f t="shared" ref="U653:U716" si="148">+I653+J653-T653-F653+K653-L653</f>
        <v>1038</v>
      </c>
      <c r="V653" s="93">
        <f t="shared" ref="V653:V716" si="149">IF(E653&gt;0,+H653+J653,0)</f>
        <v>0</v>
      </c>
    </row>
    <row r="654" spans="1:24" ht="18" customHeight="1" x14ac:dyDescent="0.2">
      <c r="A654" s="110" t="s">
        <v>1145</v>
      </c>
      <c r="B654" s="111"/>
      <c r="C654" s="201" t="s">
        <v>1146</v>
      </c>
      <c r="D654" s="91">
        <v>42452</v>
      </c>
      <c r="E654" s="92"/>
      <c r="F654" s="93"/>
      <c r="G654" s="93"/>
      <c r="H654" s="93">
        <v>10536</v>
      </c>
      <c r="I654" s="93">
        <v>1797</v>
      </c>
      <c r="J654" s="93"/>
      <c r="K654" s="93">
        <f t="shared" si="140"/>
        <v>0</v>
      </c>
      <c r="L654" s="93">
        <f t="shared" si="141"/>
        <v>0</v>
      </c>
      <c r="M654" s="94">
        <v>50</v>
      </c>
      <c r="N654" s="95" t="s">
        <v>289</v>
      </c>
      <c r="O654" s="93">
        <f t="shared" si="142"/>
        <v>0</v>
      </c>
      <c r="P654" s="93">
        <f t="shared" si="143"/>
        <v>0</v>
      </c>
      <c r="Q654" s="93">
        <f t="shared" si="144"/>
        <v>0</v>
      </c>
      <c r="R654" s="93">
        <f t="shared" si="145"/>
        <v>524</v>
      </c>
      <c r="S654" s="93">
        <f t="shared" si="146"/>
        <v>0</v>
      </c>
      <c r="T654" s="93">
        <f t="shared" si="147"/>
        <v>524</v>
      </c>
      <c r="U654" s="253">
        <f t="shared" si="148"/>
        <v>1273</v>
      </c>
      <c r="V654" s="93">
        <f t="shared" si="149"/>
        <v>0</v>
      </c>
    </row>
    <row r="655" spans="1:24" ht="18" customHeight="1" x14ac:dyDescent="0.2">
      <c r="A655" s="110" t="s">
        <v>1147</v>
      </c>
      <c r="B655" s="111"/>
      <c r="C655" s="201" t="s">
        <v>1148</v>
      </c>
      <c r="D655" s="91">
        <v>39496</v>
      </c>
      <c r="E655" s="92">
        <v>43438</v>
      </c>
      <c r="F655" s="93">
        <v>40</v>
      </c>
      <c r="G655" s="93"/>
      <c r="H655" s="93">
        <v>1298</v>
      </c>
      <c r="I655" s="93">
        <v>0</v>
      </c>
      <c r="J655" s="93"/>
      <c r="K655" s="93">
        <f t="shared" si="140"/>
        <v>40</v>
      </c>
      <c r="L655" s="93">
        <f t="shared" si="141"/>
        <v>0</v>
      </c>
      <c r="M655" s="94">
        <v>66.66</v>
      </c>
      <c r="N655" s="95" t="s">
        <v>289</v>
      </c>
      <c r="O655" s="93">
        <f t="shared" si="142"/>
        <v>0</v>
      </c>
      <c r="P655" s="93">
        <f t="shared" si="143"/>
        <v>0</v>
      </c>
      <c r="Q655" s="93">
        <f t="shared" si="144"/>
        <v>0</v>
      </c>
      <c r="R655" s="93">
        <f t="shared" si="145"/>
        <v>0</v>
      </c>
      <c r="S655" s="93">
        <f t="shared" si="146"/>
        <v>0</v>
      </c>
      <c r="T655" s="93">
        <f t="shared" si="147"/>
        <v>0</v>
      </c>
      <c r="U655" s="253">
        <f t="shared" si="148"/>
        <v>0</v>
      </c>
      <c r="V655" s="93">
        <f t="shared" si="149"/>
        <v>1298</v>
      </c>
    </row>
    <row r="656" spans="1:24" ht="18" customHeight="1" x14ac:dyDescent="0.2">
      <c r="A656" s="110" t="s">
        <v>1149</v>
      </c>
      <c r="B656" s="111"/>
      <c r="C656" s="201" t="s">
        <v>1150</v>
      </c>
      <c r="D656" s="91">
        <v>39497</v>
      </c>
      <c r="E656" s="92">
        <v>43438</v>
      </c>
      <c r="F656" s="93">
        <v>80</v>
      </c>
      <c r="G656" s="93"/>
      <c r="H656" s="93">
        <v>2600</v>
      </c>
      <c r="I656" s="93">
        <v>0</v>
      </c>
      <c r="J656" s="93"/>
      <c r="K656" s="93">
        <f t="shared" si="140"/>
        <v>80</v>
      </c>
      <c r="L656" s="93">
        <f t="shared" si="141"/>
        <v>0</v>
      </c>
      <c r="M656" s="94">
        <v>66.66</v>
      </c>
      <c r="N656" s="95" t="s">
        <v>289</v>
      </c>
      <c r="O656" s="93">
        <f t="shared" si="142"/>
        <v>0</v>
      </c>
      <c r="P656" s="93">
        <f t="shared" si="143"/>
        <v>0</v>
      </c>
      <c r="Q656" s="93">
        <f t="shared" si="144"/>
        <v>0</v>
      </c>
      <c r="R656" s="93">
        <f t="shared" si="145"/>
        <v>0</v>
      </c>
      <c r="S656" s="93">
        <f t="shared" si="146"/>
        <v>0</v>
      </c>
      <c r="T656" s="93">
        <f t="shared" si="147"/>
        <v>0</v>
      </c>
      <c r="U656" s="253">
        <f t="shared" si="148"/>
        <v>0</v>
      </c>
      <c r="V656" s="93">
        <f t="shared" si="149"/>
        <v>2600</v>
      </c>
    </row>
    <row r="657" spans="1:22" ht="18" customHeight="1" x14ac:dyDescent="0.2">
      <c r="A657" s="110" t="s">
        <v>1151</v>
      </c>
      <c r="B657" s="111"/>
      <c r="C657" s="201" t="s">
        <v>1152</v>
      </c>
      <c r="D657" s="91">
        <v>39539</v>
      </c>
      <c r="E657" s="92">
        <v>43438</v>
      </c>
      <c r="F657" s="93">
        <f>4*40</f>
        <v>160</v>
      </c>
      <c r="G657" s="93"/>
      <c r="H657" s="93">
        <v>2800</v>
      </c>
      <c r="I657" s="93">
        <v>0</v>
      </c>
      <c r="J657" s="93"/>
      <c r="K657" s="93">
        <f t="shared" si="140"/>
        <v>160</v>
      </c>
      <c r="L657" s="93">
        <f t="shared" si="141"/>
        <v>0</v>
      </c>
      <c r="M657" s="94">
        <v>66.66</v>
      </c>
      <c r="N657" s="95" t="s">
        <v>289</v>
      </c>
      <c r="O657" s="93">
        <f t="shared" si="142"/>
        <v>0</v>
      </c>
      <c r="P657" s="93">
        <f t="shared" si="143"/>
        <v>0</v>
      </c>
      <c r="Q657" s="93">
        <f t="shared" si="144"/>
        <v>0</v>
      </c>
      <c r="R657" s="93">
        <f t="shared" si="145"/>
        <v>0</v>
      </c>
      <c r="S657" s="93">
        <f t="shared" si="146"/>
        <v>0</v>
      </c>
      <c r="T657" s="93">
        <f t="shared" si="147"/>
        <v>0</v>
      </c>
      <c r="U657" s="253">
        <f t="shared" si="148"/>
        <v>0</v>
      </c>
      <c r="V657" s="93">
        <f t="shared" si="149"/>
        <v>2800</v>
      </c>
    </row>
    <row r="658" spans="1:22" ht="18" customHeight="1" x14ac:dyDescent="0.2">
      <c r="A658" s="110" t="s">
        <v>1153</v>
      </c>
      <c r="B658" s="111"/>
      <c r="C658" s="201" t="s">
        <v>1150</v>
      </c>
      <c r="D658" s="91">
        <v>39539</v>
      </c>
      <c r="E658" s="92">
        <v>43438</v>
      </c>
      <c r="F658" s="93">
        <f>2*40</f>
        <v>80</v>
      </c>
      <c r="G658" s="93"/>
      <c r="H658" s="93">
        <v>2634.63</v>
      </c>
      <c r="I658" s="93">
        <v>0</v>
      </c>
      <c r="J658" s="93"/>
      <c r="K658" s="93">
        <f t="shared" si="140"/>
        <v>80</v>
      </c>
      <c r="L658" s="93">
        <f t="shared" si="141"/>
        <v>0</v>
      </c>
      <c r="M658" s="94">
        <v>66.66</v>
      </c>
      <c r="N658" s="95" t="s">
        <v>289</v>
      </c>
      <c r="O658" s="93">
        <f t="shared" si="142"/>
        <v>0</v>
      </c>
      <c r="P658" s="93">
        <f t="shared" si="143"/>
        <v>0</v>
      </c>
      <c r="Q658" s="93">
        <f t="shared" si="144"/>
        <v>0</v>
      </c>
      <c r="R658" s="93">
        <f t="shared" si="145"/>
        <v>0</v>
      </c>
      <c r="S658" s="93">
        <f t="shared" si="146"/>
        <v>0</v>
      </c>
      <c r="T658" s="93">
        <f t="shared" si="147"/>
        <v>0</v>
      </c>
      <c r="U658" s="253">
        <f t="shared" si="148"/>
        <v>0</v>
      </c>
      <c r="V658" s="93">
        <f t="shared" si="149"/>
        <v>2634.63</v>
      </c>
    </row>
    <row r="659" spans="1:22" ht="18" customHeight="1" x14ac:dyDescent="0.2">
      <c r="A659" s="110" t="s">
        <v>1154</v>
      </c>
      <c r="B659" s="111"/>
      <c r="C659" s="203" t="s">
        <v>1155</v>
      </c>
      <c r="D659" s="91">
        <v>39553</v>
      </c>
      <c r="E659" s="92">
        <v>43438</v>
      </c>
      <c r="F659" s="93">
        <f>9*40</f>
        <v>360</v>
      </c>
      <c r="G659" s="209"/>
      <c r="H659" s="93">
        <v>11943</v>
      </c>
      <c r="I659" s="93">
        <v>0</v>
      </c>
      <c r="J659" s="93"/>
      <c r="K659" s="93">
        <f t="shared" si="140"/>
        <v>360</v>
      </c>
      <c r="L659" s="93">
        <f t="shared" si="141"/>
        <v>0</v>
      </c>
      <c r="M659" s="94">
        <v>66.66</v>
      </c>
      <c r="N659" s="95" t="s">
        <v>289</v>
      </c>
      <c r="O659" s="93">
        <f t="shared" si="142"/>
        <v>0</v>
      </c>
      <c r="P659" s="93">
        <f t="shared" si="143"/>
        <v>0</v>
      </c>
      <c r="Q659" s="93">
        <f t="shared" si="144"/>
        <v>0</v>
      </c>
      <c r="R659" s="93">
        <f t="shared" si="145"/>
        <v>0</v>
      </c>
      <c r="S659" s="93">
        <f t="shared" si="146"/>
        <v>0</v>
      </c>
      <c r="T659" s="93">
        <f t="shared" si="147"/>
        <v>0</v>
      </c>
      <c r="U659" s="253">
        <f t="shared" si="148"/>
        <v>0</v>
      </c>
      <c r="V659" s="93">
        <f t="shared" si="149"/>
        <v>11943</v>
      </c>
    </row>
    <row r="660" spans="1:22" ht="18" customHeight="1" x14ac:dyDescent="0.2">
      <c r="A660" s="110" t="s">
        <v>1156</v>
      </c>
      <c r="B660" s="111"/>
      <c r="C660" s="203" t="s">
        <v>1152</v>
      </c>
      <c r="D660" s="91">
        <v>39553</v>
      </c>
      <c r="E660" s="92">
        <v>43438</v>
      </c>
      <c r="F660" s="93">
        <v>160</v>
      </c>
      <c r="G660" s="209"/>
      <c r="H660" s="93">
        <v>5456</v>
      </c>
      <c r="I660" s="93">
        <v>0</v>
      </c>
      <c r="J660" s="93"/>
      <c r="K660" s="93">
        <f t="shared" si="140"/>
        <v>160</v>
      </c>
      <c r="L660" s="93">
        <f t="shared" si="141"/>
        <v>0</v>
      </c>
      <c r="M660" s="94">
        <v>66.66</v>
      </c>
      <c r="N660" s="95" t="s">
        <v>289</v>
      </c>
      <c r="O660" s="93">
        <f t="shared" si="142"/>
        <v>0</v>
      </c>
      <c r="P660" s="93">
        <f t="shared" si="143"/>
        <v>0</v>
      </c>
      <c r="Q660" s="93">
        <f t="shared" si="144"/>
        <v>0</v>
      </c>
      <c r="R660" s="93">
        <f t="shared" si="145"/>
        <v>0</v>
      </c>
      <c r="S660" s="93">
        <f t="shared" si="146"/>
        <v>0</v>
      </c>
      <c r="T660" s="93">
        <f t="shared" si="147"/>
        <v>0</v>
      </c>
      <c r="U660" s="253">
        <f t="shared" si="148"/>
        <v>0</v>
      </c>
      <c r="V660" s="93">
        <f t="shared" si="149"/>
        <v>5456</v>
      </c>
    </row>
    <row r="661" spans="1:22" ht="18" customHeight="1" x14ac:dyDescent="0.2">
      <c r="A661" s="110" t="s">
        <v>1157</v>
      </c>
      <c r="B661" s="111"/>
      <c r="C661" s="203" t="s">
        <v>1158</v>
      </c>
      <c r="D661" s="91">
        <v>39553</v>
      </c>
      <c r="E661" s="92">
        <v>43438</v>
      </c>
      <c r="F661" s="93">
        <v>240</v>
      </c>
      <c r="G661" s="209"/>
      <c r="H661" s="93">
        <v>5295</v>
      </c>
      <c r="I661" s="93">
        <v>0</v>
      </c>
      <c r="J661" s="93"/>
      <c r="K661" s="93">
        <f t="shared" si="140"/>
        <v>240</v>
      </c>
      <c r="L661" s="93">
        <f t="shared" si="141"/>
        <v>0</v>
      </c>
      <c r="M661" s="94">
        <v>66.66</v>
      </c>
      <c r="N661" s="95" t="s">
        <v>289</v>
      </c>
      <c r="O661" s="93">
        <f t="shared" si="142"/>
        <v>0</v>
      </c>
      <c r="P661" s="93">
        <f t="shared" si="143"/>
        <v>0</v>
      </c>
      <c r="Q661" s="93">
        <f t="shared" si="144"/>
        <v>0</v>
      </c>
      <c r="R661" s="93">
        <f t="shared" si="145"/>
        <v>0</v>
      </c>
      <c r="S661" s="93">
        <f t="shared" si="146"/>
        <v>0</v>
      </c>
      <c r="T661" s="93">
        <f t="shared" si="147"/>
        <v>0</v>
      </c>
      <c r="U661" s="253">
        <f t="shared" si="148"/>
        <v>0</v>
      </c>
      <c r="V661" s="93">
        <f t="shared" si="149"/>
        <v>5295</v>
      </c>
    </row>
    <row r="662" spans="1:22" ht="18" customHeight="1" x14ac:dyDescent="0.2">
      <c r="A662" s="110" t="s">
        <v>1159</v>
      </c>
      <c r="B662" s="111"/>
      <c r="C662" s="203" t="s">
        <v>1160</v>
      </c>
      <c r="D662" s="91">
        <v>39895</v>
      </c>
      <c r="E662" s="92">
        <v>43438</v>
      </c>
      <c r="F662" s="93">
        <v>200</v>
      </c>
      <c r="G662" s="209"/>
      <c r="H662" s="93">
        <v>7050</v>
      </c>
      <c r="I662" s="93">
        <v>0</v>
      </c>
      <c r="J662" s="93"/>
      <c r="K662" s="93">
        <f t="shared" si="140"/>
        <v>200</v>
      </c>
      <c r="L662" s="93">
        <f t="shared" si="141"/>
        <v>0</v>
      </c>
      <c r="M662" s="94">
        <v>66.66</v>
      </c>
      <c r="N662" s="95" t="s">
        <v>289</v>
      </c>
      <c r="O662" s="93">
        <f t="shared" si="142"/>
        <v>0</v>
      </c>
      <c r="P662" s="93">
        <f t="shared" si="143"/>
        <v>0</v>
      </c>
      <c r="Q662" s="93">
        <f t="shared" si="144"/>
        <v>0</v>
      </c>
      <c r="R662" s="93">
        <f t="shared" si="145"/>
        <v>0</v>
      </c>
      <c r="S662" s="93">
        <f t="shared" si="146"/>
        <v>0</v>
      </c>
      <c r="T662" s="93">
        <f t="shared" si="147"/>
        <v>0</v>
      </c>
      <c r="U662" s="253">
        <f t="shared" si="148"/>
        <v>0</v>
      </c>
      <c r="V662" s="93">
        <f t="shared" si="149"/>
        <v>7050</v>
      </c>
    </row>
    <row r="663" spans="1:22" ht="18" customHeight="1" x14ac:dyDescent="0.2">
      <c r="A663" s="110" t="s">
        <v>1161</v>
      </c>
      <c r="B663" s="111"/>
      <c r="C663" s="203" t="s">
        <v>1162</v>
      </c>
      <c r="D663" s="91">
        <v>39895</v>
      </c>
      <c r="E663" s="92">
        <v>43438</v>
      </c>
      <c r="F663" s="93">
        <v>320</v>
      </c>
      <c r="G663" s="209"/>
      <c r="H663" s="93">
        <v>11200</v>
      </c>
      <c r="I663" s="93">
        <v>0</v>
      </c>
      <c r="J663" s="93"/>
      <c r="K663" s="93">
        <f t="shared" si="140"/>
        <v>320</v>
      </c>
      <c r="L663" s="93">
        <f t="shared" si="141"/>
        <v>0</v>
      </c>
      <c r="M663" s="94">
        <v>66.66</v>
      </c>
      <c r="N663" s="95" t="s">
        <v>289</v>
      </c>
      <c r="O663" s="93">
        <f t="shared" si="142"/>
        <v>0</v>
      </c>
      <c r="P663" s="93">
        <f t="shared" si="143"/>
        <v>0</v>
      </c>
      <c r="Q663" s="93">
        <f t="shared" si="144"/>
        <v>0</v>
      </c>
      <c r="R663" s="93">
        <f t="shared" si="145"/>
        <v>0</v>
      </c>
      <c r="S663" s="93">
        <f t="shared" si="146"/>
        <v>0</v>
      </c>
      <c r="T663" s="93">
        <f t="shared" si="147"/>
        <v>0</v>
      </c>
      <c r="U663" s="253">
        <f t="shared" si="148"/>
        <v>0</v>
      </c>
      <c r="V663" s="93">
        <f t="shared" si="149"/>
        <v>11200</v>
      </c>
    </row>
    <row r="664" spans="1:22" ht="18" customHeight="1" x14ac:dyDescent="0.2">
      <c r="A664" s="110" t="s">
        <v>1163</v>
      </c>
      <c r="B664" s="111"/>
      <c r="C664" s="203" t="s">
        <v>1164</v>
      </c>
      <c r="D664" s="91">
        <v>39902</v>
      </c>
      <c r="E664" s="92">
        <v>43438</v>
      </c>
      <c r="F664" s="93">
        <v>80</v>
      </c>
      <c r="G664" s="209"/>
      <c r="H664" s="93">
        <v>2676</v>
      </c>
      <c r="I664" s="93">
        <v>0</v>
      </c>
      <c r="J664" s="93"/>
      <c r="K664" s="93">
        <f t="shared" si="140"/>
        <v>80</v>
      </c>
      <c r="L664" s="93">
        <f t="shared" si="141"/>
        <v>0</v>
      </c>
      <c r="M664" s="94">
        <v>66.66</v>
      </c>
      <c r="N664" s="95" t="s">
        <v>289</v>
      </c>
      <c r="O664" s="93">
        <f t="shared" si="142"/>
        <v>0</v>
      </c>
      <c r="P664" s="93">
        <f t="shared" si="143"/>
        <v>0</v>
      </c>
      <c r="Q664" s="93">
        <f t="shared" si="144"/>
        <v>0</v>
      </c>
      <c r="R664" s="93">
        <f t="shared" si="145"/>
        <v>0</v>
      </c>
      <c r="S664" s="93">
        <f t="shared" si="146"/>
        <v>0</v>
      </c>
      <c r="T664" s="93">
        <f t="shared" si="147"/>
        <v>0</v>
      </c>
      <c r="U664" s="253">
        <f t="shared" si="148"/>
        <v>0</v>
      </c>
      <c r="V664" s="93">
        <f t="shared" si="149"/>
        <v>2676</v>
      </c>
    </row>
    <row r="665" spans="1:22" ht="18" customHeight="1" x14ac:dyDescent="0.2">
      <c r="A665" s="110" t="s">
        <v>1165</v>
      </c>
      <c r="B665" s="111"/>
      <c r="C665" s="203" t="s">
        <v>1166</v>
      </c>
      <c r="D665" s="91">
        <v>39911</v>
      </c>
      <c r="E665" s="92">
        <v>43438</v>
      </c>
      <c r="F665" s="93">
        <v>80</v>
      </c>
      <c r="G665" s="93"/>
      <c r="H665" s="93">
        <v>3320</v>
      </c>
      <c r="I665" s="93">
        <v>0</v>
      </c>
      <c r="J665" s="93"/>
      <c r="K665" s="93">
        <f t="shared" si="140"/>
        <v>80</v>
      </c>
      <c r="L665" s="93">
        <f t="shared" si="141"/>
        <v>0</v>
      </c>
      <c r="M665" s="94">
        <v>66.66</v>
      </c>
      <c r="N665" s="95" t="s">
        <v>289</v>
      </c>
      <c r="O665" s="93">
        <f t="shared" si="142"/>
        <v>0</v>
      </c>
      <c r="P665" s="93">
        <f t="shared" si="143"/>
        <v>0</v>
      </c>
      <c r="Q665" s="93">
        <f t="shared" si="144"/>
        <v>0</v>
      </c>
      <c r="R665" s="93">
        <f t="shared" si="145"/>
        <v>0</v>
      </c>
      <c r="S665" s="93">
        <f t="shared" si="146"/>
        <v>0</v>
      </c>
      <c r="T665" s="93">
        <f t="shared" si="147"/>
        <v>0</v>
      </c>
      <c r="U665" s="253">
        <f t="shared" si="148"/>
        <v>0</v>
      </c>
      <c r="V665" s="93">
        <f t="shared" si="149"/>
        <v>3320</v>
      </c>
    </row>
    <row r="666" spans="1:22" ht="18" customHeight="1" x14ac:dyDescent="0.2">
      <c r="A666" s="110" t="s">
        <v>1167</v>
      </c>
      <c r="B666" s="111"/>
      <c r="C666" s="203" t="s">
        <v>1168</v>
      </c>
      <c r="D666" s="91">
        <v>39911</v>
      </c>
      <c r="E666" s="92">
        <v>43438</v>
      </c>
      <c r="F666" s="93">
        <v>160</v>
      </c>
      <c r="G666" s="93"/>
      <c r="H666" s="93">
        <v>5710.76</v>
      </c>
      <c r="I666" s="93">
        <v>0</v>
      </c>
      <c r="J666" s="93"/>
      <c r="K666" s="93">
        <f t="shared" si="140"/>
        <v>160</v>
      </c>
      <c r="L666" s="93">
        <f t="shared" si="141"/>
        <v>0</v>
      </c>
      <c r="M666" s="94">
        <v>66.66</v>
      </c>
      <c r="N666" s="95" t="s">
        <v>289</v>
      </c>
      <c r="O666" s="93">
        <f t="shared" si="142"/>
        <v>0</v>
      </c>
      <c r="P666" s="93">
        <f t="shared" si="143"/>
        <v>0</v>
      </c>
      <c r="Q666" s="93">
        <f t="shared" si="144"/>
        <v>0</v>
      </c>
      <c r="R666" s="93">
        <f t="shared" si="145"/>
        <v>0</v>
      </c>
      <c r="S666" s="93">
        <f t="shared" si="146"/>
        <v>0</v>
      </c>
      <c r="T666" s="93">
        <f t="shared" si="147"/>
        <v>0</v>
      </c>
      <c r="U666" s="253">
        <f t="shared" si="148"/>
        <v>0</v>
      </c>
      <c r="V666" s="93">
        <f t="shared" si="149"/>
        <v>5710.76</v>
      </c>
    </row>
    <row r="667" spans="1:22" ht="18" customHeight="1" x14ac:dyDescent="0.2">
      <c r="A667" s="110" t="s">
        <v>1169</v>
      </c>
      <c r="B667" s="111"/>
      <c r="C667" s="201" t="s">
        <v>1166</v>
      </c>
      <c r="D667" s="91">
        <v>39930</v>
      </c>
      <c r="E667" s="92">
        <v>43438</v>
      </c>
      <c r="F667" s="93">
        <v>80</v>
      </c>
      <c r="G667" s="93"/>
      <c r="H667" s="93">
        <v>3320</v>
      </c>
      <c r="I667" s="93">
        <v>0</v>
      </c>
      <c r="J667" s="93"/>
      <c r="K667" s="93">
        <f t="shared" si="140"/>
        <v>80</v>
      </c>
      <c r="L667" s="93">
        <f t="shared" si="141"/>
        <v>0</v>
      </c>
      <c r="M667" s="94">
        <v>66.66</v>
      </c>
      <c r="N667" s="95" t="s">
        <v>289</v>
      </c>
      <c r="O667" s="93">
        <f t="shared" si="142"/>
        <v>0</v>
      </c>
      <c r="P667" s="93">
        <f t="shared" si="143"/>
        <v>0</v>
      </c>
      <c r="Q667" s="93">
        <f t="shared" si="144"/>
        <v>0</v>
      </c>
      <c r="R667" s="93">
        <f t="shared" si="145"/>
        <v>0</v>
      </c>
      <c r="S667" s="93">
        <f t="shared" si="146"/>
        <v>0</v>
      </c>
      <c r="T667" s="93">
        <f t="shared" si="147"/>
        <v>0</v>
      </c>
      <c r="U667" s="253">
        <f t="shared" si="148"/>
        <v>0</v>
      </c>
      <c r="V667" s="93">
        <f t="shared" si="149"/>
        <v>3320</v>
      </c>
    </row>
    <row r="668" spans="1:22" ht="18" customHeight="1" x14ac:dyDescent="0.2">
      <c r="A668" s="110" t="s">
        <v>1170</v>
      </c>
      <c r="B668" s="111"/>
      <c r="C668" s="201" t="s">
        <v>1164</v>
      </c>
      <c r="D668" s="91">
        <v>39932</v>
      </c>
      <c r="E668" s="92">
        <v>43438</v>
      </c>
      <c r="F668" s="93">
        <v>80</v>
      </c>
      <c r="G668" s="93"/>
      <c r="H668" s="93">
        <v>2000</v>
      </c>
      <c r="I668" s="93">
        <v>0</v>
      </c>
      <c r="J668" s="93"/>
      <c r="K668" s="93">
        <f t="shared" si="140"/>
        <v>80</v>
      </c>
      <c r="L668" s="93">
        <f t="shared" si="141"/>
        <v>0</v>
      </c>
      <c r="M668" s="94">
        <v>66.66</v>
      </c>
      <c r="N668" s="95" t="s">
        <v>289</v>
      </c>
      <c r="O668" s="93">
        <f t="shared" si="142"/>
        <v>0</v>
      </c>
      <c r="P668" s="93">
        <f t="shared" si="143"/>
        <v>0</v>
      </c>
      <c r="Q668" s="93">
        <f t="shared" si="144"/>
        <v>0</v>
      </c>
      <c r="R668" s="93">
        <f t="shared" si="145"/>
        <v>0</v>
      </c>
      <c r="S668" s="93">
        <f t="shared" si="146"/>
        <v>0</v>
      </c>
      <c r="T668" s="93">
        <f t="shared" si="147"/>
        <v>0</v>
      </c>
      <c r="U668" s="253">
        <f t="shared" si="148"/>
        <v>0</v>
      </c>
      <c r="V668" s="93">
        <f t="shared" si="149"/>
        <v>2000</v>
      </c>
    </row>
    <row r="669" spans="1:22" ht="18" customHeight="1" x14ac:dyDescent="0.2">
      <c r="A669" s="110" t="s">
        <v>1171</v>
      </c>
      <c r="B669" s="111"/>
      <c r="C669" s="201" t="s">
        <v>1172</v>
      </c>
      <c r="D669" s="91">
        <v>39983</v>
      </c>
      <c r="E669" s="92"/>
      <c r="F669" s="93"/>
      <c r="G669" s="93"/>
      <c r="H669" s="93">
        <v>2350</v>
      </c>
      <c r="I669" s="93">
        <v>0</v>
      </c>
      <c r="J669" s="93"/>
      <c r="K669" s="93">
        <f t="shared" si="140"/>
        <v>0</v>
      </c>
      <c r="L669" s="93">
        <f t="shared" si="141"/>
        <v>0</v>
      </c>
      <c r="M669" s="94">
        <v>66.66</v>
      </c>
      <c r="N669" s="95" t="s">
        <v>289</v>
      </c>
      <c r="O669" s="93">
        <f t="shared" si="142"/>
        <v>0</v>
      </c>
      <c r="P669" s="93">
        <f t="shared" si="143"/>
        <v>0</v>
      </c>
      <c r="Q669" s="93">
        <f t="shared" si="144"/>
        <v>0</v>
      </c>
      <c r="R669" s="93">
        <f t="shared" si="145"/>
        <v>0</v>
      </c>
      <c r="S669" s="93">
        <f t="shared" si="146"/>
        <v>0</v>
      </c>
      <c r="T669" s="93">
        <f t="shared" si="147"/>
        <v>0</v>
      </c>
      <c r="U669" s="253">
        <f t="shared" si="148"/>
        <v>0</v>
      </c>
      <c r="V669" s="93">
        <f t="shared" si="149"/>
        <v>0</v>
      </c>
    </row>
    <row r="670" spans="1:22" ht="18" customHeight="1" x14ac:dyDescent="0.2">
      <c r="A670" s="110" t="s">
        <v>1173</v>
      </c>
      <c r="B670" s="111"/>
      <c r="C670" s="201" t="s">
        <v>506</v>
      </c>
      <c r="D670" s="91">
        <v>38112</v>
      </c>
      <c r="E670" s="92">
        <v>43438</v>
      </c>
      <c r="F670" s="93">
        <v>40</v>
      </c>
      <c r="G670" s="93"/>
      <c r="H670" s="93">
        <v>1261.8</v>
      </c>
      <c r="I670" s="93">
        <v>0</v>
      </c>
      <c r="J670" s="93"/>
      <c r="K670" s="93">
        <f t="shared" si="140"/>
        <v>40</v>
      </c>
      <c r="L670" s="93">
        <f t="shared" si="141"/>
        <v>0</v>
      </c>
      <c r="M670" s="94">
        <v>33.33</v>
      </c>
      <c r="N670" s="95" t="s">
        <v>289</v>
      </c>
      <c r="O670" s="93">
        <f t="shared" si="142"/>
        <v>0</v>
      </c>
      <c r="P670" s="93">
        <f t="shared" si="143"/>
        <v>0</v>
      </c>
      <c r="Q670" s="93">
        <f t="shared" si="144"/>
        <v>0</v>
      </c>
      <c r="R670" s="93">
        <f t="shared" si="145"/>
        <v>0</v>
      </c>
      <c r="S670" s="93">
        <f t="shared" si="146"/>
        <v>0</v>
      </c>
      <c r="T670" s="93">
        <f t="shared" si="147"/>
        <v>0</v>
      </c>
      <c r="U670" s="253">
        <f t="shared" si="148"/>
        <v>0</v>
      </c>
      <c r="V670" s="93">
        <f t="shared" si="149"/>
        <v>1261.8</v>
      </c>
    </row>
    <row r="671" spans="1:22" ht="18" customHeight="1" x14ac:dyDescent="0.2">
      <c r="A671" s="110" t="s">
        <v>1174</v>
      </c>
      <c r="B671" s="111"/>
      <c r="C671" s="201" t="s">
        <v>1175</v>
      </c>
      <c r="D671" s="91">
        <v>40053</v>
      </c>
      <c r="E671" s="92">
        <v>43438</v>
      </c>
      <c r="F671" s="93">
        <v>80</v>
      </c>
      <c r="G671" s="93"/>
      <c r="H671" s="93">
        <v>2770</v>
      </c>
      <c r="I671" s="93">
        <v>0</v>
      </c>
      <c r="J671" s="93"/>
      <c r="K671" s="93">
        <f t="shared" si="140"/>
        <v>80</v>
      </c>
      <c r="L671" s="93">
        <f t="shared" si="141"/>
        <v>0</v>
      </c>
      <c r="M671" s="94">
        <v>50</v>
      </c>
      <c r="N671" s="95" t="s">
        <v>289</v>
      </c>
      <c r="O671" s="93">
        <f t="shared" si="142"/>
        <v>0</v>
      </c>
      <c r="P671" s="93">
        <f t="shared" si="143"/>
        <v>0</v>
      </c>
      <c r="Q671" s="93">
        <f t="shared" si="144"/>
        <v>0</v>
      </c>
      <c r="R671" s="93">
        <f t="shared" si="145"/>
        <v>0</v>
      </c>
      <c r="S671" s="93">
        <f t="shared" si="146"/>
        <v>0</v>
      </c>
      <c r="T671" s="93">
        <f t="shared" si="147"/>
        <v>0</v>
      </c>
      <c r="U671" s="253">
        <f t="shared" si="148"/>
        <v>0</v>
      </c>
      <c r="V671" s="93">
        <f t="shared" si="149"/>
        <v>2770</v>
      </c>
    </row>
    <row r="672" spans="1:22" ht="18" customHeight="1" x14ac:dyDescent="0.2">
      <c r="A672" s="110" t="s">
        <v>1176</v>
      </c>
      <c r="B672" s="111"/>
      <c r="C672" s="201" t="s">
        <v>1177</v>
      </c>
      <c r="D672" s="91">
        <v>40232</v>
      </c>
      <c r="E672" s="92">
        <v>43438</v>
      </c>
      <c r="F672" s="93">
        <v>160</v>
      </c>
      <c r="G672" s="93"/>
      <c r="H672" s="93">
        <v>3560</v>
      </c>
      <c r="I672" s="93">
        <v>0</v>
      </c>
      <c r="J672" s="93"/>
      <c r="K672" s="93">
        <f t="shared" si="140"/>
        <v>160</v>
      </c>
      <c r="L672" s="93">
        <f t="shared" si="141"/>
        <v>0</v>
      </c>
      <c r="M672" s="94">
        <v>50</v>
      </c>
      <c r="N672" s="95" t="s">
        <v>289</v>
      </c>
      <c r="O672" s="93">
        <f t="shared" si="142"/>
        <v>0</v>
      </c>
      <c r="P672" s="93">
        <f t="shared" si="143"/>
        <v>0</v>
      </c>
      <c r="Q672" s="93">
        <f t="shared" si="144"/>
        <v>0</v>
      </c>
      <c r="R672" s="93">
        <f t="shared" si="145"/>
        <v>0</v>
      </c>
      <c r="S672" s="93">
        <f t="shared" si="146"/>
        <v>0</v>
      </c>
      <c r="T672" s="93">
        <f t="shared" si="147"/>
        <v>0</v>
      </c>
      <c r="U672" s="253">
        <f t="shared" si="148"/>
        <v>0</v>
      </c>
      <c r="V672" s="93">
        <f t="shared" si="149"/>
        <v>3560</v>
      </c>
    </row>
    <row r="673" spans="1:22" ht="18" customHeight="1" x14ac:dyDescent="0.2">
      <c r="A673" s="110" t="s">
        <v>1178</v>
      </c>
      <c r="B673" s="111"/>
      <c r="C673" s="201" t="s">
        <v>1179</v>
      </c>
      <c r="D673" s="91">
        <v>40232</v>
      </c>
      <c r="E673" s="92"/>
      <c r="F673" s="93"/>
      <c r="G673" s="93"/>
      <c r="H673" s="93">
        <v>950</v>
      </c>
      <c r="I673" s="93">
        <v>0</v>
      </c>
      <c r="J673" s="93"/>
      <c r="K673" s="93">
        <f t="shared" si="140"/>
        <v>0</v>
      </c>
      <c r="L673" s="93">
        <f t="shared" si="141"/>
        <v>0</v>
      </c>
      <c r="M673" s="94">
        <v>50</v>
      </c>
      <c r="N673" s="95" t="s">
        <v>289</v>
      </c>
      <c r="O673" s="93">
        <f t="shared" si="142"/>
        <v>0</v>
      </c>
      <c r="P673" s="93">
        <f t="shared" si="143"/>
        <v>0</v>
      </c>
      <c r="Q673" s="93">
        <f t="shared" si="144"/>
        <v>0</v>
      </c>
      <c r="R673" s="93">
        <f t="shared" si="145"/>
        <v>0</v>
      </c>
      <c r="S673" s="93">
        <f t="shared" si="146"/>
        <v>0</v>
      </c>
      <c r="T673" s="93">
        <f t="shared" si="147"/>
        <v>0</v>
      </c>
      <c r="U673" s="253">
        <f t="shared" si="148"/>
        <v>0</v>
      </c>
      <c r="V673" s="93">
        <f t="shared" si="149"/>
        <v>0</v>
      </c>
    </row>
    <row r="674" spans="1:22" ht="18" customHeight="1" x14ac:dyDescent="0.2">
      <c r="A674" s="110" t="s">
        <v>1180</v>
      </c>
      <c r="B674" s="111"/>
      <c r="C674" s="201" t="s">
        <v>1181</v>
      </c>
      <c r="D674" s="91">
        <v>40232</v>
      </c>
      <c r="E674" s="92"/>
      <c r="F674" s="93"/>
      <c r="G674" s="93"/>
      <c r="H674" s="93">
        <v>1480</v>
      </c>
      <c r="I674" s="93">
        <v>0</v>
      </c>
      <c r="J674" s="93"/>
      <c r="K674" s="93">
        <f t="shared" si="140"/>
        <v>0</v>
      </c>
      <c r="L674" s="93">
        <f t="shared" si="141"/>
        <v>0</v>
      </c>
      <c r="M674" s="94">
        <v>50</v>
      </c>
      <c r="N674" s="95" t="s">
        <v>289</v>
      </c>
      <c r="O674" s="93">
        <f t="shared" si="142"/>
        <v>0</v>
      </c>
      <c r="P674" s="93">
        <f t="shared" si="143"/>
        <v>0</v>
      </c>
      <c r="Q674" s="93">
        <f t="shared" si="144"/>
        <v>0</v>
      </c>
      <c r="R674" s="93">
        <f t="shared" si="145"/>
        <v>0</v>
      </c>
      <c r="S674" s="93">
        <f t="shared" si="146"/>
        <v>0</v>
      </c>
      <c r="T674" s="93">
        <f t="shared" si="147"/>
        <v>0</v>
      </c>
      <c r="U674" s="253">
        <f t="shared" si="148"/>
        <v>0</v>
      </c>
      <c r="V674" s="93">
        <f t="shared" si="149"/>
        <v>0</v>
      </c>
    </row>
    <row r="675" spans="1:22" ht="18" customHeight="1" x14ac:dyDescent="0.2">
      <c r="A675" s="110" t="s">
        <v>1182</v>
      </c>
      <c r="B675" s="111"/>
      <c r="C675" s="201" t="s">
        <v>1183</v>
      </c>
      <c r="D675" s="91">
        <v>40232</v>
      </c>
      <c r="E675" s="92">
        <v>43438</v>
      </c>
      <c r="F675" s="93">
        <v>400</v>
      </c>
      <c r="G675" s="93"/>
      <c r="H675" s="93">
        <v>1425</v>
      </c>
      <c r="I675" s="93">
        <v>0</v>
      </c>
      <c r="J675" s="93"/>
      <c r="K675" s="93">
        <f t="shared" si="140"/>
        <v>400</v>
      </c>
      <c r="L675" s="93">
        <f t="shared" si="141"/>
        <v>0</v>
      </c>
      <c r="M675" s="94">
        <v>50</v>
      </c>
      <c r="N675" s="95" t="s">
        <v>289</v>
      </c>
      <c r="O675" s="93">
        <f t="shared" si="142"/>
        <v>0</v>
      </c>
      <c r="P675" s="93">
        <f t="shared" si="143"/>
        <v>0</v>
      </c>
      <c r="Q675" s="93">
        <f t="shared" si="144"/>
        <v>0</v>
      </c>
      <c r="R675" s="93">
        <f t="shared" si="145"/>
        <v>0</v>
      </c>
      <c r="S675" s="93">
        <f t="shared" si="146"/>
        <v>0</v>
      </c>
      <c r="T675" s="93">
        <f t="shared" si="147"/>
        <v>0</v>
      </c>
      <c r="U675" s="253">
        <f t="shared" si="148"/>
        <v>0</v>
      </c>
      <c r="V675" s="93">
        <f t="shared" si="149"/>
        <v>1425</v>
      </c>
    </row>
    <row r="676" spans="1:22" ht="18" customHeight="1" x14ac:dyDescent="0.2">
      <c r="A676" s="110" t="s">
        <v>1184</v>
      </c>
      <c r="B676" s="111"/>
      <c r="C676" s="201" t="s">
        <v>1185</v>
      </c>
      <c r="D676" s="91">
        <v>40260</v>
      </c>
      <c r="E676" s="92">
        <v>43438</v>
      </c>
      <c r="F676" s="93">
        <v>240</v>
      </c>
      <c r="G676" s="93"/>
      <c r="H676" s="93">
        <v>2400</v>
      </c>
      <c r="I676" s="93">
        <v>0</v>
      </c>
      <c r="J676" s="93"/>
      <c r="K676" s="93">
        <f t="shared" si="140"/>
        <v>240</v>
      </c>
      <c r="L676" s="93">
        <f t="shared" si="141"/>
        <v>0</v>
      </c>
      <c r="M676" s="94">
        <v>50</v>
      </c>
      <c r="N676" s="95" t="s">
        <v>289</v>
      </c>
      <c r="O676" s="93">
        <f t="shared" si="142"/>
        <v>0</v>
      </c>
      <c r="P676" s="93">
        <f t="shared" si="143"/>
        <v>0</v>
      </c>
      <c r="Q676" s="93">
        <f t="shared" si="144"/>
        <v>0</v>
      </c>
      <c r="R676" s="93">
        <f t="shared" si="145"/>
        <v>0</v>
      </c>
      <c r="S676" s="93">
        <f t="shared" si="146"/>
        <v>0</v>
      </c>
      <c r="T676" s="93">
        <f t="shared" si="147"/>
        <v>0</v>
      </c>
      <c r="U676" s="253">
        <f t="shared" si="148"/>
        <v>0</v>
      </c>
      <c r="V676" s="93">
        <f t="shared" si="149"/>
        <v>2400</v>
      </c>
    </row>
    <row r="677" spans="1:22" ht="18" customHeight="1" x14ac:dyDescent="0.2">
      <c r="A677" s="110" t="s">
        <v>1186</v>
      </c>
      <c r="B677" s="111"/>
      <c r="C677" s="90" t="s">
        <v>1187</v>
      </c>
      <c r="D677" s="91">
        <v>40574</v>
      </c>
      <c r="E677" s="92">
        <v>43438</v>
      </c>
      <c r="F677" s="93">
        <v>40</v>
      </c>
      <c r="G677" s="93"/>
      <c r="H677" s="93">
        <v>982.80000000000007</v>
      </c>
      <c r="I677" s="93">
        <v>0</v>
      </c>
      <c r="J677" s="93"/>
      <c r="K677" s="93">
        <f t="shared" si="140"/>
        <v>40</v>
      </c>
      <c r="L677" s="93">
        <f t="shared" si="141"/>
        <v>0</v>
      </c>
      <c r="M677" s="94">
        <v>66.66</v>
      </c>
      <c r="N677" s="95" t="s">
        <v>289</v>
      </c>
      <c r="O677" s="93">
        <f t="shared" si="142"/>
        <v>0</v>
      </c>
      <c r="P677" s="93">
        <f t="shared" si="143"/>
        <v>0</v>
      </c>
      <c r="Q677" s="93">
        <f t="shared" si="144"/>
        <v>0</v>
      </c>
      <c r="R677" s="93">
        <f t="shared" si="145"/>
        <v>0</v>
      </c>
      <c r="S677" s="93">
        <f t="shared" si="146"/>
        <v>0</v>
      </c>
      <c r="T677" s="93">
        <f t="shared" si="147"/>
        <v>0</v>
      </c>
      <c r="U677" s="253">
        <f t="shared" si="148"/>
        <v>0</v>
      </c>
      <c r="V677" s="93">
        <f t="shared" si="149"/>
        <v>982.80000000000007</v>
      </c>
    </row>
    <row r="678" spans="1:22" ht="18" customHeight="1" x14ac:dyDescent="0.2">
      <c r="A678" s="110" t="s">
        <v>1188</v>
      </c>
      <c r="B678" s="111"/>
      <c r="C678" s="90" t="s">
        <v>1189</v>
      </c>
      <c r="D678" s="91">
        <v>40596</v>
      </c>
      <c r="E678" s="92">
        <v>43438</v>
      </c>
      <c r="F678" s="93">
        <v>80</v>
      </c>
      <c r="G678" s="93"/>
      <c r="H678" s="93">
        <v>2740</v>
      </c>
      <c r="I678" s="93">
        <v>0</v>
      </c>
      <c r="J678" s="93"/>
      <c r="K678" s="93">
        <f t="shared" si="140"/>
        <v>80</v>
      </c>
      <c r="L678" s="93">
        <f t="shared" si="141"/>
        <v>0</v>
      </c>
      <c r="M678" s="94">
        <v>66.66</v>
      </c>
      <c r="N678" s="95" t="s">
        <v>289</v>
      </c>
      <c r="O678" s="93">
        <f t="shared" si="142"/>
        <v>0</v>
      </c>
      <c r="P678" s="93">
        <f t="shared" si="143"/>
        <v>0</v>
      </c>
      <c r="Q678" s="93">
        <f t="shared" si="144"/>
        <v>0</v>
      </c>
      <c r="R678" s="93">
        <f t="shared" si="145"/>
        <v>0</v>
      </c>
      <c r="S678" s="93">
        <f t="shared" si="146"/>
        <v>0</v>
      </c>
      <c r="T678" s="93">
        <f t="shared" si="147"/>
        <v>0</v>
      </c>
      <c r="U678" s="253">
        <f t="shared" si="148"/>
        <v>0</v>
      </c>
      <c r="V678" s="93">
        <f t="shared" si="149"/>
        <v>2740</v>
      </c>
    </row>
    <row r="679" spans="1:22" ht="18" customHeight="1" x14ac:dyDescent="0.2">
      <c r="A679" s="110" t="s">
        <v>1190</v>
      </c>
      <c r="B679" s="111"/>
      <c r="C679" s="201" t="s">
        <v>1191</v>
      </c>
      <c r="D679" s="91">
        <v>40609</v>
      </c>
      <c r="E679" s="92">
        <v>43438</v>
      </c>
      <c r="F679" s="93">
        <v>80</v>
      </c>
      <c r="G679" s="93"/>
      <c r="H679" s="93">
        <v>1635</v>
      </c>
      <c r="I679" s="93">
        <v>0</v>
      </c>
      <c r="J679" s="93"/>
      <c r="K679" s="93">
        <f t="shared" si="140"/>
        <v>80</v>
      </c>
      <c r="L679" s="93">
        <f t="shared" si="141"/>
        <v>0</v>
      </c>
      <c r="M679" s="94">
        <v>66.66</v>
      </c>
      <c r="N679" s="95" t="s">
        <v>289</v>
      </c>
      <c r="O679" s="93">
        <f t="shared" si="142"/>
        <v>0</v>
      </c>
      <c r="P679" s="93">
        <f t="shared" si="143"/>
        <v>0</v>
      </c>
      <c r="Q679" s="93">
        <f t="shared" si="144"/>
        <v>0</v>
      </c>
      <c r="R679" s="93">
        <f t="shared" si="145"/>
        <v>0</v>
      </c>
      <c r="S679" s="93">
        <f t="shared" si="146"/>
        <v>0</v>
      </c>
      <c r="T679" s="93">
        <f t="shared" si="147"/>
        <v>0</v>
      </c>
      <c r="U679" s="253">
        <f t="shared" si="148"/>
        <v>0</v>
      </c>
      <c r="V679" s="93">
        <f t="shared" si="149"/>
        <v>1635</v>
      </c>
    </row>
    <row r="680" spans="1:22" ht="18" customHeight="1" x14ac:dyDescent="0.2">
      <c r="A680" s="110" t="s">
        <v>1192</v>
      </c>
      <c r="B680" s="111"/>
      <c r="C680" s="201" t="s">
        <v>1193</v>
      </c>
      <c r="D680" s="91">
        <v>40625</v>
      </c>
      <c r="E680" s="92"/>
      <c r="F680" s="93"/>
      <c r="G680" s="93"/>
      <c r="H680" s="93">
        <v>3618.2400000000002</v>
      </c>
      <c r="I680" s="93">
        <v>0</v>
      </c>
      <c r="J680" s="93"/>
      <c r="K680" s="93">
        <f t="shared" si="140"/>
        <v>0</v>
      </c>
      <c r="L680" s="93">
        <f t="shared" si="141"/>
        <v>0</v>
      </c>
      <c r="M680" s="94">
        <v>66.66</v>
      </c>
      <c r="N680" s="95" t="s">
        <v>289</v>
      </c>
      <c r="O680" s="93">
        <f t="shared" si="142"/>
        <v>0</v>
      </c>
      <c r="P680" s="93">
        <f t="shared" si="143"/>
        <v>0</v>
      </c>
      <c r="Q680" s="93">
        <f t="shared" si="144"/>
        <v>0</v>
      </c>
      <c r="R680" s="93">
        <f t="shared" si="145"/>
        <v>0</v>
      </c>
      <c r="S680" s="93">
        <f t="shared" si="146"/>
        <v>0</v>
      </c>
      <c r="T680" s="93">
        <f t="shared" si="147"/>
        <v>0</v>
      </c>
      <c r="U680" s="253">
        <f t="shared" si="148"/>
        <v>0</v>
      </c>
      <c r="V680" s="93">
        <f t="shared" si="149"/>
        <v>0</v>
      </c>
    </row>
    <row r="681" spans="1:22" ht="18" customHeight="1" x14ac:dyDescent="0.2">
      <c r="A681" s="110" t="s">
        <v>1194</v>
      </c>
      <c r="B681" s="111"/>
      <c r="C681" s="201" t="s">
        <v>1195</v>
      </c>
      <c r="D681" s="91">
        <v>40644</v>
      </c>
      <c r="E681" s="92"/>
      <c r="F681" s="93"/>
      <c r="G681" s="93"/>
      <c r="H681" s="93">
        <v>3200</v>
      </c>
      <c r="I681" s="93">
        <v>0</v>
      </c>
      <c r="J681" s="93"/>
      <c r="K681" s="93">
        <f t="shared" si="140"/>
        <v>0</v>
      </c>
      <c r="L681" s="93">
        <f t="shared" si="141"/>
        <v>0</v>
      </c>
      <c r="M681" s="94">
        <v>66.66</v>
      </c>
      <c r="N681" s="95" t="s">
        <v>289</v>
      </c>
      <c r="O681" s="93">
        <f t="shared" si="142"/>
        <v>0</v>
      </c>
      <c r="P681" s="93">
        <f t="shared" si="143"/>
        <v>0</v>
      </c>
      <c r="Q681" s="93">
        <f t="shared" si="144"/>
        <v>0</v>
      </c>
      <c r="R681" s="93">
        <f t="shared" si="145"/>
        <v>0</v>
      </c>
      <c r="S681" s="93">
        <f t="shared" si="146"/>
        <v>0</v>
      </c>
      <c r="T681" s="93">
        <f t="shared" si="147"/>
        <v>0</v>
      </c>
      <c r="U681" s="253">
        <f t="shared" si="148"/>
        <v>0</v>
      </c>
      <c r="V681" s="93">
        <f t="shared" si="149"/>
        <v>0</v>
      </c>
    </row>
    <row r="682" spans="1:22" ht="18" customHeight="1" x14ac:dyDescent="0.2">
      <c r="A682" s="110" t="s">
        <v>1196</v>
      </c>
      <c r="B682" s="111"/>
      <c r="C682" s="90" t="s">
        <v>1197</v>
      </c>
      <c r="D682" s="91">
        <v>40653</v>
      </c>
      <c r="E682" s="92"/>
      <c r="F682" s="93"/>
      <c r="G682" s="93"/>
      <c r="H682" s="93">
        <v>2520</v>
      </c>
      <c r="I682" s="93">
        <v>0</v>
      </c>
      <c r="J682" s="93"/>
      <c r="K682" s="93">
        <f t="shared" si="140"/>
        <v>0</v>
      </c>
      <c r="L682" s="93">
        <f t="shared" si="141"/>
        <v>0</v>
      </c>
      <c r="M682" s="94">
        <v>66.66</v>
      </c>
      <c r="N682" s="95" t="s">
        <v>289</v>
      </c>
      <c r="O682" s="93">
        <f t="shared" si="142"/>
        <v>0</v>
      </c>
      <c r="P682" s="93">
        <f t="shared" si="143"/>
        <v>0</v>
      </c>
      <c r="Q682" s="93">
        <f t="shared" si="144"/>
        <v>0</v>
      </c>
      <c r="R682" s="93">
        <f t="shared" si="145"/>
        <v>0</v>
      </c>
      <c r="S682" s="93">
        <f t="shared" si="146"/>
        <v>0</v>
      </c>
      <c r="T682" s="93">
        <f t="shared" si="147"/>
        <v>0</v>
      </c>
      <c r="U682" s="253">
        <f t="shared" si="148"/>
        <v>0</v>
      </c>
      <c r="V682" s="93">
        <f t="shared" si="149"/>
        <v>0</v>
      </c>
    </row>
    <row r="683" spans="1:22" ht="18" customHeight="1" x14ac:dyDescent="0.2">
      <c r="A683" s="110" t="s">
        <v>1198</v>
      </c>
      <c r="B683" s="111"/>
      <c r="C683" s="201" t="s">
        <v>506</v>
      </c>
      <c r="D683" s="91">
        <v>38097</v>
      </c>
      <c r="E683" s="92">
        <v>43438</v>
      </c>
      <c r="F683" s="93">
        <v>160</v>
      </c>
      <c r="G683" s="93"/>
      <c r="H683" s="93">
        <v>3427.5</v>
      </c>
      <c r="I683" s="93">
        <v>0</v>
      </c>
      <c r="J683" s="93"/>
      <c r="K683" s="93">
        <f t="shared" si="140"/>
        <v>160</v>
      </c>
      <c r="L683" s="93">
        <f t="shared" si="141"/>
        <v>0</v>
      </c>
      <c r="M683" s="94">
        <v>33.33</v>
      </c>
      <c r="N683" s="95" t="s">
        <v>289</v>
      </c>
      <c r="O683" s="93">
        <f t="shared" si="142"/>
        <v>0</v>
      </c>
      <c r="P683" s="93">
        <f t="shared" si="143"/>
        <v>0</v>
      </c>
      <c r="Q683" s="93">
        <f t="shared" si="144"/>
        <v>0</v>
      </c>
      <c r="R683" s="93">
        <f t="shared" si="145"/>
        <v>0</v>
      </c>
      <c r="S683" s="93">
        <f t="shared" si="146"/>
        <v>0</v>
      </c>
      <c r="T683" s="93">
        <f t="shared" si="147"/>
        <v>0</v>
      </c>
      <c r="U683" s="253">
        <f t="shared" si="148"/>
        <v>0</v>
      </c>
      <c r="V683" s="93">
        <f t="shared" si="149"/>
        <v>3427.5</v>
      </c>
    </row>
    <row r="684" spans="1:22" ht="18" customHeight="1" x14ac:dyDescent="0.2">
      <c r="A684" s="110" t="s">
        <v>1199</v>
      </c>
      <c r="B684" s="111"/>
      <c r="C684" s="201" t="s">
        <v>1200</v>
      </c>
      <c r="D684" s="91">
        <v>38288</v>
      </c>
      <c r="E684" s="92">
        <v>43438</v>
      </c>
      <c r="F684" s="93">
        <v>80</v>
      </c>
      <c r="G684" s="93"/>
      <c r="H684" s="93">
        <v>2405.2600000000002</v>
      </c>
      <c r="I684" s="93">
        <v>0</v>
      </c>
      <c r="J684" s="93"/>
      <c r="K684" s="93">
        <f t="shared" si="140"/>
        <v>80</v>
      </c>
      <c r="L684" s="93">
        <f t="shared" si="141"/>
        <v>0</v>
      </c>
      <c r="M684" s="94">
        <v>33.33</v>
      </c>
      <c r="N684" s="95" t="s">
        <v>289</v>
      </c>
      <c r="O684" s="93">
        <f t="shared" si="142"/>
        <v>0</v>
      </c>
      <c r="P684" s="93">
        <f t="shared" si="143"/>
        <v>0</v>
      </c>
      <c r="Q684" s="93">
        <f t="shared" si="144"/>
        <v>0</v>
      </c>
      <c r="R684" s="93">
        <f t="shared" si="145"/>
        <v>0</v>
      </c>
      <c r="S684" s="93">
        <f t="shared" si="146"/>
        <v>0</v>
      </c>
      <c r="T684" s="93">
        <f t="shared" si="147"/>
        <v>0</v>
      </c>
      <c r="U684" s="253">
        <f t="shared" si="148"/>
        <v>0</v>
      </c>
      <c r="V684" s="93">
        <f t="shared" si="149"/>
        <v>2405.2600000000002</v>
      </c>
    </row>
    <row r="685" spans="1:22" ht="18" customHeight="1" x14ac:dyDescent="0.2">
      <c r="A685" s="110" t="s">
        <v>1201</v>
      </c>
      <c r="B685" s="111"/>
      <c r="C685" s="201" t="s">
        <v>1202</v>
      </c>
      <c r="D685" s="91">
        <v>38336</v>
      </c>
      <c r="E685" s="92">
        <v>43438</v>
      </c>
      <c r="F685" s="93">
        <f>40*40</f>
        <v>1600</v>
      </c>
      <c r="G685" s="93"/>
      <c r="H685" s="93">
        <v>1200</v>
      </c>
      <c r="I685" s="93">
        <v>0</v>
      </c>
      <c r="J685" s="93"/>
      <c r="K685" s="93">
        <f t="shared" si="140"/>
        <v>1600</v>
      </c>
      <c r="L685" s="93">
        <f t="shared" si="141"/>
        <v>0</v>
      </c>
      <c r="M685" s="94">
        <v>33.33</v>
      </c>
      <c r="N685" s="95" t="s">
        <v>289</v>
      </c>
      <c r="O685" s="93">
        <f t="shared" si="142"/>
        <v>0</v>
      </c>
      <c r="P685" s="93">
        <f t="shared" si="143"/>
        <v>0</v>
      </c>
      <c r="Q685" s="93">
        <f t="shared" si="144"/>
        <v>0</v>
      </c>
      <c r="R685" s="93">
        <f t="shared" si="145"/>
        <v>0</v>
      </c>
      <c r="S685" s="93">
        <f t="shared" si="146"/>
        <v>0</v>
      </c>
      <c r="T685" s="93">
        <f t="shared" si="147"/>
        <v>0</v>
      </c>
      <c r="U685" s="253">
        <f t="shared" si="148"/>
        <v>0</v>
      </c>
      <c r="V685" s="93">
        <f t="shared" si="149"/>
        <v>1200</v>
      </c>
    </row>
    <row r="686" spans="1:22" ht="18" customHeight="1" x14ac:dyDescent="0.2">
      <c r="A686" s="110" t="s">
        <v>1203</v>
      </c>
      <c r="B686" s="111"/>
      <c r="C686" s="201" t="s">
        <v>1204</v>
      </c>
      <c r="D686" s="91">
        <v>38411</v>
      </c>
      <c r="E686" s="92">
        <v>43646</v>
      </c>
      <c r="F686" s="93">
        <v>0</v>
      </c>
      <c r="G686" s="93"/>
      <c r="H686" s="93">
        <v>825</v>
      </c>
      <c r="I686" s="93">
        <v>0</v>
      </c>
      <c r="J686" s="93"/>
      <c r="K686" s="93">
        <f t="shared" si="140"/>
        <v>0</v>
      </c>
      <c r="L686" s="93">
        <f t="shared" si="141"/>
        <v>0</v>
      </c>
      <c r="M686" s="94">
        <v>33.33</v>
      </c>
      <c r="N686" s="95" t="s">
        <v>289</v>
      </c>
      <c r="O686" s="93">
        <f t="shared" si="142"/>
        <v>0</v>
      </c>
      <c r="P686" s="93">
        <f t="shared" si="143"/>
        <v>0</v>
      </c>
      <c r="Q686" s="93">
        <f t="shared" si="144"/>
        <v>0</v>
      </c>
      <c r="R686" s="93">
        <f t="shared" si="145"/>
        <v>0</v>
      </c>
      <c r="S686" s="93">
        <f t="shared" si="146"/>
        <v>0</v>
      </c>
      <c r="T686" s="93">
        <f t="shared" si="147"/>
        <v>0</v>
      </c>
      <c r="U686" s="253">
        <f t="shared" si="148"/>
        <v>0</v>
      </c>
      <c r="V686" s="93">
        <f t="shared" si="149"/>
        <v>825</v>
      </c>
    </row>
    <row r="687" spans="1:22" ht="18" customHeight="1" x14ac:dyDescent="0.2">
      <c r="A687" s="110" t="s">
        <v>1205</v>
      </c>
      <c r="B687" s="111"/>
      <c r="C687" s="201" t="s">
        <v>1206</v>
      </c>
      <c r="D687" s="91">
        <v>38415</v>
      </c>
      <c r="E687" s="92">
        <v>43438</v>
      </c>
      <c r="F687" s="93">
        <v>80</v>
      </c>
      <c r="G687" s="93"/>
      <c r="H687" s="93">
        <v>2626.92</v>
      </c>
      <c r="I687" s="93">
        <v>0</v>
      </c>
      <c r="J687" s="93"/>
      <c r="K687" s="93">
        <f t="shared" si="140"/>
        <v>80</v>
      </c>
      <c r="L687" s="93">
        <f t="shared" si="141"/>
        <v>0</v>
      </c>
      <c r="M687" s="94">
        <v>33.33</v>
      </c>
      <c r="N687" s="95" t="s">
        <v>289</v>
      </c>
      <c r="O687" s="93">
        <f t="shared" si="142"/>
        <v>0</v>
      </c>
      <c r="P687" s="93">
        <f t="shared" si="143"/>
        <v>0</v>
      </c>
      <c r="Q687" s="93">
        <f t="shared" si="144"/>
        <v>0</v>
      </c>
      <c r="R687" s="93">
        <f t="shared" si="145"/>
        <v>0</v>
      </c>
      <c r="S687" s="93">
        <f t="shared" si="146"/>
        <v>0</v>
      </c>
      <c r="T687" s="93">
        <f t="shared" si="147"/>
        <v>0</v>
      </c>
      <c r="U687" s="253">
        <f t="shared" si="148"/>
        <v>0</v>
      </c>
      <c r="V687" s="93">
        <f t="shared" si="149"/>
        <v>2626.92</v>
      </c>
    </row>
    <row r="688" spans="1:22" ht="18" customHeight="1" x14ac:dyDescent="0.2">
      <c r="A688" s="110" t="s">
        <v>1207</v>
      </c>
      <c r="B688" s="111"/>
      <c r="C688" s="201" t="s">
        <v>1208</v>
      </c>
      <c r="D688" s="91">
        <v>38426</v>
      </c>
      <c r="E688" s="92">
        <v>43438</v>
      </c>
      <c r="F688" s="93">
        <v>40</v>
      </c>
      <c r="G688" s="93"/>
      <c r="H688" s="93">
        <v>1290</v>
      </c>
      <c r="I688" s="93">
        <v>0</v>
      </c>
      <c r="J688" s="93"/>
      <c r="K688" s="93">
        <f t="shared" si="140"/>
        <v>40</v>
      </c>
      <c r="L688" s="93">
        <f t="shared" si="141"/>
        <v>0</v>
      </c>
      <c r="M688" s="94">
        <v>33.33</v>
      </c>
      <c r="N688" s="95" t="s">
        <v>289</v>
      </c>
      <c r="O688" s="93">
        <f t="shared" si="142"/>
        <v>0</v>
      </c>
      <c r="P688" s="93">
        <f t="shared" si="143"/>
        <v>0</v>
      </c>
      <c r="Q688" s="93">
        <f t="shared" si="144"/>
        <v>0</v>
      </c>
      <c r="R688" s="93">
        <f t="shared" si="145"/>
        <v>0</v>
      </c>
      <c r="S688" s="93">
        <f t="shared" si="146"/>
        <v>0</v>
      </c>
      <c r="T688" s="93">
        <f t="shared" si="147"/>
        <v>0</v>
      </c>
      <c r="U688" s="253">
        <f t="shared" si="148"/>
        <v>0</v>
      </c>
      <c r="V688" s="93">
        <f t="shared" si="149"/>
        <v>1290</v>
      </c>
    </row>
    <row r="689" spans="1:22" ht="18" customHeight="1" x14ac:dyDescent="0.2">
      <c r="A689" s="110" t="s">
        <v>1209</v>
      </c>
      <c r="B689" s="111"/>
      <c r="C689" s="201" t="s">
        <v>1210</v>
      </c>
      <c r="D689" s="91">
        <v>38427</v>
      </c>
      <c r="E689" s="92"/>
      <c r="F689" s="93"/>
      <c r="G689" s="93"/>
      <c r="H689" s="93">
        <v>2310</v>
      </c>
      <c r="I689" s="93">
        <v>0</v>
      </c>
      <c r="J689" s="93"/>
      <c r="K689" s="93">
        <f t="shared" si="140"/>
        <v>0</v>
      </c>
      <c r="L689" s="93">
        <f t="shared" si="141"/>
        <v>0</v>
      </c>
      <c r="M689" s="94">
        <v>33.33</v>
      </c>
      <c r="N689" s="95" t="s">
        <v>289</v>
      </c>
      <c r="O689" s="93">
        <f t="shared" si="142"/>
        <v>0</v>
      </c>
      <c r="P689" s="93">
        <f t="shared" si="143"/>
        <v>0</v>
      </c>
      <c r="Q689" s="93">
        <f t="shared" si="144"/>
        <v>0</v>
      </c>
      <c r="R689" s="93">
        <f t="shared" si="145"/>
        <v>0</v>
      </c>
      <c r="S689" s="93">
        <f t="shared" si="146"/>
        <v>0</v>
      </c>
      <c r="T689" s="93">
        <f t="shared" si="147"/>
        <v>0</v>
      </c>
      <c r="U689" s="253">
        <f t="shared" si="148"/>
        <v>0</v>
      </c>
      <c r="V689" s="93">
        <f t="shared" si="149"/>
        <v>0</v>
      </c>
    </row>
    <row r="690" spans="1:22" ht="18" customHeight="1" x14ac:dyDescent="0.2">
      <c r="A690" s="110" t="s">
        <v>1211</v>
      </c>
      <c r="B690" s="111"/>
      <c r="C690" s="201" t="s">
        <v>1212</v>
      </c>
      <c r="D690" s="91">
        <v>38427</v>
      </c>
      <c r="E690" s="92"/>
      <c r="F690" s="93"/>
      <c r="G690" s="93"/>
      <c r="H690" s="93">
        <v>900</v>
      </c>
      <c r="I690" s="93">
        <v>0</v>
      </c>
      <c r="J690" s="93"/>
      <c r="K690" s="93">
        <f t="shared" si="140"/>
        <v>0</v>
      </c>
      <c r="L690" s="93">
        <f t="shared" si="141"/>
        <v>0</v>
      </c>
      <c r="M690" s="94">
        <v>33.33</v>
      </c>
      <c r="N690" s="95" t="s">
        <v>289</v>
      </c>
      <c r="O690" s="93">
        <f t="shared" si="142"/>
        <v>0</v>
      </c>
      <c r="P690" s="93">
        <f t="shared" si="143"/>
        <v>0</v>
      </c>
      <c r="Q690" s="93">
        <f t="shared" si="144"/>
        <v>0</v>
      </c>
      <c r="R690" s="93">
        <f t="shared" si="145"/>
        <v>0</v>
      </c>
      <c r="S690" s="93">
        <f t="shared" si="146"/>
        <v>0</v>
      </c>
      <c r="T690" s="93">
        <f t="shared" si="147"/>
        <v>0</v>
      </c>
      <c r="U690" s="253">
        <f t="shared" si="148"/>
        <v>0</v>
      </c>
      <c r="V690" s="93">
        <f t="shared" si="149"/>
        <v>0</v>
      </c>
    </row>
    <row r="691" spans="1:22" ht="18" customHeight="1" x14ac:dyDescent="0.2">
      <c r="A691" s="110" t="s">
        <v>1213</v>
      </c>
      <c r="B691" s="111"/>
      <c r="C691" s="201" t="s">
        <v>1206</v>
      </c>
      <c r="D691" s="91">
        <v>38431</v>
      </c>
      <c r="E691" s="92">
        <v>43438</v>
      </c>
      <c r="F691" s="93">
        <v>80</v>
      </c>
      <c r="G691" s="93"/>
      <c r="H691" s="93">
        <v>2552.84</v>
      </c>
      <c r="I691" s="93">
        <v>0</v>
      </c>
      <c r="J691" s="93"/>
      <c r="K691" s="93">
        <f t="shared" si="140"/>
        <v>80</v>
      </c>
      <c r="L691" s="93">
        <f t="shared" si="141"/>
        <v>0</v>
      </c>
      <c r="M691" s="94">
        <v>33.33</v>
      </c>
      <c r="N691" s="95" t="s">
        <v>289</v>
      </c>
      <c r="O691" s="93">
        <f t="shared" si="142"/>
        <v>0</v>
      </c>
      <c r="P691" s="93">
        <f t="shared" si="143"/>
        <v>0</v>
      </c>
      <c r="Q691" s="93">
        <f t="shared" si="144"/>
        <v>0</v>
      </c>
      <c r="R691" s="93">
        <f t="shared" si="145"/>
        <v>0</v>
      </c>
      <c r="S691" s="93">
        <f t="shared" si="146"/>
        <v>0</v>
      </c>
      <c r="T691" s="93">
        <f t="shared" si="147"/>
        <v>0</v>
      </c>
      <c r="U691" s="253">
        <f t="shared" si="148"/>
        <v>0</v>
      </c>
      <c r="V691" s="93">
        <f t="shared" si="149"/>
        <v>2552.84</v>
      </c>
    </row>
    <row r="692" spans="1:22" ht="18" customHeight="1" x14ac:dyDescent="0.2">
      <c r="A692" s="110" t="s">
        <v>1214</v>
      </c>
      <c r="B692" s="111"/>
      <c r="C692" s="201" t="s">
        <v>1212</v>
      </c>
      <c r="D692" s="91">
        <v>38431</v>
      </c>
      <c r="E692" s="92"/>
      <c r="F692" s="93"/>
      <c r="G692" s="93"/>
      <c r="H692" s="93">
        <v>1851.23</v>
      </c>
      <c r="I692" s="93">
        <v>0</v>
      </c>
      <c r="J692" s="93"/>
      <c r="K692" s="93">
        <f t="shared" si="140"/>
        <v>0</v>
      </c>
      <c r="L692" s="93">
        <f t="shared" si="141"/>
        <v>0</v>
      </c>
      <c r="M692" s="94">
        <v>33.33</v>
      </c>
      <c r="N692" s="95" t="s">
        <v>289</v>
      </c>
      <c r="O692" s="93">
        <f t="shared" si="142"/>
        <v>0</v>
      </c>
      <c r="P692" s="93">
        <f t="shared" si="143"/>
        <v>0</v>
      </c>
      <c r="Q692" s="93">
        <f t="shared" si="144"/>
        <v>0</v>
      </c>
      <c r="R692" s="93">
        <f t="shared" si="145"/>
        <v>0</v>
      </c>
      <c r="S692" s="93">
        <f t="shared" si="146"/>
        <v>0</v>
      </c>
      <c r="T692" s="93">
        <f t="shared" si="147"/>
        <v>0</v>
      </c>
      <c r="U692" s="253">
        <f t="shared" si="148"/>
        <v>0</v>
      </c>
      <c r="V692" s="93">
        <f t="shared" si="149"/>
        <v>0</v>
      </c>
    </row>
    <row r="693" spans="1:22" ht="18" customHeight="1" x14ac:dyDescent="0.2">
      <c r="A693" s="110" t="s">
        <v>1215</v>
      </c>
      <c r="B693" s="111"/>
      <c r="C693" s="201" t="s">
        <v>1206</v>
      </c>
      <c r="D693" s="91">
        <v>38444</v>
      </c>
      <c r="E693" s="92">
        <v>43438</v>
      </c>
      <c r="F693" s="93">
        <v>80</v>
      </c>
      <c r="G693" s="93"/>
      <c r="H693" s="93">
        <v>1390</v>
      </c>
      <c r="I693" s="93">
        <v>0</v>
      </c>
      <c r="J693" s="93"/>
      <c r="K693" s="93">
        <f t="shared" si="140"/>
        <v>80</v>
      </c>
      <c r="L693" s="93">
        <f t="shared" si="141"/>
        <v>0</v>
      </c>
      <c r="M693" s="94">
        <v>33.33</v>
      </c>
      <c r="N693" s="95" t="s">
        <v>289</v>
      </c>
      <c r="O693" s="93">
        <f t="shared" si="142"/>
        <v>0</v>
      </c>
      <c r="P693" s="93">
        <f t="shared" si="143"/>
        <v>0</v>
      </c>
      <c r="Q693" s="93">
        <f t="shared" si="144"/>
        <v>0</v>
      </c>
      <c r="R693" s="93">
        <f t="shared" si="145"/>
        <v>0</v>
      </c>
      <c r="S693" s="93">
        <f t="shared" si="146"/>
        <v>0</v>
      </c>
      <c r="T693" s="93">
        <f t="shared" si="147"/>
        <v>0</v>
      </c>
      <c r="U693" s="253">
        <f t="shared" si="148"/>
        <v>0</v>
      </c>
      <c r="V693" s="93">
        <f t="shared" si="149"/>
        <v>1390</v>
      </c>
    </row>
    <row r="694" spans="1:22" ht="18" customHeight="1" x14ac:dyDescent="0.2">
      <c r="A694" s="110" t="s">
        <v>1216</v>
      </c>
      <c r="B694" s="111"/>
      <c r="C694" s="201" t="s">
        <v>1217</v>
      </c>
      <c r="D694" s="91">
        <v>38454</v>
      </c>
      <c r="E694" s="92"/>
      <c r="F694" s="93"/>
      <c r="G694" s="93"/>
      <c r="H694" s="93">
        <v>1900</v>
      </c>
      <c r="I694" s="93">
        <v>0</v>
      </c>
      <c r="J694" s="93"/>
      <c r="K694" s="93">
        <f t="shared" si="140"/>
        <v>0</v>
      </c>
      <c r="L694" s="93">
        <f t="shared" si="141"/>
        <v>0</v>
      </c>
      <c r="M694" s="94">
        <v>33.33</v>
      </c>
      <c r="N694" s="95" t="s">
        <v>289</v>
      </c>
      <c r="O694" s="93">
        <f t="shared" si="142"/>
        <v>0</v>
      </c>
      <c r="P694" s="93">
        <f t="shared" si="143"/>
        <v>0</v>
      </c>
      <c r="Q694" s="93">
        <f t="shared" si="144"/>
        <v>0</v>
      </c>
      <c r="R694" s="93">
        <f t="shared" si="145"/>
        <v>0</v>
      </c>
      <c r="S694" s="93">
        <f t="shared" si="146"/>
        <v>0</v>
      </c>
      <c r="T694" s="93">
        <f t="shared" si="147"/>
        <v>0</v>
      </c>
      <c r="U694" s="253">
        <f t="shared" si="148"/>
        <v>0</v>
      </c>
      <c r="V694" s="93">
        <f t="shared" si="149"/>
        <v>0</v>
      </c>
    </row>
    <row r="695" spans="1:22" ht="18" customHeight="1" x14ac:dyDescent="0.2">
      <c r="A695" s="110" t="s">
        <v>1218</v>
      </c>
      <c r="B695" s="111"/>
      <c r="C695" s="201" t="s">
        <v>1219</v>
      </c>
      <c r="D695" s="91">
        <v>38534</v>
      </c>
      <c r="E695" s="92">
        <v>43507</v>
      </c>
      <c r="F695" s="93">
        <v>40</v>
      </c>
      <c r="G695" s="93"/>
      <c r="H695" s="93">
        <v>1281.51</v>
      </c>
      <c r="I695" s="93">
        <v>0</v>
      </c>
      <c r="J695" s="93"/>
      <c r="K695" s="93">
        <f t="shared" si="140"/>
        <v>40</v>
      </c>
      <c r="L695" s="93">
        <f t="shared" si="141"/>
        <v>0</v>
      </c>
      <c r="M695" s="94">
        <v>33.33</v>
      </c>
      <c r="N695" s="95" t="s">
        <v>289</v>
      </c>
      <c r="O695" s="93">
        <f t="shared" si="142"/>
        <v>0</v>
      </c>
      <c r="P695" s="93">
        <f t="shared" si="143"/>
        <v>0</v>
      </c>
      <c r="Q695" s="93">
        <f t="shared" si="144"/>
        <v>0</v>
      </c>
      <c r="R695" s="93">
        <f t="shared" si="145"/>
        <v>0</v>
      </c>
      <c r="S695" s="93">
        <f t="shared" si="146"/>
        <v>0</v>
      </c>
      <c r="T695" s="93">
        <f t="shared" si="147"/>
        <v>0</v>
      </c>
      <c r="U695" s="253">
        <f t="shared" si="148"/>
        <v>0</v>
      </c>
      <c r="V695" s="93">
        <f t="shared" si="149"/>
        <v>1281.51</v>
      </c>
    </row>
    <row r="696" spans="1:22" ht="18" customHeight="1" x14ac:dyDescent="0.2">
      <c r="A696" s="110" t="s">
        <v>1220</v>
      </c>
      <c r="B696" s="111"/>
      <c r="C696" s="201" t="s">
        <v>1286</v>
      </c>
      <c r="D696" s="91">
        <v>38558</v>
      </c>
      <c r="E696" s="92">
        <v>43507</v>
      </c>
      <c r="F696" s="93">
        <v>120</v>
      </c>
      <c r="G696" s="93"/>
      <c r="H696" s="93">
        <v>1050</v>
      </c>
      <c r="I696" s="93">
        <v>0</v>
      </c>
      <c r="J696" s="93"/>
      <c r="K696" s="93">
        <f t="shared" si="140"/>
        <v>120</v>
      </c>
      <c r="L696" s="93">
        <f t="shared" si="141"/>
        <v>0</v>
      </c>
      <c r="M696" s="94">
        <v>33.33</v>
      </c>
      <c r="N696" s="95" t="s">
        <v>289</v>
      </c>
      <c r="O696" s="93">
        <f t="shared" si="142"/>
        <v>0</v>
      </c>
      <c r="P696" s="93">
        <f t="shared" si="143"/>
        <v>0</v>
      </c>
      <c r="Q696" s="93">
        <f t="shared" si="144"/>
        <v>0</v>
      </c>
      <c r="R696" s="93">
        <f t="shared" si="145"/>
        <v>0</v>
      </c>
      <c r="S696" s="93">
        <f t="shared" si="146"/>
        <v>0</v>
      </c>
      <c r="T696" s="93">
        <f t="shared" si="147"/>
        <v>0</v>
      </c>
      <c r="U696" s="253">
        <f t="shared" si="148"/>
        <v>0</v>
      </c>
      <c r="V696" s="93">
        <f t="shared" si="149"/>
        <v>1050</v>
      </c>
    </row>
    <row r="697" spans="1:22" ht="18" customHeight="1" x14ac:dyDescent="0.2">
      <c r="A697" s="110" t="s">
        <v>1222</v>
      </c>
      <c r="B697" s="111"/>
      <c r="C697" s="201" t="s">
        <v>1219</v>
      </c>
      <c r="D697" s="91">
        <v>38561</v>
      </c>
      <c r="E697" s="92">
        <v>43507</v>
      </c>
      <c r="F697" s="93">
        <v>40</v>
      </c>
      <c r="G697" s="93"/>
      <c r="H697" s="93">
        <v>545.45000000000005</v>
      </c>
      <c r="I697" s="93">
        <v>0</v>
      </c>
      <c r="J697" s="93"/>
      <c r="K697" s="93">
        <f t="shared" si="140"/>
        <v>40</v>
      </c>
      <c r="L697" s="93">
        <f t="shared" si="141"/>
        <v>0</v>
      </c>
      <c r="M697" s="94">
        <v>33.299999999999997</v>
      </c>
      <c r="N697" s="95" t="s">
        <v>289</v>
      </c>
      <c r="O697" s="93">
        <f t="shared" si="142"/>
        <v>0</v>
      </c>
      <c r="P697" s="93">
        <f t="shared" si="143"/>
        <v>0</v>
      </c>
      <c r="Q697" s="93">
        <f t="shared" si="144"/>
        <v>0</v>
      </c>
      <c r="R697" s="93">
        <f t="shared" si="145"/>
        <v>0</v>
      </c>
      <c r="S697" s="93">
        <f t="shared" si="146"/>
        <v>0</v>
      </c>
      <c r="T697" s="93">
        <f t="shared" si="147"/>
        <v>0</v>
      </c>
      <c r="U697" s="253">
        <f t="shared" si="148"/>
        <v>0</v>
      </c>
      <c r="V697" s="93">
        <f t="shared" si="149"/>
        <v>545.45000000000005</v>
      </c>
    </row>
    <row r="698" spans="1:22" ht="18" customHeight="1" x14ac:dyDescent="0.2">
      <c r="A698" s="110" t="s">
        <v>1224</v>
      </c>
      <c r="B698" s="111"/>
      <c r="C698" s="201" t="s">
        <v>1219</v>
      </c>
      <c r="D698" s="91">
        <v>38642</v>
      </c>
      <c r="E698" s="92">
        <v>43507</v>
      </c>
      <c r="F698" s="93">
        <v>40</v>
      </c>
      <c r="G698" s="93"/>
      <c r="H698" s="93">
        <v>660</v>
      </c>
      <c r="I698" s="93">
        <v>0</v>
      </c>
      <c r="J698" s="93"/>
      <c r="K698" s="93">
        <f t="shared" si="140"/>
        <v>40</v>
      </c>
      <c r="L698" s="93">
        <f t="shared" si="141"/>
        <v>0</v>
      </c>
      <c r="M698" s="94">
        <v>33.33</v>
      </c>
      <c r="N698" s="95" t="s">
        <v>289</v>
      </c>
      <c r="O698" s="93">
        <f t="shared" si="142"/>
        <v>0</v>
      </c>
      <c r="P698" s="93">
        <f t="shared" si="143"/>
        <v>0</v>
      </c>
      <c r="Q698" s="93">
        <f t="shared" si="144"/>
        <v>0</v>
      </c>
      <c r="R698" s="93">
        <f t="shared" si="145"/>
        <v>0</v>
      </c>
      <c r="S698" s="93">
        <f t="shared" si="146"/>
        <v>0</v>
      </c>
      <c r="T698" s="93">
        <f t="shared" si="147"/>
        <v>0</v>
      </c>
      <c r="U698" s="253">
        <f t="shared" si="148"/>
        <v>0</v>
      </c>
      <c r="V698" s="93">
        <f t="shared" si="149"/>
        <v>660</v>
      </c>
    </row>
    <row r="699" spans="1:22" ht="18" customHeight="1" x14ac:dyDescent="0.2">
      <c r="A699" s="110" t="s">
        <v>1226</v>
      </c>
      <c r="B699" s="111"/>
      <c r="C699" s="201" t="s">
        <v>1227</v>
      </c>
      <c r="D699" s="91">
        <v>38720</v>
      </c>
      <c r="E699" s="92">
        <v>43507</v>
      </c>
      <c r="F699" s="93">
        <v>80</v>
      </c>
      <c r="G699" s="93"/>
      <c r="H699" s="93">
        <v>2563.02</v>
      </c>
      <c r="I699" s="93">
        <v>0</v>
      </c>
      <c r="J699" s="93"/>
      <c r="K699" s="93">
        <f t="shared" si="140"/>
        <v>80</v>
      </c>
      <c r="L699" s="93">
        <f t="shared" si="141"/>
        <v>0</v>
      </c>
      <c r="M699" s="94">
        <v>33.33</v>
      </c>
      <c r="N699" s="95" t="s">
        <v>289</v>
      </c>
      <c r="O699" s="93">
        <f t="shared" si="142"/>
        <v>0</v>
      </c>
      <c r="P699" s="93">
        <f t="shared" si="143"/>
        <v>0</v>
      </c>
      <c r="Q699" s="93">
        <f t="shared" si="144"/>
        <v>0</v>
      </c>
      <c r="R699" s="93">
        <f t="shared" si="145"/>
        <v>0</v>
      </c>
      <c r="S699" s="93">
        <f t="shared" si="146"/>
        <v>0</v>
      </c>
      <c r="T699" s="93">
        <f t="shared" si="147"/>
        <v>0</v>
      </c>
      <c r="U699" s="253">
        <f t="shared" si="148"/>
        <v>0</v>
      </c>
      <c r="V699" s="93">
        <f t="shared" si="149"/>
        <v>2563.02</v>
      </c>
    </row>
    <row r="700" spans="1:22" ht="18" customHeight="1" x14ac:dyDescent="0.2">
      <c r="A700" s="110" t="s">
        <v>1228</v>
      </c>
      <c r="B700" s="111"/>
      <c r="C700" s="201" t="s">
        <v>1227</v>
      </c>
      <c r="D700" s="91">
        <v>38736</v>
      </c>
      <c r="E700" s="92">
        <v>43507</v>
      </c>
      <c r="F700" s="93">
        <v>80</v>
      </c>
      <c r="G700" s="93"/>
      <c r="H700" s="93">
        <v>1700</v>
      </c>
      <c r="I700" s="93">
        <v>0</v>
      </c>
      <c r="J700" s="93"/>
      <c r="K700" s="93">
        <f t="shared" si="140"/>
        <v>80</v>
      </c>
      <c r="L700" s="93">
        <f t="shared" si="141"/>
        <v>0</v>
      </c>
      <c r="M700" s="94">
        <v>33.33</v>
      </c>
      <c r="N700" s="95" t="s">
        <v>289</v>
      </c>
      <c r="O700" s="93">
        <f t="shared" si="142"/>
        <v>0</v>
      </c>
      <c r="P700" s="93">
        <f t="shared" si="143"/>
        <v>0</v>
      </c>
      <c r="Q700" s="93">
        <f t="shared" si="144"/>
        <v>0</v>
      </c>
      <c r="R700" s="93">
        <f t="shared" si="145"/>
        <v>0</v>
      </c>
      <c r="S700" s="93">
        <f t="shared" si="146"/>
        <v>0</v>
      </c>
      <c r="T700" s="93">
        <f t="shared" si="147"/>
        <v>0</v>
      </c>
      <c r="U700" s="253">
        <f t="shared" si="148"/>
        <v>0</v>
      </c>
      <c r="V700" s="93">
        <f t="shared" si="149"/>
        <v>1700</v>
      </c>
    </row>
    <row r="701" spans="1:22" ht="18" customHeight="1" x14ac:dyDescent="0.2">
      <c r="A701" s="110" t="s">
        <v>1229</v>
      </c>
      <c r="B701" s="111"/>
      <c r="C701" s="201" t="s">
        <v>2084</v>
      </c>
      <c r="D701" s="91">
        <v>38741</v>
      </c>
      <c r="E701" s="92">
        <v>43507</v>
      </c>
      <c r="F701" s="93">
        <v>160</v>
      </c>
      <c r="G701" s="93"/>
      <c r="H701" s="93">
        <v>1200</v>
      </c>
      <c r="I701" s="93">
        <v>0</v>
      </c>
      <c r="J701" s="93"/>
      <c r="K701" s="93">
        <f t="shared" si="140"/>
        <v>160</v>
      </c>
      <c r="L701" s="93">
        <f t="shared" si="141"/>
        <v>0</v>
      </c>
      <c r="M701" s="94">
        <v>33.33</v>
      </c>
      <c r="N701" s="95" t="s">
        <v>289</v>
      </c>
      <c r="O701" s="93">
        <f t="shared" si="142"/>
        <v>0</v>
      </c>
      <c r="P701" s="93">
        <f t="shared" si="143"/>
        <v>0</v>
      </c>
      <c r="Q701" s="93">
        <f t="shared" si="144"/>
        <v>0</v>
      </c>
      <c r="R701" s="93">
        <f t="shared" si="145"/>
        <v>0</v>
      </c>
      <c r="S701" s="93">
        <f t="shared" si="146"/>
        <v>0</v>
      </c>
      <c r="T701" s="93">
        <f t="shared" si="147"/>
        <v>0</v>
      </c>
      <c r="U701" s="253">
        <f t="shared" si="148"/>
        <v>0</v>
      </c>
      <c r="V701" s="93">
        <f t="shared" si="149"/>
        <v>1200</v>
      </c>
    </row>
    <row r="702" spans="1:22" ht="18" customHeight="1" x14ac:dyDescent="0.2">
      <c r="A702" s="110" t="s">
        <v>1231</v>
      </c>
      <c r="B702" s="111"/>
      <c r="C702" s="201" t="s">
        <v>1219</v>
      </c>
      <c r="D702" s="91">
        <v>38799</v>
      </c>
      <c r="E702" s="92">
        <v>43507</v>
      </c>
      <c r="F702" s="93">
        <v>40</v>
      </c>
      <c r="G702" s="93"/>
      <c r="H702" s="93">
        <v>1064.06</v>
      </c>
      <c r="I702" s="93">
        <v>0</v>
      </c>
      <c r="J702" s="93"/>
      <c r="K702" s="93">
        <f t="shared" si="140"/>
        <v>40</v>
      </c>
      <c r="L702" s="93">
        <f t="shared" si="141"/>
        <v>0</v>
      </c>
      <c r="M702" s="94">
        <v>33.33</v>
      </c>
      <c r="N702" s="95" t="s">
        <v>289</v>
      </c>
      <c r="O702" s="93">
        <f t="shared" si="142"/>
        <v>0</v>
      </c>
      <c r="P702" s="93">
        <f t="shared" si="143"/>
        <v>0</v>
      </c>
      <c r="Q702" s="93">
        <f t="shared" si="144"/>
        <v>0</v>
      </c>
      <c r="R702" s="93">
        <f t="shared" si="145"/>
        <v>0</v>
      </c>
      <c r="S702" s="93">
        <f t="shared" si="146"/>
        <v>0</v>
      </c>
      <c r="T702" s="93">
        <f t="shared" si="147"/>
        <v>0</v>
      </c>
      <c r="U702" s="253">
        <f t="shared" si="148"/>
        <v>0</v>
      </c>
      <c r="V702" s="93">
        <f t="shared" si="149"/>
        <v>1064.06</v>
      </c>
    </row>
    <row r="703" spans="1:22" ht="18" customHeight="1" x14ac:dyDescent="0.2">
      <c r="A703" s="110" t="s">
        <v>1232</v>
      </c>
      <c r="B703" s="111"/>
      <c r="C703" s="201" t="s">
        <v>1233</v>
      </c>
      <c r="D703" s="91">
        <v>38799</v>
      </c>
      <c r="E703" s="92">
        <v>43507</v>
      </c>
      <c r="F703" s="93">
        <v>80</v>
      </c>
      <c r="G703" s="93"/>
      <c r="H703" s="93">
        <v>1133.3900000000001</v>
      </c>
      <c r="I703" s="93">
        <v>0</v>
      </c>
      <c r="J703" s="93"/>
      <c r="K703" s="93">
        <f t="shared" si="140"/>
        <v>80</v>
      </c>
      <c r="L703" s="93">
        <f t="shared" si="141"/>
        <v>0</v>
      </c>
      <c r="M703" s="94">
        <v>33.33</v>
      </c>
      <c r="N703" s="95" t="s">
        <v>289</v>
      </c>
      <c r="O703" s="93">
        <f t="shared" si="142"/>
        <v>0</v>
      </c>
      <c r="P703" s="93">
        <f t="shared" si="143"/>
        <v>0</v>
      </c>
      <c r="Q703" s="93">
        <f t="shared" si="144"/>
        <v>0</v>
      </c>
      <c r="R703" s="93">
        <f t="shared" si="145"/>
        <v>0</v>
      </c>
      <c r="S703" s="93">
        <f t="shared" si="146"/>
        <v>0</v>
      </c>
      <c r="T703" s="93">
        <f t="shared" si="147"/>
        <v>0</v>
      </c>
      <c r="U703" s="253">
        <f t="shared" si="148"/>
        <v>0</v>
      </c>
      <c r="V703" s="93">
        <f t="shared" si="149"/>
        <v>1133.3900000000001</v>
      </c>
    </row>
    <row r="704" spans="1:22" ht="18" customHeight="1" x14ac:dyDescent="0.2">
      <c r="A704" s="110" t="s">
        <v>1234</v>
      </c>
      <c r="B704" s="111"/>
      <c r="C704" s="201" t="s">
        <v>1235</v>
      </c>
      <c r="D704" s="91">
        <v>38807</v>
      </c>
      <c r="E704" s="92"/>
      <c r="F704" s="93"/>
      <c r="G704" s="93"/>
      <c r="H704" s="93">
        <v>262.5</v>
      </c>
      <c r="I704" s="93">
        <v>0</v>
      </c>
      <c r="J704" s="93"/>
      <c r="K704" s="93">
        <f t="shared" si="140"/>
        <v>0</v>
      </c>
      <c r="L704" s="93">
        <f t="shared" si="141"/>
        <v>0</v>
      </c>
      <c r="M704" s="94">
        <v>33.33</v>
      </c>
      <c r="N704" s="95" t="s">
        <v>289</v>
      </c>
      <c r="O704" s="93">
        <f t="shared" si="142"/>
        <v>0</v>
      </c>
      <c r="P704" s="93">
        <f t="shared" si="143"/>
        <v>0</v>
      </c>
      <c r="Q704" s="93">
        <f t="shared" si="144"/>
        <v>0</v>
      </c>
      <c r="R704" s="93">
        <f t="shared" si="145"/>
        <v>0</v>
      </c>
      <c r="S704" s="93">
        <f t="shared" si="146"/>
        <v>0</v>
      </c>
      <c r="T704" s="93">
        <f t="shared" si="147"/>
        <v>0</v>
      </c>
      <c r="U704" s="253">
        <f t="shared" si="148"/>
        <v>0</v>
      </c>
      <c r="V704" s="93">
        <f t="shared" si="149"/>
        <v>0</v>
      </c>
    </row>
    <row r="705" spans="1:22" ht="18" customHeight="1" x14ac:dyDescent="0.2">
      <c r="A705" s="110" t="s">
        <v>1236</v>
      </c>
      <c r="B705" s="111"/>
      <c r="C705" s="201" t="s">
        <v>1237</v>
      </c>
      <c r="D705" s="91">
        <v>37993</v>
      </c>
      <c r="E705" s="92">
        <v>43507</v>
      </c>
      <c r="F705" s="93">
        <v>40</v>
      </c>
      <c r="G705" s="93"/>
      <c r="H705" s="93">
        <v>1295</v>
      </c>
      <c r="I705" s="93">
        <v>0</v>
      </c>
      <c r="J705" s="93"/>
      <c r="K705" s="93">
        <f t="shared" si="140"/>
        <v>40</v>
      </c>
      <c r="L705" s="93">
        <f t="shared" si="141"/>
        <v>0</v>
      </c>
      <c r="M705" s="94">
        <v>33.33</v>
      </c>
      <c r="N705" s="95" t="s">
        <v>289</v>
      </c>
      <c r="O705" s="93">
        <f t="shared" si="142"/>
        <v>0</v>
      </c>
      <c r="P705" s="93">
        <f t="shared" si="143"/>
        <v>0</v>
      </c>
      <c r="Q705" s="93">
        <f t="shared" si="144"/>
        <v>0</v>
      </c>
      <c r="R705" s="93">
        <f t="shared" si="145"/>
        <v>0</v>
      </c>
      <c r="S705" s="93">
        <f t="shared" si="146"/>
        <v>0</v>
      </c>
      <c r="T705" s="93">
        <f t="shared" si="147"/>
        <v>0</v>
      </c>
      <c r="U705" s="253">
        <f t="shared" si="148"/>
        <v>0</v>
      </c>
      <c r="V705" s="93">
        <f t="shared" si="149"/>
        <v>1295</v>
      </c>
    </row>
    <row r="706" spans="1:22" ht="18" customHeight="1" x14ac:dyDescent="0.2">
      <c r="A706" s="110" t="s">
        <v>1238</v>
      </c>
      <c r="B706" s="111"/>
      <c r="C706" s="201" t="s">
        <v>1239</v>
      </c>
      <c r="D706" s="91">
        <v>40728</v>
      </c>
      <c r="E706" s="92"/>
      <c r="F706" s="93"/>
      <c r="G706" s="93"/>
      <c r="H706" s="93">
        <v>1090.9100000000001</v>
      </c>
      <c r="I706" s="93">
        <v>0</v>
      </c>
      <c r="J706" s="93"/>
      <c r="K706" s="93">
        <f t="shared" si="140"/>
        <v>0</v>
      </c>
      <c r="L706" s="93">
        <f t="shared" si="141"/>
        <v>0</v>
      </c>
      <c r="M706" s="94">
        <v>66.66</v>
      </c>
      <c r="N706" s="95" t="s">
        <v>289</v>
      </c>
      <c r="O706" s="93">
        <f t="shared" si="142"/>
        <v>0</v>
      </c>
      <c r="P706" s="93">
        <f t="shared" si="143"/>
        <v>0</v>
      </c>
      <c r="Q706" s="93">
        <f t="shared" si="144"/>
        <v>0</v>
      </c>
      <c r="R706" s="93">
        <f t="shared" si="145"/>
        <v>0</v>
      </c>
      <c r="S706" s="93">
        <f t="shared" si="146"/>
        <v>0</v>
      </c>
      <c r="T706" s="93">
        <f t="shared" si="147"/>
        <v>0</v>
      </c>
      <c r="U706" s="253">
        <f t="shared" si="148"/>
        <v>0</v>
      </c>
      <c r="V706" s="93">
        <f t="shared" si="149"/>
        <v>0</v>
      </c>
    </row>
    <row r="707" spans="1:22" ht="18" customHeight="1" x14ac:dyDescent="0.2">
      <c r="A707" s="110" t="s">
        <v>1240</v>
      </c>
      <c r="B707" s="111"/>
      <c r="C707" s="201" t="s">
        <v>1241</v>
      </c>
      <c r="D707" s="91">
        <v>40730</v>
      </c>
      <c r="E707" s="92"/>
      <c r="F707" s="93"/>
      <c r="G707" s="93"/>
      <c r="H707" s="93">
        <v>11492</v>
      </c>
      <c r="I707" s="93">
        <v>4</v>
      </c>
      <c r="J707" s="93"/>
      <c r="K707" s="93">
        <f t="shared" si="140"/>
        <v>0</v>
      </c>
      <c r="L707" s="93">
        <f t="shared" si="141"/>
        <v>0</v>
      </c>
      <c r="M707" s="94">
        <v>66.66</v>
      </c>
      <c r="N707" s="95" t="s">
        <v>289</v>
      </c>
      <c r="O707" s="93">
        <f t="shared" si="142"/>
        <v>0</v>
      </c>
      <c r="P707" s="93">
        <f t="shared" si="143"/>
        <v>0</v>
      </c>
      <c r="Q707" s="93">
        <f t="shared" si="144"/>
        <v>0</v>
      </c>
      <c r="R707" s="93">
        <f t="shared" si="145"/>
        <v>1</v>
      </c>
      <c r="S707" s="93">
        <f t="shared" si="146"/>
        <v>0</v>
      </c>
      <c r="T707" s="93">
        <f t="shared" si="147"/>
        <v>1</v>
      </c>
      <c r="U707" s="253">
        <f t="shared" si="148"/>
        <v>3</v>
      </c>
      <c r="V707" s="93">
        <f t="shared" si="149"/>
        <v>0</v>
      </c>
    </row>
    <row r="708" spans="1:22" ht="18" customHeight="1" x14ac:dyDescent="0.2">
      <c r="A708" s="110" t="s">
        <v>1242</v>
      </c>
      <c r="B708" s="111"/>
      <c r="C708" s="201" t="s">
        <v>1243</v>
      </c>
      <c r="D708" s="91">
        <v>40829</v>
      </c>
      <c r="E708" s="92"/>
      <c r="F708" s="93"/>
      <c r="G708" s="93"/>
      <c r="H708" s="93">
        <v>400</v>
      </c>
      <c r="I708" s="93">
        <v>0</v>
      </c>
      <c r="J708" s="93"/>
      <c r="K708" s="93">
        <f t="shared" si="140"/>
        <v>0</v>
      </c>
      <c r="L708" s="93">
        <f t="shared" si="141"/>
        <v>0</v>
      </c>
      <c r="M708" s="94">
        <v>66.66</v>
      </c>
      <c r="N708" s="95" t="s">
        <v>289</v>
      </c>
      <c r="O708" s="93">
        <f t="shared" si="142"/>
        <v>0</v>
      </c>
      <c r="P708" s="93">
        <f t="shared" si="143"/>
        <v>0</v>
      </c>
      <c r="Q708" s="93">
        <f t="shared" si="144"/>
        <v>0</v>
      </c>
      <c r="R708" s="93">
        <f t="shared" si="145"/>
        <v>0</v>
      </c>
      <c r="S708" s="93">
        <f t="shared" si="146"/>
        <v>0</v>
      </c>
      <c r="T708" s="93">
        <f t="shared" si="147"/>
        <v>0</v>
      </c>
      <c r="U708" s="253">
        <f t="shared" si="148"/>
        <v>0</v>
      </c>
      <c r="V708" s="93">
        <f t="shared" si="149"/>
        <v>0</v>
      </c>
    </row>
    <row r="709" spans="1:22" ht="18" customHeight="1" x14ac:dyDescent="0.2">
      <c r="A709" s="110" t="s">
        <v>1244</v>
      </c>
      <c r="B709" s="111"/>
      <c r="C709" s="201" t="s">
        <v>1227</v>
      </c>
      <c r="D709" s="91">
        <v>38810</v>
      </c>
      <c r="E709" s="92"/>
      <c r="F709" s="93"/>
      <c r="G709" s="93"/>
      <c r="H709" s="93">
        <v>1490</v>
      </c>
      <c r="I709" s="93">
        <v>0</v>
      </c>
      <c r="J709" s="93"/>
      <c r="K709" s="93">
        <f t="shared" si="140"/>
        <v>0</v>
      </c>
      <c r="L709" s="93">
        <f t="shared" si="141"/>
        <v>0</v>
      </c>
      <c r="M709" s="94">
        <v>33.33</v>
      </c>
      <c r="N709" s="95" t="s">
        <v>289</v>
      </c>
      <c r="O709" s="93">
        <f t="shared" si="142"/>
        <v>0</v>
      </c>
      <c r="P709" s="93">
        <f t="shared" si="143"/>
        <v>0</v>
      </c>
      <c r="Q709" s="93">
        <f t="shared" si="144"/>
        <v>0</v>
      </c>
      <c r="R709" s="93">
        <f t="shared" si="145"/>
        <v>0</v>
      </c>
      <c r="S709" s="93">
        <f t="shared" si="146"/>
        <v>0</v>
      </c>
      <c r="T709" s="93">
        <f t="shared" si="147"/>
        <v>0</v>
      </c>
      <c r="U709" s="253">
        <f t="shared" si="148"/>
        <v>0</v>
      </c>
      <c r="V709" s="93">
        <f t="shared" si="149"/>
        <v>0</v>
      </c>
    </row>
    <row r="710" spans="1:22" ht="18" customHeight="1" x14ac:dyDescent="0.2">
      <c r="A710" s="110" t="s">
        <v>1245</v>
      </c>
      <c r="B710" s="111"/>
      <c r="C710" s="201" t="s">
        <v>1246</v>
      </c>
      <c r="D710" s="91">
        <v>40832</v>
      </c>
      <c r="E710" s="92"/>
      <c r="F710" s="93"/>
      <c r="G710" s="93"/>
      <c r="H710" s="93">
        <v>3080</v>
      </c>
      <c r="I710" s="93">
        <v>1</v>
      </c>
      <c r="J710" s="93"/>
      <c r="K710" s="93">
        <f t="shared" si="140"/>
        <v>0</v>
      </c>
      <c r="L710" s="93">
        <f t="shared" si="141"/>
        <v>0</v>
      </c>
      <c r="M710" s="94">
        <v>66.66</v>
      </c>
      <c r="N710" s="95" t="s">
        <v>289</v>
      </c>
      <c r="O710" s="93">
        <f t="shared" si="142"/>
        <v>0</v>
      </c>
      <c r="P710" s="93">
        <f t="shared" si="143"/>
        <v>0</v>
      </c>
      <c r="Q710" s="93">
        <f t="shared" si="144"/>
        <v>0</v>
      </c>
      <c r="R710" s="93">
        <f t="shared" si="145"/>
        <v>0</v>
      </c>
      <c r="S710" s="93">
        <f t="shared" si="146"/>
        <v>0</v>
      </c>
      <c r="T710" s="93">
        <f t="shared" si="147"/>
        <v>0</v>
      </c>
      <c r="U710" s="253">
        <f t="shared" si="148"/>
        <v>1</v>
      </c>
      <c r="V710" s="93">
        <f t="shared" si="149"/>
        <v>0</v>
      </c>
    </row>
    <row r="711" spans="1:22" ht="18" customHeight="1" x14ac:dyDescent="0.2">
      <c r="A711" s="110" t="s">
        <v>1247</v>
      </c>
      <c r="B711" s="111"/>
      <c r="C711" s="201" t="s">
        <v>1248</v>
      </c>
      <c r="D711" s="91">
        <v>40840</v>
      </c>
      <c r="E711" s="92"/>
      <c r="F711" s="93"/>
      <c r="G711" s="93"/>
      <c r="H711" s="93">
        <v>1365</v>
      </c>
      <c r="I711" s="93">
        <v>0</v>
      </c>
      <c r="J711" s="93"/>
      <c r="K711" s="93">
        <f t="shared" si="140"/>
        <v>0</v>
      </c>
      <c r="L711" s="93">
        <f t="shared" si="141"/>
        <v>0</v>
      </c>
      <c r="M711" s="94">
        <v>66.66</v>
      </c>
      <c r="N711" s="95" t="s">
        <v>289</v>
      </c>
      <c r="O711" s="93">
        <f t="shared" si="142"/>
        <v>0</v>
      </c>
      <c r="P711" s="93">
        <f t="shared" si="143"/>
        <v>0</v>
      </c>
      <c r="Q711" s="93">
        <f t="shared" si="144"/>
        <v>0</v>
      </c>
      <c r="R711" s="93">
        <f t="shared" si="145"/>
        <v>0</v>
      </c>
      <c r="S711" s="93">
        <f t="shared" si="146"/>
        <v>0</v>
      </c>
      <c r="T711" s="93">
        <f t="shared" si="147"/>
        <v>0</v>
      </c>
      <c r="U711" s="253">
        <f t="shared" si="148"/>
        <v>0</v>
      </c>
      <c r="V711" s="93">
        <f t="shared" si="149"/>
        <v>0</v>
      </c>
    </row>
    <row r="712" spans="1:22" ht="18" customHeight="1" x14ac:dyDescent="0.2">
      <c r="A712" s="110" t="s">
        <v>1249</v>
      </c>
      <c r="B712" s="111"/>
      <c r="C712" s="201" t="s">
        <v>1248</v>
      </c>
      <c r="D712" s="91">
        <v>40840</v>
      </c>
      <c r="E712" s="92"/>
      <c r="F712" s="93"/>
      <c r="G712" s="93"/>
      <c r="H712" s="93">
        <v>1365</v>
      </c>
      <c r="I712" s="93">
        <v>0</v>
      </c>
      <c r="J712" s="93"/>
      <c r="K712" s="93">
        <f t="shared" si="140"/>
        <v>0</v>
      </c>
      <c r="L712" s="93">
        <f t="shared" si="141"/>
        <v>0</v>
      </c>
      <c r="M712" s="94">
        <v>66.66</v>
      </c>
      <c r="N712" s="95" t="s">
        <v>289</v>
      </c>
      <c r="O712" s="93">
        <f t="shared" si="142"/>
        <v>0</v>
      </c>
      <c r="P712" s="93">
        <f t="shared" si="143"/>
        <v>0</v>
      </c>
      <c r="Q712" s="93">
        <f t="shared" si="144"/>
        <v>0</v>
      </c>
      <c r="R712" s="93">
        <f t="shared" si="145"/>
        <v>0</v>
      </c>
      <c r="S712" s="93">
        <f t="shared" si="146"/>
        <v>0</v>
      </c>
      <c r="T712" s="93">
        <f t="shared" si="147"/>
        <v>0</v>
      </c>
      <c r="U712" s="253">
        <f t="shared" si="148"/>
        <v>0</v>
      </c>
      <c r="V712" s="93">
        <f t="shared" si="149"/>
        <v>0</v>
      </c>
    </row>
    <row r="713" spans="1:22" ht="18" customHeight="1" x14ac:dyDescent="0.2">
      <c r="A713" s="110" t="s">
        <v>1250</v>
      </c>
      <c r="B713" s="111"/>
      <c r="C713" s="201" t="s">
        <v>1251</v>
      </c>
      <c r="D713" s="91">
        <v>40849</v>
      </c>
      <c r="E713" s="92"/>
      <c r="F713" s="93"/>
      <c r="G713" s="93"/>
      <c r="H713" s="93">
        <v>2372</v>
      </c>
      <c r="I713" s="93">
        <v>1</v>
      </c>
      <c r="J713" s="93"/>
      <c r="K713" s="93">
        <f t="shared" si="140"/>
        <v>0</v>
      </c>
      <c r="L713" s="93">
        <f t="shared" si="141"/>
        <v>0</v>
      </c>
      <c r="M713" s="94">
        <v>66.66</v>
      </c>
      <c r="N713" s="95" t="s">
        <v>289</v>
      </c>
      <c r="O713" s="93">
        <f t="shared" si="142"/>
        <v>0</v>
      </c>
      <c r="P713" s="93">
        <f t="shared" si="143"/>
        <v>0</v>
      </c>
      <c r="Q713" s="93">
        <f t="shared" si="144"/>
        <v>0</v>
      </c>
      <c r="R713" s="93">
        <f t="shared" si="145"/>
        <v>0</v>
      </c>
      <c r="S713" s="93">
        <f t="shared" si="146"/>
        <v>0</v>
      </c>
      <c r="T713" s="93">
        <f t="shared" si="147"/>
        <v>0</v>
      </c>
      <c r="U713" s="253">
        <f t="shared" si="148"/>
        <v>1</v>
      </c>
      <c r="V713" s="93">
        <f t="shared" si="149"/>
        <v>0</v>
      </c>
    </row>
    <row r="714" spans="1:22" ht="18" customHeight="1" x14ac:dyDescent="0.2">
      <c r="A714" s="110" t="s">
        <v>1252</v>
      </c>
      <c r="B714" s="111"/>
      <c r="C714" s="90" t="s">
        <v>1253</v>
      </c>
      <c r="D714" s="91">
        <v>40952</v>
      </c>
      <c r="E714" s="92"/>
      <c r="F714" s="93"/>
      <c r="G714" s="93"/>
      <c r="H714" s="93">
        <v>2190</v>
      </c>
      <c r="I714" s="93">
        <v>1</v>
      </c>
      <c r="J714" s="93"/>
      <c r="K714" s="93">
        <f t="shared" si="140"/>
        <v>0</v>
      </c>
      <c r="L714" s="93">
        <f t="shared" si="141"/>
        <v>0</v>
      </c>
      <c r="M714" s="94">
        <v>66.66</v>
      </c>
      <c r="N714" s="95" t="s">
        <v>289</v>
      </c>
      <c r="O714" s="93">
        <f t="shared" si="142"/>
        <v>0</v>
      </c>
      <c r="P714" s="93">
        <f t="shared" si="143"/>
        <v>0</v>
      </c>
      <c r="Q714" s="93">
        <f t="shared" si="144"/>
        <v>0</v>
      </c>
      <c r="R714" s="93">
        <f t="shared" si="145"/>
        <v>0</v>
      </c>
      <c r="S714" s="93">
        <f t="shared" si="146"/>
        <v>0</v>
      </c>
      <c r="T714" s="93">
        <f t="shared" si="147"/>
        <v>0</v>
      </c>
      <c r="U714" s="253">
        <f t="shared" si="148"/>
        <v>1</v>
      </c>
      <c r="V714" s="93">
        <f t="shared" si="149"/>
        <v>0</v>
      </c>
    </row>
    <row r="715" spans="1:22" ht="18" customHeight="1" x14ac:dyDescent="0.2">
      <c r="A715" s="110" t="s">
        <v>1254</v>
      </c>
      <c r="B715" s="111"/>
      <c r="C715" s="201" t="s">
        <v>1255</v>
      </c>
      <c r="D715" s="91">
        <v>40954</v>
      </c>
      <c r="E715" s="92"/>
      <c r="F715" s="93"/>
      <c r="G715" s="93"/>
      <c r="H715" s="93">
        <v>5280</v>
      </c>
      <c r="I715" s="93">
        <v>4</v>
      </c>
      <c r="J715" s="93"/>
      <c r="K715" s="93">
        <f t="shared" si="140"/>
        <v>0</v>
      </c>
      <c r="L715" s="93">
        <f t="shared" si="141"/>
        <v>0</v>
      </c>
      <c r="M715" s="94">
        <v>66.66</v>
      </c>
      <c r="N715" s="95" t="s">
        <v>289</v>
      </c>
      <c r="O715" s="93">
        <f t="shared" si="142"/>
        <v>0</v>
      </c>
      <c r="P715" s="93">
        <f t="shared" si="143"/>
        <v>0</v>
      </c>
      <c r="Q715" s="93">
        <f t="shared" si="144"/>
        <v>0</v>
      </c>
      <c r="R715" s="93">
        <f t="shared" si="145"/>
        <v>1</v>
      </c>
      <c r="S715" s="93">
        <f t="shared" si="146"/>
        <v>0</v>
      </c>
      <c r="T715" s="93">
        <f t="shared" si="147"/>
        <v>1</v>
      </c>
      <c r="U715" s="253">
        <f t="shared" si="148"/>
        <v>3</v>
      </c>
      <c r="V715" s="93">
        <f t="shared" si="149"/>
        <v>0</v>
      </c>
    </row>
    <row r="716" spans="1:22" ht="18" customHeight="1" x14ac:dyDescent="0.2">
      <c r="A716" s="110" t="s">
        <v>1256</v>
      </c>
      <c r="B716" s="111"/>
      <c r="C716" s="90" t="s">
        <v>1257</v>
      </c>
      <c r="D716" s="91">
        <v>40962</v>
      </c>
      <c r="E716" s="92"/>
      <c r="F716" s="93"/>
      <c r="G716" s="93"/>
      <c r="H716" s="93">
        <v>26114</v>
      </c>
      <c r="I716" s="93">
        <v>19</v>
      </c>
      <c r="J716" s="93"/>
      <c r="K716" s="93">
        <f t="shared" si="140"/>
        <v>0</v>
      </c>
      <c r="L716" s="93">
        <f t="shared" si="141"/>
        <v>0</v>
      </c>
      <c r="M716" s="94">
        <v>66.66</v>
      </c>
      <c r="N716" s="95" t="s">
        <v>289</v>
      </c>
      <c r="O716" s="93">
        <f t="shared" si="142"/>
        <v>0</v>
      </c>
      <c r="P716" s="93">
        <f t="shared" si="143"/>
        <v>0</v>
      </c>
      <c r="Q716" s="93">
        <f t="shared" si="144"/>
        <v>0</v>
      </c>
      <c r="R716" s="93">
        <f t="shared" si="145"/>
        <v>7</v>
      </c>
      <c r="S716" s="93">
        <f t="shared" si="146"/>
        <v>0</v>
      </c>
      <c r="T716" s="93">
        <f t="shared" si="147"/>
        <v>7</v>
      </c>
      <c r="U716" s="253">
        <f t="shared" si="148"/>
        <v>12</v>
      </c>
      <c r="V716" s="93">
        <f t="shared" si="149"/>
        <v>0</v>
      </c>
    </row>
    <row r="717" spans="1:22" ht="18" customHeight="1" x14ac:dyDescent="0.2">
      <c r="A717" s="110" t="s">
        <v>1258</v>
      </c>
      <c r="B717" s="111"/>
      <c r="C717" s="201" t="s">
        <v>1259</v>
      </c>
      <c r="D717" s="91">
        <v>40966</v>
      </c>
      <c r="E717" s="92"/>
      <c r="F717" s="93"/>
      <c r="G717" s="93"/>
      <c r="H717" s="93">
        <v>5920.95</v>
      </c>
      <c r="I717" s="93">
        <v>3.95</v>
      </c>
      <c r="J717" s="93"/>
      <c r="K717" s="93">
        <f t="shared" ref="K717:K779" si="150">INT(IF($E717&gt;0,IF(+F717-I717+Q717&lt;0,0,+F717-I717+Q717),0))</f>
        <v>0</v>
      </c>
      <c r="L717" s="93">
        <f t="shared" ref="L717:L779" si="151">INT(IF($E717&gt;0,IF(K717=0,-F717+I717-Q717,0),0))</f>
        <v>0</v>
      </c>
      <c r="M717" s="94">
        <v>66.66</v>
      </c>
      <c r="N717" s="95" t="s">
        <v>289</v>
      </c>
      <c r="O717" s="93">
        <f t="shared" ref="O717:O779" si="152">IF(E717&gt;0,INT(IF($N717="D",IF($D717&lt;$H$3,$I717*($M717/100)*((E717-$H$3)/365),$J717*($M717/100)*($J$3-$D717)/365),0)),0)</f>
        <v>0</v>
      </c>
      <c r="P717" s="93">
        <f t="shared" ref="P717:P779" si="153">IF(E717&gt;0,INT(IF($N717="P",IF($D717&lt;$H$3,$H717*($M717/100)*(E717-$H$3)/365,$J717*($M717/100)*($J$3-$D717)/365),0)),0)</f>
        <v>0</v>
      </c>
      <c r="Q717" s="93">
        <f t="shared" ref="Q717:Q779" si="154">+O717+P717</f>
        <v>0</v>
      </c>
      <c r="R717" s="93">
        <f t="shared" ref="R717:R779" si="155">INT(IF($E717&gt;0,0,(IF($N717="D",IF($D717&lt;$H$3,$I717*($M717/100)*$U$3/12,$J717*($M717/100)*($J$3-$D717)/365),0))))</f>
        <v>1</v>
      </c>
      <c r="S717" s="93">
        <f t="shared" ref="S717:S779" si="156">INT(IF($E717&gt;0,0,(IF($N717="P",IF($D717&lt;$H$3,$H717*($M717/100)*$U$3/12,$J717*($M717/100)*($J$3-$D717)/365),0))))</f>
        <v>0</v>
      </c>
      <c r="T717" s="93">
        <f t="shared" ref="T717:T779" si="157">+R717+S717+Q717</f>
        <v>1</v>
      </c>
      <c r="U717" s="253">
        <f t="shared" ref="U717:U780" si="158">+I717+J717-T717-F717+K717-L717</f>
        <v>2.95</v>
      </c>
      <c r="V717" s="93">
        <f t="shared" ref="V717:V780" si="159">IF(E717&gt;0,+H717+J717,0)</f>
        <v>0</v>
      </c>
    </row>
    <row r="718" spans="1:22" ht="18" customHeight="1" x14ac:dyDescent="0.2">
      <c r="A718" s="110" t="s">
        <v>1260</v>
      </c>
      <c r="B718" s="111"/>
      <c r="C718" s="201" t="s">
        <v>1261</v>
      </c>
      <c r="D718" s="91">
        <v>40967</v>
      </c>
      <c r="E718" s="92"/>
      <c r="F718" s="93"/>
      <c r="G718" s="93"/>
      <c r="H718" s="93">
        <v>4930</v>
      </c>
      <c r="I718" s="93">
        <v>4</v>
      </c>
      <c r="J718" s="93"/>
      <c r="K718" s="93">
        <f t="shared" si="150"/>
        <v>0</v>
      </c>
      <c r="L718" s="93">
        <f t="shared" si="151"/>
        <v>0</v>
      </c>
      <c r="M718" s="94">
        <v>66.66</v>
      </c>
      <c r="N718" s="95" t="s">
        <v>289</v>
      </c>
      <c r="O718" s="93">
        <f t="shared" si="152"/>
        <v>0</v>
      </c>
      <c r="P718" s="93">
        <f t="shared" si="153"/>
        <v>0</v>
      </c>
      <c r="Q718" s="93">
        <f t="shared" si="154"/>
        <v>0</v>
      </c>
      <c r="R718" s="93">
        <f t="shared" si="155"/>
        <v>1</v>
      </c>
      <c r="S718" s="93">
        <f t="shared" si="156"/>
        <v>0</v>
      </c>
      <c r="T718" s="93">
        <f t="shared" si="157"/>
        <v>1</v>
      </c>
      <c r="U718" s="253">
        <f t="shared" si="158"/>
        <v>3</v>
      </c>
      <c r="V718" s="93">
        <f t="shared" si="159"/>
        <v>0</v>
      </c>
    </row>
    <row r="719" spans="1:22" ht="18" customHeight="1" x14ac:dyDescent="0.2">
      <c r="A719" s="110" t="s">
        <v>1262</v>
      </c>
      <c r="B719" s="111"/>
      <c r="C719" s="90" t="s">
        <v>1263</v>
      </c>
      <c r="D719" s="91">
        <v>40967</v>
      </c>
      <c r="E719" s="92"/>
      <c r="F719" s="93"/>
      <c r="G719" s="93"/>
      <c r="H719" s="93">
        <v>8100</v>
      </c>
      <c r="I719" s="93">
        <v>6</v>
      </c>
      <c r="J719" s="93"/>
      <c r="K719" s="93">
        <f t="shared" si="150"/>
        <v>0</v>
      </c>
      <c r="L719" s="93">
        <f t="shared" si="151"/>
        <v>0</v>
      </c>
      <c r="M719" s="94">
        <v>66.66</v>
      </c>
      <c r="N719" s="95" t="s">
        <v>289</v>
      </c>
      <c r="O719" s="93">
        <f t="shared" si="152"/>
        <v>0</v>
      </c>
      <c r="P719" s="93">
        <f t="shared" si="153"/>
        <v>0</v>
      </c>
      <c r="Q719" s="93">
        <f t="shared" si="154"/>
        <v>0</v>
      </c>
      <c r="R719" s="93">
        <f t="shared" si="155"/>
        <v>2</v>
      </c>
      <c r="S719" s="93">
        <f t="shared" si="156"/>
        <v>0</v>
      </c>
      <c r="T719" s="93">
        <f t="shared" si="157"/>
        <v>2</v>
      </c>
      <c r="U719" s="253">
        <f t="shared" si="158"/>
        <v>4</v>
      </c>
      <c r="V719" s="93">
        <f t="shared" si="159"/>
        <v>0</v>
      </c>
    </row>
    <row r="720" spans="1:22" ht="18" customHeight="1" x14ac:dyDescent="0.2">
      <c r="A720" s="110" t="s">
        <v>1264</v>
      </c>
      <c r="B720" s="111"/>
      <c r="C720" s="201" t="s">
        <v>1227</v>
      </c>
      <c r="D720" s="91">
        <v>38813</v>
      </c>
      <c r="E720" s="92">
        <v>43507</v>
      </c>
      <c r="F720" s="93">
        <v>80</v>
      </c>
      <c r="G720" s="93"/>
      <c r="H720" s="93">
        <v>2460</v>
      </c>
      <c r="I720" s="93">
        <v>15</v>
      </c>
      <c r="J720" s="93"/>
      <c r="K720" s="93">
        <f t="shared" si="150"/>
        <v>65</v>
      </c>
      <c r="L720" s="93">
        <f t="shared" si="151"/>
        <v>0</v>
      </c>
      <c r="M720" s="94">
        <v>33.33</v>
      </c>
      <c r="N720" s="95" t="s">
        <v>289</v>
      </c>
      <c r="O720" s="93">
        <f t="shared" si="152"/>
        <v>0</v>
      </c>
      <c r="P720" s="93">
        <f t="shared" si="153"/>
        <v>0</v>
      </c>
      <c r="Q720" s="93">
        <f t="shared" si="154"/>
        <v>0</v>
      </c>
      <c r="R720" s="93">
        <f t="shared" si="155"/>
        <v>0</v>
      </c>
      <c r="S720" s="93">
        <f t="shared" si="156"/>
        <v>0</v>
      </c>
      <c r="T720" s="93">
        <f t="shared" si="157"/>
        <v>0</v>
      </c>
      <c r="U720" s="253">
        <f t="shared" si="158"/>
        <v>0</v>
      </c>
      <c r="V720" s="93">
        <f t="shared" si="159"/>
        <v>2460</v>
      </c>
    </row>
    <row r="721" spans="1:22" ht="18" customHeight="1" x14ac:dyDescent="0.2">
      <c r="A721" s="110" t="s">
        <v>1265</v>
      </c>
      <c r="B721" s="111"/>
      <c r="C721" s="90" t="s">
        <v>1266</v>
      </c>
      <c r="D721" s="91">
        <v>40972</v>
      </c>
      <c r="E721" s="92"/>
      <c r="F721" s="93"/>
      <c r="G721" s="93"/>
      <c r="H721" s="93">
        <v>22953.94</v>
      </c>
      <c r="I721" s="93">
        <v>17.940000000000001</v>
      </c>
      <c r="J721" s="93"/>
      <c r="K721" s="93">
        <f t="shared" si="150"/>
        <v>0</v>
      </c>
      <c r="L721" s="93">
        <f t="shared" si="151"/>
        <v>0</v>
      </c>
      <c r="M721" s="94">
        <v>66.66</v>
      </c>
      <c r="N721" s="95" t="s">
        <v>289</v>
      </c>
      <c r="O721" s="93">
        <f t="shared" si="152"/>
        <v>0</v>
      </c>
      <c r="P721" s="93">
        <f t="shared" si="153"/>
        <v>0</v>
      </c>
      <c r="Q721" s="93">
        <f t="shared" si="154"/>
        <v>0</v>
      </c>
      <c r="R721" s="93">
        <f t="shared" si="155"/>
        <v>6</v>
      </c>
      <c r="S721" s="93">
        <f t="shared" si="156"/>
        <v>0</v>
      </c>
      <c r="T721" s="93">
        <f t="shared" si="157"/>
        <v>6</v>
      </c>
      <c r="U721" s="253">
        <f t="shared" si="158"/>
        <v>11.940000000000001</v>
      </c>
      <c r="V721" s="93">
        <f t="shared" si="159"/>
        <v>0</v>
      </c>
    </row>
    <row r="722" spans="1:22" ht="18" customHeight="1" x14ac:dyDescent="0.2">
      <c r="A722" s="110" t="s">
        <v>1267</v>
      </c>
      <c r="B722" s="111"/>
      <c r="C722" s="90" t="s">
        <v>1268</v>
      </c>
      <c r="D722" s="91">
        <v>40975</v>
      </c>
      <c r="E722" s="92"/>
      <c r="F722" s="93"/>
      <c r="G722" s="93"/>
      <c r="H722" s="93">
        <v>8629</v>
      </c>
      <c r="I722" s="93">
        <v>6</v>
      </c>
      <c r="J722" s="93"/>
      <c r="K722" s="93">
        <f t="shared" si="150"/>
        <v>0</v>
      </c>
      <c r="L722" s="93">
        <f t="shared" si="151"/>
        <v>0</v>
      </c>
      <c r="M722" s="94">
        <v>66.66</v>
      </c>
      <c r="N722" s="95" t="s">
        <v>289</v>
      </c>
      <c r="O722" s="93">
        <f t="shared" si="152"/>
        <v>0</v>
      </c>
      <c r="P722" s="93">
        <f t="shared" si="153"/>
        <v>0</v>
      </c>
      <c r="Q722" s="93">
        <f t="shared" si="154"/>
        <v>0</v>
      </c>
      <c r="R722" s="93">
        <f t="shared" si="155"/>
        <v>2</v>
      </c>
      <c r="S722" s="93">
        <f t="shared" si="156"/>
        <v>0</v>
      </c>
      <c r="T722" s="93">
        <f t="shared" si="157"/>
        <v>2</v>
      </c>
      <c r="U722" s="253">
        <f t="shared" si="158"/>
        <v>4</v>
      </c>
      <c r="V722" s="93">
        <f t="shared" si="159"/>
        <v>0</v>
      </c>
    </row>
    <row r="723" spans="1:22" ht="18" customHeight="1" x14ac:dyDescent="0.2">
      <c r="A723" s="110" t="s">
        <v>1269</v>
      </c>
      <c r="B723" s="111"/>
      <c r="C723" s="90" t="s">
        <v>1270</v>
      </c>
      <c r="D723" s="91">
        <v>40975</v>
      </c>
      <c r="E723" s="92"/>
      <c r="F723" s="93"/>
      <c r="G723" s="93"/>
      <c r="H723" s="93">
        <v>10930</v>
      </c>
      <c r="I723" s="93">
        <v>9</v>
      </c>
      <c r="J723" s="93"/>
      <c r="K723" s="93">
        <f t="shared" si="150"/>
        <v>0</v>
      </c>
      <c r="L723" s="93">
        <f t="shared" si="151"/>
        <v>0</v>
      </c>
      <c r="M723" s="94">
        <v>66.66</v>
      </c>
      <c r="N723" s="95" t="s">
        <v>289</v>
      </c>
      <c r="O723" s="93">
        <f t="shared" si="152"/>
        <v>0</v>
      </c>
      <c r="P723" s="93">
        <f t="shared" si="153"/>
        <v>0</v>
      </c>
      <c r="Q723" s="93">
        <f t="shared" si="154"/>
        <v>0</v>
      </c>
      <c r="R723" s="93">
        <f t="shared" si="155"/>
        <v>3</v>
      </c>
      <c r="S723" s="93">
        <f t="shared" si="156"/>
        <v>0</v>
      </c>
      <c r="T723" s="93">
        <f t="shared" si="157"/>
        <v>3</v>
      </c>
      <c r="U723" s="253">
        <f t="shared" si="158"/>
        <v>6</v>
      </c>
      <c r="V723" s="93">
        <f t="shared" si="159"/>
        <v>0</v>
      </c>
    </row>
    <row r="724" spans="1:22" ht="18" customHeight="1" x14ac:dyDescent="0.2">
      <c r="A724" s="110" t="s">
        <v>1271</v>
      </c>
      <c r="B724" s="111"/>
      <c r="C724" s="90" t="s">
        <v>1272</v>
      </c>
      <c r="D724" s="91">
        <v>40981</v>
      </c>
      <c r="E724" s="92"/>
      <c r="F724" s="93"/>
      <c r="G724" s="93"/>
      <c r="H724" s="93">
        <v>13238</v>
      </c>
      <c r="I724" s="93">
        <v>11</v>
      </c>
      <c r="J724" s="93"/>
      <c r="K724" s="93">
        <f t="shared" si="150"/>
        <v>0</v>
      </c>
      <c r="L724" s="93">
        <f t="shared" si="151"/>
        <v>0</v>
      </c>
      <c r="M724" s="94">
        <v>66.66</v>
      </c>
      <c r="N724" s="95" t="s">
        <v>289</v>
      </c>
      <c r="O724" s="93">
        <f t="shared" si="152"/>
        <v>0</v>
      </c>
      <c r="P724" s="93">
        <f t="shared" si="153"/>
        <v>0</v>
      </c>
      <c r="Q724" s="93">
        <f t="shared" si="154"/>
        <v>0</v>
      </c>
      <c r="R724" s="93">
        <f t="shared" si="155"/>
        <v>4</v>
      </c>
      <c r="S724" s="93">
        <f t="shared" si="156"/>
        <v>0</v>
      </c>
      <c r="T724" s="93">
        <f t="shared" si="157"/>
        <v>4</v>
      </c>
      <c r="U724" s="253">
        <f t="shared" si="158"/>
        <v>7</v>
      </c>
      <c r="V724" s="93">
        <f t="shared" si="159"/>
        <v>0</v>
      </c>
    </row>
    <row r="725" spans="1:22" ht="18" customHeight="1" x14ac:dyDescent="0.2">
      <c r="A725" s="110" t="s">
        <v>1273</v>
      </c>
      <c r="B725" s="111"/>
      <c r="C725" s="90" t="s">
        <v>1274</v>
      </c>
      <c r="D725" s="91">
        <v>40989</v>
      </c>
      <c r="E725" s="92"/>
      <c r="F725" s="93"/>
      <c r="G725" s="93"/>
      <c r="H725" s="93">
        <v>18131.400000000001</v>
      </c>
      <c r="I725" s="93">
        <v>14.4</v>
      </c>
      <c r="J725" s="93"/>
      <c r="K725" s="93">
        <f t="shared" si="150"/>
        <v>0</v>
      </c>
      <c r="L725" s="93">
        <f t="shared" si="151"/>
        <v>0</v>
      </c>
      <c r="M725" s="94">
        <v>66.66</v>
      </c>
      <c r="N725" s="95" t="s">
        <v>289</v>
      </c>
      <c r="O725" s="93">
        <f t="shared" si="152"/>
        <v>0</v>
      </c>
      <c r="P725" s="93">
        <f t="shared" si="153"/>
        <v>0</v>
      </c>
      <c r="Q725" s="93">
        <f t="shared" si="154"/>
        <v>0</v>
      </c>
      <c r="R725" s="93">
        <f t="shared" si="155"/>
        <v>5</v>
      </c>
      <c r="S725" s="93">
        <f t="shared" si="156"/>
        <v>0</v>
      </c>
      <c r="T725" s="93">
        <f t="shared" si="157"/>
        <v>5</v>
      </c>
      <c r="U725" s="253">
        <f t="shared" si="158"/>
        <v>9.4</v>
      </c>
      <c r="V725" s="93">
        <f t="shared" si="159"/>
        <v>0</v>
      </c>
    </row>
    <row r="726" spans="1:22" ht="18" customHeight="1" x14ac:dyDescent="0.2">
      <c r="A726" s="110" t="s">
        <v>1275</v>
      </c>
      <c r="B726" s="111"/>
      <c r="C726" s="201" t="s">
        <v>1276</v>
      </c>
      <c r="D726" s="91">
        <v>41051</v>
      </c>
      <c r="E726" s="92"/>
      <c r="F726" s="93"/>
      <c r="G726" s="93"/>
      <c r="H726" s="93">
        <v>2410</v>
      </c>
      <c r="I726" s="93">
        <v>2</v>
      </c>
      <c r="J726" s="93"/>
      <c r="K726" s="93">
        <f t="shared" si="150"/>
        <v>0</v>
      </c>
      <c r="L726" s="93">
        <f t="shared" si="151"/>
        <v>0</v>
      </c>
      <c r="M726" s="94">
        <v>66.66</v>
      </c>
      <c r="N726" s="95" t="s">
        <v>289</v>
      </c>
      <c r="O726" s="93">
        <f t="shared" si="152"/>
        <v>0</v>
      </c>
      <c r="P726" s="93">
        <f t="shared" si="153"/>
        <v>0</v>
      </c>
      <c r="Q726" s="93">
        <f t="shared" si="154"/>
        <v>0</v>
      </c>
      <c r="R726" s="93">
        <f t="shared" si="155"/>
        <v>0</v>
      </c>
      <c r="S726" s="93">
        <f t="shared" si="156"/>
        <v>0</v>
      </c>
      <c r="T726" s="93">
        <f t="shared" si="157"/>
        <v>0</v>
      </c>
      <c r="U726" s="253">
        <f t="shared" si="158"/>
        <v>2</v>
      </c>
      <c r="V726" s="93">
        <f t="shared" si="159"/>
        <v>0</v>
      </c>
    </row>
    <row r="727" spans="1:22" ht="18" customHeight="1" x14ac:dyDescent="0.2">
      <c r="A727" s="110" t="s">
        <v>1277</v>
      </c>
      <c r="B727" s="111"/>
      <c r="C727" s="201" t="s">
        <v>1278</v>
      </c>
      <c r="D727" s="91">
        <v>41061</v>
      </c>
      <c r="E727" s="92"/>
      <c r="F727" s="93"/>
      <c r="G727" s="93"/>
      <c r="H727" s="93">
        <v>2090.4</v>
      </c>
      <c r="I727" s="93">
        <v>1.4000000000000001</v>
      </c>
      <c r="J727" s="93"/>
      <c r="K727" s="93">
        <f t="shared" si="150"/>
        <v>0</v>
      </c>
      <c r="L727" s="93">
        <f t="shared" si="151"/>
        <v>0</v>
      </c>
      <c r="M727" s="94">
        <v>66.66</v>
      </c>
      <c r="N727" s="95" t="s">
        <v>289</v>
      </c>
      <c r="O727" s="93">
        <f t="shared" si="152"/>
        <v>0</v>
      </c>
      <c r="P727" s="93">
        <f t="shared" si="153"/>
        <v>0</v>
      </c>
      <c r="Q727" s="93">
        <f t="shared" si="154"/>
        <v>0</v>
      </c>
      <c r="R727" s="93">
        <f t="shared" si="155"/>
        <v>0</v>
      </c>
      <c r="S727" s="93">
        <f t="shared" si="156"/>
        <v>0</v>
      </c>
      <c r="T727" s="93">
        <f t="shared" si="157"/>
        <v>0</v>
      </c>
      <c r="U727" s="253">
        <f t="shared" si="158"/>
        <v>1.4000000000000001</v>
      </c>
      <c r="V727" s="93">
        <f t="shared" si="159"/>
        <v>0</v>
      </c>
    </row>
    <row r="728" spans="1:22" ht="18" customHeight="1" x14ac:dyDescent="0.2">
      <c r="A728" s="110" t="s">
        <v>1279</v>
      </c>
      <c r="B728" s="111"/>
      <c r="C728" s="201" t="s">
        <v>1280</v>
      </c>
      <c r="D728" s="91">
        <v>41078</v>
      </c>
      <c r="E728" s="92"/>
      <c r="F728" s="93"/>
      <c r="G728" s="93"/>
      <c r="H728" s="93">
        <v>780</v>
      </c>
      <c r="I728" s="93">
        <v>0</v>
      </c>
      <c r="J728" s="93"/>
      <c r="K728" s="93">
        <f t="shared" si="150"/>
        <v>0</v>
      </c>
      <c r="L728" s="93">
        <f t="shared" si="151"/>
        <v>0</v>
      </c>
      <c r="M728" s="94">
        <v>66.66</v>
      </c>
      <c r="N728" s="95" t="s">
        <v>289</v>
      </c>
      <c r="O728" s="93">
        <f t="shared" si="152"/>
        <v>0</v>
      </c>
      <c r="P728" s="93">
        <f t="shared" si="153"/>
        <v>0</v>
      </c>
      <c r="Q728" s="93">
        <f t="shared" si="154"/>
        <v>0</v>
      </c>
      <c r="R728" s="93">
        <f t="shared" si="155"/>
        <v>0</v>
      </c>
      <c r="S728" s="93">
        <f t="shared" si="156"/>
        <v>0</v>
      </c>
      <c r="T728" s="93">
        <f t="shared" si="157"/>
        <v>0</v>
      </c>
      <c r="U728" s="253">
        <f t="shared" si="158"/>
        <v>0</v>
      </c>
      <c r="V728" s="93">
        <f t="shared" si="159"/>
        <v>0</v>
      </c>
    </row>
    <row r="729" spans="1:22" ht="18" customHeight="1" x14ac:dyDescent="0.2">
      <c r="A729" s="110" t="s">
        <v>1281</v>
      </c>
      <c r="B729" s="111"/>
      <c r="C729" s="201" t="s">
        <v>1282</v>
      </c>
      <c r="D729" s="91">
        <v>41088</v>
      </c>
      <c r="E729" s="92"/>
      <c r="F729" s="93"/>
      <c r="G729" s="93"/>
      <c r="H729" s="93">
        <v>1301</v>
      </c>
      <c r="I729" s="93">
        <v>0</v>
      </c>
      <c r="J729" s="93"/>
      <c r="K729" s="93">
        <f t="shared" si="150"/>
        <v>0</v>
      </c>
      <c r="L729" s="93">
        <f t="shared" si="151"/>
        <v>0</v>
      </c>
      <c r="M729" s="94">
        <v>66.66</v>
      </c>
      <c r="N729" s="95" t="s">
        <v>289</v>
      </c>
      <c r="O729" s="93">
        <f t="shared" si="152"/>
        <v>0</v>
      </c>
      <c r="P729" s="93">
        <f t="shared" si="153"/>
        <v>0</v>
      </c>
      <c r="Q729" s="93">
        <f t="shared" si="154"/>
        <v>0</v>
      </c>
      <c r="R729" s="93">
        <f t="shared" si="155"/>
        <v>0</v>
      </c>
      <c r="S729" s="93">
        <f t="shared" si="156"/>
        <v>0</v>
      </c>
      <c r="T729" s="93">
        <f t="shared" si="157"/>
        <v>0</v>
      </c>
      <c r="U729" s="253">
        <f t="shared" si="158"/>
        <v>0</v>
      </c>
      <c r="V729" s="93">
        <f t="shared" si="159"/>
        <v>0</v>
      </c>
    </row>
    <row r="730" spans="1:22" ht="18" customHeight="1" x14ac:dyDescent="0.2">
      <c r="A730" s="110" t="s">
        <v>1284</v>
      </c>
      <c r="B730" s="111"/>
      <c r="C730" s="201" t="s">
        <v>1227</v>
      </c>
      <c r="D730" s="91">
        <v>38814</v>
      </c>
      <c r="E730" s="92"/>
      <c r="F730" s="93"/>
      <c r="G730" s="93"/>
      <c r="H730" s="93">
        <v>2467.9</v>
      </c>
      <c r="I730" s="93">
        <v>14.9</v>
      </c>
      <c r="J730" s="93"/>
      <c r="K730" s="93">
        <f t="shared" si="150"/>
        <v>0</v>
      </c>
      <c r="L730" s="93">
        <f t="shared" si="151"/>
        <v>0</v>
      </c>
      <c r="M730" s="94">
        <v>33.33</v>
      </c>
      <c r="N730" s="95" t="s">
        <v>289</v>
      </c>
      <c r="O730" s="93">
        <f t="shared" si="152"/>
        <v>0</v>
      </c>
      <c r="P730" s="93">
        <f t="shared" si="153"/>
        <v>0</v>
      </c>
      <c r="Q730" s="93">
        <f t="shared" si="154"/>
        <v>0</v>
      </c>
      <c r="R730" s="93">
        <f t="shared" si="155"/>
        <v>2</v>
      </c>
      <c r="S730" s="93">
        <f t="shared" si="156"/>
        <v>0</v>
      </c>
      <c r="T730" s="93">
        <f t="shared" si="157"/>
        <v>2</v>
      </c>
      <c r="U730" s="253">
        <f t="shared" si="158"/>
        <v>12.9</v>
      </c>
      <c r="V730" s="93">
        <f t="shared" si="159"/>
        <v>0</v>
      </c>
    </row>
    <row r="731" spans="1:22" ht="18" customHeight="1" x14ac:dyDescent="0.2">
      <c r="A731" s="110" t="s">
        <v>1285</v>
      </c>
      <c r="B731" s="111"/>
      <c r="C731" s="201" t="s">
        <v>1286</v>
      </c>
      <c r="D731" s="91">
        <v>38814</v>
      </c>
      <c r="E731" s="92"/>
      <c r="F731" s="93"/>
      <c r="G731" s="93"/>
      <c r="H731" s="93">
        <v>3701.85</v>
      </c>
      <c r="I731" s="93">
        <v>21.85</v>
      </c>
      <c r="J731" s="93"/>
      <c r="K731" s="93">
        <f t="shared" si="150"/>
        <v>0</v>
      </c>
      <c r="L731" s="93">
        <f t="shared" si="151"/>
        <v>0</v>
      </c>
      <c r="M731" s="94">
        <v>33.33</v>
      </c>
      <c r="N731" s="95" t="s">
        <v>289</v>
      </c>
      <c r="O731" s="93">
        <f t="shared" si="152"/>
        <v>0</v>
      </c>
      <c r="P731" s="93">
        <f t="shared" si="153"/>
        <v>0</v>
      </c>
      <c r="Q731" s="93">
        <f t="shared" si="154"/>
        <v>0</v>
      </c>
      <c r="R731" s="93">
        <f t="shared" si="155"/>
        <v>4</v>
      </c>
      <c r="S731" s="93">
        <f t="shared" si="156"/>
        <v>0</v>
      </c>
      <c r="T731" s="93">
        <f t="shared" si="157"/>
        <v>4</v>
      </c>
      <c r="U731" s="253">
        <f t="shared" si="158"/>
        <v>17.850000000000001</v>
      </c>
      <c r="V731" s="93">
        <f t="shared" si="159"/>
        <v>0</v>
      </c>
    </row>
    <row r="732" spans="1:22" ht="18" customHeight="1" x14ac:dyDescent="0.2">
      <c r="A732" s="110" t="s">
        <v>1287</v>
      </c>
      <c r="B732" s="111"/>
      <c r="C732" s="201" t="s">
        <v>1227</v>
      </c>
      <c r="D732" s="91">
        <v>38831</v>
      </c>
      <c r="E732" s="92"/>
      <c r="F732" s="93"/>
      <c r="G732" s="93"/>
      <c r="H732" s="93">
        <v>1460</v>
      </c>
      <c r="I732" s="93">
        <v>9</v>
      </c>
      <c r="J732" s="93"/>
      <c r="K732" s="93">
        <f t="shared" si="150"/>
        <v>0</v>
      </c>
      <c r="L732" s="93">
        <f t="shared" si="151"/>
        <v>0</v>
      </c>
      <c r="M732" s="94">
        <v>33.33</v>
      </c>
      <c r="N732" s="95" t="s">
        <v>289</v>
      </c>
      <c r="O732" s="93">
        <f t="shared" si="152"/>
        <v>0</v>
      </c>
      <c r="P732" s="93">
        <f t="shared" si="153"/>
        <v>0</v>
      </c>
      <c r="Q732" s="93">
        <f t="shared" si="154"/>
        <v>0</v>
      </c>
      <c r="R732" s="93">
        <f t="shared" si="155"/>
        <v>1</v>
      </c>
      <c r="S732" s="93">
        <f t="shared" si="156"/>
        <v>0</v>
      </c>
      <c r="T732" s="93">
        <f t="shared" si="157"/>
        <v>1</v>
      </c>
      <c r="U732" s="253">
        <f t="shared" si="158"/>
        <v>8</v>
      </c>
      <c r="V732" s="93">
        <f t="shared" si="159"/>
        <v>0</v>
      </c>
    </row>
    <row r="733" spans="1:22" ht="18" customHeight="1" x14ac:dyDescent="0.2">
      <c r="A733" s="110" t="s">
        <v>1288</v>
      </c>
      <c r="B733" s="111"/>
      <c r="C733" s="201" t="s">
        <v>1289</v>
      </c>
      <c r="D733" s="91">
        <v>38838</v>
      </c>
      <c r="E733" s="92"/>
      <c r="F733" s="93"/>
      <c r="G733" s="93"/>
      <c r="H733" s="93">
        <v>1500</v>
      </c>
      <c r="I733" s="93">
        <v>9</v>
      </c>
      <c r="J733" s="93"/>
      <c r="K733" s="93">
        <f t="shared" si="150"/>
        <v>0</v>
      </c>
      <c r="L733" s="93">
        <f t="shared" si="151"/>
        <v>0</v>
      </c>
      <c r="M733" s="94">
        <v>33.33</v>
      </c>
      <c r="N733" s="95" t="s">
        <v>289</v>
      </c>
      <c r="O733" s="93">
        <f t="shared" si="152"/>
        <v>0</v>
      </c>
      <c r="P733" s="93">
        <f t="shared" si="153"/>
        <v>0</v>
      </c>
      <c r="Q733" s="93">
        <f t="shared" si="154"/>
        <v>0</v>
      </c>
      <c r="R733" s="93">
        <f t="shared" si="155"/>
        <v>1</v>
      </c>
      <c r="S733" s="93">
        <f t="shared" si="156"/>
        <v>0</v>
      </c>
      <c r="T733" s="93">
        <f t="shared" si="157"/>
        <v>1</v>
      </c>
      <c r="U733" s="253">
        <f t="shared" si="158"/>
        <v>8</v>
      </c>
      <c r="V733" s="93">
        <f t="shared" si="159"/>
        <v>0</v>
      </c>
    </row>
    <row r="734" spans="1:22" ht="18" customHeight="1" x14ac:dyDescent="0.2">
      <c r="A734" s="110" t="s">
        <v>1290</v>
      </c>
      <c r="B734" s="111"/>
      <c r="C734" s="201" t="s">
        <v>1291</v>
      </c>
      <c r="D734" s="91">
        <v>38960</v>
      </c>
      <c r="E734" s="92">
        <v>43507</v>
      </c>
      <c r="F734" s="93">
        <v>280</v>
      </c>
      <c r="G734" s="93"/>
      <c r="H734" s="93">
        <v>4785</v>
      </c>
      <c r="I734" s="93">
        <v>0</v>
      </c>
      <c r="J734" s="93"/>
      <c r="K734" s="93">
        <f t="shared" si="150"/>
        <v>280</v>
      </c>
      <c r="L734" s="93">
        <f t="shared" si="151"/>
        <v>0</v>
      </c>
      <c r="M734" s="94">
        <v>66.67</v>
      </c>
      <c r="N734" s="95" t="s">
        <v>289</v>
      </c>
      <c r="O734" s="93">
        <f t="shared" si="152"/>
        <v>0</v>
      </c>
      <c r="P734" s="93">
        <f t="shared" si="153"/>
        <v>0</v>
      </c>
      <c r="Q734" s="93">
        <f t="shared" si="154"/>
        <v>0</v>
      </c>
      <c r="R734" s="93">
        <f t="shared" si="155"/>
        <v>0</v>
      </c>
      <c r="S734" s="93">
        <f t="shared" si="156"/>
        <v>0</v>
      </c>
      <c r="T734" s="93">
        <f t="shared" si="157"/>
        <v>0</v>
      </c>
      <c r="U734" s="253">
        <f t="shared" si="158"/>
        <v>0</v>
      </c>
      <c r="V734" s="93">
        <f t="shared" si="159"/>
        <v>4785</v>
      </c>
    </row>
    <row r="735" spans="1:22" ht="18" customHeight="1" x14ac:dyDescent="0.2">
      <c r="A735" s="110" t="s">
        <v>1292</v>
      </c>
      <c r="B735" s="111"/>
      <c r="C735" s="201" t="s">
        <v>1293</v>
      </c>
      <c r="D735" s="91">
        <v>38967</v>
      </c>
      <c r="E735" s="92">
        <v>43507</v>
      </c>
      <c r="F735" s="93">
        <v>280</v>
      </c>
      <c r="G735" s="93"/>
      <c r="H735" s="93">
        <v>1500</v>
      </c>
      <c r="I735" s="93">
        <v>0</v>
      </c>
      <c r="J735" s="93"/>
      <c r="K735" s="93">
        <f t="shared" si="150"/>
        <v>280</v>
      </c>
      <c r="L735" s="93">
        <f t="shared" si="151"/>
        <v>0</v>
      </c>
      <c r="M735" s="94">
        <v>66.67</v>
      </c>
      <c r="N735" s="95" t="s">
        <v>289</v>
      </c>
      <c r="O735" s="93">
        <f t="shared" si="152"/>
        <v>0</v>
      </c>
      <c r="P735" s="93">
        <f t="shared" si="153"/>
        <v>0</v>
      </c>
      <c r="Q735" s="93">
        <f t="shared" si="154"/>
        <v>0</v>
      </c>
      <c r="R735" s="93">
        <f t="shared" si="155"/>
        <v>0</v>
      </c>
      <c r="S735" s="93">
        <f t="shared" si="156"/>
        <v>0</v>
      </c>
      <c r="T735" s="93">
        <f t="shared" si="157"/>
        <v>0</v>
      </c>
      <c r="U735" s="253">
        <f t="shared" si="158"/>
        <v>0</v>
      </c>
      <c r="V735" s="93">
        <f t="shared" si="159"/>
        <v>1500</v>
      </c>
    </row>
    <row r="736" spans="1:22" ht="18" customHeight="1" x14ac:dyDescent="0.2">
      <c r="A736" s="110" t="s">
        <v>1294</v>
      </c>
      <c r="B736" s="111"/>
      <c r="C736" s="201" t="s">
        <v>1295</v>
      </c>
      <c r="D736" s="91">
        <v>39000</v>
      </c>
      <c r="E736" s="92">
        <v>43507</v>
      </c>
      <c r="F736" s="93">
        <v>280</v>
      </c>
      <c r="G736" s="93"/>
      <c r="H736" s="93">
        <v>3181.82</v>
      </c>
      <c r="I736" s="93">
        <v>0</v>
      </c>
      <c r="J736" s="93"/>
      <c r="K736" s="93">
        <f t="shared" si="150"/>
        <v>280</v>
      </c>
      <c r="L736" s="93">
        <f t="shared" si="151"/>
        <v>0</v>
      </c>
      <c r="M736" s="94">
        <v>66.67</v>
      </c>
      <c r="N736" s="95" t="s">
        <v>289</v>
      </c>
      <c r="O736" s="93">
        <f t="shared" si="152"/>
        <v>0</v>
      </c>
      <c r="P736" s="93">
        <f t="shared" si="153"/>
        <v>0</v>
      </c>
      <c r="Q736" s="93">
        <f t="shared" si="154"/>
        <v>0</v>
      </c>
      <c r="R736" s="93">
        <f t="shared" si="155"/>
        <v>0</v>
      </c>
      <c r="S736" s="93">
        <f t="shared" si="156"/>
        <v>0</v>
      </c>
      <c r="T736" s="93">
        <f t="shared" si="157"/>
        <v>0</v>
      </c>
      <c r="U736" s="253">
        <f t="shared" si="158"/>
        <v>0</v>
      </c>
      <c r="V736" s="93">
        <f t="shared" si="159"/>
        <v>3181.82</v>
      </c>
    </row>
    <row r="737" spans="1:22" ht="18" customHeight="1" x14ac:dyDescent="0.2">
      <c r="A737" s="110" t="s">
        <v>1296</v>
      </c>
      <c r="B737" s="111"/>
      <c r="C737" s="201" t="s">
        <v>1297</v>
      </c>
      <c r="D737" s="91">
        <v>39079</v>
      </c>
      <c r="E737" s="92">
        <v>43507</v>
      </c>
      <c r="F737" s="93">
        <v>280</v>
      </c>
      <c r="G737" s="93"/>
      <c r="H737" s="93">
        <v>1425</v>
      </c>
      <c r="I737" s="93">
        <v>0</v>
      </c>
      <c r="J737" s="93"/>
      <c r="K737" s="93">
        <f t="shared" si="150"/>
        <v>280</v>
      </c>
      <c r="L737" s="93">
        <f t="shared" si="151"/>
        <v>0</v>
      </c>
      <c r="M737" s="94">
        <v>66.67</v>
      </c>
      <c r="N737" s="95" t="s">
        <v>289</v>
      </c>
      <c r="O737" s="93">
        <f t="shared" si="152"/>
        <v>0</v>
      </c>
      <c r="P737" s="93">
        <f t="shared" si="153"/>
        <v>0</v>
      </c>
      <c r="Q737" s="93">
        <f t="shared" si="154"/>
        <v>0</v>
      </c>
      <c r="R737" s="93">
        <f t="shared" si="155"/>
        <v>0</v>
      </c>
      <c r="S737" s="93">
        <f t="shared" si="156"/>
        <v>0</v>
      </c>
      <c r="T737" s="93">
        <f t="shared" si="157"/>
        <v>0</v>
      </c>
      <c r="U737" s="253">
        <f t="shared" si="158"/>
        <v>0</v>
      </c>
      <c r="V737" s="93">
        <f t="shared" si="159"/>
        <v>1425</v>
      </c>
    </row>
    <row r="738" spans="1:22" ht="18" customHeight="1" x14ac:dyDescent="0.2">
      <c r="A738" s="110" t="s">
        <v>1298</v>
      </c>
      <c r="B738" s="111"/>
      <c r="C738" s="201" t="s">
        <v>1299</v>
      </c>
      <c r="D738" s="91">
        <v>41095</v>
      </c>
      <c r="E738" s="92"/>
      <c r="F738" s="93"/>
      <c r="G738" s="93"/>
      <c r="H738" s="93">
        <v>2460</v>
      </c>
      <c r="I738" s="93">
        <v>30</v>
      </c>
      <c r="J738" s="93"/>
      <c r="K738" s="93">
        <f t="shared" si="150"/>
        <v>0</v>
      </c>
      <c r="L738" s="93">
        <f t="shared" si="151"/>
        <v>0</v>
      </c>
      <c r="M738" s="94">
        <v>50</v>
      </c>
      <c r="N738" s="95" t="s">
        <v>289</v>
      </c>
      <c r="O738" s="93">
        <f t="shared" si="152"/>
        <v>0</v>
      </c>
      <c r="P738" s="93">
        <f t="shared" si="153"/>
        <v>0</v>
      </c>
      <c r="Q738" s="93">
        <f t="shared" si="154"/>
        <v>0</v>
      </c>
      <c r="R738" s="93">
        <f t="shared" si="155"/>
        <v>8</v>
      </c>
      <c r="S738" s="93">
        <f t="shared" si="156"/>
        <v>0</v>
      </c>
      <c r="T738" s="93">
        <f t="shared" si="157"/>
        <v>8</v>
      </c>
      <c r="U738" s="253">
        <f t="shared" si="158"/>
        <v>22</v>
      </c>
      <c r="V738" s="93">
        <f t="shared" si="159"/>
        <v>0</v>
      </c>
    </row>
    <row r="739" spans="1:22" ht="18" customHeight="1" x14ac:dyDescent="0.2">
      <c r="A739" s="110" t="s">
        <v>1300</v>
      </c>
      <c r="B739" s="111"/>
      <c r="C739" s="201" t="s">
        <v>1301</v>
      </c>
      <c r="D739" s="91">
        <v>39141</v>
      </c>
      <c r="E739" s="92"/>
      <c r="F739" s="93"/>
      <c r="G739" s="93"/>
      <c r="H739" s="93">
        <v>6118.52</v>
      </c>
      <c r="I739" s="93">
        <v>0</v>
      </c>
      <c r="J739" s="93"/>
      <c r="K739" s="93">
        <f t="shared" si="150"/>
        <v>0</v>
      </c>
      <c r="L739" s="93">
        <f t="shared" si="151"/>
        <v>0</v>
      </c>
      <c r="M739" s="94">
        <v>66.67</v>
      </c>
      <c r="N739" s="95" t="s">
        <v>289</v>
      </c>
      <c r="O739" s="93">
        <f t="shared" si="152"/>
        <v>0</v>
      </c>
      <c r="P739" s="93">
        <f t="shared" si="153"/>
        <v>0</v>
      </c>
      <c r="Q739" s="93">
        <f t="shared" si="154"/>
        <v>0</v>
      </c>
      <c r="R739" s="93">
        <f t="shared" si="155"/>
        <v>0</v>
      </c>
      <c r="S739" s="93">
        <f t="shared" si="156"/>
        <v>0</v>
      </c>
      <c r="T739" s="93">
        <f t="shared" si="157"/>
        <v>0</v>
      </c>
      <c r="U739" s="253">
        <f t="shared" si="158"/>
        <v>0</v>
      </c>
      <c r="V739" s="93">
        <f t="shared" si="159"/>
        <v>0</v>
      </c>
    </row>
    <row r="740" spans="1:22" ht="18" customHeight="1" x14ac:dyDescent="0.2">
      <c r="A740" s="110" t="s">
        <v>1302</v>
      </c>
      <c r="B740" s="111"/>
      <c r="C740" s="201" t="s">
        <v>1303</v>
      </c>
      <c r="D740" s="91">
        <v>41234</v>
      </c>
      <c r="E740" s="92"/>
      <c r="F740" s="93"/>
      <c r="G740" s="93"/>
      <c r="H740" s="93">
        <v>7450</v>
      </c>
      <c r="I740" s="93">
        <v>43.86</v>
      </c>
      <c r="J740" s="93"/>
      <c r="K740" s="93">
        <f t="shared" si="150"/>
        <v>0</v>
      </c>
      <c r="L740" s="93">
        <f t="shared" si="151"/>
        <v>0</v>
      </c>
      <c r="M740" s="94">
        <v>50</v>
      </c>
      <c r="N740" s="95" t="s">
        <v>289</v>
      </c>
      <c r="O740" s="93">
        <f t="shared" si="152"/>
        <v>0</v>
      </c>
      <c r="P740" s="93">
        <f t="shared" si="153"/>
        <v>0</v>
      </c>
      <c r="Q740" s="93">
        <f t="shared" si="154"/>
        <v>0</v>
      </c>
      <c r="R740" s="93">
        <f t="shared" si="155"/>
        <v>12</v>
      </c>
      <c r="S740" s="93">
        <f t="shared" si="156"/>
        <v>0</v>
      </c>
      <c r="T740" s="93">
        <f t="shared" si="157"/>
        <v>12</v>
      </c>
      <c r="U740" s="253">
        <f t="shared" si="158"/>
        <v>31.86</v>
      </c>
      <c r="V740" s="93">
        <f t="shared" si="159"/>
        <v>0</v>
      </c>
    </row>
    <row r="741" spans="1:22" ht="18" customHeight="1" x14ac:dyDescent="0.2">
      <c r="A741" s="110" t="s">
        <v>1304</v>
      </c>
      <c r="B741" s="111"/>
      <c r="C741" s="201" t="s">
        <v>1305</v>
      </c>
      <c r="D741" s="91">
        <v>41318</v>
      </c>
      <c r="E741" s="92"/>
      <c r="F741" s="93"/>
      <c r="G741" s="93"/>
      <c r="H741" s="93">
        <v>4926.17</v>
      </c>
      <c r="I741" s="93">
        <v>98.17</v>
      </c>
      <c r="J741" s="93"/>
      <c r="K741" s="93">
        <f t="shared" si="150"/>
        <v>0</v>
      </c>
      <c r="L741" s="93">
        <f t="shared" si="151"/>
        <v>0</v>
      </c>
      <c r="M741" s="94">
        <v>50</v>
      </c>
      <c r="N741" s="95" t="s">
        <v>289</v>
      </c>
      <c r="O741" s="93">
        <f t="shared" si="152"/>
        <v>0</v>
      </c>
      <c r="P741" s="93">
        <f t="shared" si="153"/>
        <v>0</v>
      </c>
      <c r="Q741" s="93">
        <f t="shared" si="154"/>
        <v>0</v>
      </c>
      <c r="R741" s="93">
        <f t="shared" si="155"/>
        <v>28</v>
      </c>
      <c r="S741" s="93">
        <f t="shared" si="156"/>
        <v>0</v>
      </c>
      <c r="T741" s="93">
        <f t="shared" si="157"/>
        <v>28</v>
      </c>
      <c r="U741" s="253">
        <f t="shared" si="158"/>
        <v>70.17</v>
      </c>
      <c r="V741" s="93">
        <f t="shared" si="159"/>
        <v>0</v>
      </c>
    </row>
    <row r="742" spans="1:22" ht="18" customHeight="1" x14ac:dyDescent="0.2">
      <c r="A742" s="110" t="s">
        <v>1306</v>
      </c>
      <c r="B742" s="111"/>
      <c r="C742" s="201" t="s">
        <v>1307</v>
      </c>
      <c r="D742" s="91">
        <v>41322</v>
      </c>
      <c r="E742" s="92"/>
      <c r="F742" s="93"/>
      <c r="G742" s="93"/>
      <c r="H742" s="93">
        <v>23975.08</v>
      </c>
      <c r="I742" s="93">
        <v>483.08</v>
      </c>
      <c r="J742" s="93"/>
      <c r="K742" s="93">
        <f t="shared" si="150"/>
        <v>0</v>
      </c>
      <c r="L742" s="93">
        <f t="shared" si="151"/>
        <v>0</v>
      </c>
      <c r="M742" s="94">
        <v>50</v>
      </c>
      <c r="N742" s="95" t="s">
        <v>289</v>
      </c>
      <c r="O742" s="93">
        <f t="shared" si="152"/>
        <v>0</v>
      </c>
      <c r="P742" s="93">
        <f t="shared" si="153"/>
        <v>0</v>
      </c>
      <c r="Q742" s="93">
        <f t="shared" si="154"/>
        <v>0</v>
      </c>
      <c r="R742" s="93">
        <f t="shared" si="155"/>
        <v>140</v>
      </c>
      <c r="S742" s="93">
        <f t="shared" si="156"/>
        <v>0</v>
      </c>
      <c r="T742" s="93">
        <f t="shared" si="157"/>
        <v>140</v>
      </c>
      <c r="U742" s="253">
        <f t="shared" si="158"/>
        <v>343.08</v>
      </c>
      <c r="V742" s="93">
        <f t="shared" si="159"/>
        <v>0</v>
      </c>
    </row>
    <row r="743" spans="1:22" ht="18" customHeight="1" x14ac:dyDescent="0.2">
      <c r="A743" s="110" t="s">
        <v>1308</v>
      </c>
      <c r="B743" s="111"/>
      <c r="C743" s="201" t="s">
        <v>1309</v>
      </c>
      <c r="D743" s="91">
        <v>41351</v>
      </c>
      <c r="E743" s="92"/>
      <c r="F743" s="93"/>
      <c r="G743" s="93"/>
      <c r="H743" s="93">
        <v>6859.2</v>
      </c>
      <c r="I743" s="93">
        <v>145.20000000000002</v>
      </c>
      <c r="J743" s="93"/>
      <c r="K743" s="93">
        <f t="shared" si="150"/>
        <v>0</v>
      </c>
      <c r="L743" s="93">
        <f t="shared" si="151"/>
        <v>0</v>
      </c>
      <c r="M743" s="94">
        <v>50</v>
      </c>
      <c r="N743" s="95" t="s">
        <v>289</v>
      </c>
      <c r="O743" s="93">
        <f t="shared" si="152"/>
        <v>0</v>
      </c>
      <c r="P743" s="93">
        <f t="shared" si="153"/>
        <v>0</v>
      </c>
      <c r="Q743" s="93">
        <f t="shared" si="154"/>
        <v>0</v>
      </c>
      <c r="R743" s="93">
        <f t="shared" si="155"/>
        <v>42</v>
      </c>
      <c r="S743" s="93">
        <f t="shared" si="156"/>
        <v>0</v>
      </c>
      <c r="T743" s="93">
        <f t="shared" si="157"/>
        <v>42</v>
      </c>
      <c r="U743" s="253">
        <f t="shared" si="158"/>
        <v>103.20000000000002</v>
      </c>
      <c r="V743" s="93">
        <f t="shared" si="159"/>
        <v>0</v>
      </c>
    </row>
    <row r="744" spans="1:22" ht="18" customHeight="1" x14ac:dyDescent="0.2">
      <c r="A744" s="110" t="s">
        <v>1310</v>
      </c>
      <c r="B744" s="111"/>
      <c r="C744" s="203" t="s">
        <v>1311</v>
      </c>
      <c r="D744" s="91">
        <v>41351</v>
      </c>
      <c r="E744" s="92"/>
      <c r="F744" s="93"/>
      <c r="G744" s="93"/>
      <c r="H744" s="93">
        <v>5115.9000000000005</v>
      </c>
      <c r="I744" s="93">
        <v>107.9</v>
      </c>
      <c r="J744" s="93"/>
      <c r="K744" s="93">
        <f t="shared" si="150"/>
        <v>0</v>
      </c>
      <c r="L744" s="93">
        <f t="shared" si="151"/>
        <v>0</v>
      </c>
      <c r="M744" s="94">
        <v>50</v>
      </c>
      <c r="N744" s="95" t="s">
        <v>289</v>
      </c>
      <c r="O744" s="93">
        <f t="shared" si="152"/>
        <v>0</v>
      </c>
      <c r="P744" s="93">
        <f t="shared" si="153"/>
        <v>0</v>
      </c>
      <c r="Q744" s="93">
        <f t="shared" si="154"/>
        <v>0</v>
      </c>
      <c r="R744" s="93">
        <f t="shared" si="155"/>
        <v>31</v>
      </c>
      <c r="S744" s="93">
        <f t="shared" si="156"/>
        <v>0</v>
      </c>
      <c r="T744" s="93">
        <f t="shared" si="157"/>
        <v>31</v>
      </c>
      <c r="U744" s="253">
        <f t="shared" si="158"/>
        <v>76.900000000000006</v>
      </c>
      <c r="V744" s="93">
        <f t="shared" si="159"/>
        <v>0</v>
      </c>
    </row>
    <row r="745" spans="1:22" ht="18" customHeight="1" x14ac:dyDescent="0.2">
      <c r="A745" s="110" t="s">
        <v>1312</v>
      </c>
      <c r="B745" s="111"/>
      <c r="C745" s="201" t="s">
        <v>1313</v>
      </c>
      <c r="D745" s="91">
        <v>41375</v>
      </c>
      <c r="E745" s="92"/>
      <c r="F745" s="93"/>
      <c r="G745" s="93"/>
      <c r="H745" s="93">
        <v>1590</v>
      </c>
      <c r="I745" s="93">
        <v>35</v>
      </c>
      <c r="J745" s="93"/>
      <c r="K745" s="93">
        <f t="shared" si="150"/>
        <v>0</v>
      </c>
      <c r="L745" s="93">
        <f t="shared" si="151"/>
        <v>0</v>
      </c>
      <c r="M745" s="94">
        <v>50</v>
      </c>
      <c r="N745" s="95" t="s">
        <v>289</v>
      </c>
      <c r="O745" s="93">
        <f t="shared" si="152"/>
        <v>0</v>
      </c>
      <c r="P745" s="93">
        <f t="shared" si="153"/>
        <v>0</v>
      </c>
      <c r="Q745" s="93">
        <f t="shared" si="154"/>
        <v>0</v>
      </c>
      <c r="R745" s="93">
        <f t="shared" si="155"/>
        <v>10</v>
      </c>
      <c r="S745" s="93">
        <f t="shared" si="156"/>
        <v>0</v>
      </c>
      <c r="T745" s="93">
        <f t="shared" si="157"/>
        <v>10</v>
      </c>
      <c r="U745" s="253">
        <f t="shared" si="158"/>
        <v>25</v>
      </c>
      <c r="V745" s="93">
        <f t="shared" si="159"/>
        <v>0</v>
      </c>
    </row>
    <row r="746" spans="1:22" ht="18" customHeight="1" x14ac:dyDescent="0.2">
      <c r="A746" s="110" t="s">
        <v>1314</v>
      </c>
      <c r="B746" s="111"/>
      <c r="C746" s="201" t="s">
        <v>1315</v>
      </c>
      <c r="D746" s="91">
        <v>41436</v>
      </c>
      <c r="E746" s="92"/>
      <c r="F746" s="93"/>
      <c r="G746" s="93"/>
      <c r="H746" s="93">
        <v>7724.46</v>
      </c>
      <c r="I746" s="93">
        <v>185.46</v>
      </c>
      <c r="J746" s="93"/>
      <c r="K746" s="93">
        <f t="shared" si="150"/>
        <v>0</v>
      </c>
      <c r="L746" s="93">
        <f t="shared" si="151"/>
        <v>0</v>
      </c>
      <c r="M746" s="94">
        <v>50</v>
      </c>
      <c r="N746" s="95" t="s">
        <v>289</v>
      </c>
      <c r="O746" s="93">
        <f t="shared" si="152"/>
        <v>0</v>
      </c>
      <c r="P746" s="93">
        <f t="shared" si="153"/>
        <v>0</v>
      </c>
      <c r="Q746" s="93">
        <f t="shared" si="154"/>
        <v>0</v>
      </c>
      <c r="R746" s="93">
        <f t="shared" si="155"/>
        <v>54</v>
      </c>
      <c r="S746" s="93">
        <f t="shared" si="156"/>
        <v>0</v>
      </c>
      <c r="T746" s="93">
        <f t="shared" si="157"/>
        <v>54</v>
      </c>
      <c r="U746" s="253">
        <f t="shared" si="158"/>
        <v>131.46</v>
      </c>
      <c r="V746" s="93">
        <f t="shared" si="159"/>
        <v>0</v>
      </c>
    </row>
    <row r="747" spans="1:22" ht="18" customHeight="1" x14ac:dyDescent="0.2">
      <c r="A747" s="110" t="s">
        <v>1316</v>
      </c>
      <c r="B747" s="111"/>
      <c r="C747" s="201" t="s">
        <v>1317</v>
      </c>
      <c r="D747" s="91">
        <v>39202</v>
      </c>
      <c r="E747" s="92"/>
      <c r="F747" s="93"/>
      <c r="G747" s="93"/>
      <c r="H747" s="93">
        <v>2406</v>
      </c>
      <c r="I747" s="93">
        <v>0</v>
      </c>
      <c r="J747" s="93"/>
      <c r="K747" s="93">
        <f t="shared" si="150"/>
        <v>0</v>
      </c>
      <c r="L747" s="93">
        <f t="shared" si="151"/>
        <v>0</v>
      </c>
      <c r="M747" s="94">
        <v>66.67</v>
      </c>
      <c r="N747" s="95" t="s">
        <v>289</v>
      </c>
      <c r="O747" s="93">
        <f t="shared" si="152"/>
        <v>0</v>
      </c>
      <c r="P747" s="93">
        <f t="shared" si="153"/>
        <v>0</v>
      </c>
      <c r="Q747" s="93">
        <f t="shared" si="154"/>
        <v>0</v>
      </c>
      <c r="R747" s="93">
        <f t="shared" si="155"/>
        <v>0</v>
      </c>
      <c r="S747" s="93">
        <f t="shared" si="156"/>
        <v>0</v>
      </c>
      <c r="T747" s="93">
        <f t="shared" si="157"/>
        <v>0</v>
      </c>
      <c r="U747" s="253">
        <f t="shared" si="158"/>
        <v>0</v>
      </c>
      <c r="V747" s="93">
        <f t="shared" si="159"/>
        <v>0</v>
      </c>
    </row>
    <row r="748" spans="1:22" ht="18" customHeight="1" x14ac:dyDescent="0.2">
      <c r="A748" s="110" t="s">
        <v>1318</v>
      </c>
      <c r="B748" s="111"/>
      <c r="C748" s="201" t="s">
        <v>1319</v>
      </c>
      <c r="D748" s="91">
        <v>39217</v>
      </c>
      <c r="E748" s="92"/>
      <c r="F748" s="93"/>
      <c r="G748" s="93"/>
      <c r="H748" s="93">
        <v>20370.14</v>
      </c>
      <c r="I748" s="93">
        <v>0</v>
      </c>
      <c r="J748" s="93"/>
      <c r="K748" s="93">
        <f t="shared" si="150"/>
        <v>0</v>
      </c>
      <c r="L748" s="93">
        <f t="shared" si="151"/>
        <v>0</v>
      </c>
      <c r="M748" s="94">
        <v>66.67</v>
      </c>
      <c r="N748" s="95" t="s">
        <v>289</v>
      </c>
      <c r="O748" s="93">
        <f t="shared" si="152"/>
        <v>0</v>
      </c>
      <c r="P748" s="93">
        <f t="shared" si="153"/>
        <v>0</v>
      </c>
      <c r="Q748" s="93">
        <f t="shared" si="154"/>
        <v>0</v>
      </c>
      <c r="R748" s="93">
        <f t="shared" si="155"/>
        <v>0</v>
      </c>
      <c r="S748" s="93">
        <f t="shared" si="156"/>
        <v>0</v>
      </c>
      <c r="T748" s="93">
        <f t="shared" si="157"/>
        <v>0</v>
      </c>
      <c r="U748" s="253">
        <f t="shared" si="158"/>
        <v>0</v>
      </c>
      <c r="V748" s="93">
        <f t="shared" si="159"/>
        <v>0</v>
      </c>
    </row>
    <row r="749" spans="1:22" ht="18" customHeight="1" x14ac:dyDescent="0.2">
      <c r="A749" s="110" t="s">
        <v>1320</v>
      </c>
      <c r="B749" s="111"/>
      <c r="C749" s="90" t="s">
        <v>1321</v>
      </c>
      <c r="D749" s="91">
        <v>41654</v>
      </c>
      <c r="E749" s="92"/>
      <c r="F749" s="93"/>
      <c r="G749" s="93"/>
      <c r="H749" s="93">
        <v>1331.94</v>
      </c>
      <c r="I749" s="93">
        <v>50.94</v>
      </c>
      <c r="J749" s="93"/>
      <c r="K749" s="93">
        <f t="shared" si="150"/>
        <v>0</v>
      </c>
      <c r="L749" s="93">
        <f t="shared" si="151"/>
        <v>0</v>
      </c>
      <c r="M749" s="94">
        <v>50</v>
      </c>
      <c r="N749" s="95" t="s">
        <v>289</v>
      </c>
      <c r="O749" s="93">
        <f t="shared" si="152"/>
        <v>0</v>
      </c>
      <c r="P749" s="93">
        <f t="shared" si="153"/>
        <v>0</v>
      </c>
      <c r="Q749" s="93">
        <f t="shared" si="154"/>
        <v>0</v>
      </c>
      <c r="R749" s="93">
        <f t="shared" si="155"/>
        <v>14</v>
      </c>
      <c r="S749" s="93">
        <f t="shared" si="156"/>
        <v>0</v>
      </c>
      <c r="T749" s="93">
        <f t="shared" si="157"/>
        <v>14</v>
      </c>
      <c r="U749" s="253">
        <f t="shared" si="158"/>
        <v>36.94</v>
      </c>
      <c r="V749" s="93">
        <f t="shared" si="159"/>
        <v>0</v>
      </c>
    </row>
    <row r="750" spans="1:22" ht="18" customHeight="1" x14ac:dyDescent="0.2">
      <c r="A750" s="110" t="s">
        <v>1322</v>
      </c>
      <c r="B750" s="111"/>
      <c r="C750" s="90" t="s">
        <v>1323</v>
      </c>
      <c r="D750" s="91">
        <v>41670</v>
      </c>
      <c r="E750" s="92"/>
      <c r="F750" s="93"/>
      <c r="G750" s="93"/>
      <c r="H750" s="93">
        <v>1245.1000000000001</v>
      </c>
      <c r="I750" s="93">
        <v>48.1</v>
      </c>
      <c r="J750" s="93"/>
      <c r="K750" s="93">
        <f t="shared" si="150"/>
        <v>0</v>
      </c>
      <c r="L750" s="93">
        <f t="shared" si="151"/>
        <v>0</v>
      </c>
      <c r="M750" s="94">
        <v>50</v>
      </c>
      <c r="N750" s="95" t="s">
        <v>289</v>
      </c>
      <c r="O750" s="93">
        <f t="shared" si="152"/>
        <v>0</v>
      </c>
      <c r="P750" s="93">
        <f t="shared" si="153"/>
        <v>0</v>
      </c>
      <c r="Q750" s="93">
        <f t="shared" si="154"/>
        <v>0</v>
      </c>
      <c r="R750" s="93">
        <f t="shared" si="155"/>
        <v>14</v>
      </c>
      <c r="S750" s="93">
        <f t="shared" si="156"/>
        <v>0</v>
      </c>
      <c r="T750" s="93">
        <f t="shared" si="157"/>
        <v>14</v>
      </c>
      <c r="U750" s="253">
        <f t="shared" si="158"/>
        <v>34.1</v>
      </c>
      <c r="V750" s="93">
        <f t="shared" si="159"/>
        <v>0</v>
      </c>
    </row>
    <row r="751" spans="1:22" ht="18" customHeight="1" x14ac:dyDescent="0.2">
      <c r="A751" s="110" t="s">
        <v>1324</v>
      </c>
      <c r="B751" s="111"/>
      <c r="C751" s="90" t="s">
        <v>1325</v>
      </c>
      <c r="D751" s="91">
        <v>41670</v>
      </c>
      <c r="E751" s="92"/>
      <c r="F751" s="93"/>
      <c r="G751" s="93"/>
      <c r="H751" s="93">
        <v>3261</v>
      </c>
      <c r="I751" s="93">
        <v>127</v>
      </c>
      <c r="J751" s="93"/>
      <c r="K751" s="93">
        <f t="shared" si="150"/>
        <v>0</v>
      </c>
      <c r="L751" s="93">
        <f t="shared" si="151"/>
        <v>0</v>
      </c>
      <c r="M751" s="94">
        <v>50</v>
      </c>
      <c r="N751" s="95" t="s">
        <v>289</v>
      </c>
      <c r="O751" s="93">
        <f t="shared" si="152"/>
        <v>0</v>
      </c>
      <c r="P751" s="93">
        <f t="shared" si="153"/>
        <v>0</v>
      </c>
      <c r="Q751" s="93">
        <f t="shared" si="154"/>
        <v>0</v>
      </c>
      <c r="R751" s="93">
        <f t="shared" si="155"/>
        <v>37</v>
      </c>
      <c r="S751" s="93">
        <f t="shared" si="156"/>
        <v>0</v>
      </c>
      <c r="T751" s="93">
        <f t="shared" si="157"/>
        <v>37</v>
      </c>
      <c r="U751" s="253">
        <f t="shared" si="158"/>
        <v>90</v>
      </c>
      <c r="V751" s="93">
        <f t="shared" si="159"/>
        <v>0</v>
      </c>
    </row>
    <row r="752" spans="1:22" ht="18" customHeight="1" x14ac:dyDescent="0.2">
      <c r="A752" s="110" t="s">
        <v>1326</v>
      </c>
      <c r="B752" s="111"/>
      <c r="C752" s="201" t="s">
        <v>1327</v>
      </c>
      <c r="D752" s="91">
        <v>41675</v>
      </c>
      <c r="E752" s="92"/>
      <c r="F752" s="93"/>
      <c r="G752" s="93"/>
      <c r="H752" s="93">
        <v>5390</v>
      </c>
      <c r="I752" s="93">
        <v>213</v>
      </c>
      <c r="J752" s="93"/>
      <c r="K752" s="93">
        <f t="shared" si="150"/>
        <v>0</v>
      </c>
      <c r="L752" s="93">
        <f t="shared" si="151"/>
        <v>0</v>
      </c>
      <c r="M752" s="94">
        <v>50</v>
      </c>
      <c r="N752" s="95" t="s">
        <v>289</v>
      </c>
      <c r="O752" s="93">
        <f t="shared" si="152"/>
        <v>0</v>
      </c>
      <c r="P752" s="93">
        <f t="shared" si="153"/>
        <v>0</v>
      </c>
      <c r="Q752" s="93">
        <f t="shared" si="154"/>
        <v>0</v>
      </c>
      <c r="R752" s="93">
        <f t="shared" si="155"/>
        <v>62</v>
      </c>
      <c r="S752" s="93">
        <f t="shared" si="156"/>
        <v>0</v>
      </c>
      <c r="T752" s="93">
        <f t="shared" si="157"/>
        <v>62</v>
      </c>
      <c r="U752" s="253">
        <f t="shared" si="158"/>
        <v>151</v>
      </c>
      <c r="V752" s="93">
        <f t="shared" si="159"/>
        <v>0</v>
      </c>
    </row>
    <row r="753" spans="1:22" ht="18" customHeight="1" x14ac:dyDescent="0.2">
      <c r="A753" s="110" t="s">
        <v>1328</v>
      </c>
      <c r="B753" s="111"/>
      <c r="C753" s="201" t="s">
        <v>1329</v>
      </c>
      <c r="D753" s="91">
        <v>41676</v>
      </c>
      <c r="E753" s="92"/>
      <c r="F753" s="93"/>
      <c r="G753" s="93"/>
      <c r="H753" s="93">
        <v>9835</v>
      </c>
      <c r="I753" s="93">
        <v>389</v>
      </c>
      <c r="J753" s="93"/>
      <c r="K753" s="93">
        <f t="shared" si="150"/>
        <v>0</v>
      </c>
      <c r="L753" s="93">
        <f t="shared" si="151"/>
        <v>0</v>
      </c>
      <c r="M753" s="94">
        <v>50</v>
      </c>
      <c r="N753" s="95" t="s">
        <v>289</v>
      </c>
      <c r="O753" s="93">
        <f t="shared" si="152"/>
        <v>0</v>
      </c>
      <c r="P753" s="93">
        <f t="shared" si="153"/>
        <v>0</v>
      </c>
      <c r="Q753" s="93">
        <f t="shared" si="154"/>
        <v>0</v>
      </c>
      <c r="R753" s="93">
        <f t="shared" si="155"/>
        <v>113</v>
      </c>
      <c r="S753" s="93">
        <f t="shared" si="156"/>
        <v>0</v>
      </c>
      <c r="T753" s="93">
        <f t="shared" si="157"/>
        <v>113</v>
      </c>
      <c r="U753" s="253">
        <f t="shared" si="158"/>
        <v>276</v>
      </c>
      <c r="V753" s="93">
        <f t="shared" si="159"/>
        <v>0</v>
      </c>
    </row>
    <row r="754" spans="1:22" ht="18" customHeight="1" x14ac:dyDescent="0.2">
      <c r="A754" s="110" t="s">
        <v>1330</v>
      </c>
      <c r="B754" s="111"/>
      <c r="C754" s="201" t="s">
        <v>1331</v>
      </c>
      <c r="D754" s="91">
        <v>41676</v>
      </c>
      <c r="E754" s="92"/>
      <c r="F754" s="93"/>
      <c r="G754" s="93"/>
      <c r="H754" s="93">
        <v>4238</v>
      </c>
      <c r="I754" s="93">
        <v>168</v>
      </c>
      <c r="J754" s="93"/>
      <c r="K754" s="93">
        <f t="shared" si="150"/>
        <v>0</v>
      </c>
      <c r="L754" s="93">
        <f t="shared" si="151"/>
        <v>0</v>
      </c>
      <c r="M754" s="94">
        <v>50</v>
      </c>
      <c r="N754" s="95" t="s">
        <v>289</v>
      </c>
      <c r="O754" s="93">
        <f t="shared" si="152"/>
        <v>0</v>
      </c>
      <c r="P754" s="93">
        <f t="shared" si="153"/>
        <v>0</v>
      </c>
      <c r="Q754" s="93">
        <f t="shared" si="154"/>
        <v>0</v>
      </c>
      <c r="R754" s="93">
        <f t="shared" si="155"/>
        <v>49</v>
      </c>
      <c r="S754" s="93">
        <f t="shared" si="156"/>
        <v>0</v>
      </c>
      <c r="T754" s="93">
        <f t="shared" si="157"/>
        <v>49</v>
      </c>
      <c r="U754" s="253">
        <f t="shared" si="158"/>
        <v>119</v>
      </c>
      <c r="V754" s="93">
        <f t="shared" si="159"/>
        <v>0</v>
      </c>
    </row>
    <row r="755" spans="1:22" ht="18" customHeight="1" x14ac:dyDescent="0.2">
      <c r="A755" s="110" t="s">
        <v>1332</v>
      </c>
      <c r="B755" s="111"/>
      <c r="C755" s="90" t="s">
        <v>1333</v>
      </c>
      <c r="D755" s="91">
        <v>41684</v>
      </c>
      <c r="E755" s="92"/>
      <c r="F755" s="93"/>
      <c r="G755" s="93"/>
      <c r="H755" s="93">
        <v>4365</v>
      </c>
      <c r="I755" s="93">
        <v>175</v>
      </c>
      <c r="J755" s="93"/>
      <c r="K755" s="93">
        <f t="shared" si="150"/>
        <v>0</v>
      </c>
      <c r="L755" s="93">
        <f t="shared" si="151"/>
        <v>0</v>
      </c>
      <c r="M755" s="94">
        <v>50</v>
      </c>
      <c r="N755" s="95" t="s">
        <v>289</v>
      </c>
      <c r="O755" s="93">
        <f t="shared" si="152"/>
        <v>0</v>
      </c>
      <c r="P755" s="93">
        <f t="shared" si="153"/>
        <v>0</v>
      </c>
      <c r="Q755" s="93">
        <f t="shared" si="154"/>
        <v>0</v>
      </c>
      <c r="R755" s="93">
        <f t="shared" si="155"/>
        <v>51</v>
      </c>
      <c r="S755" s="93">
        <f t="shared" si="156"/>
        <v>0</v>
      </c>
      <c r="T755" s="93">
        <f t="shared" si="157"/>
        <v>51</v>
      </c>
      <c r="U755" s="253">
        <f t="shared" si="158"/>
        <v>124</v>
      </c>
      <c r="V755" s="93">
        <f t="shared" si="159"/>
        <v>0</v>
      </c>
    </row>
    <row r="756" spans="1:22" ht="18" customHeight="1" x14ac:dyDescent="0.2">
      <c r="A756" s="110" t="s">
        <v>1334</v>
      </c>
      <c r="B756" s="111"/>
      <c r="C756" s="90" t="s">
        <v>1335</v>
      </c>
      <c r="D756" s="91">
        <v>41689</v>
      </c>
      <c r="E756" s="92"/>
      <c r="F756" s="93"/>
      <c r="G756" s="93"/>
      <c r="H756" s="93">
        <v>3747</v>
      </c>
      <c r="I756" s="93">
        <v>151</v>
      </c>
      <c r="J756" s="93"/>
      <c r="K756" s="93">
        <f t="shared" si="150"/>
        <v>0</v>
      </c>
      <c r="L756" s="93">
        <f t="shared" si="151"/>
        <v>0</v>
      </c>
      <c r="M756" s="94">
        <v>50</v>
      </c>
      <c r="N756" s="95" t="s">
        <v>289</v>
      </c>
      <c r="O756" s="93">
        <f t="shared" si="152"/>
        <v>0</v>
      </c>
      <c r="P756" s="93">
        <f t="shared" si="153"/>
        <v>0</v>
      </c>
      <c r="Q756" s="93">
        <f t="shared" si="154"/>
        <v>0</v>
      </c>
      <c r="R756" s="93">
        <f t="shared" si="155"/>
        <v>44</v>
      </c>
      <c r="S756" s="93">
        <f t="shared" si="156"/>
        <v>0</v>
      </c>
      <c r="T756" s="93">
        <f t="shared" si="157"/>
        <v>44</v>
      </c>
      <c r="U756" s="253">
        <f t="shared" si="158"/>
        <v>107</v>
      </c>
      <c r="V756" s="93">
        <f t="shared" si="159"/>
        <v>0</v>
      </c>
    </row>
    <row r="757" spans="1:22" ht="18" customHeight="1" x14ac:dyDescent="0.2">
      <c r="A757" s="110" t="s">
        <v>1336</v>
      </c>
      <c r="B757" s="111"/>
      <c r="C757" s="201" t="s">
        <v>1337</v>
      </c>
      <c r="D757" s="91">
        <v>41717</v>
      </c>
      <c r="E757" s="92"/>
      <c r="F757" s="93"/>
      <c r="G757" s="93"/>
      <c r="H757" s="93">
        <v>3075.92</v>
      </c>
      <c r="I757" s="93">
        <v>129.92000000000002</v>
      </c>
      <c r="J757" s="93"/>
      <c r="K757" s="93">
        <f t="shared" si="150"/>
        <v>0</v>
      </c>
      <c r="L757" s="93">
        <f t="shared" si="151"/>
        <v>0</v>
      </c>
      <c r="M757" s="94">
        <v>50</v>
      </c>
      <c r="N757" s="95" t="s">
        <v>289</v>
      </c>
      <c r="O757" s="93">
        <f t="shared" si="152"/>
        <v>0</v>
      </c>
      <c r="P757" s="93">
        <f t="shared" si="153"/>
        <v>0</v>
      </c>
      <c r="Q757" s="93">
        <f t="shared" si="154"/>
        <v>0</v>
      </c>
      <c r="R757" s="93">
        <f t="shared" si="155"/>
        <v>37</v>
      </c>
      <c r="S757" s="93">
        <f t="shared" si="156"/>
        <v>0</v>
      </c>
      <c r="T757" s="93">
        <f t="shared" si="157"/>
        <v>37</v>
      </c>
      <c r="U757" s="253">
        <f t="shared" si="158"/>
        <v>92.920000000000016</v>
      </c>
      <c r="V757" s="93">
        <f t="shared" si="159"/>
        <v>0</v>
      </c>
    </row>
    <row r="758" spans="1:22" ht="18" customHeight="1" x14ac:dyDescent="0.2">
      <c r="A758" s="110" t="s">
        <v>1338</v>
      </c>
      <c r="B758" s="111"/>
      <c r="C758" s="201" t="s">
        <v>1339</v>
      </c>
      <c r="D758" s="91">
        <v>41717</v>
      </c>
      <c r="E758" s="92"/>
      <c r="F758" s="93"/>
      <c r="G758" s="93"/>
      <c r="H758" s="93">
        <v>1537.96</v>
      </c>
      <c r="I758" s="93">
        <v>65.960000000000008</v>
      </c>
      <c r="J758" s="93"/>
      <c r="K758" s="93">
        <f t="shared" si="150"/>
        <v>0</v>
      </c>
      <c r="L758" s="93">
        <f t="shared" si="151"/>
        <v>0</v>
      </c>
      <c r="M758" s="94">
        <v>50</v>
      </c>
      <c r="N758" s="95" t="s">
        <v>289</v>
      </c>
      <c r="O758" s="93">
        <f t="shared" si="152"/>
        <v>0</v>
      </c>
      <c r="P758" s="93">
        <f t="shared" si="153"/>
        <v>0</v>
      </c>
      <c r="Q758" s="93">
        <f t="shared" si="154"/>
        <v>0</v>
      </c>
      <c r="R758" s="93">
        <f t="shared" si="155"/>
        <v>19</v>
      </c>
      <c r="S758" s="93">
        <f t="shared" si="156"/>
        <v>0</v>
      </c>
      <c r="T758" s="93">
        <f t="shared" si="157"/>
        <v>19</v>
      </c>
      <c r="U758" s="253">
        <f t="shared" si="158"/>
        <v>46.960000000000008</v>
      </c>
      <c r="V758" s="93">
        <f t="shared" si="159"/>
        <v>0</v>
      </c>
    </row>
    <row r="759" spans="1:22" ht="18" customHeight="1" x14ac:dyDescent="0.2">
      <c r="A759" s="110" t="s">
        <v>1340</v>
      </c>
      <c r="B759" s="111"/>
      <c r="C759" s="201" t="s">
        <v>1341</v>
      </c>
      <c r="D759" s="91">
        <v>41717</v>
      </c>
      <c r="E759" s="92"/>
      <c r="F759" s="93"/>
      <c r="G759" s="93"/>
      <c r="H759" s="93">
        <v>1537.96</v>
      </c>
      <c r="I759" s="93">
        <v>65.960000000000008</v>
      </c>
      <c r="J759" s="93"/>
      <c r="K759" s="93">
        <f t="shared" si="150"/>
        <v>0</v>
      </c>
      <c r="L759" s="93">
        <f t="shared" si="151"/>
        <v>0</v>
      </c>
      <c r="M759" s="94">
        <v>50</v>
      </c>
      <c r="N759" s="95" t="s">
        <v>289</v>
      </c>
      <c r="O759" s="93">
        <f t="shared" si="152"/>
        <v>0</v>
      </c>
      <c r="P759" s="93">
        <f t="shared" si="153"/>
        <v>0</v>
      </c>
      <c r="Q759" s="93">
        <f t="shared" si="154"/>
        <v>0</v>
      </c>
      <c r="R759" s="93">
        <f t="shared" si="155"/>
        <v>19</v>
      </c>
      <c r="S759" s="93">
        <f t="shared" si="156"/>
        <v>0</v>
      </c>
      <c r="T759" s="93">
        <f t="shared" si="157"/>
        <v>19</v>
      </c>
      <c r="U759" s="253">
        <f t="shared" si="158"/>
        <v>46.960000000000008</v>
      </c>
      <c r="V759" s="93">
        <f t="shared" si="159"/>
        <v>0</v>
      </c>
    </row>
    <row r="760" spans="1:22" ht="18" customHeight="1" x14ac:dyDescent="0.2">
      <c r="A760" s="110" t="s">
        <v>1342</v>
      </c>
      <c r="B760" s="111"/>
      <c r="C760" s="201" t="s">
        <v>1343</v>
      </c>
      <c r="D760" s="91">
        <v>41717</v>
      </c>
      <c r="E760" s="92"/>
      <c r="F760" s="93"/>
      <c r="G760" s="93"/>
      <c r="H760" s="93">
        <v>2128.86</v>
      </c>
      <c r="I760" s="93">
        <v>90.86</v>
      </c>
      <c r="J760" s="93"/>
      <c r="K760" s="93">
        <f t="shared" si="150"/>
        <v>0</v>
      </c>
      <c r="L760" s="93">
        <f t="shared" si="151"/>
        <v>0</v>
      </c>
      <c r="M760" s="94">
        <v>50</v>
      </c>
      <c r="N760" s="95" t="s">
        <v>289</v>
      </c>
      <c r="O760" s="93">
        <f t="shared" si="152"/>
        <v>0</v>
      </c>
      <c r="P760" s="93">
        <f t="shared" si="153"/>
        <v>0</v>
      </c>
      <c r="Q760" s="93">
        <f t="shared" si="154"/>
        <v>0</v>
      </c>
      <c r="R760" s="93">
        <f t="shared" si="155"/>
        <v>26</v>
      </c>
      <c r="S760" s="93">
        <f t="shared" si="156"/>
        <v>0</v>
      </c>
      <c r="T760" s="93">
        <f t="shared" si="157"/>
        <v>26</v>
      </c>
      <c r="U760" s="253">
        <f t="shared" si="158"/>
        <v>64.86</v>
      </c>
      <c r="V760" s="93">
        <f t="shared" si="159"/>
        <v>0</v>
      </c>
    </row>
    <row r="761" spans="1:22" ht="18" customHeight="1" x14ac:dyDescent="0.2">
      <c r="A761" s="110" t="s">
        <v>1344</v>
      </c>
      <c r="B761" s="111"/>
      <c r="C761" s="201" t="s">
        <v>1345</v>
      </c>
      <c r="D761" s="91">
        <v>41717</v>
      </c>
      <c r="E761" s="92"/>
      <c r="F761" s="93"/>
      <c r="G761" s="93"/>
      <c r="H761" s="93">
        <v>6386.58</v>
      </c>
      <c r="I761" s="93">
        <v>270.58</v>
      </c>
      <c r="J761" s="93"/>
      <c r="K761" s="93">
        <f t="shared" si="150"/>
        <v>0</v>
      </c>
      <c r="L761" s="93">
        <f t="shared" si="151"/>
        <v>0</v>
      </c>
      <c r="M761" s="94">
        <v>50</v>
      </c>
      <c r="N761" s="95" t="s">
        <v>289</v>
      </c>
      <c r="O761" s="93">
        <f t="shared" si="152"/>
        <v>0</v>
      </c>
      <c r="P761" s="93">
        <f t="shared" si="153"/>
        <v>0</v>
      </c>
      <c r="Q761" s="93">
        <f t="shared" si="154"/>
        <v>0</v>
      </c>
      <c r="R761" s="93">
        <f t="shared" si="155"/>
        <v>78</v>
      </c>
      <c r="S761" s="93">
        <f t="shared" si="156"/>
        <v>0</v>
      </c>
      <c r="T761" s="93">
        <f t="shared" si="157"/>
        <v>78</v>
      </c>
      <c r="U761" s="253">
        <f t="shared" si="158"/>
        <v>192.57999999999998</v>
      </c>
      <c r="V761" s="93">
        <f t="shared" si="159"/>
        <v>0</v>
      </c>
    </row>
    <row r="762" spans="1:22" ht="18" customHeight="1" x14ac:dyDescent="0.2">
      <c r="A762" s="110" t="s">
        <v>1346</v>
      </c>
      <c r="B762" s="111"/>
      <c r="C762" s="201" t="s">
        <v>1347</v>
      </c>
      <c r="D762" s="91">
        <v>41717</v>
      </c>
      <c r="E762" s="92"/>
      <c r="F762" s="93"/>
      <c r="G762" s="93"/>
      <c r="H762" s="93">
        <v>2128.86</v>
      </c>
      <c r="I762" s="93">
        <v>90.86</v>
      </c>
      <c r="J762" s="93"/>
      <c r="K762" s="93">
        <f t="shared" si="150"/>
        <v>0</v>
      </c>
      <c r="L762" s="93">
        <f t="shared" si="151"/>
        <v>0</v>
      </c>
      <c r="M762" s="94">
        <v>50</v>
      </c>
      <c r="N762" s="95" t="s">
        <v>289</v>
      </c>
      <c r="O762" s="93">
        <f t="shared" si="152"/>
        <v>0</v>
      </c>
      <c r="P762" s="93">
        <f t="shared" si="153"/>
        <v>0</v>
      </c>
      <c r="Q762" s="93">
        <f t="shared" si="154"/>
        <v>0</v>
      </c>
      <c r="R762" s="93">
        <f t="shared" si="155"/>
        <v>26</v>
      </c>
      <c r="S762" s="93">
        <f t="shared" si="156"/>
        <v>0</v>
      </c>
      <c r="T762" s="93">
        <f t="shared" si="157"/>
        <v>26</v>
      </c>
      <c r="U762" s="253">
        <f t="shared" si="158"/>
        <v>64.86</v>
      </c>
      <c r="V762" s="93">
        <f t="shared" si="159"/>
        <v>0</v>
      </c>
    </row>
    <row r="763" spans="1:22" ht="18" customHeight="1" x14ac:dyDescent="0.2">
      <c r="A763" s="110" t="s">
        <v>1348</v>
      </c>
      <c r="B763" s="111"/>
      <c r="C763" s="201" t="s">
        <v>1349</v>
      </c>
      <c r="D763" s="91">
        <v>41717</v>
      </c>
      <c r="E763" s="92"/>
      <c r="F763" s="93"/>
      <c r="G763" s="93"/>
      <c r="H763" s="93">
        <v>6489.8</v>
      </c>
      <c r="I763" s="93">
        <v>274.8</v>
      </c>
      <c r="J763" s="93"/>
      <c r="K763" s="93">
        <f t="shared" si="150"/>
        <v>0</v>
      </c>
      <c r="L763" s="93">
        <f t="shared" si="151"/>
        <v>0</v>
      </c>
      <c r="M763" s="94">
        <v>50</v>
      </c>
      <c r="N763" s="95" t="s">
        <v>289</v>
      </c>
      <c r="O763" s="93">
        <f t="shared" si="152"/>
        <v>0</v>
      </c>
      <c r="P763" s="93">
        <f t="shared" si="153"/>
        <v>0</v>
      </c>
      <c r="Q763" s="93">
        <f t="shared" si="154"/>
        <v>0</v>
      </c>
      <c r="R763" s="93">
        <f t="shared" si="155"/>
        <v>80</v>
      </c>
      <c r="S763" s="93">
        <f t="shared" si="156"/>
        <v>0</v>
      </c>
      <c r="T763" s="93">
        <f t="shared" si="157"/>
        <v>80</v>
      </c>
      <c r="U763" s="253">
        <f t="shared" si="158"/>
        <v>194.8</v>
      </c>
      <c r="V763" s="93">
        <f t="shared" si="159"/>
        <v>0</v>
      </c>
    </row>
    <row r="764" spans="1:22" ht="18" customHeight="1" x14ac:dyDescent="0.2">
      <c r="A764" s="110" t="s">
        <v>1350</v>
      </c>
      <c r="B764" s="111"/>
      <c r="C764" s="201" t="s">
        <v>1351</v>
      </c>
      <c r="D764" s="91">
        <v>41726</v>
      </c>
      <c r="E764" s="92"/>
      <c r="F764" s="93"/>
      <c r="G764" s="93"/>
      <c r="H764" s="93">
        <v>4380</v>
      </c>
      <c r="I764" s="93">
        <v>188</v>
      </c>
      <c r="J764" s="93"/>
      <c r="K764" s="93">
        <f t="shared" si="150"/>
        <v>0</v>
      </c>
      <c r="L764" s="93">
        <f t="shared" si="151"/>
        <v>0</v>
      </c>
      <c r="M764" s="94">
        <v>50</v>
      </c>
      <c r="N764" s="95" t="s">
        <v>289</v>
      </c>
      <c r="O764" s="93">
        <f t="shared" si="152"/>
        <v>0</v>
      </c>
      <c r="P764" s="93">
        <f t="shared" si="153"/>
        <v>0</v>
      </c>
      <c r="Q764" s="93">
        <f t="shared" si="154"/>
        <v>0</v>
      </c>
      <c r="R764" s="93">
        <f t="shared" si="155"/>
        <v>54</v>
      </c>
      <c r="S764" s="93">
        <f t="shared" si="156"/>
        <v>0</v>
      </c>
      <c r="T764" s="93">
        <f t="shared" si="157"/>
        <v>54</v>
      </c>
      <c r="U764" s="253">
        <f t="shared" si="158"/>
        <v>134</v>
      </c>
      <c r="V764" s="93">
        <f t="shared" si="159"/>
        <v>0</v>
      </c>
    </row>
    <row r="765" spans="1:22" ht="18" customHeight="1" x14ac:dyDescent="0.2">
      <c r="A765" s="110" t="s">
        <v>1352</v>
      </c>
      <c r="B765" s="111"/>
      <c r="C765" s="201" t="s">
        <v>1353</v>
      </c>
      <c r="D765" s="91">
        <v>41730</v>
      </c>
      <c r="E765" s="92"/>
      <c r="F765" s="93"/>
      <c r="G765" s="93"/>
      <c r="H765" s="93">
        <v>1400</v>
      </c>
      <c r="I765" s="93">
        <v>60</v>
      </c>
      <c r="J765" s="93"/>
      <c r="K765" s="93">
        <f t="shared" si="150"/>
        <v>0</v>
      </c>
      <c r="L765" s="93">
        <f t="shared" si="151"/>
        <v>0</v>
      </c>
      <c r="M765" s="94">
        <v>50</v>
      </c>
      <c r="N765" s="95" t="s">
        <v>289</v>
      </c>
      <c r="O765" s="93">
        <f t="shared" si="152"/>
        <v>0</v>
      </c>
      <c r="P765" s="93">
        <f t="shared" si="153"/>
        <v>0</v>
      </c>
      <c r="Q765" s="93">
        <f t="shared" si="154"/>
        <v>0</v>
      </c>
      <c r="R765" s="93">
        <f t="shared" si="155"/>
        <v>17</v>
      </c>
      <c r="S765" s="93">
        <f t="shared" si="156"/>
        <v>0</v>
      </c>
      <c r="T765" s="93">
        <f t="shared" si="157"/>
        <v>17</v>
      </c>
      <c r="U765" s="253">
        <f t="shared" si="158"/>
        <v>43</v>
      </c>
      <c r="V765" s="93">
        <f t="shared" si="159"/>
        <v>0</v>
      </c>
    </row>
    <row r="766" spans="1:22" ht="18" customHeight="1" x14ac:dyDescent="0.2">
      <c r="A766" s="110" t="s">
        <v>1354</v>
      </c>
      <c r="B766" s="111"/>
      <c r="C766" s="201" t="s">
        <v>1355</v>
      </c>
      <c r="D766" s="91">
        <v>41730</v>
      </c>
      <c r="E766" s="92"/>
      <c r="F766" s="93"/>
      <c r="G766" s="93"/>
      <c r="H766" s="93">
        <v>700</v>
      </c>
      <c r="I766" s="93">
        <v>30</v>
      </c>
      <c r="J766" s="93"/>
      <c r="K766" s="93">
        <f t="shared" si="150"/>
        <v>0</v>
      </c>
      <c r="L766" s="93">
        <f t="shared" si="151"/>
        <v>0</v>
      </c>
      <c r="M766" s="94">
        <v>50</v>
      </c>
      <c r="N766" s="95" t="s">
        <v>289</v>
      </c>
      <c r="O766" s="93">
        <f t="shared" si="152"/>
        <v>0</v>
      </c>
      <c r="P766" s="93">
        <f t="shared" si="153"/>
        <v>0</v>
      </c>
      <c r="Q766" s="93">
        <f t="shared" si="154"/>
        <v>0</v>
      </c>
      <c r="R766" s="93">
        <f t="shared" si="155"/>
        <v>8</v>
      </c>
      <c r="S766" s="93">
        <f t="shared" si="156"/>
        <v>0</v>
      </c>
      <c r="T766" s="93">
        <f t="shared" si="157"/>
        <v>8</v>
      </c>
      <c r="U766" s="253">
        <f t="shared" si="158"/>
        <v>22</v>
      </c>
      <c r="V766" s="93">
        <f t="shared" si="159"/>
        <v>0</v>
      </c>
    </row>
    <row r="767" spans="1:22" ht="18" customHeight="1" x14ac:dyDescent="0.2">
      <c r="A767" s="110" t="s">
        <v>1356</v>
      </c>
      <c r="B767" s="111"/>
      <c r="C767" s="90" t="s">
        <v>1357</v>
      </c>
      <c r="D767" s="91">
        <v>41731</v>
      </c>
      <c r="E767" s="92"/>
      <c r="F767" s="93"/>
      <c r="G767" s="93"/>
      <c r="H767" s="93">
        <v>6347.26</v>
      </c>
      <c r="I767" s="93">
        <v>274.26</v>
      </c>
      <c r="J767" s="93"/>
      <c r="K767" s="93">
        <f t="shared" si="150"/>
        <v>0</v>
      </c>
      <c r="L767" s="93">
        <f t="shared" si="151"/>
        <v>0</v>
      </c>
      <c r="M767" s="94">
        <v>50</v>
      </c>
      <c r="N767" s="95" t="s">
        <v>289</v>
      </c>
      <c r="O767" s="93">
        <f t="shared" si="152"/>
        <v>0</v>
      </c>
      <c r="P767" s="93">
        <f t="shared" si="153"/>
        <v>0</v>
      </c>
      <c r="Q767" s="93">
        <f t="shared" si="154"/>
        <v>0</v>
      </c>
      <c r="R767" s="93">
        <f t="shared" si="155"/>
        <v>79</v>
      </c>
      <c r="S767" s="93">
        <f t="shared" si="156"/>
        <v>0</v>
      </c>
      <c r="T767" s="93">
        <f t="shared" si="157"/>
        <v>79</v>
      </c>
      <c r="U767" s="253">
        <f t="shared" si="158"/>
        <v>195.26</v>
      </c>
      <c r="V767" s="93">
        <f t="shared" si="159"/>
        <v>0</v>
      </c>
    </row>
    <row r="768" spans="1:22" ht="18" customHeight="1" x14ac:dyDescent="0.2">
      <c r="A768" s="110" t="s">
        <v>1358</v>
      </c>
      <c r="B768" s="111"/>
      <c r="C768" s="201" t="s">
        <v>1359</v>
      </c>
      <c r="D768" s="91">
        <v>41742</v>
      </c>
      <c r="E768" s="92"/>
      <c r="F768" s="93"/>
      <c r="G768" s="93"/>
      <c r="H768" s="93">
        <v>2100</v>
      </c>
      <c r="I768" s="93">
        <v>92</v>
      </c>
      <c r="J768" s="93"/>
      <c r="K768" s="93">
        <f t="shared" si="150"/>
        <v>0</v>
      </c>
      <c r="L768" s="93">
        <f t="shared" si="151"/>
        <v>0</v>
      </c>
      <c r="M768" s="94">
        <v>50</v>
      </c>
      <c r="N768" s="95" t="s">
        <v>289</v>
      </c>
      <c r="O768" s="93">
        <f t="shared" si="152"/>
        <v>0</v>
      </c>
      <c r="P768" s="93">
        <f t="shared" si="153"/>
        <v>0</v>
      </c>
      <c r="Q768" s="93">
        <f t="shared" si="154"/>
        <v>0</v>
      </c>
      <c r="R768" s="93">
        <f t="shared" si="155"/>
        <v>26</v>
      </c>
      <c r="S768" s="93">
        <f t="shared" si="156"/>
        <v>0</v>
      </c>
      <c r="T768" s="93">
        <f t="shared" si="157"/>
        <v>26</v>
      </c>
      <c r="U768" s="253">
        <f t="shared" si="158"/>
        <v>66</v>
      </c>
      <c r="V768" s="93">
        <f t="shared" si="159"/>
        <v>0</v>
      </c>
    </row>
    <row r="769" spans="1:22" ht="18" customHeight="1" x14ac:dyDescent="0.2">
      <c r="A769" s="110" t="s">
        <v>1360</v>
      </c>
      <c r="B769" s="111"/>
      <c r="C769" s="201" t="s">
        <v>1361</v>
      </c>
      <c r="D769" s="91">
        <v>41742</v>
      </c>
      <c r="E769" s="92"/>
      <c r="F769" s="93"/>
      <c r="G769" s="93"/>
      <c r="H769" s="93">
        <v>2640</v>
      </c>
      <c r="I769" s="93">
        <v>116</v>
      </c>
      <c r="J769" s="93"/>
      <c r="K769" s="93">
        <f t="shared" si="150"/>
        <v>0</v>
      </c>
      <c r="L769" s="93">
        <f t="shared" si="151"/>
        <v>0</v>
      </c>
      <c r="M769" s="94">
        <v>50</v>
      </c>
      <c r="N769" s="95" t="s">
        <v>289</v>
      </c>
      <c r="O769" s="93">
        <f t="shared" si="152"/>
        <v>0</v>
      </c>
      <c r="P769" s="93">
        <f t="shared" si="153"/>
        <v>0</v>
      </c>
      <c r="Q769" s="93">
        <f t="shared" si="154"/>
        <v>0</v>
      </c>
      <c r="R769" s="93">
        <f t="shared" si="155"/>
        <v>33</v>
      </c>
      <c r="S769" s="93">
        <f t="shared" si="156"/>
        <v>0</v>
      </c>
      <c r="T769" s="93">
        <f t="shared" si="157"/>
        <v>33</v>
      </c>
      <c r="U769" s="253">
        <f t="shared" si="158"/>
        <v>83</v>
      </c>
      <c r="V769" s="93">
        <f t="shared" si="159"/>
        <v>0</v>
      </c>
    </row>
    <row r="770" spans="1:22" ht="18" customHeight="1" x14ac:dyDescent="0.2">
      <c r="A770" s="110" t="s">
        <v>1362</v>
      </c>
      <c r="B770" s="111"/>
      <c r="C770" s="201" t="s">
        <v>1309</v>
      </c>
      <c r="D770" s="91">
        <v>41744</v>
      </c>
      <c r="E770" s="92"/>
      <c r="F770" s="93"/>
      <c r="G770" s="93"/>
      <c r="H770" s="93">
        <v>8142</v>
      </c>
      <c r="I770" s="93">
        <v>360</v>
      </c>
      <c r="J770" s="93"/>
      <c r="K770" s="93">
        <f t="shared" si="150"/>
        <v>0</v>
      </c>
      <c r="L770" s="93">
        <f t="shared" si="151"/>
        <v>0</v>
      </c>
      <c r="M770" s="94">
        <v>50</v>
      </c>
      <c r="N770" s="95" t="s">
        <v>289</v>
      </c>
      <c r="O770" s="93">
        <f t="shared" si="152"/>
        <v>0</v>
      </c>
      <c r="P770" s="93">
        <f t="shared" si="153"/>
        <v>0</v>
      </c>
      <c r="Q770" s="93">
        <f t="shared" si="154"/>
        <v>0</v>
      </c>
      <c r="R770" s="93">
        <f t="shared" si="155"/>
        <v>105</v>
      </c>
      <c r="S770" s="93">
        <f t="shared" si="156"/>
        <v>0</v>
      </c>
      <c r="T770" s="93">
        <f t="shared" si="157"/>
        <v>105</v>
      </c>
      <c r="U770" s="253">
        <f t="shared" si="158"/>
        <v>255</v>
      </c>
      <c r="V770" s="93">
        <f t="shared" si="159"/>
        <v>0</v>
      </c>
    </row>
    <row r="771" spans="1:22" ht="18" customHeight="1" x14ac:dyDescent="0.2">
      <c r="A771" s="110" t="s">
        <v>1363</v>
      </c>
      <c r="B771" s="111"/>
      <c r="C771" s="201" t="s">
        <v>1364</v>
      </c>
      <c r="D771" s="91">
        <v>41820</v>
      </c>
      <c r="E771" s="92"/>
      <c r="F771" s="93"/>
      <c r="G771" s="93"/>
      <c r="H771" s="93">
        <v>10635.17</v>
      </c>
      <c r="I771" s="93">
        <v>524.16999999999996</v>
      </c>
      <c r="J771" s="93"/>
      <c r="K771" s="93">
        <f t="shared" si="150"/>
        <v>0</v>
      </c>
      <c r="L771" s="93">
        <f t="shared" si="151"/>
        <v>0</v>
      </c>
      <c r="M771" s="94">
        <v>50</v>
      </c>
      <c r="N771" s="95" t="s">
        <v>289</v>
      </c>
      <c r="O771" s="93">
        <f t="shared" si="152"/>
        <v>0</v>
      </c>
      <c r="P771" s="93">
        <f t="shared" si="153"/>
        <v>0</v>
      </c>
      <c r="Q771" s="93">
        <f t="shared" si="154"/>
        <v>0</v>
      </c>
      <c r="R771" s="93">
        <f t="shared" si="155"/>
        <v>152</v>
      </c>
      <c r="S771" s="93">
        <f t="shared" si="156"/>
        <v>0</v>
      </c>
      <c r="T771" s="93">
        <f t="shared" si="157"/>
        <v>152</v>
      </c>
      <c r="U771" s="253">
        <f t="shared" si="158"/>
        <v>372.16999999999996</v>
      </c>
      <c r="V771" s="93">
        <f t="shared" si="159"/>
        <v>0</v>
      </c>
    </row>
    <row r="772" spans="1:22" ht="18" customHeight="1" x14ac:dyDescent="0.2">
      <c r="A772" s="110" t="s">
        <v>1365</v>
      </c>
      <c r="B772" s="111"/>
      <c r="C772" s="201" t="s">
        <v>1366</v>
      </c>
      <c r="D772" s="91">
        <v>41731</v>
      </c>
      <c r="E772" s="92"/>
      <c r="F772" s="93"/>
      <c r="G772" s="93"/>
      <c r="H772" s="93">
        <v>7526.52</v>
      </c>
      <c r="I772" s="93">
        <v>326.52</v>
      </c>
      <c r="J772" s="93"/>
      <c r="K772" s="93">
        <f t="shared" si="150"/>
        <v>0</v>
      </c>
      <c r="L772" s="93">
        <f t="shared" si="151"/>
        <v>0</v>
      </c>
      <c r="M772" s="94">
        <v>50</v>
      </c>
      <c r="N772" s="95" t="s">
        <v>289</v>
      </c>
      <c r="O772" s="93">
        <f t="shared" si="152"/>
        <v>0</v>
      </c>
      <c r="P772" s="93">
        <f t="shared" si="153"/>
        <v>0</v>
      </c>
      <c r="Q772" s="93">
        <f t="shared" si="154"/>
        <v>0</v>
      </c>
      <c r="R772" s="93">
        <f t="shared" si="155"/>
        <v>95</v>
      </c>
      <c r="S772" s="93">
        <f t="shared" si="156"/>
        <v>0</v>
      </c>
      <c r="T772" s="93">
        <f t="shared" si="157"/>
        <v>95</v>
      </c>
      <c r="U772" s="253">
        <f t="shared" si="158"/>
        <v>231.51999999999998</v>
      </c>
      <c r="V772" s="93">
        <f t="shared" si="159"/>
        <v>0</v>
      </c>
    </row>
    <row r="773" spans="1:22" ht="18" customHeight="1" x14ac:dyDescent="0.2">
      <c r="A773" s="110" t="s">
        <v>1367</v>
      </c>
      <c r="B773" s="111"/>
      <c r="C773" s="201" t="s">
        <v>1368</v>
      </c>
      <c r="D773" s="91">
        <v>41688</v>
      </c>
      <c r="E773" s="92"/>
      <c r="F773" s="93"/>
      <c r="G773" s="93"/>
      <c r="H773" s="93">
        <v>2727.5</v>
      </c>
      <c r="I773" s="93">
        <v>110.5</v>
      </c>
      <c r="J773" s="93"/>
      <c r="K773" s="93">
        <f t="shared" si="150"/>
        <v>0</v>
      </c>
      <c r="L773" s="93">
        <f t="shared" si="151"/>
        <v>0</v>
      </c>
      <c r="M773" s="94">
        <v>50</v>
      </c>
      <c r="N773" s="95" t="s">
        <v>289</v>
      </c>
      <c r="O773" s="93">
        <f t="shared" si="152"/>
        <v>0</v>
      </c>
      <c r="P773" s="93">
        <f t="shared" si="153"/>
        <v>0</v>
      </c>
      <c r="Q773" s="93">
        <f t="shared" si="154"/>
        <v>0</v>
      </c>
      <c r="R773" s="93">
        <f t="shared" si="155"/>
        <v>32</v>
      </c>
      <c r="S773" s="93">
        <f t="shared" si="156"/>
        <v>0</v>
      </c>
      <c r="T773" s="93">
        <f t="shared" si="157"/>
        <v>32</v>
      </c>
      <c r="U773" s="253">
        <f t="shared" si="158"/>
        <v>78.5</v>
      </c>
      <c r="V773" s="93">
        <f t="shared" si="159"/>
        <v>0</v>
      </c>
    </row>
    <row r="774" spans="1:22" ht="18" customHeight="1" x14ac:dyDescent="0.2">
      <c r="A774" s="110" t="s">
        <v>1369</v>
      </c>
      <c r="B774" s="111"/>
      <c r="C774" s="201" t="s">
        <v>1370</v>
      </c>
      <c r="D774" s="91">
        <v>41942</v>
      </c>
      <c r="E774" s="92"/>
      <c r="F774" s="93"/>
      <c r="G774" s="93"/>
      <c r="H774" s="93">
        <v>5250</v>
      </c>
      <c r="I774" s="93">
        <v>345</v>
      </c>
      <c r="J774" s="93"/>
      <c r="K774" s="93">
        <f t="shared" si="150"/>
        <v>0</v>
      </c>
      <c r="L774" s="93">
        <f t="shared" si="151"/>
        <v>0</v>
      </c>
      <c r="M774" s="94">
        <v>50</v>
      </c>
      <c r="N774" s="95" t="s">
        <v>289</v>
      </c>
      <c r="O774" s="93">
        <f t="shared" si="152"/>
        <v>0</v>
      </c>
      <c r="P774" s="93">
        <f t="shared" si="153"/>
        <v>0</v>
      </c>
      <c r="Q774" s="93">
        <f t="shared" si="154"/>
        <v>0</v>
      </c>
      <c r="R774" s="93">
        <f t="shared" si="155"/>
        <v>100</v>
      </c>
      <c r="S774" s="93">
        <f t="shared" si="156"/>
        <v>0</v>
      </c>
      <c r="T774" s="93">
        <f t="shared" si="157"/>
        <v>100</v>
      </c>
      <c r="U774" s="253">
        <f t="shared" si="158"/>
        <v>245</v>
      </c>
      <c r="V774" s="93">
        <f t="shared" si="159"/>
        <v>0</v>
      </c>
    </row>
    <row r="775" spans="1:22" ht="18" customHeight="1" x14ac:dyDescent="0.2">
      <c r="A775" s="110" t="s">
        <v>1371</v>
      </c>
      <c r="B775" s="111"/>
      <c r="C775" s="201" t="s">
        <v>1372</v>
      </c>
      <c r="D775" s="91">
        <v>41961</v>
      </c>
      <c r="E775" s="92"/>
      <c r="F775" s="93"/>
      <c r="G775" s="93"/>
      <c r="H775" s="93">
        <v>3600</v>
      </c>
      <c r="I775" s="93">
        <v>246</v>
      </c>
      <c r="J775" s="93"/>
      <c r="K775" s="93">
        <f t="shared" si="150"/>
        <v>0</v>
      </c>
      <c r="L775" s="93">
        <f t="shared" si="151"/>
        <v>0</v>
      </c>
      <c r="M775" s="94">
        <v>50</v>
      </c>
      <c r="N775" s="95" t="s">
        <v>289</v>
      </c>
      <c r="O775" s="93">
        <f t="shared" si="152"/>
        <v>0</v>
      </c>
      <c r="P775" s="93">
        <f t="shared" si="153"/>
        <v>0</v>
      </c>
      <c r="Q775" s="93">
        <f t="shared" si="154"/>
        <v>0</v>
      </c>
      <c r="R775" s="93">
        <f t="shared" si="155"/>
        <v>71</v>
      </c>
      <c r="S775" s="93">
        <f t="shared" si="156"/>
        <v>0</v>
      </c>
      <c r="T775" s="93">
        <f t="shared" si="157"/>
        <v>71</v>
      </c>
      <c r="U775" s="253">
        <f t="shared" si="158"/>
        <v>175</v>
      </c>
      <c r="V775" s="93">
        <f t="shared" si="159"/>
        <v>0</v>
      </c>
    </row>
    <row r="776" spans="1:22" ht="18" customHeight="1" x14ac:dyDescent="0.2">
      <c r="A776" s="110" t="s">
        <v>1373</v>
      </c>
      <c r="B776" s="111"/>
      <c r="C776" s="201" t="s">
        <v>1374</v>
      </c>
      <c r="D776" s="91">
        <v>41961</v>
      </c>
      <c r="E776" s="92"/>
      <c r="F776" s="93"/>
      <c r="G776" s="93"/>
      <c r="H776" s="93">
        <v>3200</v>
      </c>
      <c r="I776" s="93">
        <v>218</v>
      </c>
      <c r="J776" s="93"/>
      <c r="K776" s="93">
        <f t="shared" si="150"/>
        <v>0</v>
      </c>
      <c r="L776" s="93">
        <f t="shared" si="151"/>
        <v>0</v>
      </c>
      <c r="M776" s="94">
        <v>50</v>
      </c>
      <c r="N776" s="95" t="s">
        <v>289</v>
      </c>
      <c r="O776" s="93">
        <f t="shared" si="152"/>
        <v>0</v>
      </c>
      <c r="P776" s="93">
        <f t="shared" si="153"/>
        <v>0</v>
      </c>
      <c r="Q776" s="93">
        <f t="shared" si="154"/>
        <v>0</v>
      </c>
      <c r="R776" s="93">
        <f t="shared" si="155"/>
        <v>63</v>
      </c>
      <c r="S776" s="93">
        <f t="shared" si="156"/>
        <v>0</v>
      </c>
      <c r="T776" s="93">
        <f t="shared" si="157"/>
        <v>63</v>
      </c>
      <c r="U776" s="253">
        <f t="shared" si="158"/>
        <v>155</v>
      </c>
      <c r="V776" s="93">
        <f t="shared" si="159"/>
        <v>0</v>
      </c>
    </row>
    <row r="777" spans="1:22" ht="18" customHeight="1" x14ac:dyDescent="0.2">
      <c r="A777" s="110" t="s">
        <v>1375</v>
      </c>
      <c r="B777" s="111"/>
      <c r="C777" s="201" t="s">
        <v>1376</v>
      </c>
      <c r="D777" s="91">
        <v>41961</v>
      </c>
      <c r="E777" s="92"/>
      <c r="F777" s="93"/>
      <c r="G777" s="93"/>
      <c r="H777" s="93">
        <v>3600</v>
      </c>
      <c r="I777" s="93">
        <v>246</v>
      </c>
      <c r="J777" s="93"/>
      <c r="K777" s="93">
        <f t="shared" si="150"/>
        <v>0</v>
      </c>
      <c r="L777" s="93">
        <f t="shared" si="151"/>
        <v>0</v>
      </c>
      <c r="M777" s="94">
        <v>50</v>
      </c>
      <c r="N777" s="95" t="s">
        <v>289</v>
      </c>
      <c r="O777" s="93">
        <f t="shared" si="152"/>
        <v>0</v>
      </c>
      <c r="P777" s="93">
        <f t="shared" si="153"/>
        <v>0</v>
      </c>
      <c r="Q777" s="93">
        <f t="shared" si="154"/>
        <v>0</v>
      </c>
      <c r="R777" s="93">
        <f t="shared" si="155"/>
        <v>71</v>
      </c>
      <c r="S777" s="93">
        <f t="shared" si="156"/>
        <v>0</v>
      </c>
      <c r="T777" s="93">
        <f t="shared" si="157"/>
        <v>71</v>
      </c>
      <c r="U777" s="253">
        <f t="shared" si="158"/>
        <v>175</v>
      </c>
      <c r="V777" s="93">
        <f t="shared" si="159"/>
        <v>0</v>
      </c>
    </row>
    <row r="778" spans="1:22" ht="18" customHeight="1" x14ac:dyDescent="0.2">
      <c r="A778" s="110" t="s">
        <v>1377</v>
      </c>
      <c r="B778" s="111"/>
      <c r="C778" s="201" t="s">
        <v>1378</v>
      </c>
      <c r="D778" s="91">
        <v>41971</v>
      </c>
      <c r="E778" s="92"/>
      <c r="F778" s="93"/>
      <c r="G778" s="93"/>
      <c r="H778" s="93">
        <v>2728</v>
      </c>
      <c r="I778" s="93">
        <v>190</v>
      </c>
      <c r="J778" s="93"/>
      <c r="K778" s="93">
        <f t="shared" si="150"/>
        <v>0</v>
      </c>
      <c r="L778" s="93">
        <f t="shared" si="151"/>
        <v>0</v>
      </c>
      <c r="M778" s="94">
        <v>50</v>
      </c>
      <c r="N778" s="95" t="s">
        <v>289</v>
      </c>
      <c r="O778" s="93">
        <f t="shared" si="152"/>
        <v>0</v>
      </c>
      <c r="P778" s="93">
        <f t="shared" si="153"/>
        <v>0</v>
      </c>
      <c r="Q778" s="93">
        <f t="shared" si="154"/>
        <v>0</v>
      </c>
      <c r="R778" s="93">
        <f t="shared" si="155"/>
        <v>55</v>
      </c>
      <c r="S778" s="93">
        <f t="shared" si="156"/>
        <v>0</v>
      </c>
      <c r="T778" s="93">
        <f t="shared" si="157"/>
        <v>55</v>
      </c>
      <c r="U778" s="253">
        <f t="shared" si="158"/>
        <v>135</v>
      </c>
      <c r="V778" s="93">
        <f t="shared" si="159"/>
        <v>0</v>
      </c>
    </row>
    <row r="779" spans="1:22" ht="18" customHeight="1" x14ac:dyDescent="0.2">
      <c r="A779" s="110" t="s">
        <v>1379</v>
      </c>
      <c r="B779" s="111"/>
      <c r="C779" s="201" t="s">
        <v>1380</v>
      </c>
      <c r="D779" s="91">
        <v>42072</v>
      </c>
      <c r="E779" s="92"/>
      <c r="F779" s="93"/>
      <c r="G779" s="93"/>
      <c r="H779" s="93">
        <v>5320</v>
      </c>
      <c r="I779" s="93">
        <v>443</v>
      </c>
      <c r="J779" s="93"/>
      <c r="K779" s="93">
        <f t="shared" si="150"/>
        <v>0</v>
      </c>
      <c r="L779" s="93">
        <f t="shared" si="151"/>
        <v>0</v>
      </c>
      <c r="M779" s="94">
        <v>50</v>
      </c>
      <c r="N779" s="95" t="s">
        <v>289</v>
      </c>
      <c r="O779" s="93">
        <f t="shared" si="152"/>
        <v>0</v>
      </c>
      <c r="P779" s="93">
        <f t="shared" si="153"/>
        <v>0</v>
      </c>
      <c r="Q779" s="93">
        <f t="shared" si="154"/>
        <v>0</v>
      </c>
      <c r="R779" s="93">
        <f t="shared" si="155"/>
        <v>129</v>
      </c>
      <c r="S779" s="93">
        <f t="shared" si="156"/>
        <v>0</v>
      </c>
      <c r="T779" s="93">
        <f t="shared" si="157"/>
        <v>129</v>
      </c>
      <c r="U779" s="253">
        <f t="shared" si="158"/>
        <v>314</v>
      </c>
      <c r="V779" s="93">
        <f t="shared" si="159"/>
        <v>0</v>
      </c>
    </row>
    <row r="780" spans="1:22" ht="18" customHeight="1" x14ac:dyDescent="0.2">
      <c r="A780" s="110" t="s">
        <v>1381</v>
      </c>
      <c r="B780" s="111"/>
      <c r="C780" s="201" t="s">
        <v>1382</v>
      </c>
      <c r="D780" s="91">
        <v>42075</v>
      </c>
      <c r="E780" s="92"/>
      <c r="F780" s="93"/>
      <c r="G780" s="93"/>
      <c r="H780" s="93">
        <v>12312</v>
      </c>
      <c r="I780" s="93">
        <v>1031</v>
      </c>
      <c r="J780" s="93"/>
      <c r="K780" s="93">
        <f t="shared" ref="K780:K837" si="160">INT(IF($E780&gt;0,IF(+F780-I780+Q780&lt;0,0,+F780-I780+Q780),0))</f>
        <v>0</v>
      </c>
      <c r="L780" s="93">
        <f t="shared" ref="L780:L837" si="161">INT(IF($E780&gt;0,IF(K780=0,-F780+I780-Q780,0),0))</f>
        <v>0</v>
      </c>
      <c r="M780" s="94">
        <v>50</v>
      </c>
      <c r="N780" s="95" t="s">
        <v>289</v>
      </c>
      <c r="O780" s="93">
        <f t="shared" ref="O780:O837" si="162">IF(E780&gt;0,INT(IF($N780="D",IF($D780&lt;$H$3,$I780*($M780/100)*((E780-$H$3)/365),$J780*($M780/100)*($J$3-$D780)/365),0)),0)</f>
        <v>0</v>
      </c>
      <c r="P780" s="93">
        <f t="shared" ref="P780:P837" si="163">IF(E780&gt;0,INT(IF($N780="P",IF($D780&lt;$H$3,$H780*($M780/100)*(E780-$H$3)/365,$J780*($M780/100)*($J$3-$D780)/365),0)),0)</f>
        <v>0</v>
      </c>
      <c r="Q780" s="93">
        <f t="shared" ref="Q780:Q837" si="164">+O780+P780</f>
        <v>0</v>
      </c>
      <c r="R780" s="93">
        <f t="shared" ref="R780:R837" si="165">INT(IF($E780&gt;0,0,(IF($N780="D",IF($D780&lt;$H$3,$I780*($M780/100)*$U$3/12,$J780*($M780/100)*($J$3-$D780)/365),0))))</f>
        <v>300</v>
      </c>
      <c r="S780" s="93">
        <f t="shared" ref="S780:S837" si="166">INT(IF($E780&gt;0,0,(IF($N780="P",IF($D780&lt;$H$3,$H780*($M780/100)*$U$3/12,$J780*($M780/100)*($J$3-$D780)/365),0))))</f>
        <v>0</v>
      </c>
      <c r="T780" s="93">
        <f t="shared" ref="T780:T837" si="167">+R780+S780+Q780</f>
        <v>300</v>
      </c>
      <c r="U780" s="253">
        <f t="shared" si="158"/>
        <v>731</v>
      </c>
      <c r="V780" s="93">
        <f t="shared" si="159"/>
        <v>0</v>
      </c>
    </row>
    <row r="781" spans="1:22" ht="18" customHeight="1" x14ac:dyDescent="0.2">
      <c r="A781" s="110" t="s">
        <v>1383</v>
      </c>
      <c r="B781" s="111"/>
      <c r="C781" s="201" t="s">
        <v>1384</v>
      </c>
      <c r="D781" s="91">
        <v>42095</v>
      </c>
      <c r="E781" s="92"/>
      <c r="F781" s="93"/>
      <c r="G781" s="93"/>
      <c r="H781" s="93">
        <v>30322.720000000001</v>
      </c>
      <c r="I781" s="93">
        <v>2622.7200000000003</v>
      </c>
      <c r="J781" s="93"/>
      <c r="K781" s="93">
        <f t="shared" si="160"/>
        <v>0</v>
      </c>
      <c r="L781" s="93">
        <f t="shared" si="161"/>
        <v>0</v>
      </c>
      <c r="M781" s="94">
        <v>50</v>
      </c>
      <c r="N781" s="95" t="s">
        <v>289</v>
      </c>
      <c r="O781" s="93">
        <f t="shared" si="162"/>
        <v>0</v>
      </c>
      <c r="P781" s="93">
        <f t="shared" si="163"/>
        <v>0</v>
      </c>
      <c r="Q781" s="93">
        <f t="shared" si="164"/>
        <v>0</v>
      </c>
      <c r="R781" s="93">
        <f t="shared" si="165"/>
        <v>764</v>
      </c>
      <c r="S781" s="93">
        <f t="shared" si="166"/>
        <v>0</v>
      </c>
      <c r="T781" s="93">
        <f t="shared" si="167"/>
        <v>764</v>
      </c>
      <c r="U781" s="253">
        <f t="shared" ref="U781:U844" si="168">+I781+J781-T781-F781+K781-L781</f>
        <v>1858.7200000000003</v>
      </c>
      <c r="V781" s="93">
        <f t="shared" ref="V781:V844" si="169">IF(E781&gt;0,+H781+J781,0)</f>
        <v>0</v>
      </c>
    </row>
    <row r="782" spans="1:22" ht="18" customHeight="1" x14ac:dyDescent="0.2">
      <c r="A782" s="110" t="s">
        <v>1385</v>
      </c>
      <c r="B782" s="111"/>
      <c r="C782" s="201" t="s">
        <v>1386</v>
      </c>
      <c r="D782" s="91">
        <v>42095</v>
      </c>
      <c r="E782" s="92"/>
      <c r="F782" s="93"/>
      <c r="G782" s="93"/>
      <c r="H782" s="93">
        <v>5836.36</v>
      </c>
      <c r="I782" s="93">
        <v>504.36</v>
      </c>
      <c r="J782" s="93"/>
      <c r="K782" s="93">
        <f t="shared" si="160"/>
        <v>0</v>
      </c>
      <c r="L782" s="93">
        <f t="shared" si="161"/>
        <v>0</v>
      </c>
      <c r="M782" s="94">
        <v>50</v>
      </c>
      <c r="N782" s="95" t="s">
        <v>289</v>
      </c>
      <c r="O782" s="93">
        <f t="shared" si="162"/>
        <v>0</v>
      </c>
      <c r="P782" s="93">
        <f t="shared" si="163"/>
        <v>0</v>
      </c>
      <c r="Q782" s="93">
        <f t="shared" si="164"/>
        <v>0</v>
      </c>
      <c r="R782" s="93">
        <f t="shared" si="165"/>
        <v>147</v>
      </c>
      <c r="S782" s="93">
        <f t="shared" si="166"/>
        <v>0</v>
      </c>
      <c r="T782" s="93">
        <f t="shared" si="167"/>
        <v>147</v>
      </c>
      <c r="U782" s="253">
        <f t="shared" si="168"/>
        <v>357.36</v>
      </c>
      <c r="V782" s="93">
        <f t="shared" si="169"/>
        <v>0</v>
      </c>
    </row>
    <row r="783" spans="1:22" ht="18" customHeight="1" x14ac:dyDescent="0.2">
      <c r="A783" s="110" t="s">
        <v>1387</v>
      </c>
      <c r="B783" s="111"/>
      <c r="C783" s="201" t="s">
        <v>1388</v>
      </c>
      <c r="D783" s="91">
        <v>42095</v>
      </c>
      <c r="E783" s="92"/>
      <c r="F783" s="93"/>
      <c r="G783" s="93"/>
      <c r="H783" s="93">
        <v>10239</v>
      </c>
      <c r="I783" s="93">
        <v>885</v>
      </c>
      <c r="J783" s="93"/>
      <c r="K783" s="93">
        <f t="shared" si="160"/>
        <v>0</v>
      </c>
      <c r="L783" s="93">
        <f t="shared" si="161"/>
        <v>0</v>
      </c>
      <c r="M783" s="94">
        <v>50</v>
      </c>
      <c r="N783" s="95" t="s">
        <v>289</v>
      </c>
      <c r="O783" s="93">
        <f t="shared" si="162"/>
        <v>0</v>
      </c>
      <c r="P783" s="93">
        <f t="shared" si="163"/>
        <v>0</v>
      </c>
      <c r="Q783" s="93">
        <f t="shared" si="164"/>
        <v>0</v>
      </c>
      <c r="R783" s="93">
        <f t="shared" si="165"/>
        <v>258</v>
      </c>
      <c r="S783" s="93">
        <f t="shared" si="166"/>
        <v>0</v>
      </c>
      <c r="T783" s="93">
        <f t="shared" si="167"/>
        <v>258</v>
      </c>
      <c r="U783" s="253">
        <f t="shared" si="168"/>
        <v>627</v>
      </c>
      <c r="V783" s="93">
        <f t="shared" si="169"/>
        <v>0</v>
      </c>
    </row>
    <row r="784" spans="1:22" ht="18" customHeight="1" x14ac:dyDescent="0.2">
      <c r="A784" s="110" t="s">
        <v>1389</v>
      </c>
      <c r="B784" s="111"/>
      <c r="C784" s="201" t="s">
        <v>1390</v>
      </c>
      <c r="D784" s="91">
        <v>42095</v>
      </c>
      <c r="E784" s="92"/>
      <c r="F784" s="93"/>
      <c r="G784" s="93"/>
      <c r="H784" s="93">
        <v>19292</v>
      </c>
      <c r="I784" s="93">
        <v>1668</v>
      </c>
      <c r="J784" s="93"/>
      <c r="K784" s="93">
        <f t="shared" si="160"/>
        <v>0</v>
      </c>
      <c r="L784" s="93">
        <f t="shared" si="161"/>
        <v>0</v>
      </c>
      <c r="M784" s="94">
        <v>50</v>
      </c>
      <c r="N784" s="95" t="s">
        <v>289</v>
      </c>
      <c r="O784" s="93">
        <f t="shared" si="162"/>
        <v>0</v>
      </c>
      <c r="P784" s="93">
        <f t="shared" si="163"/>
        <v>0</v>
      </c>
      <c r="Q784" s="93">
        <f t="shared" si="164"/>
        <v>0</v>
      </c>
      <c r="R784" s="93">
        <f t="shared" si="165"/>
        <v>486</v>
      </c>
      <c r="S784" s="93">
        <f t="shared" si="166"/>
        <v>0</v>
      </c>
      <c r="T784" s="93">
        <f t="shared" si="167"/>
        <v>486</v>
      </c>
      <c r="U784" s="253">
        <f t="shared" si="168"/>
        <v>1182</v>
      </c>
      <c r="V784" s="93">
        <f t="shared" si="169"/>
        <v>0</v>
      </c>
    </row>
    <row r="785" spans="1:22" ht="18" customHeight="1" x14ac:dyDescent="0.2">
      <c r="A785" s="110" t="s">
        <v>1391</v>
      </c>
      <c r="B785" s="111"/>
      <c r="C785" s="201" t="s">
        <v>1392</v>
      </c>
      <c r="D785" s="91">
        <v>42095</v>
      </c>
      <c r="E785" s="92"/>
      <c r="F785" s="93"/>
      <c r="G785" s="93"/>
      <c r="H785" s="93">
        <v>8140</v>
      </c>
      <c r="I785" s="93">
        <v>703</v>
      </c>
      <c r="J785" s="93"/>
      <c r="K785" s="93">
        <f t="shared" si="160"/>
        <v>0</v>
      </c>
      <c r="L785" s="93">
        <f t="shared" si="161"/>
        <v>0</v>
      </c>
      <c r="M785" s="94">
        <v>50</v>
      </c>
      <c r="N785" s="95" t="s">
        <v>289</v>
      </c>
      <c r="O785" s="93">
        <f t="shared" si="162"/>
        <v>0</v>
      </c>
      <c r="P785" s="93">
        <f t="shared" si="163"/>
        <v>0</v>
      </c>
      <c r="Q785" s="93">
        <f t="shared" si="164"/>
        <v>0</v>
      </c>
      <c r="R785" s="93">
        <f t="shared" si="165"/>
        <v>205</v>
      </c>
      <c r="S785" s="93">
        <f t="shared" si="166"/>
        <v>0</v>
      </c>
      <c r="T785" s="93">
        <f t="shared" si="167"/>
        <v>205</v>
      </c>
      <c r="U785" s="253">
        <f t="shared" si="168"/>
        <v>498</v>
      </c>
      <c r="V785" s="93">
        <f t="shared" si="169"/>
        <v>0</v>
      </c>
    </row>
    <row r="786" spans="1:22" ht="18" customHeight="1" x14ac:dyDescent="0.2">
      <c r="A786" s="110" t="s">
        <v>1393</v>
      </c>
      <c r="B786" s="111"/>
      <c r="C786" s="201" t="s">
        <v>1394</v>
      </c>
      <c r="D786" s="91">
        <v>42095</v>
      </c>
      <c r="E786" s="92"/>
      <c r="F786" s="93"/>
      <c r="G786" s="93"/>
      <c r="H786" s="93">
        <v>6503.01</v>
      </c>
      <c r="I786" s="93">
        <v>562.01</v>
      </c>
      <c r="J786" s="93"/>
      <c r="K786" s="93">
        <f t="shared" si="160"/>
        <v>0</v>
      </c>
      <c r="L786" s="93">
        <f t="shared" si="161"/>
        <v>0</v>
      </c>
      <c r="M786" s="94">
        <v>50</v>
      </c>
      <c r="N786" s="95" t="s">
        <v>289</v>
      </c>
      <c r="O786" s="93">
        <f t="shared" si="162"/>
        <v>0</v>
      </c>
      <c r="P786" s="93">
        <f t="shared" si="163"/>
        <v>0</v>
      </c>
      <c r="Q786" s="93">
        <f t="shared" si="164"/>
        <v>0</v>
      </c>
      <c r="R786" s="93">
        <f t="shared" si="165"/>
        <v>163</v>
      </c>
      <c r="S786" s="93">
        <f t="shared" si="166"/>
        <v>0</v>
      </c>
      <c r="T786" s="93">
        <f t="shared" si="167"/>
        <v>163</v>
      </c>
      <c r="U786" s="253">
        <f t="shared" si="168"/>
        <v>399.01</v>
      </c>
      <c r="V786" s="93">
        <f t="shared" si="169"/>
        <v>0</v>
      </c>
    </row>
    <row r="787" spans="1:22" ht="18" customHeight="1" x14ac:dyDescent="0.2">
      <c r="A787" s="110" t="s">
        <v>1395</v>
      </c>
      <c r="B787" s="111"/>
      <c r="C787" s="201" t="s">
        <v>1396</v>
      </c>
      <c r="D787" s="91">
        <v>42095</v>
      </c>
      <c r="E787" s="92"/>
      <c r="F787" s="93"/>
      <c r="G787" s="93"/>
      <c r="H787" s="93">
        <v>5383.99</v>
      </c>
      <c r="I787" s="93">
        <v>465.99</v>
      </c>
      <c r="J787" s="93"/>
      <c r="K787" s="93">
        <f t="shared" si="160"/>
        <v>0</v>
      </c>
      <c r="L787" s="93">
        <f t="shared" si="161"/>
        <v>0</v>
      </c>
      <c r="M787" s="94">
        <v>50</v>
      </c>
      <c r="N787" s="95" t="s">
        <v>289</v>
      </c>
      <c r="O787" s="93">
        <f t="shared" si="162"/>
        <v>0</v>
      </c>
      <c r="P787" s="93">
        <f t="shared" si="163"/>
        <v>0</v>
      </c>
      <c r="Q787" s="93">
        <f t="shared" si="164"/>
        <v>0</v>
      </c>
      <c r="R787" s="93">
        <f t="shared" si="165"/>
        <v>135</v>
      </c>
      <c r="S787" s="93">
        <f t="shared" si="166"/>
        <v>0</v>
      </c>
      <c r="T787" s="93">
        <f t="shared" si="167"/>
        <v>135</v>
      </c>
      <c r="U787" s="253">
        <f t="shared" si="168"/>
        <v>330.99</v>
      </c>
      <c r="V787" s="93">
        <f t="shared" si="169"/>
        <v>0</v>
      </c>
    </row>
    <row r="788" spans="1:22" ht="18" customHeight="1" x14ac:dyDescent="0.2">
      <c r="A788" s="110" t="s">
        <v>1397</v>
      </c>
      <c r="B788" s="111"/>
      <c r="C788" s="201" t="s">
        <v>1398</v>
      </c>
      <c r="D788" s="91">
        <v>42095</v>
      </c>
      <c r="E788" s="92"/>
      <c r="F788" s="93"/>
      <c r="G788" s="93"/>
      <c r="H788" s="93">
        <v>16471.439999999999</v>
      </c>
      <c r="I788" s="93">
        <v>1424.44</v>
      </c>
      <c r="J788" s="93"/>
      <c r="K788" s="93">
        <f t="shared" si="160"/>
        <v>0</v>
      </c>
      <c r="L788" s="93">
        <f t="shared" si="161"/>
        <v>0</v>
      </c>
      <c r="M788" s="94">
        <v>50</v>
      </c>
      <c r="N788" s="95" t="s">
        <v>289</v>
      </c>
      <c r="O788" s="93">
        <f t="shared" si="162"/>
        <v>0</v>
      </c>
      <c r="P788" s="93">
        <f t="shared" si="163"/>
        <v>0</v>
      </c>
      <c r="Q788" s="93">
        <f t="shared" si="164"/>
        <v>0</v>
      </c>
      <c r="R788" s="93">
        <f t="shared" si="165"/>
        <v>415</v>
      </c>
      <c r="S788" s="93">
        <f t="shared" si="166"/>
        <v>0</v>
      </c>
      <c r="T788" s="93">
        <f t="shared" si="167"/>
        <v>415</v>
      </c>
      <c r="U788" s="253">
        <f t="shared" si="168"/>
        <v>1009.44</v>
      </c>
      <c r="V788" s="93">
        <f t="shared" si="169"/>
        <v>0</v>
      </c>
    </row>
    <row r="789" spans="1:22" ht="18" customHeight="1" x14ac:dyDescent="0.2">
      <c r="A789" s="110" t="s">
        <v>1399</v>
      </c>
      <c r="B789" s="111"/>
      <c r="C789" s="201" t="s">
        <v>1400</v>
      </c>
      <c r="D789" s="91">
        <v>42307</v>
      </c>
      <c r="E789" s="92"/>
      <c r="F789" s="93"/>
      <c r="G789" s="93"/>
      <c r="H789" s="93">
        <v>6000</v>
      </c>
      <c r="I789" s="93">
        <v>787</v>
      </c>
      <c r="J789" s="93"/>
      <c r="K789" s="93">
        <f t="shared" si="160"/>
        <v>0</v>
      </c>
      <c r="L789" s="93">
        <f t="shared" si="161"/>
        <v>0</v>
      </c>
      <c r="M789" s="94">
        <v>50</v>
      </c>
      <c r="N789" s="95" t="s">
        <v>289</v>
      </c>
      <c r="O789" s="93">
        <f t="shared" si="162"/>
        <v>0</v>
      </c>
      <c r="P789" s="93">
        <f t="shared" si="163"/>
        <v>0</v>
      </c>
      <c r="Q789" s="93">
        <f t="shared" si="164"/>
        <v>0</v>
      </c>
      <c r="R789" s="93">
        <f t="shared" si="165"/>
        <v>229</v>
      </c>
      <c r="S789" s="93">
        <f t="shared" si="166"/>
        <v>0</v>
      </c>
      <c r="T789" s="93">
        <f t="shared" si="167"/>
        <v>229</v>
      </c>
      <c r="U789" s="253">
        <f t="shared" si="168"/>
        <v>558</v>
      </c>
      <c r="V789" s="93">
        <f t="shared" si="169"/>
        <v>0</v>
      </c>
    </row>
    <row r="790" spans="1:22" ht="18" customHeight="1" x14ac:dyDescent="0.2">
      <c r="A790" s="110" t="s">
        <v>1401</v>
      </c>
      <c r="B790" s="111"/>
      <c r="C790" s="201" t="s">
        <v>1402</v>
      </c>
      <c r="D790" s="91">
        <v>42307</v>
      </c>
      <c r="E790" s="92"/>
      <c r="F790" s="93"/>
      <c r="G790" s="93"/>
      <c r="H790" s="93">
        <v>3300</v>
      </c>
      <c r="I790" s="93">
        <v>433</v>
      </c>
      <c r="J790" s="93"/>
      <c r="K790" s="93">
        <f t="shared" si="160"/>
        <v>0</v>
      </c>
      <c r="L790" s="93">
        <f t="shared" si="161"/>
        <v>0</v>
      </c>
      <c r="M790" s="94">
        <v>50</v>
      </c>
      <c r="N790" s="95" t="s">
        <v>289</v>
      </c>
      <c r="O790" s="93">
        <f t="shared" si="162"/>
        <v>0</v>
      </c>
      <c r="P790" s="93">
        <f t="shared" si="163"/>
        <v>0</v>
      </c>
      <c r="Q790" s="93">
        <f t="shared" si="164"/>
        <v>0</v>
      </c>
      <c r="R790" s="93">
        <f t="shared" si="165"/>
        <v>126</v>
      </c>
      <c r="S790" s="93">
        <f t="shared" si="166"/>
        <v>0</v>
      </c>
      <c r="T790" s="93">
        <f t="shared" si="167"/>
        <v>126</v>
      </c>
      <c r="U790" s="253">
        <f t="shared" si="168"/>
        <v>307</v>
      </c>
      <c r="V790" s="93">
        <f t="shared" si="169"/>
        <v>0</v>
      </c>
    </row>
    <row r="791" spans="1:22" ht="18" customHeight="1" x14ac:dyDescent="0.2">
      <c r="A791" s="110" t="s">
        <v>1403</v>
      </c>
      <c r="B791" s="111"/>
      <c r="C791" s="201" t="s">
        <v>1404</v>
      </c>
      <c r="D791" s="91">
        <v>42321</v>
      </c>
      <c r="E791" s="92"/>
      <c r="F791" s="93"/>
      <c r="G791" s="93"/>
      <c r="H791" s="93">
        <v>5700</v>
      </c>
      <c r="I791" s="93">
        <v>770</v>
      </c>
      <c r="J791" s="93"/>
      <c r="K791" s="93">
        <f t="shared" si="160"/>
        <v>0</v>
      </c>
      <c r="L791" s="93">
        <f t="shared" si="161"/>
        <v>0</v>
      </c>
      <c r="M791" s="94">
        <v>50</v>
      </c>
      <c r="N791" s="95" t="s">
        <v>289</v>
      </c>
      <c r="O791" s="93">
        <f t="shared" si="162"/>
        <v>0</v>
      </c>
      <c r="P791" s="93">
        <f t="shared" si="163"/>
        <v>0</v>
      </c>
      <c r="Q791" s="93">
        <f t="shared" si="164"/>
        <v>0</v>
      </c>
      <c r="R791" s="93">
        <f t="shared" si="165"/>
        <v>224</v>
      </c>
      <c r="S791" s="93">
        <f t="shared" si="166"/>
        <v>0</v>
      </c>
      <c r="T791" s="93">
        <f t="shared" si="167"/>
        <v>224</v>
      </c>
      <c r="U791" s="253">
        <f t="shared" si="168"/>
        <v>546</v>
      </c>
      <c r="V791" s="93">
        <f t="shared" si="169"/>
        <v>0</v>
      </c>
    </row>
    <row r="792" spans="1:22" ht="18" customHeight="1" x14ac:dyDescent="0.2">
      <c r="A792" s="110" t="s">
        <v>1405</v>
      </c>
      <c r="B792" s="111"/>
      <c r="C792" s="90" t="s">
        <v>1406</v>
      </c>
      <c r="D792" s="91">
        <v>42332</v>
      </c>
      <c r="E792" s="92"/>
      <c r="F792" s="93"/>
      <c r="G792" s="93"/>
      <c r="H792" s="93">
        <v>1145</v>
      </c>
      <c r="I792" s="93">
        <v>158</v>
      </c>
      <c r="J792" s="93"/>
      <c r="K792" s="93">
        <f t="shared" si="160"/>
        <v>0</v>
      </c>
      <c r="L792" s="93">
        <f t="shared" si="161"/>
        <v>0</v>
      </c>
      <c r="M792" s="94">
        <v>50</v>
      </c>
      <c r="N792" s="95" t="s">
        <v>289</v>
      </c>
      <c r="O792" s="93">
        <f t="shared" si="162"/>
        <v>0</v>
      </c>
      <c r="P792" s="93">
        <f t="shared" si="163"/>
        <v>0</v>
      </c>
      <c r="Q792" s="93">
        <f t="shared" si="164"/>
        <v>0</v>
      </c>
      <c r="R792" s="93">
        <f t="shared" si="165"/>
        <v>46</v>
      </c>
      <c r="S792" s="93">
        <f t="shared" si="166"/>
        <v>0</v>
      </c>
      <c r="T792" s="93">
        <f t="shared" si="167"/>
        <v>46</v>
      </c>
      <c r="U792" s="253">
        <f t="shared" si="168"/>
        <v>112</v>
      </c>
      <c r="V792" s="93">
        <f t="shared" si="169"/>
        <v>0</v>
      </c>
    </row>
    <row r="793" spans="1:22" ht="18" customHeight="1" x14ac:dyDescent="0.2">
      <c r="A793" s="110" t="s">
        <v>1407</v>
      </c>
      <c r="B793" s="111"/>
      <c r="C793" s="201" t="s">
        <v>1408</v>
      </c>
      <c r="D793" s="91">
        <v>42370</v>
      </c>
      <c r="E793" s="92"/>
      <c r="F793" s="93"/>
      <c r="G793" s="93"/>
      <c r="H793" s="93">
        <v>5830.83</v>
      </c>
      <c r="I793" s="93">
        <v>865.83</v>
      </c>
      <c r="J793" s="93"/>
      <c r="K793" s="93">
        <f t="shared" si="160"/>
        <v>0</v>
      </c>
      <c r="L793" s="93">
        <f t="shared" si="161"/>
        <v>0</v>
      </c>
      <c r="M793" s="94">
        <v>50</v>
      </c>
      <c r="N793" s="95" t="s">
        <v>289</v>
      </c>
      <c r="O793" s="93">
        <f t="shared" si="162"/>
        <v>0</v>
      </c>
      <c r="P793" s="93">
        <f t="shared" si="163"/>
        <v>0</v>
      </c>
      <c r="Q793" s="93">
        <f t="shared" si="164"/>
        <v>0</v>
      </c>
      <c r="R793" s="93">
        <f t="shared" si="165"/>
        <v>252</v>
      </c>
      <c r="S793" s="93">
        <f t="shared" si="166"/>
        <v>0</v>
      </c>
      <c r="T793" s="93">
        <f t="shared" si="167"/>
        <v>252</v>
      </c>
      <c r="U793" s="253">
        <f t="shared" si="168"/>
        <v>613.83000000000004</v>
      </c>
      <c r="V793" s="93">
        <f t="shared" si="169"/>
        <v>0</v>
      </c>
    </row>
    <row r="794" spans="1:22" ht="18" customHeight="1" x14ac:dyDescent="0.2">
      <c r="A794" s="110" t="s">
        <v>1409</v>
      </c>
      <c r="B794" s="111"/>
      <c r="C794" s="201" t="s">
        <v>1410</v>
      </c>
      <c r="D794" s="91">
        <v>42384</v>
      </c>
      <c r="E794" s="92"/>
      <c r="F794" s="93"/>
      <c r="G794" s="93"/>
      <c r="H794" s="93">
        <v>3158.7400000000002</v>
      </c>
      <c r="I794" s="93">
        <v>480.74</v>
      </c>
      <c r="J794" s="93"/>
      <c r="K794" s="93">
        <f t="shared" si="160"/>
        <v>0</v>
      </c>
      <c r="L794" s="93">
        <f t="shared" si="161"/>
        <v>0</v>
      </c>
      <c r="M794" s="94">
        <v>50</v>
      </c>
      <c r="N794" s="95" t="s">
        <v>289</v>
      </c>
      <c r="O794" s="93">
        <f t="shared" si="162"/>
        <v>0</v>
      </c>
      <c r="P794" s="93">
        <f t="shared" si="163"/>
        <v>0</v>
      </c>
      <c r="Q794" s="93">
        <f t="shared" si="164"/>
        <v>0</v>
      </c>
      <c r="R794" s="93">
        <f t="shared" si="165"/>
        <v>140</v>
      </c>
      <c r="S794" s="93">
        <f t="shared" si="166"/>
        <v>0</v>
      </c>
      <c r="T794" s="93">
        <f t="shared" si="167"/>
        <v>140</v>
      </c>
      <c r="U794" s="253">
        <f t="shared" si="168"/>
        <v>340.74</v>
      </c>
      <c r="V794" s="93">
        <f t="shared" si="169"/>
        <v>0</v>
      </c>
    </row>
    <row r="795" spans="1:22" ht="18" customHeight="1" x14ac:dyDescent="0.2">
      <c r="A795" s="110" t="s">
        <v>1411</v>
      </c>
      <c r="B795" s="111"/>
      <c r="C795" s="201" t="s">
        <v>1412</v>
      </c>
      <c r="D795" s="91">
        <v>42384</v>
      </c>
      <c r="E795" s="92"/>
      <c r="F795" s="93"/>
      <c r="G795" s="93"/>
      <c r="H795" s="93">
        <v>2923.61</v>
      </c>
      <c r="I795" s="93">
        <v>444.61</v>
      </c>
      <c r="J795" s="93"/>
      <c r="K795" s="93">
        <f t="shared" si="160"/>
        <v>0</v>
      </c>
      <c r="L795" s="93">
        <f t="shared" si="161"/>
        <v>0</v>
      </c>
      <c r="M795" s="94">
        <v>50</v>
      </c>
      <c r="N795" s="95" t="s">
        <v>289</v>
      </c>
      <c r="O795" s="93">
        <f t="shared" si="162"/>
        <v>0</v>
      </c>
      <c r="P795" s="93">
        <f t="shared" si="163"/>
        <v>0</v>
      </c>
      <c r="Q795" s="93">
        <f t="shared" si="164"/>
        <v>0</v>
      </c>
      <c r="R795" s="93">
        <f t="shared" si="165"/>
        <v>129</v>
      </c>
      <c r="S795" s="93">
        <f t="shared" si="166"/>
        <v>0</v>
      </c>
      <c r="T795" s="93">
        <f t="shared" si="167"/>
        <v>129</v>
      </c>
      <c r="U795" s="253">
        <f t="shared" si="168"/>
        <v>315.61</v>
      </c>
      <c r="V795" s="93">
        <f t="shared" si="169"/>
        <v>0</v>
      </c>
    </row>
    <row r="796" spans="1:22" ht="18" customHeight="1" x14ac:dyDescent="0.2">
      <c r="A796" s="110" t="s">
        <v>1413</v>
      </c>
      <c r="B796" s="111"/>
      <c r="C796" s="201" t="s">
        <v>1414</v>
      </c>
      <c r="D796" s="91">
        <v>42397</v>
      </c>
      <c r="E796" s="92"/>
      <c r="F796" s="93"/>
      <c r="G796" s="93"/>
      <c r="H796" s="93">
        <v>25404.3</v>
      </c>
      <c r="I796" s="93">
        <v>3954.3</v>
      </c>
      <c r="J796" s="93"/>
      <c r="K796" s="93">
        <f t="shared" si="160"/>
        <v>0</v>
      </c>
      <c r="L796" s="93">
        <f t="shared" si="161"/>
        <v>0</v>
      </c>
      <c r="M796" s="94">
        <v>50</v>
      </c>
      <c r="N796" s="95" t="s">
        <v>289</v>
      </c>
      <c r="O796" s="93">
        <f t="shared" si="162"/>
        <v>0</v>
      </c>
      <c r="P796" s="93">
        <f t="shared" si="163"/>
        <v>0</v>
      </c>
      <c r="Q796" s="93">
        <f t="shared" si="164"/>
        <v>0</v>
      </c>
      <c r="R796" s="93">
        <f t="shared" si="165"/>
        <v>1153</v>
      </c>
      <c r="S796" s="93">
        <f t="shared" si="166"/>
        <v>0</v>
      </c>
      <c r="T796" s="93">
        <f t="shared" si="167"/>
        <v>1153</v>
      </c>
      <c r="U796" s="253">
        <f t="shared" si="168"/>
        <v>2801.3</v>
      </c>
      <c r="V796" s="93">
        <f t="shared" si="169"/>
        <v>0</v>
      </c>
    </row>
    <row r="797" spans="1:22" ht="18" customHeight="1" x14ac:dyDescent="0.2">
      <c r="A797" s="110" t="s">
        <v>1415</v>
      </c>
      <c r="B797" s="111"/>
      <c r="C797" s="201" t="s">
        <v>1416</v>
      </c>
      <c r="D797" s="91">
        <v>42397</v>
      </c>
      <c r="E797" s="92"/>
      <c r="F797" s="93"/>
      <c r="G797" s="93"/>
      <c r="H797" s="93">
        <v>6241.95</v>
      </c>
      <c r="I797" s="93">
        <v>971.95</v>
      </c>
      <c r="J797" s="93"/>
      <c r="K797" s="93">
        <f t="shared" si="160"/>
        <v>0</v>
      </c>
      <c r="L797" s="93">
        <f t="shared" si="161"/>
        <v>0</v>
      </c>
      <c r="M797" s="94">
        <v>50</v>
      </c>
      <c r="N797" s="95" t="s">
        <v>289</v>
      </c>
      <c r="O797" s="93">
        <f t="shared" si="162"/>
        <v>0</v>
      </c>
      <c r="P797" s="93">
        <f t="shared" si="163"/>
        <v>0</v>
      </c>
      <c r="Q797" s="93">
        <f t="shared" si="164"/>
        <v>0</v>
      </c>
      <c r="R797" s="93">
        <f t="shared" si="165"/>
        <v>283</v>
      </c>
      <c r="S797" s="93">
        <f t="shared" si="166"/>
        <v>0</v>
      </c>
      <c r="T797" s="93">
        <f t="shared" si="167"/>
        <v>283</v>
      </c>
      <c r="U797" s="253">
        <f t="shared" si="168"/>
        <v>688.95</v>
      </c>
      <c r="V797" s="93">
        <f t="shared" si="169"/>
        <v>0</v>
      </c>
    </row>
    <row r="798" spans="1:22" ht="18" customHeight="1" x14ac:dyDescent="0.2">
      <c r="A798" s="110" t="s">
        <v>1417</v>
      </c>
      <c r="B798" s="111"/>
      <c r="C798" s="201" t="s">
        <v>1418</v>
      </c>
      <c r="D798" s="91">
        <v>42404</v>
      </c>
      <c r="E798" s="92"/>
      <c r="F798" s="93"/>
      <c r="G798" s="93"/>
      <c r="H798" s="93">
        <v>57278.04</v>
      </c>
      <c r="I798" s="93">
        <v>9023.0400000000009</v>
      </c>
      <c r="J798" s="93"/>
      <c r="K798" s="93">
        <f t="shared" si="160"/>
        <v>0</v>
      </c>
      <c r="L798" s="93">
        <f t="shared" si="161"/>
        <v>0</v>
      </c>
      <c r="M798" s="94">
        <v>50</v>
      </c>
      <c r="N798" s="95" t="s">
        <v>289</v>
      </c>
      <c r="O798" s="93">
        <f t="shared" si="162"/>
        <v>0</v>
      </c>
      <c r="P798" s="93">
        <f t="shared" si="163"/>
        <v>0</v>
      </c>
      <c r="Q798" s="93">
        <f t="shared" si="164"/>
        <v>0</v>
      </c>
      <c r="R798" s="93">
        <f t="shared" si="165"/>
        <v>2631</v>
      </c>
      <c r="S798" s="93">
        <f t="shared" si="166"/>
        <v>0</v>
      </c>
      <c r="T798" s="93">
        <f t="shared" si="167"/>
        <v>2631</v>
      </c>
      <c r="U798" s="253">
        <f t="shared" si="168"/>
        <v>6392.0400000000009</v>
      </c>
      <c r="V798" s="93">
        <f t="shared" si="169"/>
        <v>0</v>
      </c>
    </row>
    <row r="799" spans="1:22" ht="18" customHeight="1" x14ac:dyDescent="0.2">
      <c r="A799" s="110" t="s">
        <v>1419</v>
      </c>
      <c r="B799" s="111"/>
      <c r="C799" s="201" t="s">
        <v>1420</v>
      </c>
      <c r="D799" s="91">
        <v>42404</v>
      </c>
      <c r="E799" s="92"/>
      <c r="F799" s="93"/>
      <c r="G799" s="93"/>
      <c r="H799" s="93">
        <v>4363.3900000000003</v>
      </c>
      <c r="I799" s="93">
        <v>687.39</v>
      </c>
      <c r="J799" s="93"/>
      <c r="K799" s="93">
        <f t="shared" si="160"/>
        <v>0</v>
      </c>
      <c r="L799" s="93">
        <f t="shared" si="161"/>
        <v>0</v>
      </c>
      <c r="M799" s="94">
        <v>50</v>
      </c>
      <c r="N799" s="95" t="s">
        <v>289</v>
      </c>
      <c r="O799" s="93">
        <f t="shared" si="162"/>
        <v>0</v>
      </c>
      <c r="P799" s="93">
        <f t="shared" si="163"/>
        <v>0</v>
      </c>
      <c r="Q799" s="93">
        <f t="shared" si="164"/>
        <v>0</v>
      </c>
      <c r="R799" s="93">
        <f t="shared" si="165"/>
        <v>200</v>
      </c>
      <c r="S799" s="93">
        <f t="shared" si="166"/>
        <v>0</v>
      </c>
      <c r="T799" s="93">
        <f t="shared" si="167"/>
        <v>200</v>
      </c>
      <c r="U799" s="253">
        <f t="shared" si="168"/>
        <v>487.39</v>
      </c>
      <c r="V799" s="93">
        <f t="shared" si="169"/>
        <v>0</v>
      </c>
    </row>
    <row r="800" spans="1:22" ht="18" customHeight="1" x14ac:dyDescent="0.2">
      <c r="A800" s="110" t="s">
        <v>1421</v>
      </c>
      <c r="B800" s="111"/>
      <c r="C800" s="201" t="s">
        <v>1422</v>
      </c>
      <c r="D800" s="91">
        <v>42404</v>
      </c>
      <c r="E800" s="92"/>
      <c r="F800" s="93"/>
      <c r="G800" s="93"/>
      <c r="H800" s="93">
        <v>6725</v>
      </c>
      <c r="I800" s="93">
        <v>1059</v>
      </c>
      <c r="J800" s="93"/>
      <c r="K800" s="93">
        <f t="shared" si="160"/>
        <v>0</v>
      </c>
      <c r="L800" s="93">
        <f t="shared" si="161"/>
        <v>0</v>
      </c>
      <c r="M800" s="94">
        <v>50</v>
      </c>
      <c r="N800" s="95" t="s">
        <v>289</v>
      </c>
      <c r="O800" s="93">
        <f t="shared" si="162"/>
        <v>0</v>
      </c>
      <c r="P800" s="93">
        <f t="shared" si="163"/>
        <v>0</v>
      </c>
      <c r="Q800" s="93">
        <f t="shared" si="164"/>
        <v>0</v>
      </c>
      <c r="R800" s="93">
        <f t="shared" si="165"/>
        <v>308</v>
      </c>
      <c r="S800" s="93">
        <f t="shared" si="166"/>
        <v>0</v>
      </c>
      <c r="T800" s="93">
        <f t="shared" si="167"/>
        <v>308</v>
      </c>
      <c r="U800" s="253">
        <f t="shared" si="168"/>
        <v>751</v>
      </c>
      <c r="V800" s="93">
        <f t="shared" si="169"/>
        <v>0</v>
      </c>
    </row>
    <row r="801" spans="1:22" ht="18" customHeight="1" x14ac:dyDescent="0.2">
      <c r="A801" s="110" t="s">
        <v>1423</v>
      </c>
      <c r="B801" s="111"/>
      <c r="C801" s="201" t="s">
        <v>1424</v>
      </c>
      <c r="D801" s="91">
        <v>42404</v>
      </c>
      <c r="E801" s="92"/>
      <c r="F801" s="93"/>
      <c r="G801" s="93"/>
      <c r="H801" s="93">
        <v>2327.27</v>
      </c>
      <c r="I801" s="93">
        <v>366.27</v>
      </c>
      <c r="J801" s="93"/>
      <c r="K801" s="93">
        <f t="shared" si="160"/>
        <v>0</v>
      </c>
      <c r="L801" s="93">
        <f t="shared" si="161"/>
        <v>0</v>
      </c>
      <c r="M801" s="94">
        <v>50</v>
      </c>
      <c r="N801" s="95" t="s">
        <v>289</v>
      </c>
      <c r="O801" s="93">
        <f t="shared" si="162"/>
        <v>0</v>
      </c>
      <c r="P801" s="93">
        <f t="shared" si="163"/>
        <v>0</v>
      </c>
      <c r="Q801" s="93">
        <f t="shared" si="164"/>
        <v>0</v>
      </c>
      <c r="R801" s="93">
        <f t="shared" si="165"/>
        <v>106</v>
      </c>
      <c r="S801" s="93">
        <f t="shared" si="166"/>
        <v>0</v>
      </c>
      <c r="T801" s="93">
        <f t="shared" si="167"/>
        <v>106</v>
      </c>
      <c r="U801" s="253">
        <f t="shared" si="168"/>
        <v>260.27</v>
      </c>
      <c r="V801" s="93">
        <f t="shared" si="169"/>
        <v>0</v>
      </c>
    </row>
    <row r="802" spans="1:22" ht="18" customHeight="1" x14ac:dyDescent="0.2">
      <c r="A802" s="110" t="s">
        <v>1425</v>
      </c>
      <c r="B802" s="111"/>
      <c r="C802" s="201" t="s">
        <v>1426</v>
      </c>
      <c r="D802" s="91">
        <v>42415</v>
      </c>
      <c r="E802" s="92"/>
      <c r="F802" s="93"/>
      <c r="G802" s="93"/>
      <c r="H802" s="93">
        <v>20627.45</v>
      </c>
      <c r="I802" s="93">
        <v>3311.4500000000003</v>
      </c>
      <c r="J802" s="93"/>
      <c r="K802" s="93">
        <f t="shared" si="160"/>
        <v>0</v>
      </c>
      <c r="L802" s="93">
        <f t="shared" si="161"/>
        <v>0</v>
      </c>
      <c r="M802" s="94">
        <v>50</v>
      </c>
      <c r="N802" s="95" t="s">
        <v>289</v>
      </c>
      <c r="O802" s="93">
        <f t="shared" si="162"/>
        <v>0</v>
      </c>
      <c r="P802" s="93">
        <f t="shared" si="163"/>
        <v>0</v>
      </c>
      <c r="Q802" s="93">
        <f t="shared" si="164"/>
        <v>0</v>
      </c>
      <c r="R802" s="93">
        <f t="shared" si="165"/>
        <v>965</v>
      </c>
      <c r="S802" s="93">
        <f t="shared" si="166"/>
        <v>0</v>
      </c>
      <c r="T802" s="93">
        <f t="shared" si="167"/>
        <v>965</v>
      </c>
      <c r="U802" s="253">
        <f t="shared" si="168"/>
        <v>2346.4500000000003</v>
      </c>
      <c r="V802" s="93">
        <f t="shared" si="169"/>
        <v>0</v>
      </c>
    </row>
    <row r="803" spans="1:22" ht="18" customHeight="1" x14ac:dyDescent="0.2">
      <c r="A803" s="110" t="s">
        <v>1427</v>
      </c>
      <c r="B803" s="111"/>
      <c r="C803" s="201" t="s">
        <v>1428</v>
      </c>
      <c r="D803" s="91">
        <v>42424</v>
      </c>
      <c r="E803" s="92"/>
      <c r="F803" s="93"/>
      <c r="G803" s="93"/>
      <c r="H803" s="93">
        <v>1455.5</v>
      </c>
      <c r="I803" s="93">
        <v>237.5</v>
      </c>
      <c r="J803" s="93"/>
      <c r="K803" s="93">
        <f t="shared" si="160"/>
        <v>0</v>
      </c>
      <c r="L803" s="93">
        <f t="shared" si="161"/>
        <v>0</v>
      </c>
      <c r="M803" s="94">
        <v>50</v>
      </c>
      <c r="N803" s="95" t="s">
        <v>289</v>
      </c>
      <c r="O803" s="93">
        <f t="shared" si="162"/>
        <v>0</v>
      </c>
      <c r="P803" s="93">
        <f t="shared" si="163"/>
        <v>0</v>
      </c>
      <c r="Q803" s="93">
        <f t="shared" si="164"/>
        <v>0</v>
      </c>
      <c r="R803" s="93">
        <f t="shared" si="165"/>
        <v>69</v>
      </c>
      <c r="S803" s="93">
        <f t="shared" si="166"/>
        <v>0</v>
      </c>
      <c r="T803" s="93">
        <f t="shared" si="167"/>
        <v>69</v>
      </c>
      <c r="U803" s="253">
        <f t="shared" si="168"/>
        <v>168.5</v>
      </c>
      <c r="V803" s="93">
        <f t="shared" si="169"/>
        <v>0</v>
      </c>
    </row>
    <row r="804" spans="1:22" ht="18" customHeight="1" x14ac:dyDescent="0.2">
      <c r="A804" s="110" t="s">
        <v>1429</v>
      </c>
      <c r="B804" s="111"/>
      <c r="C804" s="201" t="s">
        <v>1408</v>
      </c>
      <c r="D804" s="91">
        <v>42426</v>
      </c>
      <c r="E804" s="92"/>
      <c r="F804" s="93"/>
      <c r="G804" s="93"/>
      <c r="H804" s="93">
        <v>5800</v>
      </c>
      <c r="I804" s="93">
        <v>948</v>
      </c>
      <c r="J804" s="93"/>
      <c r="K804" s="93">
        <f t="shared" si="160"/>
        <v>0</v>
      </c>
      <c r="L804" s="93">
        <f t="shared" si="161"/>
        <v>0</v>
      </c>
      <c r="M804" s="94">
        <v>50</v>
      </c>
      <c r="N804" s="95" t="s">
        <v>289</v>
      </c>
      <c r="O804" s="93">
        <f t="shared" si="162"/>
        <v>0</v>
      </c>
      <c r="P804" s="93">
        <f t="shared" si="163"/>
        <v>0</v>
      </c>
      <c r="Q804" s="93">
        <f t="shared" si="164"/>
        <v>0</v>
      </c>
      <c r="R804" s="93">
        <f t="shared" si="165"/>
        <v>276</v>
      </c>
      <c r="S804" s="93">
        <f t="shared" si="166"/>
        <v>0</v>
      </c>
      <c r="T804" s="93">
        <f t="shared" si="167"/>
        <v>276</v>
      </c>
      <c r="U804" s="253">
        <f t="shared" si="168"/>
        <v>672</v>
      </c>
      <c r="V804" s="93">
        <f t="shared" si="169"/>
        <v>0</v>
      </c>
    </row>
    <row r="805" spans="1:22" ht="18" customHeight="1" x14ac:dyDescent="0.2">
      <c r="A805" s="110" t="s">
        <v>1430</v>
      </c>
      <c r="B805" s="111"/>
      <c r="C805" s="201" t="s">
        <v>1431</v>
      </c>
      <c r="D805" s="91">
        <v>42426</v>
      </c>
      <c r="E805" s="92"/>
      <c r="F805" s="93"/>
      <c r="G805" s="93"/>
      <c r="H805" s="93">
        <v>12272</v>
      </c>
      <c r="I805" s="93">
        <v>2006</v>
      </c>
      <c r="J805" s="93"/>
      <c r="K805" s="93">
        <f t="shared" si="160"/>
        <v>0</v>
      </c>
      <c r="L805" s="93">
        <f t="shared" si="161"/>
        <v>0</v>
      </c>
      <c r="M805" s="94">
        <v>50</v>
      </c>
      <c r="N805" s="95" t="s">
        <v>289</v>
      </c>
      <c r="O805" s="93">
        <f t="shared" si="162"/>
        <v>0</v>
      </c>
      <c r="P805" s="93">
        <f t="shared" si="163"/>
        <v>0</v>
      </c>
      <c r="Q805" s="93">
        <f t="shared" si="164"/>
        <v>0</v>
      </c>
      <c r="R805" s="93">
        <f t="shared" si="165"/>
        <v>585</v>
      </c>
      <c r="S805" s="93">
        <f t="shared" si="166"/>
        <v>0</v>
      </c>
      <c r="T805" s="93">
        <f t="shared" si="167"/>
        <v>585</v>
      </c>
      <c r="U805" s="253">
        <f t="shared" si="168"/>
        <v>1421</v>
      </c>
      <c r="V805" s="93">
        <f t="shared" si="169"/>
        <v>0</v>
      </c>
    </row>
    <row r="806" spans="1:22" ht="18" customHeight="1" x14ac:dyDescent="0.2">
      <c r="A806" s="110" t="s">
        <v>1432</v>
      </c>
      <c r="B806" s="111"/>
      <c r="C806" s="201" t="s">
        <v>1433</v>
      </c>
      <c r="D806" s="91">
        <v>42426</v>
      </c>
      <c r="E806" s="92"/>
      <c r="F806" s="93"/>
      <c r="G806" s="93"/>
      <c r="H806" s="93">
        <v>1487.7</v>
      </c>
      <c r="I806" s="93">
        <v>243.70000000000002</v>
      </c>
      <c r="J806" s="93"/>
      <c r="K806" s="93">
        <f t="shared" si="160"/>
        <v>0</v>
      </c>
      <c r="L806" s="93">
        <f t="shared" si="161"/>
        <v>0</v>
      </c>
      <c r="M806" s="94">
        <v>50</v>
      </c>
      <c r="N806" s="95" t="s">
        <v>289</v>
      </c>
      <c r="O806" s="93">
        <f t="shared" si="162"/>
        <v>0</v>
      </c>
      <c r="P806" s="93">
        <f t="shared" si="163"/>
        <v>0</v>
      </c>
      <c r="Q806" s="93">
        <f t="shared" si="164"/>
        <v>0</v>
      </c>
      <c r="R806" s="93">
        <f t="shared" si="165"/>
        <v>71</v>
      </c>
      <c r="S806" s="93">
        <f t="shared" si="166"/>
        <v>0</v>
      </c>
      <c r="T806" s="93">
        <f t="shared" si="167"/>
        <v>71</v>
      </c>
      <c r="U806" s="253">
        <f t="shared" si="168"/>
        <v>172.70000000000002</v>
      </c>
      <c r="V806" s="93">
        <f t="shared" si="169"/>
        <v>0</v>
      </c>
    </row>
    <row r="807" spans="1:22" ht="18" customHeight="1" x14ac:dyDescent="0.2">
      <c r="A807" s="110" t="s">
        <v>1434</v>
      </c>
      <c r="B807" s="111"/>
      <c r="C807" s="201" t="s">
        <v>1435</v>
      </c>
      <c r="D807" s="91">
        <v>42427</v>
      </c>
      <c r="E807" s="92"/>
      <c r="F807" s="93"/>
      <c r="G807" s="93"/>
      <c r="H807" s="93">
        <v>4556.4400000000005</v>
      </c>
      <c r="I807" s="93">
        <v>746.44</v>
      </c>
      <c r="J807" s="93"/>
      <c r="K807" s="93">
        <f t="shared" si="160"/>
        <v>0</v>
      </c>
      <c r="L807" s="93">
        <f t="shared" si="161"/>
        <v>0</v>
      </c>
      <c r="M807" s="94">
        <v>50</v>
      </c>
      <c r="N807" s="95" t="s">
        <v>289</v>
      </c>
      <c r="O807" s="93">
        <f t="shared" si="162"/>
        <v>0</v>
      </c>
      <c r="P807" s="93">
        <f t="shared" si="163"/>
        <v>0</v>
      </c>
      <c r="Q807" s="93">
        <f t="shared" si="164"/>
        <v>0</v>
      </c>
      <c r="R807" s="93">
        <f t="shared" si="165"/>
        <v>217</v>
      </c>
      <c r="S807" s="93">
        <f t="shared" si="166"/>
        <v>0</v>
      </c>
      <c r="T807" s="93">
        <f t="shared" si="167"/>
        <v>217</v>
      </c>
      <c r="U807" s="253">
        <f t="shared" si="168"/>
        <v>529.44000000000005</v>
      </c>
      <c r="V807" s="93">
        <f t="shared" si="169"/>
        <v>0</v>
      </c>
    </row>
    <row r="808" spans="1:22" ht="18" customHeight="1" x14ac:dyDescent="0.2">
      <c r="A808" s="110" t="s">
        <v>1436</v>
      </c>
      <c r="B808" s="111"/>
      <c r="C808" s="201" t="s">
        <v>1437</v>
      </c>
      <c r="D808" s="91">
        <v>42427</v>
      </c>
      <c r="E808" s="92"/>
      <c r="F808" s="93"/>
      <c r="G808" s="93"/>
      <c r="H808" s="93">
        <v>1362.9</v>
      </c>
      <c r="I808" s="93">
        <v>223.9</v>
      </c>
      <c r="J808" s="93"/>
      <c r="K808" s="93">
        <f t="shared" si="160"/>
        <v>0</v>
      </c>
      <c r="L808" s="93">
        <f t="shared" si="161"/>
        <v>0</v>
      </c>
      <c r="M808" s="94">
        <v>50</v>
      </c>
      <c r="N808" s="95" t="s">
        <v>289</v>
      </c>
      <c r="O808" s="93">
        <f t="shared" si="162"/>
        <v>0</v>
      </c>
      <c r="P808" s="93">
        <f t="shared" si="163"/>
        <v>0</v>
      </c>
      <c r="Q808" s="93">
        <f t="shared" si="164"/>
        <v>0</v>
      </c>
      <c r="R808" s="93">
        <f t="shared" si="165"/>
        <v>65</v>
      </c>
      <c r="S808" s="93">
        <f t="shared" si="166"/>
        <v>0</v>
      </c>
      <c r="T808" s="93">
        <f t="shared" si="167"/>
        <v>65</v>
      </c>
      <c r="U808" s="253">
        <f t="shared" si="168"/>
        <v>158.9</v>
      </c>
      <c r="V808" s="93">
        <f t="shared" si="169"/>
        <v>0</v>
      </c>
    </row>
    <row r="809" spans="1:22" ht="18" customHeight="1" x14ac:dyDescent="0.2">
      <c r="A809" s="110" t="s">
        <v>1438</v>
      </c>
      <c r="B809" s="111"/>
      <c r="C809" s="201" t="s">
        <v>1439</v>
      </c>
      <c r="D809" s="91">
        <v>42427</v>
      </c>
      <c r="E809" s="92"/>
      <c r="F809" s="93"/>
      <c r="G809" s="93"/>
      <c r="H809" s="93">
        <v>15967.7</v>
      </c>
      <c r="I809" s="93">
        <v>2615.7000000000003</v>
      </c>
      <c r="J809" s="93"/>
      <c r="K809" s="93">
        <f t="shared" si="160"/>
        <v>0</v>
      </c>
      <c r="L809" s="93">
        <f t="shared" si="161"/>
        <v>0</v>
      </c>
      <c r="M809" s="94">
        <v>50</v>
      </c>
      <c r="N809" s="95" t="s">
        <v>289</v>
      </c>
      <c r="O809" s="93">
        <f t="shared" si="162"/>
        <v>0</v>
      </c>
      <c r="P809" s="93">
        <f t="shared" si="163"/>
        <v>0</v>
      </c>
      <c r="Q809" s="93">
        <f t="shared" si="164"/>
        <v>0</v>
      </c>
      <c r="R809" s="93">
        <f t="shared" si="165"/>
        <v>762</v>
      </c>
      <c r="S809" s="93">
        <f t="shared" si="166"/>
        <v>0</v>
      </c>
      <c r="T809" s="93">
        <f t="shared" si="167"/>
        <v>762</v>
      </c>
      <c r="U809" s="253">
        <f t="shared" si="168"/>
        <v>1853.7000000000003</v>
      </c>
      <c r="V809" s="93">
        <f t="shared" si="169"/>
        <v>0</v>
      </c>
    </row>
    <row r="810" spans="1:22" ht="18" customHeight="1" x14ac:dyDescent="0.2">
      <c r="A810" s="110" t="s">
        <v>1440</v>
      </c>
      <c r="B810" s="111"/>
      <c r="C810" s="201" t="s">
        <v>1441</v>
      </c>
      <c r="D810" s="91">
        <v>42427</v>
      </c>
      <c r="E810" s="92"/>
      <c r="F810" s="93"/>
      <c r="G810" s="93"/>
      <c r="H810" s="93">
        <v>1596.77</v>
      </c>
      <c r="I810" s="93">
        <v>261.77</v>
      </c>
      <c r="J810" s="93"/>
      <c r="K810" s="93">
        <f t="shared" si="160"/>
        <v>0</v>
      </c>
      <c r="L810" s="93">
        <f t="shared" si="161"/>
        <v>0</v>
      </c>
      <c r="M810" s="94">
        <v>50</v>
      </c>
      <c r="N810" s="95" t="s">
        <v>289</v>
      </c>
      <c r="O810" s="93">
        <f t="shared" si="162"/>
        <v>0</v>
      </c>
      <c r="P810" s="93">
        <f t="shared" si="163"/>
        <v>0</v>
      </c>
      <c r="Q810" s="93">
        <f t="shared" si="164"/>
        <v>0</v>
      </c>
      <c r="R810" s="93">
        <f t="shared" si="165"/>
        <v>76</v>
      </c>
      <c r="S810" s="93">
        <f t="shared" si="166"/>
        <v>0</v>
      </c>
      <c r="T810" s="93">
        <f t="shared" si="167"/>
        <v>76</v>
      </c>
      <c r="U810" s="253">
        <f t="shared" si="168"/>
        <v>185.76999999999998</v>
      </c>
      <c r="V810" s="93">
        <f t="shared" si="169"/>
        <v>0</v>
      </c>
    </row>
    <row r="811" spans="1:22" ht="18" customHeight="1" x14ac:dyDescent="0.2">
      <c r="A811" s="110" t="s">
        <v>1442</v>
      </c>
      <c r="B811" s="111"/>
      <c r="C811" s="201" t="s">
        <v>1443</v>
      </c>
      <c r="D811" s="91">
        <v>42427</v>
      </c>
      <c r="E811" s="92"/>
      <c r="F811" s="93"/>
      <c r="G811" s="93"/>
      <c r="H811" s="93">
        <v>8839</v>
      </c>
      <c r="I811" s="93">
        <v>1447.72</v>
      </c>
      <c r="J811" s="93"/>
      <c r="K811" s="93">
        <f t="shared" si="160"/>
        <v>0</v>
      </c>
      <c r="L811" s="93">
        <f t="shared" si="161"/>
        <v>0</v>
      </c>
      <c r="M811" s="94">
        <v>50</v>
      </c>
      <c r="N811" s="95" t="s">
        <v>289</v>
      </c>
      <c r="O811" s="93">
        <f t="shared" si="162"/>
        <v>0</v>
      </c>
      <c r="P811" s="93">
        <f t="shared" si="163"/>
        <v>0</v>
      </c>
      <c r="Q811" s="93">
        <f t="shared" si="164"/>
        <v>0</v>
      </c>
      <c r="R811" s="93">
        <f t="shared" si="165"/>
        <v>422</v>
      </c>
      <c r="S811" s="93">
        <f t="shared" si="166"/>
        <v>0</v>
      </c>
      <c r="T811" s="93">
        <f t="shared" si="167"/>
        <v>422</v>
      </c>
      <c r="U811" s="253">
        <f t="shared" si="168"/>
        <v>1025.72</v>
      </c>
      <c r="V811" s="93">
        <f t="shared" si="169"/>
        <v>0</v>
      </c>
    </row>
    <row r="812" spans="1:22" ht="18" customHeight="1" x14ac:dyDescent="0.2">
      <c r="A812" s="110" t="s">
        <v>1444</v>
      </c>
      <c r="B812" s="111"/>
      <c r="C812" s="90" t="s">
        <v>1445</v>
      </c>
      <c r="D812" s="91">
        <v>42460</v>
      </c>
      <c r="E812" s="92"/>
      <c r="F812" s="93"/>
      <c r="G812" s="93"/>
      <c r="H812" s="93">
        <v>44000</v>
      </c>
      <c r="I812" s="93">
        <v>7598</v>
      </c>
      <c r="J812" s="93"/>
      <c r="K812" s="93">
        <f t="shared" si="160"/>
        <v>0</v>
      </c>
      <c r="L812" s="93">
        <f t="shared" si="161"/>
        <v>0</v>
      </c>
      <c r="M812" s="94">
        <v>50</v>
      </c>
      <c r="N812" s="95" t="s">
        <v>289</v>
      </c>
      <c r="O812" s="93">
        <f t="shared" si="162"/>
        <v>0</v>
      </c>
      <c r="P812" s="93">
        <f t="shared" si="163"/>
        <v>0</v>
      </c>
      <c r="Q812" s="93">
        <f t="shared" si="164"/>
        <v>0</v>
      </c>
      <c r="R812" s="93">
        <f t="shared" si="165"/>
        <v>2216</v>
      </c>
      <c r="S812" s="93">
        <f t="shared" si="166"/>
        <v>0</v>
      </c>
      <c r="T812" s="93">
        <f t="shared" si="167"/>
        <v>2216</v>
      </c>
      <c r="U812" s="253">
        <f t="shared" si="168"/>
        <v>5382</v>
      </c>
      <c r="V812" s="93">
        <f t="shared" si="169"/>
        <v>0</v>
      </c>
    </row>
    <row r="813" spans="1:22" ht="18" customHeight="1" x14ac:dyDescent="0.2">
      <c r="A813" s="110" t="s">
        <v>1446</v>
      </c>
      <c r="B813" s="111"/>
      <c r="C813" s="201" t="s">
        <v>1447</v>
      </c>
      <c r="D813" s="91">
        <v>42500</v>
      </c>
      <c r="E813" s="92"/>
      <c r="F813" s="93"/>
      <c r="G813" s="93"/>
      <c r="H813" s="93">
        <v>4611.78</v>
      </c>
      <c r="I813" s="93">
        <v>846.78</v>
      </c>
      <c r="J813" s="93"/>
      <c r="K813" s="93">
        <f t="shared" si="160"/>
        <v>0</v>
      </c>
      <c r="L813" s="93">
        <f t="shared" si="161"/>
        <v>0</v>
      </c>
      <c r="M813" s="94">
        <v>50</v>
      </c>
      <c r="N813" s="95" t="s">
        <v>289</v>
      </c>
      <c r="O813" s="93">
        <f t="shared" si="162"/>
        <v>0</v>
      </c>
      <c r="P813" s="93">
        <f t="shared" si="163"/>
        <v>0</v>
      </c>
      <c r="Q813" s="93">
        <f t="shared" si="164"/>
        <v>0</v>
      </c>
      <c r="R813" s="93">
        <f t="shared" si="165"/>
        <v>246</v>
      </c>
      <c r="S813" s="93">
        <f t="shared" si="166"/>
        <v>0</v>
      </c>
      <c r="T813" s="93">
        <f t="shared" si="167"/>
        <v>246</v>
      </c>
      <c r="U813" s="253">
        <f t="shared" si="168"/>
        <v>600.78</v>
      </c>
      <c r="V813" s="93">
        <f t="shared" si="169"/>
        <v>0</v>
      </c>
    </row>
    <row r="814" spans="1:22" ht="18" customHeight="1" x14ac:dyDescent="0.2">
      <c r="A814" s="110" t="s">
        <v>1448</v>
      </c>
      <c r="B814" s="111"/>
      <c r="C814" s="90" t="s">
        <v>1449</v>
      </c>
      <c r="D814" s="91">
        <v>42520</v>
      </c>
      <c r="E814" s="92"/>
      <c r="F814" s="93"/>
      <c r="G814" s="93"/>
      <c r="H814" s="93">
        <v>14690</v>
      </c>
      <c r="I814" s="93">
        <v>2775.5702000000001</v>
      </c>
      <c r="J814" s="93"/>
      <c r="K814" s="93">
        <f t="shared" si="160"/>
        <v>0</v>
      </c>
      <c r="L814" s="93">
        <f t="shared" si="161"/>
        <v>0</v>
      </c>
      <c r="M814" s="94">
        <v>50</v>
      </c>
      <c r="N814" s="95" t="s">
        <v>289</v>
      </c>
      <c r="O814" s="93">
        <f t="shared" si="162"/>
        <v>0</v>
      </c>
      <c r="P814" s="93">
        <f t="shared" si="163"/>
        <v>0</v>
      </c>
      <c r="Q814" s="93">
        <f t="shared" si="164"/>
        <v>0</v>
      </c>
      <c r="R814" s="93">
        <f t="shared" si="165"/>
        <v>809</v>
      </c>
      <c r="S814" s="93">
        <f t="shared" si="166"/>
        <v>0</v>
      </c>
      <c r="T814" s="93">
        <f t="shared" si="167"/>
        <v>809</v>
      </c>
      <c r="U814" s="253">
        <f t="shared" si="168"/>
        <v>1966.5702000000001</v>
      </c>
      <c r="V814" s="93">
        <f t="shared" si="169"/>
        <v>0</v>
      </c>
    </row>
    <row r="815" spans="1:22" ht="18" customHeight="1" x14ac:dyDescent="0.2">
      <c r="A815" s="110" t="s">
        <v>1450</v>
      </c>
      <c r="B815" s="111"/>
      <c r="C815" s="90" t="s">
        <v>1451</v>
      </c>
      <c r="D815" s="91">
        <v>42520</v>
      </c>
      <c r="E815" s="92"/>
      <c r="F815" s="93"/>
      <c r="G815" s="93"/>
      <c r="H815" s="93">
        <v>32500</v>
      </c>
      <c r="I815" s="93">
        <v>6140</v>
      </c>
      <c r="J815" s="93"/>
      <c r="K815" s="93">
        <f t="shared" si="160"/>
        <v>0</v>
      </c>
      <c r="L815" s="93">
        <f t="shared" si="161"/>
        <v>0</v>
      </c>
      <c r="M815" s="94">
        <v>50</v>
      </c>
      <c r="N815" s="95" t="s">
        <v>289</v>
      </c>
      <c r="O815" s="93">
        <f t="shared" si="162"/>
        <v>0</v>
      </c>
      <c r="P815" s="93">
        <f t="shared" si="163"/>
        <v>0</v>
      </c>
      <c r="Q815" s="93">
        <f t="shared" si="164"/>
        <v>0</v>
      </c>
      <c r="R815" s="93">
        <f t="shared" si="165"/>
        <v>1790</v>
      </c>
      <c r="S815" s="93">
        <f t="shared" si="166"/>
        <v>0</v>
      </c>
      <c r="T815" s="93">
        <f t="shared" si="167"/>
        <v>1790</v>
      </c>
      <c r="U815" s="253">
        <f t="shared" si="168"/>
        <v>4350</v>
      </c>
      <c r="V815" s="93">
        <f t="shared" si="169"/>
        <v>0</v>
      </c>
    </row>
    <row r="816" spans="1:22" ht="18" customHeight="1" x14ac:dyDescent="0.2">
      <c r="A816" s="110" t="s">
        <v>1452</v>
      </c>
      <c r="B816" s="111"/>
      <c r="C816" s="201" t="s">
        <v>1453</v>
      </c>
      <c r="D816" s="91">
        <v>42780</v>
      </c>
      <c r="E816" s="92"/>
      <c r="F816" s="93"/>
      <c r="G816" s="93"/>
      <c r="H816" s="93">
        <v>2740</v>
      </c>
      <c r="I816" s="93">
        <v>880</v>
      </c>
      <c r="J816" s="93"/>
      <c r="K816" s="93">
        <f t="shared" si="160"/>
        <v>0</v>
      </c>
      <c r="L816" s="93">
        <f t="shared" si="161"/>
        <v>0</v>
      </c>
      <c r="M816" s="94">
        <v>50</v>
      </c>
      <c r="N816" s="95" t="s">
        <v>289</v>
      </c>
      <c r="O816" s="93">
        <f t="shared" si="162"/>
        <v>0</v>
      </c>
      <c r="P816" s="93">
        <f t="shared" si="163"/>
        <v>0</v>
      </c>
      <c r="Q816" s="93">
        <f t="shared" si="164"/>
        <v>0</v>
      </c>
      <c r="R816" s="93">
        <f t="shared" si="165"/>
        <v>256</v>
      </c>
      <c r="S816" s="93">
        <f t="shared" si="166"/>
        <v>0</v>
      </c>
      <c r="T816" s="93">
        <f t="shared" si="167"/>
        <v>256</v>
      </c>
      <c r="U816" s="253">
        <f t="shared" si="168"/>
        <v>624</v>
      </c>
      <c r="V816" s="93">
        <f t="shared" si="169"/>
        <v>0</v>
      </c>
    </row>
    <row r="817" spans="1:22" ht="18" customHeight="1" x14ac:dyDescent="0.2">
      <c r="A817" s="110" t="s">
        <v>1454</v>
      </c>
      <c r="B817" s="111"/>
      <c r="C817" s="201" t="s">
        <v>1455</v>
      </c>
      <c r="D817" s="91">
        <v>42823</v>
      </c>
      <c r="E817" s="92"/>
      <c r="F817" s="93"/>
      <c r="G817" s="93"/>
      <c r="H817" s="93">
        <v>2566</v>
      </c>
      <c r="I817" s="93">
        <v>884</v>
      </c>
      <c r="J817" s="93"/>
      <c r="K817" s="93">
        <f t="shared" si="160"/>
        <v>0</v>
      </c>
      <c r="L817" s="93">
        <f t="shared" si="161"/>
        <v>0</v>
      </c>
      <c r="M817" s="94">
        <v>50</v>
      </c>
      <c r="N817" s="95" t="s">
        <v>289</v>
      </c>
      <c r="O817" s="93">
        <f t="shared" si="162"/>
        <v>0</v>
      </c>
      <c r="P817" s="93">
        <f t="shared" si="163"/>
        <v>0</v>
      </c>
      <c r="Q817" s="93">
        <f t="shared" si="164"/>
        <v>0</v>
      </c>
      <c r="R817" s="93">
        <f t="shared" si="165"/>
        <v>257</v>
      </c>
      <c r="S817" s="93">
        <f t="shared" si="166"/>
        <v>0</v>
      </c>
      <c r="T817" s="93">
        <f t="shared" si="167"/>
        <v>257</v>
      </c>
      <c r="U817" s="253">
        <f t="shared" si="168"/>
        <v>627</v>
      </c>
      <c r="V817" s="93">
        <f t="shared" si="169"/>
        <v>0</v>
      </c>
    </row>
    <row r="818" spans="1:22" ht="18" customHeight="1" x14ac:dyDescent="0.2">
      <c r="A818" s="110" t="s">
        <v>1456</v>
      </c>
      <c r="B818" s="111"/>
      <c r="C818" s="201" t="s">
        <v>1457</v>
      </c>
      <c r="D818" s="91">
        <v>42823</v>
      </c>
      <c r="E818" s="92"/>
      <c r="F818" s="93"/>
      <c r="G818" s="93"/>
      <c r="H818" s="93">
        <v>2380</v>
      </c>
      <c r="I818" s="93">
        <v>820</v>
      </c>
      <c r="J818" s="93"/>
      <c r="K818" s="93">
        <f t="shared" si="160"/>
        <v>0</v>
      </c>
      <c r="L818" s="93">
        <f t="shared" si="161"/>
        <v>0</v>
      </c>
      <c r="M818" s="94">
        <v>50</v>
      </c>
      <c r="N818" s="95" t="s">
        <v>289</v>
      </c>
      <c r="O818" s="93">
        <f t="shared" si="162"/>
        <v>0</v>
      </c>
      <c r="P818" s="93">
        <f t="shared" si="163"/>
        <v>0</v>
      </c>
      <c r="Q818" s="93">
        <f t="shared" si="164"/>
        <v>0</v>
      </c>
      <c r="R818" s="93">
        <f t="shared" si="165"/>
        <v>239</v>
      </c>
      <c r="S818" s="93">
        <f t="shared" si="166"/>
        <v>0</v>
      </c>
      <c r="T818" s="93">
        <f t="shared" si="167"/>
        <v>239</v>
      </c>
      <c r="U818" s="253">
        <f t="shared" si="168"/>
        <v>581</v>
      </c>
      <c r="V818" s="93">
        <f t="shared" si="169"/>
        <v>0</v>
      </c>
    </row>
    <row r="819" spans="1:22" ht="18" customHeight="1" x14ac:dyDescent="0.2">
      <c r="A819" s="110" t="s">
        <v>1458</v>
      </c>
      <c r="B819" s="111"/>
      <c r="C819" s="201" t="s">
        <v>1459</v>
      </c>
      <c r="D819" s="91">
        <v>42781</v>
      </c>
      <c r="E819" s="92"/>
      <c r="F819" s="93"/>
      <c r="G819" s="93"/>
      <c r="H819" s="93">
        <v>9732</v>
      </c>
      <c r="I819" s="93">
        <v>3129.8</v>
      </c>
      <c r="J819" s="93"/>
      <c r="K819" s="93">
        <f t="shared" si="160"/>
        <v>0</v>
      </c>
      <c r="L819" s="93">
        <f t="shared" si="161"/>
        <v>0</v>
      </c>
      <c r="M819" s="94">
        <v>50</v>
      </c>
      <c r="N819" s="95" t="s">
        <v>289</v>
      </c>
      <c r="O819" s="93">
        <f t="shared" si="162"/>
        <v>0</v>
      </c>
      <c r="P819" s="93">
        <f t="shared" si="163"/>
        <v>0</v>
      </c>
      <c r="Q819" s="93">
        <f t="shared" si="164"/>
        <v>0</v>
      </c>
      <c r="R819" s="93">
        <f t="shared" si="165"/>
        <v>912</v>
      </c>
      <c r="S819" s="93">
        <f t="shared" si="166"/>
        <v>0</v>
      </c>
      <c r="T819" s="93">
        <f t="shared" si="167"/>
        <v>912</v>
      </c>
      <c r="U819" s="253">
        <f t="shared" si="168"/>
        <v>2217.8000000000002</v>
      </c>
      <c r="V819" s="93">
        <f t="shared" si="169"/>
        <v>0</v>
      </c>
    </row>
    <row r="820" spans="1:22" ht="18" customHeight="1" x14ac:dyDescent="0.2">
      <c r="A820" s="110" t="s">
        <v>1460</v>
      </c>
      <c r="B820" s="111"/>
      <c r="C820" s="201" t="s">
        <v>1461</v>
      </c>
      <c r="D820" s="91">
        <v>42791</v>
      </c>
      <c r="E820" s="92"/>
      <c r="F820" s="93"/>
      <c r="G820" s="93"/>
      <c r="H820" s="93">
        <v>5514</v>
      </c>
      <c r="I820" s="93">
        <v>1802.9279999999999</v>
      </c>
      <c r="J820" s="93"/>
      <c r="K820" s="93">
        <f t="shared" si="160"/>
        <v>0</v>
      </c>
      <c r="L820" s="93">
        <f t="shared" si="161"/>
        <v>0</v>
      </c>
      <c r="M820" s="94">
        <v>50</v>
      </c>
      <c r="N820" s="95" t="s">
        <v>289</v>
      </c>
      <c r="O820" s="93">
        <f t="shared" si="162"/>
        <v>0</v>
      </c>
      <c r="P820" s="93">
        <f t="shared" si="163"/>
        <v>0</v>
      </c>
      <c r="Q820" s="93">
        <f t="shared" si="164"/>
        <v>0</v>
      </c>
      <c r="R820" s="93">
        <f t="shared" si="165"/>
        <v>525</v>
      </c>
      <c r="S820" s="93">
        <f t="shared" si="166"/>
        <v>0</v>
      </c>
      <c r="T820" s="93">
        <f t="shared" si="167"/>
        <v>525</v>
      </c>
      <c r="U820" s="253">
        <f t="shared" si="168"/>
        <v>1277.9279999999999</v>
      </c>
      <c r="V820" s="93">
        <f t="shared" si="169"/>
        <v>0</v>
      </c>
    </row>
    <row r="821" spans="1:22" ht="18" customHeight="1" x14ac:dyDescent="0.2">
      <c r="A821" s="110" t="s">
        <v>1462</v>
      </c>
      <c r="B821" s="111"/>
      <c r="C821" s="201" t="s">
        <v>1461</v>
      </c>
      <c r="D821" s="91">
        <v>42781</v>
      </c>
      <c r="E821" s="92"/>
      <c r="F821" s="93"/>
      <c r="G821" s="93"/>
      <c r="H821" s="93">
        <v>12405.33</v>
      </c>
      <c r="I821" s="93">
        <v>3989.33</v>
      </c>
      <c r="J821" s="93"/>
      <c r="K821" s="93">
        <f t="shared" si="160"/>
        <v>0</v>
      </c>
      <c r="L821" s="93">
        <f t="shared" si="161"/>
        <v>0</v>
      </c>
      <c r="M821" s="94">
        <v>50</v>
      </c>
      <c r="N821" s="95" t="s">
        <v>289</v>
      </c>
      <c r="O821" s="93">
        <f t="shared" si="162"/>
        <v>0</v>
      </c>
      <c r="P821" s="93">
        <f t="shared" si="163"/>
        <v>0</v>
      </c>
      <c r="Q821" s="93">
        <f t="shared" si="164"/>
        <v>0</v>
      </c>
      <c r="R821" s="93">
        <f t="shared" si="165"/>
        <v>1163</v>
      </c>
      <c r="S821" s="93">
        <f t="shared" si="166"/>
        <v>0</v>
      </c>
      <c r="T821" s="93">
        <f t="shared" si="167"/>
        <v>1163</v>
      </c>
      <c r="U821" s="253">
        <f t="shared" si="168"/>
        <v>2826.33</v>
      </c>
      <c r="V821" s="93">
        <f t="shared" si="169"/>
        <v>0</v>
      </c>
    </row>
    <row r="822" spans="1:22" ht="18" customHeight="1" x14ac:dyDescent="0.2">
      <c r="A822" s="110" t="s">
        <v>1463</v>
      </c>
      <c r="B822" s="111"/>
      <c r="C822" s="201" t="s">
        <v>1464</v>
      </c>
      <c r="D822" s="91">
        <v>42791</v>
      </c>
      <c r="E822" s="92"/>
      <c r="F822" s="93"/>
      <c r="G822" s="93"/>
      <c r="H822" s="93">
        <v>5741</v>
      </c>
      <c r="I822" s="93">
        <v>1876.6428000000001</v>
      </c>
      <c r="J822" s="93"/>
      <c r="K822" s="93">
        <f t="shared" si="160"/>
        <v>0</v>
      </c>
      <c r="L822" s="93">
        <f t="shared" si="161"/>
        <v>0</v>
      </c>
      <c r="M822" s="94">
        <v>50</v>
      </c>
      <c r="N822" s="95" t="s">
        <v>289</v>
      </c>
      <c r="O822" s="93">
        <f t="shared" si="162"/>
        <v>0</v>
      </c>
      <c r="P822" s="93">
        <f t="shared" si="163"/>
        <v>0</v>
      </c>
      <c r="Q822" s="93">
        <f t="shared" si="164"/>
        <v>0</v>
      </c>
      <c r="R822" s="93">
        <f t="shared" si="165"/>
        <v>547</v>
      </c>
      <c r="S822" s="93">
        <f t="shared" si="166"/>
        <v>0</v>
      </c>
      <c r="T822" s="93">
        <f t="shared" si="167"/>
        <v>547</v>
      </c>
      <c r="U822" s="253">
        <f t="shared" si="168"/>
        <v>1329.6428000000001</v>
      </c>
      <c r="V822" s="93">
        <f t="shared" si="169"/>
        <v>0</v>
      </c>
    </row>
    <row r="823" spans="1:22" ht="18" customHeight="1" x14ac:dyDescent="0.2">
      <c r="A823" s="110" t="s">
        <v>1465</v>
      </c>
      <c r="B823" s="111"/>
      <c r="C823" s="201" t="s">
        <v>1466</v>
      </c>
      <c r="D823" s="91">
        <v>42791</v>
      </c>
      <c r="E823" s="92"/>
      <c r="F823" s="93"/>
      <c r="G823" s="93"/>
      <c r="H823" s="93">
        <v>8070</v>
      </c>
      <c r="I823" s="93">
        <v>2638.1583000000001</v>
      </c>
      <c r="J823" s="93"/>
      <c r="K823" s="93">
        <f t="shared" si="160"/>
        <v>0</v>
      </c>
      <c r="L823" s="93">
        <f t="shared" si="161"/>
        <v>0</v>
      </c>
      <c r="M823" s="94">
        <v>50</v>
      </c>
      <c r="N823" s="95" t="s">
        <v>289</v>
      </c>
      <c r="O823" s="93">
        <f t="shared" si="162"/>
        <v>0</v>
      </c>
      <c r="P823" s="93">
        <f t="shared" si="163"/>
        <v>0</v>
      </c>
      <c r="Q823" s="93">
        <f t="shared" si="164"/>
        <v>0</v>
      </c>
      <c r="R823" s="93">
        <f t="shared" si="165"/>
        <v>769</v>
      </c>
      <c r="S823" s="93">
        <f t="shared" si="166"/>
        <v>0</v>
      </c>
      <c r="T823" s="93">
        <f t="shared" si="167"/>
        <v>769</v>
      </c>
      <c r="U823" s="253">
        <f t="shared" si="168"/>
        <v>1869.1583000000001</v>
      </c>
      <c r="V823" s="93">
        <f t="shared" si="169"/>
        <v>0</v>
      </c>
    </row>
    <row r="824" spans="1:22" ht="18" customHeight="1" x14ac:dyDescent="0.2">
      <c r="A824" s="110" t="s">
        <v>1467</v>
      </c>
      <c r="B824" s="111"/>
      <c r="C824" s="201" t="s">
        <v>1466</v>
      </c>
      <c r="D824" s="91">
        <v>42826</v>
      </c>
      <c r="E824" s="92"/>
      <c r="F824" s="93"/>
      <c r="G824" s="93"/>
      <c r="H824" s="93">
        <v>4842</v>
      </c>
      <c r="I824" s="93">
        <v>1675.5239000000001</v>
      </c>
      <c r="J824" s="93"/>
      <c r="K824" s="93">
        <f t="shared" si="160"/>
        <v>0</v>
      </c>
      <c r="L824" s="93">
        <f t="shared" si="161"/>
        <v>0</v>
      </c>
      <c r="M824" s="94">
        <v>50</v>
      </c>
      <c r="N824" s="95" t="s">
        <v>289</v>
      </c>
      <c r="O824" s="93">
        <f t="shared" si="162"/>
        <v>0</v>
      </c>
      <c r="P824" s="93">
        <f t="shared" si="163"/>
        <v>0</v>
      </c>
      <c r="Q824" s="93">
        <f t="shared" si="164"/>
        <v>0</v>
      </c>
      <c r="R824" s="93">
        <f t="shared" si="165"/>
        <v>488</v>
      </c>
      <c r="S824" s="93">
        <f t="shared" si="166"/>
        <v>0</v>
      </c>
      <c r="T824" s="93">
        <f t="shared" si="167"/>
        <v>488</v>
      </c>
      <c r="U824" s="253">
        <f t="shared" si="168"/>
        <v>1187.5239000000001</v>
      </c>
      <c r="V824" s="93">
        <f t="shared" si="169"/>
        <v>0</v>
      </c>
    </row>
    <row r="825" spans="1:22" ht="18" customHeight="1" x14ac:dyDescent="0.2">
      <c r="A825" s="110" t="s">
        <v>1468</v>
      </c>
      <c r="B825" s="111"/>
      <c r="C825" s="201" t="s">
        <v>1466</v>
      </c>
      <c r="D825" s="91">
        <v>42826</v>
      </c>
      <c r="E825" s="92"/>
      <c r="F825" s="93"/>
      <c r="G825" s="93"/>
      <c r="H825" s="93">
        <v>16140.29</v>
      </c>
      <c r="I825" s="93">
        <v>5583.29</v>
      </c>
      <c r="J825" s="93"/>
      <c r="K825" s="93">
        <f t="shared" si="160"/>
        <v>0</v>
      </c>
      <c r="L825" s="93">
        <f t="shared" si="161"/>
        <v>0</v>
      </c>
      <c r="M825" s="94">
        <v>50</v>
      </c>
      <c r="N825" s="95" t="s">
        <v>289</v>
      </c>
      <c r="O825" s="93">
        <f t="shared" si="162"/>
        <v>0</v>
      </c>
      <c r="P825" s="93">
        <f t="shared" si="163"/>
        <v>0</v>
      </c>
      <c r="Q825" s="93">
        <f t="shared" si="164"/>
        <v>0</v>
      </c>
      <c r="R825" s="93">
        <f t="shared" si="165"/>
        <v>1628</v>
      </c>
      <c r="S825" s="93">
        <f t="shared" si="166"/>
        <v>0</v>
      </c>
      <c r="T825" s="93">
        <f t="shared" si="167"/>
        <v>1628</v>
      </c>
      <c r="U825" s="253">
        <f t="shared" si="168"/>
        <v>3955.29</v>
      </c>
      <c r="V825" s="93">
        <f t="shared" si="169"/>
        <v>0</v>
      </c>
    </row>
    <row r="826" spans="1:22" ht="18" customHeight="1" x14ac:dyDescent="0.2">
      <c r="A826" s="110" t="s">
        <v>1469</v>
      </c>
      <c r="B826" s="111"/>
      <c r="C826" s="201" t="s">
        <v>1470</v>
      </c>
      <c r="D826" s="91">
        <v>42826</v>
      </c>
      <c r="E826" s="92"/>
      <c r="F826" s="93"/>
      <c r="G826" s="93"/>
      <c r="H826" s="93">
        <v>2879</v>
      </c>
      <c r="I826" s="93">
        <v>995.6563000000001</v>
      </c>
      <c r="J826" s="93"/>
      <c r="K826" s="93">
        <f t="shared" si="160"/>
        <v>0</v>
      </c>
      <c r="L826" s="93">
        <f t="shared" si="161"/>
        <v>0</v>
      </c>
      <c r="M826" s="94">
        <v>50</v>
      </c>
      <c r="N826" s="95" t="s">
        <v>289</v>
      </c>
      <c r="O826" s="93">
        <f t="shared" si="162"/>
        <v>0</v>
      </c>
      <c r="P826" s="93">
        <f t="shared" si="163"/>
        <v>0</v>
      </c>
      <c r="Q826" s="93">
        <f t="shared" si="164"/>
        <v>0</v>
      </c>
      <c r="R826" s="93">
        <f t="shared" si="165"/>
        <v>290</v>
      </c>
      <c r="S826" s="93">
        <f t="shared" si="166"/>
        <v>0</v>
      </c>
      <c r="T826" s="93">
        <f t="shared" si="167"/>
        <v>290</v>
      </c>
      <c r="U826" s="253">
        <f t="shared" si="168"/>
        <v>705.6563000000001</v>
      </c>
      <c r="V826" s="93">
        <f t="shared" si="169"/>
        <v>0</v>
      </c>
    </row>
    <row r="827" spans="1:22" ht="18" customHeight="1" x14ac:dyDescent="0.2">
      <c r="A827" s="110" t="s">
        <v>1471</v>
      </c>
      <c r="B827" s="111"/>
      <c r="C827" s="201" t="s">
        <v>1472</v>
      </c>
      <c r="D827" s="91">
        <v>42826</v>
      </c>
      <c r="E827" s="92"/>
      <c r="F827" s="93"/>
      <c r="G827" s="93"/>
      <c r="H827" s="93">
        <v>14362.64</v>
      </c>
      <c r="I827" s="93">
        <v>4968.6400000000003</v>
      </c>
      <c r="J827" s="93"/>
      <c r="K827" s="93">
        <f t="shared" si="160"/>
        <v>0</v>
      </c>
      <c r="L827" s="93">
        <f t="shared" si="161"/>
        <v>0</v>
      </c>
      <c r="M827" s="94">
        <v>50</v>
      </c>
      <c r="N827" s="95" t="s">
        <v>289</v>
      </c>
      <c r="O827" s="93">
        <f t="shared" si="162"/>
        <v>0</v>
      </c>
      <c r="P827" s="93">
        <f t="shared" si="163"/>
        <v>0</v>
      </c>
      <c r="Q827" s="93">
        <f t="shared" si="164"/>
        <v>0</v>
      </c>
      <c r="R827" s="93">
        <f t="shared" si="165"/>
        <v>1449</v>
      </c>
      <c r="S827" s="93">
        <f t="shared" si="166"/>
        <v>0</v>
      </c>
      <c r="T827" s="93">
        <f t="shared" si="167"/>
        <v>1449</v>
      </c>
      <c r="U827" s="253">
        <f t="shared" si="168"/>
        <v>3519.6400000000003</v>
      </c>
      <c r="V827" s="93">
        <f t="shared" si="169"/>
        <v>0</v>
      </c>
    </row>
    <row r="828" spans="1:22" ht="18" customHeight="1" x14ac:dyDescent="0.2">
      <c r="A828" s="110" t="s">
        <v>1473</v>
      </c>
      <c r="B828" s="111"/>
      <c r="C828" s="201" t="s">
        <v>1474</v>
      </c>
      <c r="D828" s="91">
        <v>42843</v>
      </c>
      <c r="E828" s="92"/>
      <c r="F828" s="93"/>
      <c r="G828" s="93"/>
      <c r="H828" s="93">
        <v>2141.73</v>
      </c>
      <c r="I828" s="93">
        <v>760.73</v>
      </c>
      <c r="J828" s="93"/>
      <c r="K828" s="93">
        <f t="shared" si="160"/>
        <v>0</v>
      </c>
      <c r="L828" s="93">
        <f t="shared" si="161"/>
        <v>0</v>
      </c>
      <c r="M828" s="94">
        <v>50</v>
      </c>
      <c r="N828" s="95" t="s">
        <v>289</v>
      </c>
      <c r="O828" s="93">
        <f t="shared" si="162"/>
        <v>0</v>
      </c>
      <c r="P828" s="93">
        <f t="shared" si="163"/>
        <v>0</v>
      </c>
      <c r="Q828" s="93">
        <f t="shared" si="164"/>
        <v>0</v>
      </c>
      <c r="R828" s="93">
        <f t="shared" si="165"/>
        <v>221</v>
      </c>
      <c r="S828" s="93">
        <f t="shared" si="166"/>
        <v>0</v>
      </c>
      <c r="T828" s="93">
        <f t="shared" si="167"/>
        <v>221</v>
      </c>
      <c r="U828" s="253">
        <f t="shared" si="168"/>
        <v>539.73</v>
      </c>
      <c r="V828" s="93">
        <f t="shared" si="169"/>
        <v>0</v>
      </c>
    </row>
    <row r="829" spans="1:22" ht="18" customHeight="1" x14ac:dyDescent="0.2">
      <c r="A829" s="110" t="s">
        <v>1475</v>
      </c>
      <c r="B829" s="111"/>
      <c r="C829" s="201" t="s">
        <v>1459</v>
      </c>
      <c r="D829" s="91">
        <v>42851</v>
      </c>
      <c r="E829" s="92"/>
      <c r="F829" s="93"/>
      <c r="G829" s="93"/>
      <c r="H829" s="93">
        <v>15699</v>
      </c>
      <c r="I829" s="93">
        <v>5644</v>
      </c>
      <c r="J829" s="93"/>
      <c r="K829" s="93">
        <f t="shared" si="160"/>
        <v>0</v>
      </c>
      <c r="L829" s="93">
        <f t="shared" si="161"/>
        <v>0</v>
      </c>
      <c r="M829" s="94">
        <v>50</v>
      </c>
      <c r="N829" s="95" t="s">
        <v>289</v>
      </c>
      <c r="O829" s="93">
        <f t="shared" si="162"/>
        <v>0</v>
      </c>
      <c r="P829" s="93">
        <f t="shared" si="163"/>
        <v>0</v>
      </c>
      <c r="Q829" s="93">
        <f t="shared" si="164"/>
        <v>0</v>
      </c>
      <c r="R829" s="93">
        <f t="shared" si="165"/>
        <v>1646</v>
      </c>
      <c r="S829" s="93">
        <f t="shared" si="166"/>
        <v>0</v>
      </c>
      <c r="T829" s="93">
        <f t="shared" si="167"/>
        <v>1646</v>
      </c>
      <c r="U829" s="253">
        <f t="shared" si="168"/>
        <v>3998</v>
      </c>
      <c r="V829" s="93">
        <f t="shared" si="169"/>
        <v>0</v>
      </c>
    </row>
    <row r="830" spans="1:22" ht="18" customHeight="1" x14ac:dyDescent="0.2">
      <c r="A830" s="110" t="s">
        <v>1476</v>
      </c>
      <c r="B830" s="111"/>
      <c r="C830" s="201" t="s">
        <v>1477</v>
      </c>
      <c r="D830" s="91">
        <v>42791</v>
      </c>
      <c r="E830" s="92"/>
      <c r="F830" s="93"/>
      <c r="G830" s="93"/>
      <c r="H830" s="93">
        <v>1998</v>
      </c>
      <c r="I830" s="93">
        <v>653.35</v>
      </c>
      <c r="J830" s="93"/>
      <c r="K830" s="93">
        <f t="shared" si="160"/>
        <v>0</v>
      </c>
      <c r="L830" s="93">
        <f t="shared" si="161"/>
        <v>0</v>
      </c>
      <c r="M830" s="94">
        <v>50</v>
      </c>
      <c r="N830" s="95" t="s">
        <v>289</v>
      </c>
      <c r="O830" s="93">
        <f t="shared" si="162"/>
        <v>0</v>
      </c>
      <c r="P830" s="93">
        <f t="shared" si="163"/>
        <v>0</v>
      </c>
      <c r="Q830" s="93">
        <f t="shared" si="164"/>
        <v>0</v>
      </c>
      <c r="R830" s="93">
        <f t="shared" si="165"/>
        <v>190</v>
      </c>
      <c r="S830" s="93">
        <f t="shared" si="166"/>
        <v>0</v>
      </c>
      <c r="T830" s="93">
        <f t="shared" si="167"/>
        <v>190</v>
      </c>
      <c r="U830" s="253">
        <f t="shared" si="168"/>
        <v>463.35</v>
      </c>
      <c r="V830" s="93">
        <f t="shared" si="169"/>
        <v>0</v>
      </c>
    </row>
    <row r="831" spans="1:22" ht="18" customHeight="1" x14ac:dyDescent="0.2">
      <c r="A831" s="110" t="s">
        <v>1478</v>
      </c>
      <c r="B831" s="111"/>
      <c r="C831" s="201" t="s">
        <v>1479</v>
      </c>
      <c r="D831" s="91">
        <v>42791</v>
      </c>
      <c r="E831" s="92"/>
      <c r="F831" s="93"/>
      <c r="G831" s="93"/>
      <c r="H831" s="93">
        <v>1996.24</v>
      </c>
      <c r="I831" s="93">
        <v>652.24</v>
      </c>
      <c r="J831" s="93"/>
      <c r="K831" s="93">
        <f t="shared" si="160"/>
        <v>0</v>
      </c>
      <c r="L831" s="93">
        <f t="shared" si="161"/>
        <v>0</v>
      </c>
      <c r="M831" s="94">
        <v>50</v>
      </c>
      <c r="N831" s="95" t="s">
        <v>289</v>
      </c>
      <c r="O831" s="93">
        <f t="shared" si="162"/>
        <v>0</v>
      </c>
      <c r="P831" s="93">
        <f t="shared" si="163"/>
        <v>0</v>
      </c>
      <c r="Q831" s="93">
        <f t="shared" si="164"/>
        <v>0</v>
      </c>
      <c r="R831" s="93">
        <f t="shared" si="165"/>
        <v>190</v>
      </c>
      <c r="S831" s="93">
        <f t="shared" si="166"/>
        <v>0</v>
      </c>
      <c r="T831" s="93">
        <f t="shared" si="167"/>
        <v>190</v>
      </c>
      <c r="U831" s="253">
        <f t="shared" si="168"/>
        <v>462.24</v>
      </c>
      <c r="V831" s="93">
        <f t="shared" si="169"/>
        <v>0</v>
      </c>
    </row>
    <row r="832" spans="1:22" ht="18" customHeight="1" x14ac:dyDescent="0.2">
      <c r="A832" s="110" t="s">
        <v>1480</v>
      </c>
      <c r="B832" s="111"/>
      <c r="C832" s="201" t="s">
        <v>1481</v>
      </c>
      <c r="D832" s="91">
        <v>42826</v>
      </c>
      <c r="E832" s="92"/>
      <c r="F832" s="93"/>
      <c r="G832" s="93"/>
      <c r="H832" s="93">
        <v>6244.63</v>
      </c>
      <c r="I832" s="93">
        <v>2160.63</v>
      </c>
      <c r="J832" s="93"/>
      <c r="K832" s="93">
        <f t="shared" si="160"/>
        <v>0</v>
      </c>
      <c r="L832" s="93">
        <f t="shared" si="161"/>
        <v>0</v>
      </c>
      <c r="M832" s="94">
        <v>50</v>
      </c>
      <c r="N832" s="95" t="s">
        <v>289</v>
      </c>
      <c r="O832" s="93">
        <f t="shared" si="162"/>
        <v>0</v>
      </c>
      <c r="P832" s="93">
        <f t="shared" si="163"/>
        <v>0</v>
      </c>
      <c r="Q832" s="93">
        <f t="shared" si="164"/>
        <v>0</v>
      </c>
      <c r="R832" s="93">
        <f t="shared" si="165"/>
        <v>630</v>
      </c>
      <c r="S832" s="93">
        <f t="shared" si="166"/>
        <v>0</v>
      </c>
      <c r="T832" s="93">
        <f t="shared" si="167"/>
        <v>630</v>
      </c>
      <c r="U832" s="253">
        <f t="shared" si="168"/>
        <v>1530.63</v>
      </c>
      <c r="V832" s="93">
        <f t="shared" si="169"/>
        <v>0</v>
      </c>
    </row>
    <row r="833" spans="1:22" ht="18" customHeight="1" x14ac:dyDescent="0.2">
      <c r="A833" s="110" t="s">
        <v>1488</v>
      </c>
      <c r="B833" s="111"/>
      <c r="C833" s="201" t="s">
        <v>1489</v>
      </c>
      <c r="D833" s="91">
        <v>43157</v>
      </c>
      <c r="E833" s="92"/>
      <c r="F833" s="93"/>
      <c r="G833" s="93"/>
      <c r="H833" s="93">
        <v>2908</v>
      </c>
      <c r="I833" s="93">
        <v>1617</v>
      </c>
      <c r="J833" s="93"/>
      <c r="K833" s="93">
        <f t="shared" si="160"/>
        <v>0</v>
      </c>
      <c r="L833" s="93">
        <f t="shared" si="161"/>
        <v>0</v>
      </c>
      <c r="M833" s="94">
        <v>66.67</v>
      </c>
      <c r="N833" s="95" t="s">
        <v>289</v>
      </c>
      <c r="O833" s="93">
        <f t="shared" si="162"/>
        <v>0</v>
      </c>
      <c r="P833" s="93">
        <f t="shared" si="163"/>
        <v>0</v>
      </c>
      <c r="Q833" s="93">
        <f t="shared" si="164"/>
        <v>0</v>
      </c>
      <c r="R833" s="93">
        <f t="shared" si="165"/>
        <v>628</v>
      </c>
      <c r="S833" s="93">
        <f t="shared" si="166"/>
        <v>0</v>
      </c>
      <c r="T833" s="93">
        <f t="shared" si="167"/>
        <v>628</v>
      </c>
      <c r="U833" s="253">
        <f t="shared" si="168"/>
        <v>989</v>
      </c>
      <c r="V833" s="93">
        <f t="shared" si="169"/>
        <v>0</v>
      </c>
    </row>
    <row r="834" spans="1:22" ht="18" customHeight="1" x14ac:dyDescent="0.2">
      <c r="A834" s="110" t="s">
        <v>1490</v>
      </c>
      <c r="B834" s="111"/>
      <c r="C834" s="201" t="s">
        <v>1489</v>
      </c>
      <c r="D834" s="91">
        <v>43157</v>
      </c>
      <c r="E834" s="92"/>
      <c r="F834" s="93"/>
      <c r="G834" s="93"/>
      <c r="H834" s="93">
        <v>2668</v>
      </c>
      <c r="I834" s="93">
        <v>1484</v>
      </c>
      <c r="J834" s="93"/>
      <c r="K834" s="93">
        <f t="shared" si="160"/>
        <v>0</v>
      </c>
      <c r="L834" s="93">
        <f t="shared" si="161"/>
        <v>0</v>
      </c>
      <c r="M834" s="94">
        <v>66.67</v>
      </c>
      <c r="N834" s="95" t="s">
        <v>289</v>
      </c>
      <c r="O834" s="93">
        <f t="shared" si="162"/>
        <v>0</v>
      </c>
      <c r="P834" s="93">
        <f t="shared" si="163"/>
        <v>0</v>
      </c>
      <c r="Q834" s="93">
        <f t="shared" si="164"/>
        <v>0</v>
      </c>
      <c r="R834" s="93">
        <f t="shared" si="165"/>
        <v>577</v>
      </c>
      <c r="S834" s="93">
        <f t="shared" si="166"/>
        <v>0</v>
      </c>
      <c r="T834" s="93">
        <f t="shared" si="167"/>
        <v>577</v>
      </c>
      <c r="U834" s="253">
        <f t="shared" si="168"/>
        <v>907</v>
      </c>
      <c r="V834" s="93">
        <f t="shared" si="169"/>
        <v>0</v>
      </c>
    </row>
    <row r="835" spans="1:22" ht="18" customHeight="1" x14ac:dyDescent="0.2">
      <c r="A835" s="110" t="s">
        <v>1495</v>
      </c>
      <c r="B835" s="111"/>
      <c r="C835" s="201" t="s">
        <v>1496</v>
      </c>
      <c r="D835" s="91">
        <v>43191</v>
      </c>
      <c r="E835" s="92"/>
      <c r="F835" s="93"/>
      <c r="G835" s="93"/>
      <c r="H835" s="93">
        <v>8732</v>
      </c>
      <c r="I835" s="93">
        <v>6040.9702000000007</v>
      </c>
      <c r="J835" s="93"/>
      <c r="K835" s="93">
        <f t="shared" si="160"/>
        <v>0</v>
      </c>
      <c r="L835" s="93">
        <f t="shared" si="161"/>
        <v>0</v>
      </c>
      <c r="M835" s="94">
        <v>50</v>
      </c>
      <c r="N835" s="95" t="s">
        <v>289</v>
      </c>
      <c r="O835" s="93">
        <f t="shared" si="162"/>
        <v>0</v>
      </c>
      <c r="P835" s="93">
        <f t="shared" si="163"/>
        <v>0</v>
      </c>
      <c r="Q835" s="93">
        <f t="shared" si="164"/>
        <v>0</v>
      </c>
      <c r="R835" s="93">
        <f t="shared" si="165"/>
        <v>1761</v>
      </c>
      <c r="S835" s="93">
        <f t="shared" si="166"/>
        <v>0</v>
      </c>
      <c r="T835" s="93">
        <f t="shared" si="167"/>
        <v>1761</v>
      </c>
      <c r="U835" s="253">
        <f t="shared" si="168"/>
        <v>4279.9702000000007</v>
      </c>
      <c r="V835" s="93">
        <f t="shared" si="169"/>
        <v>0</v>
      </c>
    </row>
    <row r="836" spans="1:22" ht="18" customHeight="1" x14ac:dyDescent="0.2">
      <c r="A836" s="110" t="s">
        <v>1499</v>
      </c>
      <c r="B836" s="111"/>
      <c r="C836" s="201" t="s">
        <v>1500</v>
      </c>
      <c r="D836" s="91">
        <v>42944</v>
      </c>
      <c r="E836" s="92"/>
      <c r="F836" s="93"/>
      <c r="G836" s="93"/>
      <c r="H836" s="93">
        <v>16899</v>
      </c>
      <c r="I836" s="93">
        <v>7173</v>
      </c>
      <c r="J836" s="93"/>
      <c r="K836" s="93">
        <f t="shared" si="160"/>
        <v>0</v>
      </c>
      <c r="L836" s="93">
        <f t="shared" si="161"/>
        <v>0</v>
      </c>
      <c r="M836" s="94">
        <v>50</v>
      </c>
      <c r="N836" s="95" t="s">
        <v>289</v>
      </c>
      <c r="O836" s="93">
        <f t="shared" si="162"/>
        <v>0</v>
      </c>
      <c r="P836" s="93">
        <f t="shared" si="163"/>
        <v>0</v>
      </c>
      <c r="Q836" s="93">
        <f t="shared" si="164"/>
        <v>0</v>
      </c>
      <c r="R836" s="93">
        <f t="shared" si="165"/>
        <v>2092</v>
      </c>
      <c r="S836" s="93">
        <f t="shared" si="166"/>
        <v>0</v>
      </c>
      <c r="T836" s="93">
        <f t="shared" si="167"/>
        <v>2092</v>
      </c>
      <c r="U836" s="253">
        <f t="shared" si="168"/>
        <v>5081</v>
      </c>
      <c r="V836" s="93">
        <f t="shared" si="169"/>
        <v>0</v>
      </c>
    </row>
    <row r="837" spans="1:22" ht="18" customHeight="1" x14ac:dyDescent="0.2">
      <c r="A837" s="110" t="s">
        <v>1501</v>
      </c>
      <c r="B837" s="111"/>
      <c r="C837" s="201" t="s">
        <v>1502</v>
      </c>
      <c r="D837" s="91">
        <v>42976</v>
      </c>
      <c r="E837" s="92"/>
      <c r="F837" s="93"/>
      <c r="G837" s="93"/>
      <c r="H837" s="93">
        <v>1492.53</v>
      </c>
      <c r="I837" s="93">
        <v>684.53</v>
      </c>
      <c r="J837" s="93"/>
      <c r="K837" s="93">
        <f t="shared" si="160"/>
        <v>0</v>
      </c>
      <c r="L837" s="93">
        <f t="shared" si="161"/>
        <v>0</v>
      </c>
      <c r="M837" s="94">
        <v>50</v>
      </c>
      <c r="N837" s="95" t="s">
        <v>289</v>
      </c>
      <c r="O837" s="93">
        <f t="shared" si="162"/>
        <v>0</v>
      </c>
      <c r="P837" s="93">
        <f t="shared" si="163"/>
        <v>0</v>
      </c>
      <c r="Q837" s="93">
        <f t="shared" si="164"/>
        <v>0</v>
      </c>
      <c r="R837" s="93">
        <f t="shared" si="165"/>
        <v>199</v>
      </c>
      <c r="S837" s="93">
        <f t="shared" si="166"/>
        <v>0</v>
      </c>
      <c r="T837" s="93">
        <f t="shared" si="167"/>
        <v>199</v>
      </c>
      <c r="U837" s="253">
        <f t="shared" si="168"/>
        <v>485.53</v>
      </c>
      <c r="V837" s="93">
        <f t="shared" si="169"/>
        <v>0</v>
      </c>
    </row>
    <row r="838" spans="1:22" ht="18" customHeight="1" x14ac:dyDescent="0.2">
      <c r="A838" s="110" t="s">
        <v>1503</v>
      </c>
      <c r="B838" s="111"/>
      <c r="C838" s="201" t="s">
        <v>1504</v>
      </c>
      <c r="D838" s="91">
        <v>42996</v>
      </c>
      <c r="E838" s="92"/>
      <c r="F838" s="93"/>
      <c r="G838" s="93"/>
      <c r="H838" s="93">
        <v>1551</v>
      </c>
      <c r="I838" s="93">
        <v>745</v>
      </c>
      <c r="J838" s="93"/>
      <c r="K838" s="93">
        <f t="shared" ref="K838:K874" si="170">INT(IF($E838&gt;0,IF(+F838-I838+Q838&lt;0,0,+F838-I838+Q838),0))</f>
        <v>0</v>
      </c>
      <c r="L838" s="93">
        <f t="shared" ref="L838:L874" si="171">INT(IF($E838&gt;0,IF(K838=0,-F838+I838-Q838,0),0))</f>
        <v>0</v>
      </c>
      <c r="M838" s="94">
        <v>50</v>
      </c>
      <c r="N838" s="95" t="s">
        <v>289</v>
      </c>
      <c r="O838" s="93">
        <f t="shared" ref="O838:O874" si="172">IF(E838&gt;0,INT(IF($N838="D",IF($D838&lt;$H$3,$I838*($M838/100)*((E838-$H$3)/365),$J838*($M838/100)*($J$3-$D838)/365),0)),0)</f>
        <v>0</v>
      </c>
      <c r="P838" s="93">
        <f t="shared" ref="P838:P874" si="173">IF(E838&gt;0,INT(IF($N838="P",IF($D838&lt;$H$3,$H838*($M838/100)*(E838-$H$3)/365,$J838*($M838/100)*($J$3-$D838)/365),0)),0)</f>
        <v>0</v>
      </c>
      <c r="Q838" s="93">
        <f t="shared" ref="Q838:Q874" si="174">+O838+P838</f>
        <v>0</v>
      </c>
      <c r="R838" s="93">
        <f t="shared" ref="R838:R878" si="175">INT(IF($E838&gt;0,0,(IF($N838="D",IF($D838&lt;$H$3,$I838*($M838/100)*$U$3/12,$J838*($M838/100)*($J$3-$D838)/365),0))))</f>
        <v>217</v>
      </c>
      <c r="S838" s="93">
        <f t="shared" ref="S838:S878" si="176">INT(IF($E838&gt;0,0,(IF($N838="P",IF($D838&lt;$H$3,$H838*($M838/100)*$U$3/12,$J838*($M838/100)*($J$3-$D838)/365),0))))</f>
        <v>0</v>
      </c>
      <c r="T838" s="93">
        <f t="shared" ref="T838:T874" si="177">+R838+S838+Q838</f>
        <v>217</v>
      </c>
      <c r="U838" s="253">
        <f t="shared" si="168"/>
        <v>528</v>
      </c>
      <c r="V838" s="93">
        <f t="shared" si="169"/>
        <v>0</v>
      </c>
    </row>
    <row r="839" spans="1:22" ht="18" customHeight="1" x14ac:dyDescent="0.2">
      <c r="A839" s="110" t="s">
        <v>1505</v>
      </c>
      <c r="B839" s="111"/>
      <c r="C839" s="201" t="s">
        <v>1506</v>
      </c>
      <c r="D839" s="91">
        <v>42996</v>
      </c>
      <c r="E839" s="92"/>
      <c r="F839" s="93"/>
      <c r="G839" s="93"/>
      <c r="H839" s="93">
        <v>1564</v>
      </c>
      <c r="I839" s="93">
        <v>752</v>
      </c>
      <c r="J839" s="93"/>
      <c r="K839" s="93">
        <f t="shared" si="170"/>
        <v>0</v>
      </c>
      <c r="L839" s="93">
        <f t="shared" si="171"/>
        <v>0</v>
      </c>
      <c r="M839" s="94">
        <v>50</v>
      </c>
      <c r="N839" s="95" t="s">
        <v>289</v>
      </c>
      <c r="O839" s="93">
        <f t="shared" si="172"/>
        <v>0</v>
      </c>
      <c r="P839" s="93">
        <f t="shared" si="173"/>
        <v>0</v>
      </c>
      <c r="Q839" s="93">
        <f t="shared" si="174"/>
        <v>0</v>
      </c>
      <c r="R839" s="93">
        <f t="shared" si="175"/>
        <v>219</v>
      </c>
      <c r="S839" s="93">
        <f t="shared" si="176"/>
        <v>0</v>
      </c>
      <c r="T839" s="93">
        <f t="shared" si="177"/>
        <v>219</v>
      </c>
      <c r="U839" s="253">
        <f t="shared" si="168"/>
        <v>533</v>
      </c>
      <c r="V839" s="93">
        <f t="shared" si="169"/>
        <v>0</v>
      </c>
    </row>
    <row r="840" spans="1:22" ht="18" customHeight="1" x14ac:dyDescent="0.2">
      <c r="A840" s="110" t="s">
        <v>1507</v>
      </c>
      <c r="B840" s="111"/>
      <c r="C840" s="201" t="s">
        <v>1508</v>
      </c>
      <c r="D840" s="91">
        <v>43009</v>
      </c>
      <c r="E840" s="92"/>
      <c r="F840" s="93"/>
      <c r="G840" s="93"/>
      <c r="H840" s="93">
        <v>3289.9900000000002</v>
      </c>
      <c r="I840" s="93">
        <v>1627.99</v>
      </c>
      <c r="J840" s="93"/>
      <c r="K840" s="93">
        <f t="shared" si="170"/>
        <v>0</v>
      </c>
      <c r="L840" s="93">
        <f t="shared" si="171"/>
        <v>0</v>
      </c>
      <c r="M840" s="94">
        <v>50</v>
      </c>
      <c r="N840" s="95" t="s">
        <v>289</v>
      </c>
      <c r="O840" s="93">
        <f t="shared" si="172"/>
        <v>0</v>
      </c>
      <c r="P840" s="93">
        <f t="shared" si="173"/>
        <v>0</v>
      </c>
      <c r="Q840" s="93">
        <f t="shared" si="174"/>
        <v>0</v>
      </c>
      <c r="R840" s="93">
        <f t="shared" si="175"/>
        <v>474</v>
      </c>
      <c r="S840" s="93">
        <f t="shared" si="176"/>
        <v>0</v>
      </c>
      <c r="T840" s="93">
        <f t="shared" si="177"/>
        <v>474</v>
      </c>
      <c r="U840" s="253">
        <f t="shared" si="168"/>
        <v>1153.99</v>
      </c>
      <c r="V840" s="93">
        <f t="shared" si="169"/>
        <v>0</v>
      </c>
    </row>
    <row r="841" spans="1:22" ht="18" customHeight="1" x14ac:dyDescent="0.2">
      <c r="A841" s="110" t="s">
        <v>1509</v>
      </c>
      <c r="B841" s="111"/>
      <c r="C841" s="201" t="s">
        <v>1510</v>
      </c>
      <c r="D841" s="91">
        <v>43009</v>
      </c>
      <c r="E841" s="92"/>
      <c r="F841" s="93"/>
      <c r="G841" s="93"/>
      <c r="H841" s="93">
        <v>3445.1</v>
      </c>
      <c r="I841" s="93">
        <v>1705.1000000000001</v>
      </c>
      <c r="J841" s="93"/>
      <c r="K841" s="93">
        <f t="shared" si="170"/>
        <v>0</v>
      </c>
      <c r="L841" s="93">
        <f t="shared" si="171"/>
        <v>0</v>
      </c>
      <c r="M841" s="94">
        <v>50</v>
      </c>
      <c r="N841" s="95" t="s">
        <v>289</v>
      </c>
      <c r="O841" s="93">
        <f t="shared" si="172"/>
        <v>0</v>
      </c>
      <c r="P841" s="93">
        <f t="shared" si="173"/>
        <v>0</v>
      </c>
      <c r="Q841" s="93">
        <f t="shared" si="174"/>
        <v>0</v>
      </c>
      <c r="R841" s="93">
        <f t="shared" si="175"/>
        <v>497</v>
      </c>
      <c r="S841" s="93">
        <f t="shared" si="176"/>
        <v>0</v>
      </c>
      <c r="T841" s="93">
        <f t="shared" si="177"/>
        <v>497</v>
      </c>
      <c r="U841" s="253">
        <f t="shared" si="168"/>
        <v>1208.1000000000001</v>
      </c>
      <c r="V841" s="93">
        <f t="shared" si="169"/>
        <v>0</v>
      </c>
    </row>
    <row r="842" spans="1:22" ht="18" customHeight="1" x14ac:dyDescent="0.2">
      <c r="A842" s="110" t="s">
        <v>1511</v>
      </c>
      <c r="B842" s="111"/>
      <c r="C842" s="201" t="s">
        <v>1512</v>
      </c>
      <c r="D842" s="91">
        <v>43009</v>
      </c>
      <c r="E842" s="92"/>
      <c r="F842" s="93"/>
      <c r="G842" s="93"/>
      <c r="H842" s="93">
        <v>1645</v>
      </c>
      <c r="I842" s="93">
        <v>814</v>
      </c>
      <c r="J842" s="93"/>
      <c r="K842" s="93">
        <f t="shared" si="170"/>
        <v>0</v>
      </c>
      <c r="L842" s="93">
        <f t="shared" si="171"/>
        <v>0</v>
      </c>
      <c r="M842" s="94">
        <v>50</v>
      </c>
      <c r="N842" s="95" t="s">
        <v>289</v>
      </c>
      <c r="O842" s="93">
        <f t="shared" si="172"/>
        <v>0</v>
      </c>
      <c r="P842" s="93">
        <f t="shared" si="173"/>
        <v>0</v>
      </c>
      <c r="Q842" s="93">
        <f t="shared" si="174"/>
        <v>0</v>
      </c>
      <c r="R842" s="93">
        <f t="shared" si="175"/>
        <v>237</v>
      </c>
      <c r="S842" s="93">
        <f t="shared" si="176"/>
        <v>0</v>
      </c>
      <c r="T842" s="93">
        <f t="shared" si="177"/>
        <v>237</v>
      </c>
      <c r="U842" s="253">
        <f t="shared" si="168"/>
        <v>577</v>
      </c>
      <c r="V842" s="93">
        <f t="shared" si="169"/>
        <v>0</v>
      </c>
    </row>
    <row r="843" spans="1:22" ht="18" customHeight="1" x14ac:dyDescent="0.2">
      <c r="A843" s="110" t="s">
        <v>1513</v>
      </c>
      <c r="B843" s="111"/>
      <c r="C843" s="203" t="s">
        <v>1514</v>
      </c>
      <c r="D843" s="91">
        <v>43009</v>
      </c>
      <c r="E843" s="92"/>
      <c r="F843" s="93"/>
      <c r="G843" s="209"/>
      <c r="H843" s="93">
        <v>3358.6</v>
      </c>
      <c r="I843" s="93">
        <v>1661.6000000000001</v>
      </c>
      <c r="J843" s="93"/>
      <c r="K843" s="93">
        <f t="shared" si="170"/>
        <v>0</v>
      </c>
      <c r="L843" s="93">
        <f t="shared" si="171"/>
        <v>0</v>
      </c>
      <c r="M843" s="94">
        <v>50</v>
      </c>
      <c r="N843" s="95" t="s">
        <v>289</v>
      </c>
      <c r="O843" s="93">
        <f t="shared" si="172"/>
        <v>0</v>
      </c>
      <c r="P843" s="93">
        <f t="shared" si="173"/>
        <v>0</v>
      </c>
      <c r="Q843" s="93">
        <f t="shared" si="174"/>
        <v>0</v>
      </c>
      <c r="R843" s="93">
        <f t="shared" si="175"/>
        <v>484</v>
      </c>
      <c r="S843" s="93">
        <f t="shared" si="176"/>
        <v>0</v>
      </c>
      <c r="T843" s="93">
        <f t="shared" si="177"/>
        <v>484</v>
      </c>
      <c r="U843" s="253">
        <f t="shared" si="168"/>
        <v>1177.6000000000001</v>
      </c>
      <c r="V843" s="93">
        <f t="shared" si="169"/>
        <v>0</v>
      </c>
    </row>
    <row r="844" spans="1:22" ht="18" customHeight="1" x14ac:dyDescent="0.2">
      <c r="A844" s="110" t="s">
        <v>1515</v>
      </c>
      <c r="B844" s="111"/>
      <c r="C844" s="201" t="s">
        <v>1516</v>
      </c>
      <c r="D844" s="91">
        <v>43046</v>
      </c>
      <c r="E844" s="92"/>
      <c r="F844" s="93"/>
      <c r="G844" s="93"/>
      <c r="H844" s="93">
        <v>47895</v>
      </c>
      <c r="I844" s="93">
        <v>25618</v>
      </c>
      <c r="J844" s="93"/>
      <c r="K844" s="93">
        <f t="shared" si="170"/>
        <v>0</v>
      </c>
      <c r="L844" s="93">
        <f t="shared" si="171"/>
        <v>0</v>
      </c>
      <c r="M844" s="94">
        <v>50</v>
      </c>
      <c r="N844" s="95" t="s">
        <v>289</v>
      </c>
      <c r="O844" s="93">
        <f t="shared" si="172"/>
        <v>0</v>
      </c>
      <c r="P844" s="93">
        <f t="shared" si="173"/>
        <v>0</v>
      </c>
      <c r="Q844" s="93">
        <f t="shared" si="174"/>
        <v>0</v>
      </c>
      <c r="R844" s="93">
        <f t="shared" si="175"/>
        <v>7471</v>
      </c>
      <c r="S844" s="93">
        <f t="shared" si="176"/>
        <v>0</v>
      </c>
      <c r="T844" s="93">
        <f t="shared" si="177"/>
        <v>7471</v>
      </c>
      <c r="U844" s="253">
        <f t="shared" si="168"/>
        <v>18147</v>
      </c>
      <c r="V844" s="93">
        <f t="shared" si="169"/>
        <v>0</v>
      </c>
    </row>
    <row r="845" spans="1:22" ht="18" customHeight="1" x14ac:dyDescent="0.2">
      <c r="A845" s="110" t="s">
        <v>1517</v>
      </c>
      <c r="B845" s="111"/>
      <c r="C845" s="203" t="s">
        <v>1518</v>
      </c>
      <c r="D845" s="91">
        <v>43146</v>
      </c>
      <c r="E845" s="92"/>
      <c r="F845" s="93"/>
      <c r="G845" s="209"/>
      <c r="H845" s="93">
        <v>3274</v>
      </c>
      <c r="I845" s="93">
        <v>1773</v>
      </c>
      <c r="J845" s="93"/>
      <c r="K845" s="93">
        <f t="shared" si="170"/>
        <v>0</v>
      </c>
      <c r="L845" s="93">
        <f t="shared" si="171"/>
        <v>0</v>
      </c>
      <c r="M845" s="94">
        <v>66.67</v>
      </c>
      <c r="N845" s="95" t="s">
        <v>289</v>
      </c>
      <c r="O845" s="93">
        <f t="shared" si="172"/>
        <v>0</v>
      </c>
      <c r="P845" s="93">
        <f t="shared" si="173"/>
        <v>0</v>
      </c>
      <c r="Q845" s="93">
        <f t="shared" si="174"/>
        <v>0</v>
      </c>
      <c r="R845" s="93">
        <f t="shared" si="175"/>
        <v>689</v>
      </c>
      <c r="S845" s="93">
        <f t="shared" si="176"/>
        <v>0</v>
      </c>
      <c r="T845" s="93">
        <f t="shared" si="177"/>
        <v>689</v>
      </c>
      <c r="U845" s="253">
        <f t="shared" ref="U845:U874" si="178">+I845+J845-T845-F845+K845-L845</f>
        <v>1084</v>
      </c>
      <c r="V845" s="93">
        <f t="shared" ref="V845:V878" si="179">IF(E845&gt;0,+H845+J845,0)</f>
        <v>0</v>
      </c>
    </row>
    <row r="846" spans="1:22" ht="18" customHeight="1" x14ac:dyDescent="0.2">
      <c r="A846" s="110" t="s">
        <v>1519</v>
      </c>
      <c r="B846" s="111"/>
      <c r="C846" s="201" t="s">
        <v>1520</v>
      </c>
      <c r="D846" s="91">
        <v>43149</v>
      </c>
      <c r="E846" s="92"/>
      <c r="F846" s="93"/>
      <c r="G846" s="93"/>
      <c r="H846" s="93">
        <v>17500</v>
      </c>
      <c r="I846" s="93">
        <v>11312</v>
      </c>
      <c r="J846" s="93"/>
      <c r="K846" s="93">
        <f t="shared" si="170"/>
        <v>0</v>
      </c>
      <c r="L846" s="93">
        <f t="shared" si="171"/>
        <v>0</v>
      </c>
      <c r="M846" s="94">
        <v>50</v>
      </c>
      <c r="N846" s="95" t="s">
        <v>289</v>
      </c>
      <c r="O846" s="93">
        <f t="shared" si="172"/>
        <v>0</v>
      </c>
      <c r="P846" s="93">
        <f t="shared" si="173"/>
        <v>0</v>
      </c>
      <c r="Q846" s="93">
        <f t="shared" si="174"/>
        <v>0</v>
      </c>
      <c r="R846" s="93">
        <f t="shared" si="175"/>
        <v>3299</v>
      </c>
      <c r="S846" s="93">
        <f t="shared" si="176"/>
        <v>0</v>
      </c>
      <c r="T846" s="93">
        <f t="shared" si="177"/>
        <v>3299</v>
      </c>
      <c r="U846" s="253">
        <f t="shared" si="178"/>
        <v>8013</v>
      </c>
      <c r="V846" s="93">
        <f t="shared" si="179"/>
        <v>0</v>
      </c>
    </row>
    <row r="847" spans="1:22" ht="18" customHeight="1" x14ac:dyDescent="0.2">
      <c r="A847" s="110" t="s">
        <v>1521</v>
      </c>
      <c r="B847" s="111"/>
      <c r="C847" s="203" t="s">
        <v>1522</v>
      </c>
      <c r="D847" s="91">
        <v>43153</v>
      </c>
      <c r="E847" s="92"/>
      <c r="F847" s="93"/>
      <c r="G847" s="93"/>
      <c r="H847" s="93">
        <v>20154</v>
      </c>
      <c r="I847" s="93">
        <v>13115</v>
      </c>
      <c r="J847" s="93"/>
      <c r="K847" s="93">
        <f t="shared" si="170"/>
        <v>0</v>
      </c>
      <c r="L847" s="93">
        <f t="shared" si="171"/>
        <v>0</v>
      </c>
      <c r="M847" s="94">
        <v>50</v>
      </c>
      <c r="N847" s="95" t="s">
        <v>289</v>
      </c>
      <c r="O847" s="93">
        <f t="shared" si="172"/>
        <v>0</v>
      </c>
      <c r="P847" s="93">
        <f t="shared" si="173"/>
        <v>0</v>
      </c>
      <c r="Q847" s="93">
        <f t="shared" si="174"/>
        <v>0</v>
      </c>
      <c r="R847" s="93">
        <f t="shared" si="175"/>
        <v>3825</v>
      </c>
      <c r="S847" s="93">
        <f t="shared" si="176"/>
        <v>0</v>
      </c>
      <c r="T847" s="93">
        <f t="shared" si="177"/>
        <v>3825</v>
      </c>
      <c r="U847" s="253">
        <f t="shared" si="178"/>
        <v>9290</v>
      </c>
      <c r="V847" s="93">
        <f t="shared" si="179"/>
        <v>0</v>
      </c>
    </row>
    <row r="848" spans="1:22" ht="18" customHeight="1" x14ac:dyDescent="0.2">
      <c r="A848" s="110" t="s">
        <v>1523</v>
      </c>
      <c r="B848" s="111"/>
      <c r="C848" s="201" t="s">
        <v>1524</v>
      </c>
      <c r="D848" s="91">
        <v>43157</v>
      </c>
      <c r="E848" s="92"/>
      <c r="F848" s="93"/>
      <c r="G848" s="93"/>
      <c r="H848" s="93">
        <v>27829</v>
      </c>
      <c r="I848" s="93">
        <v>15474</v>
      </c>
      <c r="J848" s="93"/>
      <c r="K848" s="93">
        <f t="shared" si="170"/>
        <v>0</v>
      </c>
      <c r="L848" s="93">
        <f t="shared" si="171"/>
        <v>0</v>
      </c>
      <c r="M848" s="94">
        <v>66.67</v>
      </c>
      <c r="N848" s="95" t="s">
        <v>289</v>
      </c>
      <c r="O848" s="93">
        <f t="shared" si="172"/>
        <v>0</v>
      </c>
      <c r="P848" s="93">
        <f t="shared" si="173"/>
        <v>0</v>
      </c>
      <c r="Q848" s="93">
        <f t="shared" si="174"/>
        <v>0</v>
      </c>
      <c r="R848" s="93">
        <f t="shared" si="175"/>
        <v>6017</v>
      </c>
      <c r="S848" s="93">
        <f t="shared" si="176"/>
        <v>0</v>
      </c>
      <c r="T848" s="93">
        <f t="shared" si="177"/>
        <v>6017</v>
      </c>
      <c r="U848" s="253">
        <f t="shared" si="178"/>
        <v>9457</v>
      </c>
      <c r="V848" s="93">
        <f t="shared" si="179"/>
        <v>0</v>
      </c>
    </row>
    <row r="849" spans="1:22" ht="18" customHeight="1" x14ac:dyDescent="0.2">
      <c r="A849" s="110" t="s">
        <v>1525</v>
      </c>
      <c r="B849" s="111"/>
      <c r="C849" s="201" t="s">
        <v>1526</v>
      </c>
      <c r="D849" s="91">
        <v>43157</v>
      </c>
      <c r="E849" s="92"/>
      <c r="F849" s="93"/>
      <c r="G849" s="93"/>
      <c r="H849" s="93">
        <v>24750</v>
      </c>
      <c r="I849" s="93">
        <v>16213</v>
      </c>
      <c r="J849" s="93"/>
      <c r="K849" s="93">
        <f t="shared" si="170"/>
        <v>0</v>
      </c>
      <c r="L849" s="93">
        <f t="shared" si="171"/>
        <v>0</v>
      </c>
      <c r="M849" s="94">
        <v>50</v>
      </c>
      <c r="N849" s="95" t="s">
        <v>289</v>
      </c>
      <c r="O849" s="93">
        <f t="shared" si="172"/>
        <v>0</v>
      </c>
      <c r="P849" s="93">
        <f t="shared" si="173"/>
        <v>0</v>
      </c>
      <c r="Q849" s="93">
        <f t="shared" si="174"/>
        <v>0</v>
      </c>
      <c r="R849" s="93">
        <f t="shared" si="175"/>
        <v>4728</v>
      </c>
      <c r="S849" s="93">
        <f t="shared" si="176"/>
        <v>0</v>
      </c>
      <c r="T849" s="93">
        <f t="shared" si="177"/>
        <v>4728</v>
      </c>
      <c r="U849" s="253">
        <f t="shared" si="178"/>
        <v>11485</v>
      </c>
      <c r="V849" s="93">
        <f t="shared" si="179"/>
        <v>0</v>
      </c>
    </row>
    <row r="850" spans="1:22" ht="18" customHeight="1" x14ac:dyDescent="0.2">
      <c r="A850" s="110" t="s">
        <v>1527</v>
      </c>
      <c r="B850" s="111"/>
      <c r="C850" s="201" t="s">
        <v>1528</v>
      </c>
      <c r="D850" s="91">
        <v>43167</v>
      </c>
      <c r="E850" s="92"/>
      <c r="F850" s="93"/>
      <c r="G850" s="93"/>
      <c r="H850" s="93">
        <v>4576.83</v>
      </c>
      <c r="I850" s="93">
        <v>3047.83</v>
      </c>
      <c r="J850" s="93"/>
      <c r="K850" s="93">
        <f t="shared" si="170"/>
        <v>0</v>
      </c>
      <c r="L850" s="93">
        <f t="shared" si="171"/>
        <v>0</v>
      </c>
      <c r="M850" s="94">
        <v>50</v>
      </c>
      <c r="N850" s="95" t="s">
        <v>289</v>
      </c>
      <c r="O850" s="93">
        <f t="shared" si="172"/>
        <v>0</v>
      </c>
      <c r="P850" s="93">
        <f t="shared" si="173"/>
        <v>0</v>
      </c>
      <c r="Q850" s="93">
        <f t="shared" si="174"/>
        <v>0</v>
      </c>
      <c r="R850" s="93">
        <f t="shared" si="175"/>
        <v>888</v>
      </c>
      <c r="S850" s="93">
        <f t="shared" si="176"/>
        <v>0</v>
      </c>
      <c r="T850" s="93">
        <f t="shared" si="177"/>
        <v>888</v>
      </c>
      <c r="U850" s="253">
        <f t="shared" si="178"/>
        <v>2159.83</v>
      </c>
      <c r="V850" s="93">
        <f t="shared" si="179"/>
        <v>0</v>
      </c>
    </row>
    <row r="851" spans="1:22" ht="18" customHeight="1" x14ac:dyDescent="0.2">
      <c r="A851" s="110" t="s">
        <v>1529</v>
      </c>
      <c r="B851" s="111"/>
      <c r="C851" s="203" t="s">
        <v>1530</v>
      </c>
      <c r="D851" s="91">
        <v>43167</v>
      </c>
      <c r="E851" s="92"/>
      <c r="F851" s="93"/>
      <c r="G851" s="209"/>
      <c r="H851" s="93">
        <v>3292.12</v>
      </c>
      <c r="I851" s="93">
        <v>2192.12</v>
      </c>
      <c r="J851" s="93"/>
      <c r="K851" s="93">
        <f t="shared" si="170"/>
        <v>0</v>
      </c>
      <c r="L851" s="93">
        <f t="shared" si="171"/>
        <v>0</v>
      </c>
      <c r="M851" s="94">
        <v>50</v>
      </c>
      <c r="N851" s="95" t="s">
        <v>289</v>
      </c>
      <c r="O851" s="93">
        <f t="shared" si="172"/>
        <v>0</v>
      </c>
      <c r="P851" s="93">
        <f t="shared" si="173"/>
        <v>0</v>
      </c>
      <c r="Q851" s="93">
        <f t="shared" si="174"/>
        <v>0</v>
      </c>
      <c r="R851" s="93">
        <f t="shared" si="175"/>
        <v>639</v>
      </c>
      <c r="S851" s="93">
        <f t="shared" si="176"/>
        <v>0</v>
      </c>
      <c r="T851" s="93">
        <f t="shared" si="177"/>
        <v>639</v>
      </c>
      <c r="U851" s="253">
        <f t="shared" si="178"/>
        <v>1553.12</v>
      </c>
      <c r="V851" s="93">
        <f t="shared" si="179"/>
        <v>0</v>
      </c>
    </row>
    <row r="852" spans="1:22" ht="18" customHeight="1" x14ac:dyDescent="0.2">
      <c r="A852" s="110" t="s">
        <v>1531</v>
      </c>
      <c r="B852" s="111"/>
      <c r="C852" s="201" t="s">
        <v>1532</v>
      </c>
      <c r="D852" s="91">
        <v>43167</v>
      </c>
      <c r="E852" s="92"/>
      <c r="F852" s="93"/>
      <c r="G852" s="93"/>
      <c r="H852" s="93">
        <v>10679.26</v>
      </c>
      <c r="I852" s="93">
        <v>7111.26</v>
      </c>
      <c r="J852" s="93"/>
      <c r="K852" s="93">
        <f t="shared" si="170"/>
        <v>0</v>
      </c>
      <c r="L852" s="93">
        <f t="shared" si="171"/>
        <v>0</v>
      </c>
      <c r="M852" s="94">
        <v>50</v>
      </c>
      <c r="N852" s="95" t="s">
        <v>289</v>
      </c>
      <c r="O852" s="93">
        <f t="shared" si="172"/>
        <v>0</v>
      </c>
      <c r="P852" s="93">
        <f t="shared" si="173"/>
        <v>0</v>
      </c>
      <c r="Q852" s="93">
        <f t="shared" si="174"/>
        <v>0</v>
      </c>
      <c r="R852" s="93">
        <f t="shared" si="175"/>
        <v>2074</v>
      </c>
      <c r="S852" s="93">
        <f t="shared" si="176"/>
        <v>0</v>
      </c>
      <c r="T852" s="93">
        <f t="shared" si="177"/>
        <v>2074</v>
      </c>
      <c r="U852" s="253">
        <f t="shared" si="178"/>
        <v>5037.26</v>
      </c>
      <c r="V852" s="93">
        <f t="shared" si="179"/>
        <v>0</v>
      </c>
    </row>
    <row r="853" spans="1:22" ht="18" customHeight="1" x14ac:dyDescent="0.2">
      <c r="A853" s="110" t="s">
        <v>1533</v>
      </c>
      <c r="B853" s="111"/>
      <c r="C853" s="203" t="s">
        <v>1534</v>
      </c>
      <c r="D853" s="91">
        <v>43185</v>
      </c>
      <c r="E853" s="92"/>
      <c r="F853" s="93"/>
      <c r="G853" s="93"/>
      <c r="H853" s="93">
        <v>6040</v>
      </c>
      <c r="I853" s="93">
        <v>4139</v>
      </c>
      <c r="J853" s="93"/>
      <c r="K853" s="93">
        <f t="shared" si="170"/>
        <v>0</v>
      </c>
      <c r="L853" s="93">
        <f t="shared" si="171"/>
        <v>0</v>
      </c>
      <c r="M853" s="94">
        <v>50</v>
      </c>
      <c r="N853" s="95" t="s">
        <v>289</v>
      </c>
      <c r="O853" s="93">
        <f t="shared" si="172"/>
        <v>0</v>
      </c>
      <c r="P853" s="93">
        <f t="shared" si="173"/>
        <v>0</v>
      </c>
      <c r="Q853" s="93">
        <f t="shared" si="174"/>
        <v>0</v>
      </c>
      <c r="R853" s="93">
        <f t="shared" si="175"/>
        <v>1207</v>
      </c>
      <c r="S853" s="93">
        <f t="shared" si="176"/>
        <v>0</v>
      </c>
      <c r="T853" s="93">
        <f t="shared" si="177"/>
        <v>1207</v>
      </c>
      <c r="U853" s="253">
        <f t="shared" si="178"/>
        <v>2932</v>
      </c>
      <c r="V853" s="93">
        <f t="shared" si="179"/>
        <v>0</v>
      </c>
    </row>
    <row r="854" spans="1:22" ht="18" customHeight="1" x14ac:dyDescent="0.2">
      <c r="A854" s="110" t="s">
        <v>1535</v>
      </c>
      <c r="B854" s="111"/>
      <c r="C854" s="201" t="s">
        <v>1536</v>
      </c>
      <c r="D854" s="91">
        <v>43187</v>
      </c>
      <c r="E854" s="92"/>
      <c r="F854" s="93"/>
      <c r="G854" s="93"/>
      <c r="H854" s="93">
        <v>7671</v>
      </c>
      <c r="I854" s="93">
        <v>5274</v>
      </c>
      <c r="J854" s="93"/>
      <c r="K854" s="93">
        <f t="shared" si="170"/>
        <v>0</v>
      </c>
      <c r="L854" s="93">
        <f t="shared" si="171"/>
        <v>0</v>
      </c>
      <c r="M854" s="94">
        <v>50</v>
      </c>
      <c r="N854" s="95" t="s">
        <v>289</v>
      </c>
      <c r="O854" s="93">
        <f t="shared" si="172"/>
        <v>0</v>
      </c>
      <c r="P854" s="93">
        <f t="shared" si="173"/>
        <v>0</v>
      </c>
      <c r="Q854" s="93">
        <f t="shared" si="174"/>
        <v>0</v>
      </c>
      <c r="R854" s="93">
        <f t="shared" si="175"/>
        <v>1538</v>
      </c>
      <c r="S854" s="93">
        <f t="shared" si="176"/>
        <v>0</v>
      </c>
      <c r="T854" s="93">
        <f t="shared" si="177"/>
        <v>1538</v>
      </c>
      <c r="U854" s="253">
        <f t="shared" si="178"/>
        <v>3736</v>
      </c>
      <c r="V854" s="93">
        <f t="shared" si="179"/>
        <v>0</v>
      </c>
    </row>
    <row r="855" spans="1:22" ht="18" customHeight="1" x14ac:dyDescent="0.2">
      <c r="A855" s="110" t="s">
        <v>1537</v>
      </c>
      <c r="B855" s="111"/>
      <c r="C855" s="201" t="s">
        <v>1538</v>
      </c>
      <c r="D855" s="91">
        <v>43191</v>
      </c>
      <c r="E855" s="92"/>
      <c r="F855" s="93"/>
      <c r="G855" s="93"/>
      <c r="H855" s="93">
        <v>11149</v>
      </c>
      <c r="I855" s="93">
        <v>7714</v>
      </c>
      <c r="J855" s="93"/>
      <c r="K855" s="93">
        <f t="shared" si="170"/>
        <v>0</v>
      </c>
      <c r="L855" s="93">
        <f t="shared" si="171"/>
        <v>0</v>
      </c>
      <c r="M855" s="94">
        <v>50</v>
      </c>
      <c r="N855" s="95" t="s">
        <v>289</v>
      </c>
      <c r="O855" s="93">
        <f t="shared" si="172"/>
        <v>0</v>
      </c>
      <c r="P855" s="93">
        <f t="shared" si="173"/>
        <v>0</v>
      </c>
      <c r="Q855" s="93">
        <f t="shared" si="174"/>
        <v>0</v>
      </c>
      <c r="R855" s="93">
        <f t="shared" si="175"/>
        <v>2249</v>
      </c>
      <c r="S855" s="93">
        <f t="shared" si="176"/>
        <v>0</v>
      </c>
      <c r="T855" s="93">
        <f t="shared" si="177"/>
        <v>2249</v>
      </c>
      <c r="U855" s="253">
        <f t="shared" si="178"/>
        <v>5465</v>
      </c>
      <c r="V855" s="93">
        <f t="shared" si="179"/>
        <v>0</v>
      </c>
    </row>
    <row r="856" spans="1:22" ht="18" customHeight="1" x14ac:dyDescent="0.2">
      <c r="A856" s="110" t="s">
        <v>1539</v>
      </c>
      <c r="B856" s="111"/>
      <c r="C856" s="203" t="s">
        <v>1540</v>
      </c>
      <c r="D856" s="91">
        <v>43191</v>
      </c>
      <c r="E856" s="92"/>
      <c r="F856" s="93"/>
      <c r="G856" s="93"/>
      <c r="H856" s="93">
        <v>62256</v>
      </c>
      <c r="I856" s="93">
        <v>43073</v>
      </c>
      <c r="J856" s="93"/>
      <c r="K856" s="93">
        <f t="shared" si="170"/>
        <v>0</v>
      </c>
      <c r="L856" s="93">
        <f t="shared" si="171"/>
        <v>0</v>
      </c>
      <c r="M856" s="94">
        <v>50</v>
      </c>
      <c r="N856" s="95" t="s">
        <v>289</v>
      </c>
      <c r="O856" s="93">
        <f t="shared" si="172"/>
        <v>0</v>
      </c>
      <c r="P856" s="93">
        <f t="shared" si="173"/>
        <v>0</v>
      </c>
      <c r="Q856" s="93">
        <f t="shared" si="174"/>
        <v>0</v>
      </c>
      <c r="R856" s="93">
        <f t="shared" si="175"/>
        <v>12562</v>
      </c>
      <c r="S856" s="93">
        <f t="shared" si="176"/>
        <v>0</v>
      </c>
      <c r="T856" s="93">
        <f t="shared" si="177"/>
        <v>12562</v>
      </c>
      <c r="U856" s="253">
        <f t="shared" si="178"/>
        <v>30511</v>
      </c>
      <c r="V856" s="93">
        <f t="shared" si="179"/>
        <v>0</v>
      </c>
    </row>
    <row r="857" spans="1:22" ht="18" customHeight="1" x14ac:dyDescent="0.2">
      <c r="A857" s="110" t="s">
        <v>1541</v>
      </c>
      <c r="B857" s="111"/>
      <c r="C857" s="201" t="s">
        <v>1542</v>
      </c>
      <c r="D857" s="91">
        <v>43191</v>
      </c>
      <c r="E857" s="92"/>
      <c r="F857" s="93"/>
      <c r="G857" s="93"/>
      <c r="H857" s="93">
        <v>3087</v>
      </c>
      <c r="I857" s="93">
        <v>2136</v>
      </c>
      <c r="J857" s="93"/>
      <c r="K857" s="93">
        <f t="shared" si="170"/>
        <v>0</v>
      </c>
      <c r="L857" s="93">
        <f t="shared" si="171"/>
        <v>0</v>
      </c>
      <c r="M857" s="94">
        <v>50</v>
      </c>
      <c r="N857" s="95" t="s">
        <v>289</v>
      </c>
      <c r="O857" s="93">
        <f t="shared" si="172"/>
        <v>0</v>
      </c>
      <c r="P857" s="93">
        <f t="shared" si="173"/>
        <v>0</v>
      </c>
      <c r="Q857" s="93">
        <f t="shared" si="174"/>
        <v>0</v>
      </c>
      <c r="R857" s="93">
        <f t="shared" si="175"/>
        <v>623</v>
      </c>
      <c r="S857" s="93">
        <f t="shared" si="176"/>
        <v>0</v>
      </c>
      <c r="T857" s="93">
        <f t="shared" si="177"/>
        <v>623</v>
      </c>
      <c r="U857" s="253">
        <f t="shared" si="178"/>
        <v>1513</v>
      </c>
      <c r="V857" s="93">
        <f t="shared" si="179"/>
        <v>0</v>
      </c>
    </row>
    <row r="858" spans="1:22" ht="18" customHeight="1" x14ac:dyDescent="0.2">
      <c r="A858" s="110" t="s">
        <v>1543</v>
      </c>
      <c r="B858" s="111"/>
      <c r="C858" s="201" t="s">
        <v>1544</v>
      </c>
      <c r="D858" s="91">
        <v>43191</v>
      </c>
      <c r="E858" s="92"/>
      <c r="F858" s="93"/>
      <c r="G858" s="93"/>
      <c r="H858" s="93">
        <v>9874.76</v>
      </c>
      <c r="I858" s="93">
        <v>6831.76</v>
      </c>
      <c r="J858" s="93"/>
      <c r="K858" s="93">
        <f t="shared" si="170"/>
        <v>0</v>
      </c>
      <c r="L858" s="93">
        <f t="shared" si="171"/>
        <v>0</v>
      </c>
      <c r="M858" s="94">
        <v>50</v>
      </c>
      <c r="N858" s="95" t="s">
        <v>289</v>
      </c>
      <c r="O858" s="93">
        <f t="shared" si="172"/>
        <v>0</v>
      </c>
      <c r="P858" s="93">
        <f t="shared" si="173"/>
        <v>0</v>
      </c>
      <c r="Q858" s="93">
        <f t="shared" si="174"/>
        <v>0</v>
      </c>
      <c r="R858" s="93">
        <f t="shared" si="175"/>
        <v>1992</v>
      </c>
      <c r="S858" s="93">
        <f t="shared" si="176"/>
        <v>0</v>
      </c>
      <c r="T858" s="93">
        <f t="shared" si="177"/>
        <v>1992</v>
      </c>
      <c r="U858" s="253">
        <f t="shared" si="178"/>
        <v>4839.76</v>
      </c>
      <c r="V858" s="93">
        <f t="shared" si="179"/>
        <v>0</v>
      </c>
    </row>
    <row r="859" spans="1:22" ht="18" customHeight="1" x14ac:dyDescent="0.2">
      <c r="A859" s="110" t="s">
        <v>1545</v>
      </c>
      <c r="B859" s="111"/>
      <c r="C859" s="201" t="s">
        <v>1546</v>
      </c>
      <c r="D859" s="91">
        <v>43191</v>
      </c>
      <c r="E859" s="92"/>
      <c r="F859" s="93"/>
      <c r="G859" s="93"/>
      <c r="H859" s="93">
        <v>15751.44</v>
      </c>
      <c r="I859" s="93">
        <v>10897.44</v>
      </c>
      <c r="J859" s="93"/>
      <c r="K859" s="93">
        <f t="shared" si="170"/>
        <v>0</v>
      </c>
      <c r="L859" s="93">
        <f t="shared" si="171"/>
        <v>0</v>
      </c>
      <c r="M859" s="94">
        <v>50</v>
      </c>
      <c r="N859" s="95" t="s">
        <v>289</v>
      </c>
      <c r="O859" s="93">
        <f t="shared" si="172"/>
        <v>0</v>
      </c>
      <c r="P859" s="93">
        <f t="shared" si="173"/>
        <v>0</v>
      </c>
      <c r="Q859" s="93">
        <f t="shared" si="174"/>
        <v>0</v>
      </c>
      <c r="R859" s="93">
        <f t="shared" si="175"/>
        <v>3178</v>
      </c>
      <c r="S859" s="93">
        <f t="shared" si="176"/>
        <v>0</v>
      </c>
      <c r="T859" s="93">
        <f t="shared" si="177"/>
        <v>3178</v>
      </c>
      <c r="U859" s="253">
        <f t="shared" si="178"/>
        <v>7719.4400000000005</v>
      </c>
      <c r="V859" s="93">
        <f t="shared" si="179"/>
        <v>0</v>
      </c>
    </row>
    <row r="860" spans="1:22" ht="18" customHeight="1" x14ac:dyDescent="0.2">
      <c r="A860" s="110" t="s">
        <v>1547</v>
      </c>
      <c r="B860" s="111"/>
      <c r="C860" s="201" t="s">
        <v>1548</v>
      </c>
      <c r="D860" s="91">
        <v>43191</v>
      </c>
      <c r="E860" s="92"/>
      <c r="F860" s="93"/>
      <c r="G860" s="93"/>
      <c r="H860" s="93">
        <v>8228.9699999999993</v>
      </c>
      <c r="I860" s="93">
        <v>5692.97</v>
      </c>
      <c r="J860" s="93"/>
      <c r="K860" s="93">
        <f t="shared" si="170"/>
        <v>0</v>
      </c>
      <c r="L860" s="93">
        <f t="shared" si="171"/>
        <v>0</v>
      </c>
      <c r="M860" s="94">
        <v>50</v>
      </c>
      <c r="N860" s="95" t="s">
        <v>289</v>
      </c>
      <c r="O860" s="93">
        <f t="shared" si="172"/>
        <v>0</v>
      </c>
      <c r="P860" s="93">
        <f t="shared" si="173"/>
        <v>0</v>
      </c>
      <c r="Q860" s="93">
        <f t="shared" si="174"/>
        <v>0</v>
      </c>
      <c r="R860" s="93">
        <f t="shared" si="175"/>
        <v>1660</v>
      </c>
      <c r="S860" s="93">
        <f t="shared" si="176"/>
        <v>0</v>
      </c>
      <c r="T860" s="93">
        <f t="shared" si="177"/>
        <v>1660</v>
      </c>
      <c r="U860" s="253">
        <f t="shared" si="178"/>
        <v>4032.9700000000003</v>
      </c>
      <c r="V860" s="93">
        <f t="shared" si="179"/>
        <v>0</v>
      </c>
    </row>
    <row r="861" spans="1:22" ht="18" customHeight="1" x14ac:dyDescent="0.2">
      <c r="A861" s="110" t="s">
        <v>1549</v>
      </c>
      <c r="B861" s="111"/>
      <c r="C861" s="201" t="s">
        <v>1550</v>
      </c>
      <c r="D861" s="91">
        <v>43206</v>
      </c>
      <c r="E861" s="92"/>
      <c r="F861" s="93"/>
      <c r="G861" s="93"/>
      <c r="H861" s="93">
        <v>3432.88</v>
      </c>
      <c r="I861" s="93">
        <v>2430.88</v>
      </c>
      <c r="J861" s="93"/>
      <c r="K861" s="93">
        <f t="shared" si="170"/>
        <v>0</v>
      </c>
      <c r="L861" s="93">
        <f t="shared" si="171"/>
        <v>0</v>
      </c>
      <c r="M861" s="94">
        <v>50</v>
      </c>
      <c r="N861" s="95" t="s">
        <v>289</v>
      </c>
      <c r="O861" s="93">
        <f t="shared" si="172"/>
        <v>0</v>
      </c>
      <c r="P861" s="93">
        <f t="shared" si="173"/>
        <v>0</v>
      </c>
      <c r="Q861" s="93">
        <f t="shared" si="174"/>
        <v>0</v>
      </c>
      <c r="R861" s="93">
        <f t="shared" si="175"/>
        <v>709</v>
      </c>
      <c r="S861" s="93">
        <f t="shared" si="176"/>
        <v>0</v>
      </c>
      <c r="T861" s="93">
        <f t="shared" si="177"/>
        <v>709</v>
      </c>
      <c r="U861" s="253">
        <f t="shared" si="178"/>
        <v>1721.88</v>
      </c>
      <c r="V861" s="93">
        <f t="shared" si="179"/>
        <v>0</v>
      </c>
    </row>
    <row r="862" spans="1:22" ht="18" customHeight="1" x14ac:dyDescent="0.2">
      <c r="A862" s="110" t="s">
        <v>1551</v>
      </c>
      <c r="B862" s="111"/>
      <c r="C862" s="201" t="s">
        <v>1518</v>
      </c>
      <c r="D862" s="91">
        <v>43213</v>
      </c>
      <c r="E862" s="92"/>
      <c r="F862" s="93"/>
      <c r="G862" s="93"/>
      <c r="H862" s="93">
        <v>3148</v>
      </c>
      <c r="I862" s="93">
        <v>1982</v>
      </c>
      <c r="J862" s="93"/>
      <c r="K862" s="93">
        <f t="shared" si="170"/>
        <v>0</v>
      </c>
      <c r="L862" s="93">
        <f t="shared" si="171"/>
        <v>0</v>
      </c>
      <c r="M862" s="94">
        <v>66.67</v>
      </c>
      <c r="N862" s="95" t="s">
        <v>289</v>
      </c>
      <c r="O862" s="93">
        <f t="shared" si="172"/>
        <v>0</v>
      </c>
      <c r="P862" s="93">
        <f t="shared" si="173"/>
        <v>0</v>
      </c>
      <c r="Q862" s="93">
        <f t="shared" si="174"/>
        <v>0</v>
      </c>
      <c r="R862" s="93">
        <f t="shared" si="175"/>
        <v>770</v>
      </c>
      <c r="S862" s="93">
        <f t="shared" si="176"/>
        <v>0</v>
      </c>
      <c r="T862" s="93">
        <f t="shared" si="177"/>
        <v>770</v>
      </c>
      <c r="U862" s="253">
        <f t="shared" si="178"/>
        <v>1212</v>
      </c>
      <c r="V862" s="93">
        <f t="shared" si="179"/>
        <v>0</v>
      </c>
    </row>
    <row r="863" spans="1:22" ht="18" customHeight="1" x14ac:dyDescent="0.2">
      <c r="A863" s="110" t="s">
        <v>1552</v>
      </c>
      <c r="B863" s="111"/>
      <c r="C863" s="201" t="s">
        <v>1553</v>
      </c>
      <c r="D863" s="91">
        <v>43214</v>
      </c>
      <c r="E863" s="92"/>
      <c r="F863" s="93"/>
      <c r="G863" s="93"/>
      <c r="H863" s="93">
        <v>1782.27</v>
      </c>
      <c r="I863" s="93">
        <v>1277.27</v>
      </c>
      <c r="J863" s="93"/>
      <c r="K863" s="93">
        <f t="shared" si="170"/>
        <v>0</v>
      </c>
      <c r="L863" s="93">
        <f t="shared" si="171"/>
        <v>0</v>
      </c>
      <c r="M863" s="94">
        <v>50</v>
      </c>
      <c r="N863" s="95" t="s">
        <v>289</v>
      </c>
      <c r="O863" s="93">
        <f t="shared" si="172"/>
        <v>0</v>
      </c>
      <c r="P863" s="93">
        <f t="shared" si="173"/>
        <v>0</v>
      </c>
      <c r="Q863" s="93">
        <f t="shared" si="174"/>
        <v>0</v>
      </c>
      <c r="R863" s="93">
        <f t="shared" si="175"/>
        <v>372</v>
      </c>
      <c r="S863" s="93">
        <f t="shared" si="176"/>
        <v>0</v>
      </c>
      <c r="T863" s="93">
        <f t="shared" si="177"/>
        <v>372</v>
      </c>
      <c r="U863" s="253">
        <f t="shared" si="178"/>
        <v>905.27</v>
      </c>
      <c r="V863" s="93">
        <f t="shared" si="179"/>
        <v>0</v>
      </c>
    </row>
    <row r="864" spans="1:22" ht="18" customHeight="1" x14ac:dyDescent="0.2">
      <c r="A864" s="110" t="s">
        <v>1554</v>
      </c>
      <c r="B864" s="111"/>
      <c r="C864" s="201" t="s">
        <v>1555</v>
      </c>
      <c r="D864" s="91">
        <v>43227</v>
      </c>
      <c r="E864" s="92"/>
      <c r="F864" s="93"/>
      <c r="G864" s="93"/>
      <c r="H864" s="93">
        <v>3220.94</v>
      </c>
      <c r="I864" s="93">
        <v>2353.94</v>
      </c>
      <c r="J864" s="93"/>
      <c r="K864" s="93">
        <f t="shared" si="170"/>
        <v>0</v>
      </c>
      <c r="L864" s="93">
        <f t="shared" si="171"/>
        <v>0</v>
      </c>
      <c r="M864" s="94">
        <v>50</v>
      </c>
      <c r="N864" s="95" t="s">
        <v>289</v>
      </c>
      <c r="O864" s="93">
        <f t="shared" si="172"/>
        <v>0</v>
      </c>
      <c r="P864" s="93">
        <f t="shared" si="173"/>
        <v>0</v>
      </c>
      <c r="Q864" s="93">
        <f t="shared" si="174"/>
        <v>0</v>
      </c>
      <c r="R864" s="93">
        <f t="shared" si="175"/>
        <v>686</v>
      </c>
      <c r="S864" s="93">
        <f t="shared" si="176"/>
        <v>0</v>
      </c>
      <c r="T864" s="93">
        <f t="shared" si="177"/>
        <v>686</v>
      </c>
      <c r="U864" s="253">
        <f t="shared" si="178"/>
        <v>1667.94</v>
      </c>
      <c r="V864" s="93">
        <f t="shared" si="179"/>
        <v>0</v>
      </c>
    </row>
    <row r="865" spans="1:22" ht="18" customHeight="1" x14ac:dyDescent="0.2">
      <c r="A865" s="110" t="s">
        <v>1556</v>
      </c>
      <c r="B865" s="111"/>
      <c r="C865" s="201" t="s">
        <v>1557</v>
      </c>
      <c r="D865" s="91">
        <v>43227</v>
      </c>
      <c r="E865" s="92"/>
      <c r="F865" s="93"/>
      <c r="G865" s="93"/>
      <c r="H865" s="93">
        <v>1670</v>
      </c>
      <c r="I865" s="93">
        <v>1220</v>
      </c>
      <c r="J865" s="93"/>
      <c r="K865" s="93">
        <f t="shared" si="170"/>
        <v>0</v>
      </c>
      <c r="L865" s="93">
        <f t="shared" si="171"/>
        <v>0</v>
      </c>
      <c r="M865" s="94">
        <v>50</v>
      </c>
      <c r="N865" s="95" t="s">
        <v>289</v>
      </c>
      <c r="O865" s="93">
        <f t="shared" si="172"/>
        <v>0</v>
      </c>
      <c r="P865" s="93">
        <f t="shared" si="173"/>
        <v>0</v>
      </c>
      <c r="Q865" s="93">
        <f t="shared" si="174"/>
        <v>0</v>
      </c>
      <c r="R865" s="93">
        <f t="shared" si="175"/>
        <v>355</v>
      </c>
      <c r="S865" s="93">
        <f t="shared" si="176"/>
        <v>0</v>
      </c>
      <c r="T865" s="93">
        <f t="shared" si="177"/>
        <v>355</v>
      </c>
      <c r="U865" s="253">
        <f t="shared" si="178"/>
        <v>865</v>
      </c>
      <c r="V865" s="93">
        <f t="shared" si="179"/>
        <v>0</v>
      </c>
    </row>
    <row r="866" spans="1:22" ht="18" customHeight="1" x14ac:dyDescent="0.2">
      <c r="A866" s="110" t="s">
        <v>1558</v>
      </c>
      <c r="B866" s="111"/>
      <c r="C866" s="201" t="s">
        <v>1559</v>
      </c>
      <c r="D866" s="91">
        <v>43264</v>
      </c>
      <c r="E866" s="92"/>
      <c r="F866" s="93"/>
      <c r="G866" s="93"/>
      <c r="H866" s="93">
        <v>6936.3600000000006</v>
      </c>
      <c r="I866" s="93">
        <v>5347.36</v>
      </c>
      <c r="J866" s="93"/>
      <c r="K866" s="93">
        <f t="shared" si="170"/>
        <v>0</v>
      </c>
      <c r="L866" s="93">
        <f t="shared" si="171"/>
        <v>0</v>
      </c>
      <c r="M866" s="94">
        <v>50</v>
      </c>
      <c r="N866" s="95" t="s">
        <v>289</v>
      </c>
      <c r="O866" s="93">
        <f t="shared" si="172"/>
        <v>0</v>
      </c>
      <c r="P866" s="93">
        <f t="shared" si="173"/>
        <v>0</v>
      </c>
      <c r="Q866" s="93">
        <f t="shared" si="174"/>
        <v>0</v>
      </c>
      <c r="R866" s="93">
        <f t="shared" si="175"/>
        <v>1559</v>
      </c>
      <c r="S866" s="93">
        <f t="shared" si="176"/>
        <v>0</v>
      </c>
      <c r="T866" s="93">
        <f t="shared" si="177"/>
        <v>1559</v>
      </c>
      <c r="U866" s="253">
        <f t="shared" si="178"/>
        <v>3788.3599999999997</v>
      </c>
      <c r="V866" s="93">
        <f t="shared" si="179"/>
        <v>0</v>
      </c>
    </row>
    <row r="867" spans="1:22" ht="18" customHeight="1" x14ac:dyDescent="0.2">
      <c r="A867" s="110" t="s">
        <v>1560</v>
      </c>
      <c r="B867" s="111"/>
      <c r="C867" s="201" t="s">
        <v>1561</v>
      </c>
      <c r="D867" s="91">
        <v>43264</v>
      </c>
      <c r="E867" s="92"/>
      <c r="F867" s="93"/>
      <c r="G867" s="93"/>
      <c r="H867" s="93">
        <v>25581</v>
      </c>
      <c r="I867" s="93">
        <v>19721.1453</v>
      </c>
      <c r="J867" s="93"/>
      <c r="K867" s="93">
        <f t="shared" si="170"/>
        <v>0</v>
      </c>
      <c r="L867" s="93">
        <f t="shared" si="171"/>
        <v>0</v>
      </c>
      <c r="M867" s="94">
        <v>50</v>
      </c>
      <c r="N867" s="95" t="s">
        <v>289</v>
      </c>
      <c r="O867" s="93">
        <f t="shared" si="172"/>
        <v>0</v>
      </c>
      <c r="P867" s="93">
        <f t="shared" si="173"/>
        <v>0</v>
      </c>
      <c r="Q867" s="93">
        <f t="shared" si="174"/>
        <v>0</v>
      </c>
      <c r="R867" s="93">
        <f t="shared" si="175"/>
        <v>5752</v>
      </c>
      <c r="S867" s="93">
        <f t="shared" si="176"/>
        <v>0</v>
      </c>
      <c r="T867" s="93">
        <f t="shared" si="177"/>
        <v>5752</v>
      </c>
      <c r="U867" s="253">
        <f t="shared" si="178"/>
        <v>13969.1453</v>
      </c>
      <c r="V867" s="93">
        <f t="shared" si="179"/>
        <v>0</v>
      </c>
    </row>
    <row r="868" spans="1:22" ht="18" customHeight="1" x14ac:dyDescent="0.2">
      <c r="A868" s="110" t="s">
        <v>1564</v>
      </c>
      <c r="B868" s="111"/>
      <c r="C868" s="201" t="s">
        <v>1565</v>
      </c>
      <c r="D868" s="91">
        <v>43191</v>
      </c>
      <c r="E868" s="92"/>
      <c r="F868" s="93"/>
      <c r="G868" s="93"/>
      <c r="H868" s="93">
        <v>2219</v>
      </c>
      <c r="I868" s="93">
        <v>1535</v>
      </c>
      <c r="J868" s="93"/>
      <c r="K868" s="93">
        <f t="shared" si="170"/>
        <v>0</v>
      </c>
      <c r="L868" s="93">
        <f t="shared" si="171"/>
        <v>0</v>
      </c>
      <c r="M868" s="94">
        <v>50</v>
      </c>
      <c r="N868" s="95" t="s">
        <v>289</v>
      </c>
      <c r="O868" s="93">
        <f t="shared" si="172"/>
        <v>0</v>
      </c>
      <c r="P868" s="93">
        <f t="shared" si="173"/>
        <v>0</v>
      </c>
      <c r="Q868" s="93">
        <f t="shared" si="174"/>
        <v>0</v>
      </c>
      <c r="R868" s="93">
        <f t="shared" si="175"/>
        <v>447</v>
      </c>
      <c r="S868" s="93">
        <f t="shared" si="176"/>
        <v>0</v>
      </c>
      <c r="T868" s="93">
        <f t="shared" si="177"/>
        <v>447</v>
      </c>
      <c r="U868" s="253">
        <f t="shared" si="178"/>
        <v>1088</v>
      </c>
      <c r="V868" s="93">
        <f t="shared" si="179"/>
        <v>0</v>
      </c>
    </row>
    <row r="869" spans="1:22" ht="18" customHeight="1" x14ac:dyDescent="0.2">
      <c r="A869" s="110" t="s">
        <v>1566</v>
      </c>
      <c r="B869" s="111"/>
      <c r="C869" s="201" t="s">
        <v>1567</v>
      </c>
      <c r="D869" s="91">
        <v>43191</v>
      </c>
      <c r="E869" s="92"/>
      <c r="F869" s="93"/>
      <c r="G869" s="93"/>
      <c r="H869" s="93">
        <v>2218.7000000000003</v>
      </c>
      <c r="I869" s="93">
        <v>1534.7</v>
      </c>
      <c r="J869" s="93"/>
      <c r="K869" s="93">
        <f t="shared" si="170"/>
        <v>0</v>
      </c>
      <c r="L869" s="93">
        <f t="shared" si="171"/>
        <v>0</v>
      </c>
      <c r="M869" s="94">
        <v>50</v>
      </c>
      <c r="N869" s="95" t="s">
        <v>289</v>
      </c>
      <c r="O869" s="93">
        <f t="shared" si="172"/>
        <v>0</v>
      </c>
      <c r="P869" s="93">
        <f t="shared" si="173"/>
        <v>0</v>
      </c>
      <c r="Q869" s="93">
        <f t="shared" si="174"/>
        <v>0</v>
      </c>
      <c r="R869" s="93">
        <f t="shared" si="175"/>
        <v>447</v>
      </c>
      <c r="S869" s="93">
        <f t="shared" si="176"/>
        <v>0</v>
      </c>
      <c r="T869" s="93">
        <f t="shared" si="177"/>
        <v>447</v>
      </c>
      <c r="U869" s="253">
        <f t="shared" si="178"/>
        <v>1087.7</v>
      </c>
      <c r="V869" s="93">
        <f t="shared" si="179"/>
        <v>0</v>
      </c>
    </row>
    <row r="870" spans="1:22" ht="18" customHeight="1" x14ac:dyDescent="0.2">
      <c r="A870" s="110" t="s">
        <v>1568</v>
      </c>
      <c r="B870" s="111"/>
      <c r="C870" s="201" t="s">
        <v>1569</v>
      </c>
      <c r="D870" s="91">
        <v>43191</v>
      </c>
      <c r="E870" s="92"/>
      <c r="F870" s="93"/>
      <c r="G870" s="93"/>
      <c r="H870" s="93">
        <v>2329</v>
      </c>
      <c r="I870" s="93">
        <v>1612</v>
      </c>
      <c r="J870" s="93"/>
      <c r="K870" s="93">
        <f t="shared" si="170"/>
        <v>0</v>
      </c>
      <c r="L870" s="93">
        <f t="shared" si="171"/>
        <v>0</v>
      </c>
      <c r="M870" s="94">
        <v>50</v>
      </c>
      <c r="N870" s="95" t="s">
        <v>289</v>
      </c>
      <c r="O870" s="93">
        <f t="shared" si="172"/>
        <v>0</v>
      </c>
      <c r="P870" s="93">
        <f t="shared" si="173"/>
        <v>0</v>
      </c>
      <c r="Q870" s="93">
        <f t="shared" si="174"/>
        <v>0</v>
      </c>
      <c r="R870" s="93">
        <f t="shared" si="175"/>
        <v>470</v>
      </c>
      <c r="S870" s="93">
        <f t="shared" si="176"/>
        <v>0</v>
      </c>
      <c r="T870" s="93">
        <f t="shared" si="177"/>
        <v>470</v>
      </c>
      <c r="U870" s="253">
        <f t="shared" si="178"/>
        <v>1142</v>
      </c>
      <c r="V870" s="93">
        <f t="shared" si="179"/>
        <v>0</v>
      </c>
    </row>
    <row r="871" spans="1:22" ht="18" customHeight="1" x14ac:dyDescent="0.2">
      <c r="A871" s="110" t="s">
        <v>1570</v>
      </c>
      <c r="B871" s="111"/>
      <c r="C871" s="201" t="s">
        <v>1571</v>
      </c>
      <c r="D871" s="91">
        <v>42948</v>
      </c>
      <c r="E871" s="92"/>
      <c r="F871" s="93"/>
      <c r="G871" s="93"/>
      <c r="H871" s="93">
        <v>1772.73</v>
      </c>
      <c r="I871" s="93">
        <v>759.73</v>
      </c>
      <c r="J871" s="93"/>
      <c r="K871" s="93">
        <f t="shared" si="170"/>
        <v>0</v>
      </c>
      <c r="L871" s="93">
        <f t="shared" si="171"/>
        <v>0</v>
      </c>
      <c r="M871" s="94">
        <v>50</v>
      </c>
      <c r="N871" s="95" t="s">
        <v>289</v>
      </c>
      <c r="O871" s="93">
        <f t="shared" si="172"/>
        <v>0</v>
      </c>
      <c r="P871" s="93">
        <f t="shared" si="173"/>
        <v>0</v>
      </c>
      <c r="Q871" s="93">
        <f t="shared" si="174"/>
        <v>0</v>
      </c>
      <c r="R871" s="93">
        <f t="shared" si="175"/>
        <v>221</v>
      </c>
      <c r="S871" s="93">
        <f t="shared" si="176"/>
        <v>0</v>
      </c>
      <c r="T871" s="93">
        <f t="shared" si="177"/>
        <v>221</v>
      </c>
      <c r="U871" s="253">
        <f t="shared" si="178"/>
        <v>538.73</v>
      </c>
      <c r="V871" s="93">
        <f t="shared" si="179"/>
        <v>0</v>
      </c>
    </row>
    <row r="872" spans="1:22" s="45" customFormat="1" ht="18" customHeight="1" x14ac:dyDescent="0.2">
      <c r="A872" s="110" t="s">
        <v>1572</v>
      </c>
      <c r="B872" s="111"/>
      <c r="C872" s="90" t="s">
        <v>1573</v>
      </c>
      <c r="D872" s="91">
        <v>43362</v>
      </c>
      <c r="E872" s="92"/>
      <c r="F872" s="93"/>
      <c r="G872" s="93"/>
      <c r="H872" s="93">
        <v>11025</v>
      </c>
      <c r="I872" s="93">
        <v>9922</v>
      </c>
      <c r="J872" s="93"/>
      <c r="K872" s="93">
        <f t="shared" si="170"/>
        <v>0</v>
      </c>
      <c r="L872" s="93">
        <f t="shared" si="171"/>
        <v>0</v>
      </c>
      <c r="M872" s="94">
        <v>50</v>
      </c>
      <c r="N872" s="95" t="s">
        <v>289</v>
      </c>
      <c r="O872" s="93">
        <f t="shared" si="172"/>
        <v>0</v>
      </c>
      <c r="P872" s="93">
        <f t="shared" si="173"/>
        <v>0</v>
      </c>
      <c r="Q872" s="93">
        <f t="shared" si="174"/>
        <v>0</v>
      </c>
      <c r="R872" s="93">
        <f t="shared" si="175"/>
        <v>2893</v>
      </c>
      <c r="S872" s="93">
        <f t="shared" si="176"/>
        <v>0</v>
      </c>
      <c r="T872" s="93">
        <f t="shared" si="177"/>
        <v>2893</v>
      </c>
      <c r="U872" s="253">
        <f t="shared" si="178"/>
        <v>7029</v>
      </c>
      <c r="V872" s="93">
        <f t="shared" si="179"/>
        <v>0</v>
      </c>
    </row>
    <row r="873" spans="1:22" s="45" customFormat="1" ht="18" customHeight="1" x14ac:dyDescent="0.2">
      <c r="A873" s="110" t="s">
        <v>1574</v>
      </c>
      <c r="B873" s="111"/>
      <c r="C873" s="90" t="s">
        <v>1575</v>
      </c>
      <c r="D873" s="91">
        <v>43402</v>
      </c>
      <c r="E873" s="92"/>
      <c r="F873" s="93"/>
      <c r="G873" s="93"/>
      <c r="H873" s="93">
        <v>13000</v>
      </c>
      <c r="I873" s="93">
        <v>12412</v>
      </c>
      <c r="J873" s="93"/>
      <c r="K873" s="93">
        <f t="shared" si="170"/>
        <v>0</v>
      </c>
      <c r="L873" s="93">
        <f t="shared" si="171"/>
        <v>0</v>
      </c>
      <c r="M873" s="94">
        <v>50</v>
      </c>
      <c r="N873" s="95" t="s">
        <v>289</v>
      </c>
      <c r="O873" s="93">
        <f t="shared" si="172"/>
        <v>0</v>
      </c>
      <c r="P873" s="93">
        <f t="shared" si="173"/>
        <v>0</v>
      </c>
      <c r="Q873" s="93">
        <f t="shared" si="174"/>
        <v>0</v>
      </c>
      <c r="R873" s="93">
        <f t="shared" si="175"/>
        <v>3620</v>
      </c>
      <c r="S873" s="93">
        <f t="shared" si="176"/>
        <v>0</v>
      </c>
      <c r="T873" s="93">
        <f t="shared" si="177"/>
        <v>3620</v>
      </c>
      <c r="U873" s="253">
        <f t="shared" si="178"/>
        <v>8792</v>
      </c>
      <c r="V873" s="93">
        <f t="shared" si="179"/>
        <v>0</v>
      </c>
    </row>
    <row r="874" spans="1:22" ht="18" customHeight="1" x14ac:dyDescent="0.2">
      <c r="A874" s="110" t="s">
        <v>2075</v>
      </c>
      <c r="B874" s="111"/>
      <c r="C874" s="201" t="s">
        <v>2080</v>
      </c>
      <c r="D874" s="91">
        <v>43586</v>
      </c>
      <c r="E874" s="92"/>
      <c r="F874" s="93"/>
      <c r="G874" s="93"/>
      <c r="H874" s="93"/>
      <c r="I874" s="93"/>
      <c r="J874" s="93">
        <v>75509.05</v>
      </c>
      <c r="K874" s="93">
        <f t="shared" si="170"/>
        <v>0</v>
      </c>
      <c r="L874" s="93">
        <f t="shared" si="171"/>
        <v>0</v>
      </c>
      <c r="M874" s="94">
        <v>50</v>
      </c>
      <c r="N874" s="95" t="s">
        <v>289</v>
      </c>
      <c r="O874" s="93">
        <f t="shared" si="172"/>
        <v>0</v>
      </c>
      <c r="P874" s="93">
        <f t="shared" si="173"/>
        <v>0</v>
      </c>
      <c r="Q874" s="93">
        <f t="shared" si="174"/>
        <v>0</v>
      </c>
      <c r="R874" s="93">
        <f t="shared" si="175"/>
        <v>6206</v>
      </c>
      <c r="S874" s="93">
        <f t="shared" si="176"/>
        <v>0</v>
      </c>
      <c r="T874" s="93">
        <f t="shared" si="177"/>
        <v>6206</v>
      </c>
      <c r="U874" s="253">
        <f t="shared" si="178"/>
        <v>69303.05</v>
      </c>
      <c r="V874" s="93">
        <f t="shared" si="179"/>
        <v>0</v>
      </c>
    </row>
    <row r="875" spans="1:22" ht="18" customHeight="1" x14ac:dyDescent="0.2">
      <c r="A875" s="110" t="s">
        <v>2076</v>
      </c>
      <c r="B875" s="111"/>
      <c r="C875" s="201" t="s">
        <v>2081</v>
      </c>
      <c r="D875" s="91">
        <v>43586</v>
      </c>
      <c r="E875" s="92"/>
      <c r="F875" s="93"/>
      <c r="G875" s="93"/>
      <c r="H875" s="93"/>
      <c r="I875" s="93"/>
      <c r="J875" s="93">
        <v>246295.31</v>
      </c>
      <c r="K875" s="93">
        <f>INT(IF($E875&gt;0,IF(+F875-I875+Q875&lt;0,0,+F875-I875+Q875),0))</f>
        <v>0</v>
      </c>
      <c r="L875" s="93">
        <f>INT(IF($E875&gt;0,IF(K875=0,-F875+I875-Q875,0),0))</f>
        <v>0</v>
      </c>
      <c r="M875" s="94">
        <v>50</v>
      </c>
      <c r="N875" s="95" t="s">
        <v>289</v>
      </c>
      <c r="O875" s="93">
        <f>IF(E875&gt;0,INT(IF($N875="D",IF($D875&lt;$H$3,$I875*($M875/100)*((E875-$H$3)/365),$J875*($M875/100)*($J$3-$D875)/365),0)),0)</f>
        <v>0</v>
      </c>
      <c r="P875" s="93">
        <f>IF(E875&gt;0,INT(IF($N875="P",IF($D875&lt;$H$3,$H875*($M875/100)*(E875-$H$3)/365,$J875*($M875/100)*($J$3-$D875)/365),0)),0)</f>
        <v>0</v>
      </c>
      <c r="Q875" s="93">
        <f>+O875+P875</f>
        <v>0</v>
      </c>
      <c r="R875" s="93">
        <f t="shared" si="175"/>
        <v>20243</v>
      </c>
      <c r="S875" s="93">
        <f t="shared" si="176"/>
        <v>0</v>
      </c>
      <c r="T875" s="93">
        <f>+R875+S875+Q875</f>
        <v>20243</v>
      </c>
      <c r="U875" s="253">
        <f>+I875+J875-T875-F875+K875-L875</f>
        <v>226052.31</v>
      </c>
      <c r="V875" s="93">
        <f t="shared" si="179"/>
        <v>0</v>
      </c>
    </row>
    <row r="876" spans="1:22" ht="18" customHeight="1" x14ac:dyDescent="0.2">
      <c r="A876" s="110" t="s">
        <v>2077</v>
      </c>
      <c r="B876" s="111"/>
      <c r="C876" s="201" t="s">
        <v>2082</v>
      </c>
      <c r="D876" s="91">
        <v>43586</v>
      </c>
      <c r="E876" s="92"/>
      <c r="F876" s="93"/>
      <c r="G876" s="93"/>
      <c r="H876" s="93"/>
      <c r="I876" s="93"/>
      <c r="J876" s="93">
        <v>26133.35</v>
      </c>
      <c r="K876" s="93">
        <f>INT(IF($E876&gt;0,IF(+F876-I876+Q876&lt;0,0,+F876-I876+Q876),0))</f>
        <v>0</v>
      </c>
      <c r="L876" s="93">
        <f>INT(IF($E876&gt;0,IF(K876=0,-F876+I876-Q876,0),0))</f>
        <v>0</v>
      </c>
      <c r="M876" s="94">
        <v>50</v>
      </c>
      <c r="N876" s="95" t="s">
        <v>289</v>
      </c>
      <c r="O876" s="93">
        <f>IF(E876&gt;0,INT(IF($N876="D",IF($D876&lt;$H$3,$I876*($M876/100)*((E876-$H$3)/365),$J876*($M876/100)*($J$3-$D876)/365),0)),0)</f>
        <v>0</v>
      </c>
      <c r="P876" s="93">
        <f>IF(E876&gt;0,INT(IF($N876="P",IF($D876&lt;$H$3,$H876*($M876/100)*(E876-$H$3)/365,$J876*($M876/100)*($J$3-$D876)/365),0)),0)</f>
        <v>0</v>
      </c>
      <c r="Q876" s="93">
        <f>+O876+P876</f>
        <v>0</v>
      </c>
      <c r="R876" s="93">
        <f t="shared" si="175"/>
        <v>2147</v>
      </c>
      <c r="S876" s="93">
        <f t="shared" si="176"/>
        <v>0</v>
      </c>
      <c r="T876" s="93">
        <f>+R876+S876+Q876</f>
        <v>2147</v>
      </c>
      <c r="U876" s="253">
        <f>+I876+J876-T876-F876+K876-L876</f>
        <v>23986.35</v>
      </c>
      <c r="V876" s="93">
        <f t="shared" si="179"/>
        <v>0</v>
      </c>
    </row>
    <row r="877" spans="1:22" ht="18" customHeight="1" x14ac:dyDescent="0.2">
      <c r="A877" s="110" t="s">
        <v>2078</v>
      </c>
      <c r="B877" s="111"/>
      <c r="C877" s="201" t="s">
        <v>2083</v>
      </c>
      <c r="D877" s="91">
        <v>43446</v>
      </c>
      <c r="E877" s="92"/>
      <c r="F877" s="93"/>
      <c r="G877" s="93"/>
      <c r="H877" s="93"/>
      <c r="I877" s="93"/>
      <c r="J877" s="93">
        <v>13000</v>
      </c>
      <c r="K877" s="93">
        <f>INT(IF($E877&gt;0,IF(+F877-I877+Q877&lt;0,0,+F877-I877+Q877),0))</f>
        <v>0</v>
      </c>
      <c r="L877" s="93">
        <f>INT(IF($E877&gt;0,IF(K877=0,-F877+I877-Q877,0),0))</f>
        <v>0</v>
      </c>
      <c r="M877" s="94">
        <v>50</v>
      </c>
      <c r="N877" s="95" t="s">
        <v>289</v>
      </c>
      <c r="O877" s="93">
        <f>IF(E877&gt;0,INT(IF($N877="D",IF($D877&lt;$H$3,$I877*($M877/100)*((E877-$H$3)/365),$J877*($M877/100)*($J$3-$D877)/365),0)),0)</f>
        <v>0</v>
      </c>
      <c r="P877" s="93">
        <f>IF(E877&gt;0,INT(IF($N877="P",IF($D877&lt;$H$3,$H877*($M877/100)*(E877-$H$3)/365,$J877*($M877/100)*($J$3-$D877)/365),0)),0)</f>
        <v>0</v>
      </c>
      <c r="Q877" s="93">
        <f>+O877+P877</f>
        <v>0</v>
      </c>
      <c r="R877" s="93">
        <f t="shared" si="175"/>
        <v>3561</v>
      </c>
      <c r="S877" s="93">
        <f t="shared" si="176"/>
        <v>0</v>
      </c>
      <c r="T877" s="93">
        <f>+R877+S877+Q877</f>
        <v>3561</v>
      </c>
      <c r="U877" s="253">
        <f>+I877+J877-T877-F877+K877-L877</f>
        <v>9439</v>
      </c>
      <c r="V877" s="93">
        <f t="shared" si="179"/>
        <v>0</v>
      </c>
    </row>
    <row r="878" spans="1:22" ht="18" customHeight="1" x14ac:dyDescent="0.2">
      <c r="A878" s="110" t="s">
        <v>2079</v>
      </c>
      <c r="B878" s="111"/>
      <c r="C878" s="201" t="s">
        <v>2083</v>
      </c>
      <c r="D878" s="91">
        <v>43446</v>
      </c>
      <c r="E878" s="92"/>
      <c r="F878" s="93"/>
      <c r="G878" s="93"/>
      <c r="H878" s="93"/>
      <c r="I878" s="93"/>
      <c r="J878" s="93">
        <v>13000</v>
      </c>
      <c r="K878" s="93">
        <f>INT(IF($E878&gt;0,IF(+F878-I878+Q878&lt;0,0,+F878-I878+Q878),0))</f>
        <v>0</v>
      </c>
      <c r="L878" s="93">
        <f>INT(IF($E878&gt;0,IF(K878=0,-F878+I878-Q878,0),0))</f>
        <v>0</v>
      </c>
      <c r="M878" s="94">
        <v>50</v>
      </c>
      <c r="N878" s="95" t="s">
        <v>289</v>
      </c>
      <c r="O878" s="93">
        <f>IF(E878&gt;0,INT(IF($N878="D",IF($D878&lt;$H$3,$I878*($M878/100)*((E878-$H$3)/365),$J878*($M878/100)*($J$3-$D878)/365),0)),0)</f>
        <v>0</v>
      </c>
      <c r="P878" s="93">
        <f>IF(E878&gt;0,INT(IF($N878="P",IF($D878&lt;$H$3,$H878*($M878/100)*(E878-$H$3)/365,$J878*($M878/100)*($J$3-$D878)/365),0)),0)</f>
        <v>0</v>
      </c>
      <c r="Q878" s="93">
        <f>+O878+P878</f>
        <v>0</v>
      </c>
      <c r="R878" s="93">
        <f t="shared" si="175"/>
        <v>3561</v>
      </c>
      <c r="S878" s="93">
        <f t="shared" si="176"/>
        <v>0</v>
      </c>
      <c r="T878" s="93">
        <f>+R878+S878+Q878</f>
        <v>3561</v>
      </c>
      <c r="U878" s="253">
        <f>+I878+J878-T878-F878+K878-L878</f>
        <v>9439</v>
      </c>
      <c r="V878" s="93">
        <f t="shared" si="179"/>
        <v>0</v>
      </c>
    </row>
    <row r="879" spans="1:22" ht="18" customHeight="1" x14ac:dyDescent="0.2">
      <c r="A879" s="204"/>
      <c r="B879" s="205"/>
      <c r="C879" s="207"/>
      <c r="D879" s="207"/>
      <c r="E879" s="92"/>
      <c r="F879" s="93"/>
      <c r="G879" s="93"/>
      <c r="H879" s="93"/>
      <c r="I879" s="209"/>
      <c r="J879" s="209"/>
      <c r="K879" s="209"/>
      <c r="L879" s="209"/>
      <c r="M879" s="210"/>
      <c r="N879" s="95"/>
      <c r="O879" s="95"/>
      <c r="P879" s="209"/>
      <c r="Q879" s="209"/>
      <c r="R879" s="95"/>
      <c r="S879" s="209"/>
      <c r="T879" s="209"/>
      <c r="U879" s="254"/>
      <c r="V879" s="209"/>
    </row>
    <row r="880" spans="1:22" ht="18" customHeight="1" x14ac:dyDescent="0.2">
      <c r="A880" s="204"/>
      <c r="B880" s="205"/>
      <c r="C880" s="206" t="s">
        <v>2043</v>
      </c>
      <c r="D880" s="207"/>
      <c r="E880" s="92"/>
      <c r="F880" s="93"/>
      <c r="G880" s="93"/>
      <c r="H880" s="208">
        <f>+J881-V881</f>
        <v>248297.94999999995</v>
      </c>
      <c r="I880" s="209"/>
      <c r="J880" s="209"/>
      <c r="K880" s="209"/>
      <c r="L880" s="209"/>
      <c r="M880" s="210"/>
      <c r="N880" s="95"/>
      <c r="O880" s="95"/>
      <c r="P880" s="209"/>
      <c r="Q880" s="209"/>
      <c r="R880" s="95"/>
      <c r="S880" s="209"/>
      <c r="T880" s="209"/>
      <c r="U880" s="254"/>
      <c r="V880" s="209"/>
    </row>
    <row r="881" spans="1:24" s="14" customFormat="1" ht="18" customHeight="1" x14ac:dyDescent="0.2">
      <c r="A881" s="211"/>
      <c r="B881" s="212"/>
      <c r="C881" s="206" t="s">
        <v>1656</v>
      </c>
      <c r="D881" s="206"/>
      <c r="E881" s="219"/>
      <c r="F881" s="247">
        <f>SUM(F653:F879)</f>
        <v>7280</v>
      </c>
      <c r="G881" s="208">
        <f>SUM(G653:G879)</f>
        <v>0</v>
      </c>
      <c r="H881" s="208">
        <f>SUM(H653:H880)</f>
        <v>1735185.16</v>
      </c>
      <c r="I881" s="208">
        <f>SUM(I653:I879)</f>
        <v>377059.23499999993</v>
      </c>
      <c r="J881" s="208">
        <f>SUM(J653:J879)</f>
        <v>373937.70999999996</v>
      </c>
      <c r="K881" s="247">
        <f>SUM(K653:K879)</f>
        <v>7265</v>
      </c>
      <c r="L881" s="208">
        <f>SUM(L653:L879)</f>
        <v>0</v>
      </c>
      <c r="M881" s="234"/>
      <c r="N881" s="217"/>
      <c r="O881" s="208">
        <f>SUM(O653:O879)</f>
        <v>0</v>
      </c>
      <c r="P881" s="208">
        <f>SUM(P653:P879)</f>
        <v>0</v>
      </c>
      <c r="Q881" s="208"/>
      <c r="R881" s="208">
        <f>SUM(R653:R879)</f>
        <v>147788</v>
      </c>
      <c r="S881" s="208">
        <f>SUM(S653:S879)</f>
        <v>0</v>
      </c>
      <c r="T881" s="247">
        <f>SUM(T653:T879)</f>
        <v>147788</v>
      </c>
      <c r="U881" s="255">
        <f>SUM(U653:U879)</f>
        <v>603193.94499999995</v>
      </c>
      <c r="V881" s="247">
        <f>SUM(V653:V879)</f>
        <v>125639.76000000001</v>
      </c>
      <c r="X881" s="160">
        <f>1735184.84-1131989.71</f>
        <v>603195.13000000012</v>
      </c>
    </row>
    <row r="882" spans="1:24" ht="18" customHeight="1" x14ac:dyDescent="0.2">
      <c r="A882" s="204"/>
      <c r="B882" s="205"/>
      <c r="C882" s="207"/>
      <c r="D882" s="207"/>
      <c r="E882" s="92"/>
      <c r="F882" s="93"/>
      <c r="G882" s="93"/>
      <c r="H882" s="93"/>
      <c r="I882" s="93"/>
      <c r="J882" s="93"/>
      <c r="K882" s="93"/>
      <c r="L882" s="93"/>
      <c r="M882" s="235"/>
      <c r="N882" s="236"/>
      <c r="O882" s="208">
        <v>7157</v>
      </c>
      <c r="P882" s="208">
        <v>0</v>
      </c>
      <c r="Q882" s="208"/>
      <c r="R882" s="208">
        <v>102573</v>
      </c>
      <c r="S882" s="208">
        <v>0</v>
      </c>
      <c r="T882" s="208"/>
      <c r="U882" s="253"/>
      <c r="V882" s="93"/>
      <c r="W882" s="159"/>
    </row>
    <row r="883" spans="1:24" ht="18" customHeight="1" x14ac:dyDescent="0.2">
      <c r="A883" s="221" t="s">
        <v>1576</v>
      </c>
      <c r="B883" s="222"/>
      <c r="C883" s="207"/>
      <c r="D883" s="206"/>
      <c r="E883" s="219"/>
      <c r="F883" s="208"/>
      <c r="G883" s="208"/>
      <c r="H883" s="208"/>
      <c r="I883" s="208"/>
      <c r="J883" s="208"/>
      <c r="K883" s="208"/>
      <c r="L883" s="208"/>
      <c r="M883" s="206"/>
      <c r="N883" s="233"/>
      <c r="O883" s="233"/>
      <c r="P883" s="208"/>
      <c r="Q883" s="208"/>
      <c r="R883" s="233"/>
      <c r="S883" s="208"/>
      <c r="T883" s="208"/>
      <c r="U883" s="254"/>
      <c r="V883" s="209"/>
      <c r="W883" s="159"/>
    </row>
    <row r="884" spans="1:24" ht="18" customHeight="1" x14ac:dyDescent="0.2">
      <c r="A884" s="226" t="s">
        <v>1577</v>
      </c>
      <c r="B884" s="237"/>
      <c r="C884" s="207"/>
      <c r="D884" s="218"/>
      <c r="E884" s="223"/>
      <c r="F884" s="224"/>
      <c r="G884" s="224"/>
      <c r="H884" s="224"/>
      <c r="I884" s="238"/>
      <c r="J884" s="238"/>
      <c r="K884" s="238"/>
      <c r="L884" s="238"/>
      <c r="M884" s="213"/>
      <c r="N884" s="225"/>
      <c r="O884" s="225"/>
      <c r="P884" s="238"/>
      <c r="Q884" s="238"/>
      <c r="R884" s="225"/>
      <c r="S884" s="238"/>
      <c r="T884" s="238"/>
      <c r="U884" s="254"/>
      <c r="V884" s="209"/>
    </row>
    <row r="885" spans="1:24" ht="18" customHeight="1" x14ac:dyDescent="0.2">
      <c r="A885" s="110" t="s">
        <v>1578</v>
      </c>
      <c r="B885" s="111"/>
      <c r="C885" s="201" t="s">
        <v>1579</v>
      </c>
      <c r="D885" s="91">
        <v>41281</v>
      </c>
      <c r="E885" s="92"/>
      <c r="F885" s="93"/>
      <c r="G885" s="93"/>
      <c r="H885" s="93">
        <v>6450</v>
      </c>
      <c r="I885" s="93">
        <v>2624</v>
      </c>
      <c r="J885" s="93"/>
      <c r="K885" s="93">
        <f t="shared" ref="K885:K912" si="180">INT(IF($E885&gt;0,IF(+F885-I885+Q885&lt;0,0,+F885-I885+Q885),0))</f>
        <v>0</v>
      </c>
      <c r="L885" s="93">
        <f t="shared" ref="L885:L912" si="181">INT(IF($E885&gt;0,IF(K885=0,-F885+I885-Q885,0),0))</f>
        <v>0</v>
      </c>
      <c r="M885" s="94">
        <v>20</v>
      </c>
      <c r="N885" s="95" t="s">
        <v>289</v>
      </c>
      <c r="O885" s="93">
        <f t="shared" ref="O885:O912" si="182">IF(E885&gt;0,INT(IF($N885="D",IF($D885&lt;$H$3,$I885*($M885/100)*((E885-$H$3)/365),$J885*($M885/100)*($J$3-$D885)/365),0)),0)</f>
        <v>0</v>
      </c>
      <c r="P885" s="93">
        <f t="shared" ref="P885:P912" si="183">IF(E885&gt;0,INT(IF($N885="P",IF($D885&lt;$H$3,$H885*($M885/100)*(E885-$H$3)/365,$J885*($M885/100)*($J$3-$D885)/365),0)),0)</f>
        <v>0</v>
      </c>
      <c r="Q885" s="93">
        <f t="shared" ref="Q885:Q912" si="184">+O885+P885</f>
        <v>0</v>
      </c>
      <c r="R885" s="93">
        <f t="shared" ref="R885:R912" si="185">INT(IF($E885&gt;0,0,(IF($N885="D",IF($D885&lt;$H$3,$I885*($M885/100)*$U$3/12,$J885*($M885/100)*($J$3-$D885)/365),0))))</f>
        <v>306</v>
      </c>
      <c r="S885" s="93">
        <f t="shared" ref="S885:S912" si="186">INT(IF($E885&gt;0,0,(IF($N885="P",IF($D885&lt;$H$3,$H885*($M885/100)*$U$3/12,$J885*($M885/100)*($J$3-$D885)/365),0))))</f>
        <v>0</v>
      </c>
      <c r="T885" s="93">
        <f t="shared" ref="T885:T912" si="187">+R885+S885+Q885</f>
        <v>306</v>
      </c>
      <c r="U885" s="253">
        <f t="shared" ref="U885:U910" si="188">+I885+J885-T885-F885+K885-L885</f>
        <v>2318</v>
      </c>
      <c r="V885" s="93">
        <f t="shared" ref="V885:V912" si="189">IF(E885&gt;0,+H885+J885,0)</f>
        <v>0</v>
      </c>
    </row>
    <row r="886" spans="1:24" ht="18" customHeight="1" x14ac:dyDescent="0.2">
      <c r="A886" s="110" t="s">
        <v>1580</v>
      </c>
      <c r="B886" s="111"/>
      <c r="C886" s="201" t="s">
        <v>1581</v>
      </c>
      <c r="D886" s="91">
        <v>41478</v>
      </c>
      <c r="E886" s="92"/>
      <c r="F886" s="93"/>
      <c r="G886" s="93"/>
      <c r="H886" s="93">
        <v>679.09</v>
      </c>
      <c r="I886" s="93">
        <v>17.09</v>
      </c>
      <c r="J886" s="93"/>
      <c r="K886" s="93">
        <f t="shared" si="180"/>
        <v>0</v>
      </c>
      <c r="L886" s="93">
        <f t="shared" si="181"/>
        <v>0</v>
      </c>
      <c r="M886" s="94">
        <v>50</v>
      </c>
      <c r="N886" s="95" t="s">
        <v>289</v>
      </c>
      <c r="O886" s="93">
        <f t="shared" si="182"/>
        <v>0</v>
      </c>
      <c r="P886" s="93">
        <f t="shared" si="183"/>
        <v>0</v>
      </c>
      <c r="Q886" s="93">
        <f t="shared" si="184"/>
        <v>0</v>
      </c>
      <c r="R886" s="93">
        <f t="shared" si="185"/>
        <v>4</v>
      </c>
      <c r="S886" s="93">
        <f t="shared" si="186"/>
        <v>0</v>
      </c>
      <c r="T886" s="93">
        <f t="shared" si="187"/>
        <v>4</v>
      </c>
      <c r="U886" s="253">
        <f t="shared" si="188"/>
        <v>13.09</v>
      </c>
      <c r="V886" s="93">
        <f t="shared" si="189"/>
        <v>0</v>
      </c>
    </row>
    <row r="887" spans="1:24" ht="18" customHeight="1" x14ac:dyDescent="0.2">
      <c r="A887" s="110" t="s">
        <v>1582</v>
      </c>
      <c r="B887" s="111"/>
      <c r="C887" s="201" t="s">
        <v>1583</v>
      </c>
      <c r="D887" s="91">
        <v>41688</v>
      </c>
      <c r="E887" s="92"/>
      <c r="F887" s="93"/>
      <c r="G887" s="93"/>
      <c r="H887" s="93">
        <v>1363.64</v>
      </c>
      <c r="I887" s="93">
        <v>254.64000000000001</v>
      </c>
      <c r="J887" s="93"/>
      <c r="K887" s="93">
        <f t="shared" si="180"/>
        <v>0</v>
      </c>
      <c r="L887" s="93">
        <f t="shared" si="181"/>
        <v>0</v>
      </c>
      <c r="M887" s="94">
        <v>30</v>
      </c>
      <c r="N887" s="95" t="s">
        <v>289</v>
      </c>
      <c r="O887" s="93">
        <f t="shared" si="182"/>
        <v>0</v>
      </c>
      <c r="P887" s="93">
        <f t="shared" si="183"/>
        <v>0</v>
      </c>
      <c r="Q887" s="93">
        <f t="shared" si="184"/>
        <v>0</v>
      </c>
      <c r="R887" s="93">
        <f t="shared" si="185"/>
        <v>44</v>
      </c>
      <c r="S887" s="93">
        <f t="shared" si="186"/>
        <v>0</v>
      </c>
      <c r="T887" s="93">
        <f t="shared" si="187"/>
        <v>44</v>
      </c>
      <c r="U887" s="253">
        <f t="shared" si="188"/>
        <v>210.64000000000001</v>
      </c>
      <c r="V887" s="93">
        <f t="shared" si="189"/>
        <v>0</v>
      </c>
    </row>
    <row r="888" spans="1:24" ht="18" customHeight="1" x14ac:dyDescent="0.2">
      <c r="A888" s="110" t="s">
        <v>1584</v>
      </c>
      <c r="B888" s="111"/>
      <c r="C888" s="201" t="s">
        <v>1585</v>
      </c>
      <c r="D888" s="91">
        <v>42149</v>
      </c>
      <c r="E888" s="92"/>
      <c r="F888" s="93"/>
      <c r="G888" s="93"/>
      <c r="H888" s="93">
        <v>1522.73</v>
      </c>
      <c r="I888" s="93">
        <v>37.730000000000004</v>
      </c>
      <c r="J888" s="93"/>
      <c r="K888" s="93">
        <f t="shared" si="180"/>
        <v>0</v>
      </c>
      <c r="L888" s="93">
        <f t="shared" si="181"/>
        <v>0</v>
      </c>
      <c r="M888" s="94">
        <v>66.67</v>
      </c>
      <c r="N888" s="95" t="s">
        <v>289</v>
      </c>
      <c r="O888" s="93">
        <f t="shared" si="182"/>
        <v>0</v>
      </c>
      <c r="P888" s="93">
        <f t="shared" si="183"/>
        <v>0</v>
      </c>
      <c r="Q888" s="93">
        <f t="shared" si="184"/>
        <v>0</v>
      </c>
      <c r="R888" s="93">
        <f t="shared" si="185"/>
        <v>14</v>
      </c>
      <c r="S888" s="93">
        <f t="shared" si="186"/>
        <v>0</v>
      </c>
      <c r="T888" s="93">
        <f t="shared" si="187"/>
        <v>14</v>
      </c>
      <c r="U888" s="253">
        <f t="shared" si="188"/>
        <v>23.730000000000004</v>
      </c>
      <c r="V888" s="93">
        <f t="shared" si="189"/>
        <v>0</v>
      </c>
    </row>
    <row r="889" spans="1:24" ht="18" customHeight="1" x14ac:dyDescent="0.2">
      <c r="A889" s="110" t="s">
        <v>1586</v>
      </c>
      <c r="B889" s="111"/>
      <c r="C889" s="201" t="s">
        <v>1587</v>
      </c>
      <c r="D889" s="91">
        <v>42242</v>
      </c>
      <c r="E889" s="92"/>
      <c r="F889" s="93"/>
      <c r="G889" s="93"/>
      <c r="H889" s="93">
        <v>1145.4000000000001</v>
      </c>
      <c r="I889" s="93">
        <v>0</v>
      </c>
      <c r="J889" s="93"/>
      <c r="K889" s="93">
        <f t="shared" si="180"/>
        <v>0</v>
      </c>
      <c r="L889" s="93">
        <f t="shared" si="181"/>
        <v>0</v>
      </c>
      <c r="M889" s="94">
        <v>100</v>
      </c>
      <c r="N889" s="95" t="s">
        <v>289</v>
      </c>
      <c r="O889" s="93">
        <f t="shared" si="182"/>
        <v>0</v>
      </c>
      <c r="P889" s="93">
        <f t="shared" si="183"/>
        <v>0</v>
      </c>
      <c r="Q889" s="93">
        <f t="shared" si="184"/>
        <v>0</v>
      </c>
      <c r="R889" s="93">
        <f t="shared" si="185"/>
        <v>0</v>
      </c>
      <c r="S889" s="93">
        <f t="shared" si="186"/>
        <v>0</v>
      </c>
      <c r="T889" s="93">
        <f t="shared" si="187"/>
        <v>0</v>
      </c>
      <c r="U889" s="253">
        <f t="shared" si="188"/>
        <v>0</v>
      </c>
      <c r="V889" s="93">
        <f t="shared" si="189"/>
        <v>0</v>
      </c>
    </row>
    <row r="890" spans="1:24" ht="18" customHeight="1" x14ac:dyDescent="0.2">
      <c r="A890" s="110" t="s">
        <v>1588</v>
      </c>
      <c r="B890" s="111"/>
      <c r="C890" s="201" t="s">
        <v>1589</v>
      </c>
      <c r="D890" s="91">
        <v>42392</v>
      </c>
      <c r="E890" s="92"/>
      <c r="F890" s="93"/>
      <c r="G890" s="93"/>
      <c r="H890" s="93">
        <v>2229.09</v>
      </c>
      <c r="I890" s="93">
        <v>1193.0899999999999</v>
      </c>
      <c r="J890" s="93"/>
      <c r="K890" s="93">
        <f t="shared" si="180"/>
        <v>0</v>
      </c>
      <c r="L890" s="93">
        <f t="shared" si="181"/>
        <v>0</v>
      </c>
      <c r="M890" s="94">
        <v>20</v>
      </c>
      <c r="N890" s="95" t="s">
        <v>289</v>
      </c>
      <c r="O890" s="93">
        <f t="shared" si="182"/>
        <v>0</v>
      </c>
      <c r="P890" s="93">
        <f t="shared" si="183"/>
        <v>0</v>
      </c>
      <c r="Q890" s="93">
        <f t="shared" si="184"/>
        <v>0</v>
      </c>
      <c r="R890" s="93">
        <f t="shared" si="185"/>
        <v>139</v>
      </c>
      <c r="S890" s="93">
        <f t="shared" si="186"/>
        <v>0</v>
      </c>
      <c r="T890" s="93">
        <f t="shared" si="187"/>
        <v>139</v>
      </c>
      <c r="U890" s="253">
        <f t="shared" si="188"/>
        <v>1054.0899999999999</v>
      </c>
      <c r="V890" s="93">
        <f t="shared" si="189"/>
        <v>0</v>
      </c>
    </row>
    <row r="891" spans="1:24" ht="18" customHeight="1" x14ac:dyDescent="0.2">
      <c r="A891" s="110" t="s">
        <v>1590</v>
      </c>
      <c r="B891" s="111"/>
      <c r="C891" s="201" t="s">
        <v>1591</v>
      </c>
      <c r="D891" s="91">
        <v>42513</v>
      </c>
      <c r="E891" s="92"/>
      <c r="F891" s="93"/>
      <c r="G891" s="93"/>
      <c r="H891" s="93">
        <v>796.36</v>
      </c>
      <c r="I891" s="93">
        <v>0</v>
      </c>
      <c r="J891" s="93"/>
      <c r="K891" s="93">
        <f t="shared" si="180"/>
        <v>0</v>
      </c>
      <c r="L891" s="93">
        <f t="shared" si="181"/>
        <v>0</v>
      </c>
      <c r="M891" s="94">
        <v>100</v>
      </c>
      <c r="N891" s="95" t="s">
        <v>289</v>
      </c>
      <c r="O891" s="93">
        <f t="shared" si="182"/>
        <v>0</v>
      </c>
      <c r="P891" s="93">
        <f t="shared" si="183"/>
        <v>0</v>
      </c>
      <c r="Q891" s="93">
        <f t="shared" si="184"/>
        <v>0</v>
      </c>
      <c r="R891" s="93">
        <f t="shared" si="185"/>
        <v>0</v>
      </c>
      <c r="S891" s="93">
        <f t="shared" si="186"/>
        <v>0</v>
      </c>
      <c r="T891" s="93">
        <f t="shared" si="187"/>
        <v>0</v>
      </c>
      <c r="U891" s="253">
        <f t="shared" si="188"/>
        <v>0</v>
      </c>
      <c r="V891" s="93">
        <f t="shared" si="189"/>
        <v>0</v>
      </c>
    </row>
    <row r="892" spans="1:24" ht="18" customHeight="1" x14ac:dyDescent="0.2">
      <c r="A892" s="110" t="s">
        <v>1592</v>
      </c>
      <c r="B892" s="111"/>
      <c r="C892" s="201" t="s">
        <v>1593</v>
      </c>
      <c r="D892" s="91">
        <v>42355</v>
      </c>
      <c r="E892" s="92"/>
      <c r="F892" s="93"/>
      <c r="G892" s="93"/>
      <c r="H892" s="93">
        <v>2499.0500000000002</v>
      </c>
      <c r="I892" s="93">
        <v>0</v>
      </c>
      <c r="J892" s="93"/>
      <c r="K892" s="93">
        <f t="shared" si="180"/>
        <v>0</v>
      </c>
      <c r="L892" s="93">
        <f t="shared" si="181"/>
        <v>0</v>
      </c>
      <c r="M892" s="94">
        <v>100</v>
      </c>
      <c r="N892" s="95" t="s">
        <v>289</v>
      </c>
      <c r="O892" s="93">
        <f t="shared" si="182"/>
        <v>0</v>
      </c>
      <c r="P892" s="93">
        <f t="shared" si="183"/>
        <v>0</v>
      </c>
      <c r="Q892" s="93">
        <f t="shared" si="184"/>
        <v>0</v>
      </c>
      <c r="R892" s="93">
        <f t="shared" si="185"/>
        <v>0</v>
      </c>
      <c r="S892" s="93">
        <f t="shared" si="186"/>
        <v>0</v>
      </c>
      <c r="T892" s="93">
        <f t="shared" si="187"/>
        <v>0</v>
      </c>
      <c r="U892" s="253">
        <f t="shared" si="188"/>
        <v>0</v>
      </c>
      <c r="V892" s="93">
        <f t="shared" si="189"/>
        <v>0</v>
      </c>
    </row>
    <row r="893" spans="1:24" ht="18" customHeight="1" x14ac:dyDescent="0.2">
      <c r="A893" s="110" t="s">
        <v>1594</v>
      </c>
      <c r="B893" s="111"/>
      <c r="C893" s="201" t="s">
        <v>1595</v>
      </c>
      <c r="D893" s="91">
        <v>42772</v>
      </c>
      <c r="E893" s="92"/>
      <c r="F893" s="93"/>
      <c r="G893" s="93"/>
      <c r="H893" s="93">
        <v>1352.73</v>
      </c>
      <c r="I893" s="93">
        <v>0</v>
      </c>
      <c r="J893" s="93"/>
      <c r="K893" s="93">
        <f t="shared" si="180"/>
        <v>0</v>
      </c>
      <c r="L893" s="93">
        <f t="shared" si="181"/>
        <v>0</v>
      </c>
      <c r="M893" s="94">
        <v>100</v>
      </c>
      <c r="N893" s="95" t="s">
        <v>289</v>
      </c>
      <c r="O893" s="93">
        <f t="shared" si="182"/>
        <v>0</v>
      </c>
      <c r="P893" s="93">
        <f t="shared" si="183"/>
        <v>0</v>
      </c>
      <c r="Q893" s="93">
        <f t="shared" si="184"/>
        <v>0</v>
      </c>
      <c r="R893" s="93">
        <f t="shared" si="185"/>
        <v>0</v>
      </c>
      <c r="S893" s="93">
        <f t="shared" si="186"/>
        <v>0</v>
      </c>
      <c r="T893" s="93">
        <f t="shared" si="187"/>
        <v>0</v>
      </c>
      <c r="U893" s="253">
        <f t="shared" si="188"/>
        <v>0</v>
      </c>
      <c r="V893" s="93">
        <f t="shared" si="189"/>
        <v>0</v>
      </c>
    </row>
    <row r="894" spans="1:24" ht="18" customHeight="1" x14ac:dyDescent="0.2">
      <c r="A894" s="110" t="s">
        <v>1596</v>
      </c>
      <c r="B894" s="111"/>
      <c r="C894" s="201" t="s">
        <v>1597</v>
      </c>
      <c r="D894" s="91">
        <v>42809</v>
      </c>
      <c r="E894" s="92"/>
      <c r="F894" s="93"/>
      <c r="G894" s="93"/>
      <c r="H894" s="93">
        <v>710.91</v>
      </c>
      <c r="I894" s="93">
        <v>0</v>
      </c>
      <c r="J894" s="93"/>
      <c r="K894" s="93">
        <f t="shared" si="180"/>
        <v>0</v>
      </c>
      <c r="L894" s="93">
        <f t="shared" si="181"/>
        <v>0</v>
      </c>
      <c r="M894" s="94">
        <v>100</v>
      </c>
      <c r="N894" s="95" t="s">
        <v>289</v>
      </c>
      <c r="O894" s="93">
        <f t="shared" si="182"/>
        <v>0</v>
      </c>
      <c r="P894" s="93">
        <f t="shared" si="183"/>
        <v>0</v>
      </c>
      <c r="Q894" s="93">
        <f t="shared" si="184"/>
        <v>0</v>
      </c>
      <c r="R894" s="93">
        <f t="shared" si="185"/>
        <v>0</v>
      </c>
      <c r="S894" s="93">
        <f t="shared" si="186"/>
        <v>0</v>
      </c>
      <c r="T894" s="93">
        <f t="shared" si="187"/>
        <v>0</v>
      </c>
      <c r="U894" s="253">
        <f t="shared" si="188"/>
        <v>0</v>
      </c>
      <c r="V894" s="93">
        <f t="shared" si="189"/>
        <v>0</v>
      </c>
    </row>
    <row r="895" spans="1:24" ht="18" customHeight="1" x14ac:dyDescent="0.2">
      <c r="A895" s="110" t="s">
        <v>1598</v>
      </c>
      <c r="B895" s="111"/>
      <c r="C895" s="203" t="s">
        <v>1599</v>
      </c>
      <c r="D895" s="91">
        <v>42809</v>
      </c>
      <c r="E895" s="92"/>
      <c r="F895" s="93"/>
      <c r="G895" s="93"/>
      <c r="H895" s="93">
        <v>1632.73</v>
      </c>
      <c r="I895" s="93">
        <v>0</v>
      </c>
      <c r="J895" s="93"/>
      <c r="K895" s="93">
        <f t="shared" si="180"/>
        <v>0</v>
      </c>
      <c r="L895" s="93">
        <f t="shared" si="181"/>
        <v>0</v>
      </c>
      <c r="M895" s="94">
        <v>100</v>
      </c>
      <c r="N895" s="95" t="s">
        <v>289</v>
      </c>
      <c r="O895" s="93">
        <f t="shared" si="182"/>
        <v>0</v>
      </c>
      <c r="P895" s="93">
        <f t="shared" si="183"/>
        <v>0</v>
      </c>
      <c r="Q895" s="93">
        <f t="shared" si="184"/>
        <v>0</v>
      </c>
      <c r="R895" s="93">
        <f t="shared" si="185"/>
        <v>0</v>
      </c>
      <c r="S895" s="93">
        <f t="shared" si="186"/>
        <v>0</v>
      </c>
      <c r="T895" s="93">
        <f t="shared" si="187"/>
        <v>0</v>
      </c>
      <c r="U895" s="253">
        <f t="shared" si="188"/>
        <v>0</v>
      </c>
      <c r="V895" s="93">
        <f t="shared" si="189"/>
        <v>0</v>
      </c>
    </row>
    <row r="896" spans="1:24" ht="18" customHeight="1" x14ac:dyDescent="0.2">
      <c r="A896" s="110" t="s">
        <v>1600</v>
      </c>
      <c r="B896" s="111"/>
      <c r="C896" s="201" t="s">
        <v>1601</v>
      </c>
      <c r="D896" s="91">
        <v>42873</v>
      </c>
      <c r="E896" s="92"/>
      <c r="F896" s="93"/>
      <c r="G896" s="93"/>
      <c r="H896" s="93">
        <v>526.36</v>
      </c>
      <c r="I896" s="93">
        <v>0</v>
      </c>
      <c r="J896" s="93"/>
      <c r="K896" s="93">
        <f t="shared" si="180"/>
        <v>0</v>
      </c>
      <c r="L896" s="93">
        <f t="shared" si="181"/>
        <v>0</v>
      </c>
      <c r="M896" s="94">
        <v>100</v>
      </c>
      <c r="N896" s="95" t="s">
        <v>289</v>
      </c>
      <c r="O896" s="93">
        <f t="shared" si="182"/>
        <v>0</v>
      </c>
      <c r="P896" s="93">
        <f t="shared" si="183"/>
        <v>0</v>
      </c>
      <c r="Q896" s="93">
        <f t="shared" si="184"/>
        <v>0</v>
      </c>
      <c r="R896" s="93">
        <f t="shared" si="185"/>
        <v>0</v>
      </c>
      <c r="S896" s="93">
        <f t="shared" si="186"/>
        <v>0</v>
      </c>
      <c r="T896" s="93">
        <f t="shared" si="187"/>
        <v>0</v>
      </c>
      <c r="U896" s="253">
        <f t="shared" si="188"/>
        <v>0</v>
      </c>
      <c r="V896" s="93">
        <f t="shared" si="189"/>
        <v>0</v>
      </c>
    </row>
    <row r="897" spans="1:22" ht="18" customHeight="1" x14ac:dyDescent="0.2">
      <c r="A897" s="110" t="s">
        <v>1602</v>
      </c>
      <c r="B897" s="111"/>
      <c r="C897" s="201" t="s">
        <v>1603</v>
      </c>
      <c r="D897" s="91">
        <v>43159</v>
      </c>
      <c r="E897" s="92"/>
      <c r="F897" s="93"/>
      <c r="G897" s="93"/>
      <c r="H897" s="93">
        <v>2550</v>
      </c>
      <c r="I897" s="93">
        <v>1676</v>
      </c>
      <c r="J897" s="93"/>
      <c r="K897" s="93">
        <f t="shared" si="180"/>
        <v>0</v>
      </c>
      <c r="L897" s="93">
        <f t="shared" si="181"/>
        <v>0</v>
      </c>
      <c r="M897" s="94">
        <v>50</v>
      </c>
      <c r="N897" s="95" t="s">
        <v>289</v>
      </c>
      <c r="O897" s="93">
        <f t="shared" si="182"/>
        <v>0</v>
      </c>
      <c r="P897" s="93">
        <f t="shared" si="183"/>
        <v>0</v>
      </c>
      <c r="Q897" s="93">
        <f t="shared" si="184"/>
        <v>0</v>
      </c>
      <c r="R897" s="93">
        <f t="shared" si="185"/>
        <v>488</v>
      </c>
      <c r="S897" s="93">
        <f t="shared" si="186"/>
        <v>0</v>
      </c>
      <c r="T897" s="93">
        <f t="shared" si="187"/>
        <v>488</v>
      </c>
      <c r="U897" s="253">
        <f t="shared" si="188"/>
        <v>1188</v>
      </c>
      <c r="V897" s="93">
        <f t="shared" si="189"/>
        <v>0</v>
      </c>
    </row>
    <row r="898" spans="1:22" ht="18" customHeight="1" x14ac:dyDescent="0.2">
      <c r="A898" s="110" t="s">
        <v>1604</v>
      </c>
      <c r="B898" s="111"/>
      <c r="C898" s="201" t="s">
        <v>1605</v>
      </c>
      <c r="D898" s="91">
        <v>43300</v>
      </c>
      <c r="E898" s="92"/>
      <c r="F898" s="93"/>
      <c r="G898" s="93"/>
      <c r="H898" s="93">
        <v>2195.4500000000003</v>
      </c>
      <c r="I898" s="93">
        <v>2114.4499999999998</v>
      </c>
      <c r="J898" s="93"/>
      <c r="K898" s="93">
        <f t="shared" si="180"/>
        <v>0</v>
      </c>
      <c r="L898" s="93">
        <f t="shared" si="181"/>
        <v>0</v>
      </c>
      <c r="M898" s="94">
        <v>10</v>
      </c>
      <c r="N898" s="95" t="s">
        <v>289</v>
      </c>
      <c r="O898" s="93">
        <f t="shared" si="182"/>
        <v>0</v>
      </c>
      <c r="P898" s="93">
        <f t="shared" si="183"/>
        <v>0</v>
      </c>
      <c r="Q898" s="93">
        <f t="shared" si="184"/>
        <v>0</v>
      </c>
      <c r="R898" s="93">
        <f t="shared" si="185"/>
        <v>123</v>
      </c>
      <c r="S898" s="93">
        <f t="shared" si="186"/>
        <v>0</v>
      </c>
      <c r="T898" s="93">
        <f t="shared" si="187"/>
        <v>123</v>
      </c>
      <c r="U898" s="253">
        <f t="shared" si="188"/>
        <v>1991.4499999999998</v>
      </c>
      <c r="V898" s="93">
        <f t="shared" si="189"/>
        <v>0</v>
      </c>
    </row>
    <row r="899" spans="1:22" ht="18" customHeight="1" x14ac:dyDescent="0.2">
      <c r="A899" s="110" t="s">
        <v>1606</v>
      </c>
      <c r="B899" s="111"/>
      <c r="C899" s="201" t="s">
        <v>1607</v>
      </c>
      <c r="D899" s="91">
        <v>43300</v>
      </c>
      <c r="E899" s="92"/>
      <c r="F899" s="93"/>
      <c r="G899" s="93"/>
      <c r="H899" s="93">
        <v>1240.9100000000001</v>
      </c>
      <c r="I899" s="93">
        <v>1148.9100000000001</v>
      </c>
      <c r="J899" s="93"/>
      <c r="K899" s="93">
        <f t="shared" si="180"/>
        <v>0</v>
      </c>
      <c r="L899" s="93">
        <f t="shared" si="181"/>
        <v>0</v>
      </c>
      <c r="M899" s="94">
        <v>20</v>
      </c>
      <c r="N899" s="95" t="s">
        <v>289</v>
      </c>
      <c r="O899" s="93">
        <f t="shared" si="182"/>
        <v>0</v>
      </c>
      <c r="P899" s="93">
        <f t="shared" si="183"/>
        <v>0</v>
      </c>
      <c r="Q899" s="93">
        <f t="shared" si="184"/>
        <v>0</v>
      </c>
      <c r="R899" s="93">
        <f t="shared" si="185"/>
        <v>134</v>
      </c>
      <c r="S899" s="93">
        <f t="shared" si="186"/>
        <v>0</v>
      </c>
      <c r="T899" s="93">
        <f t="shared" si="187"/>
        <v>134</v>
      </c>
      <c r="U899" s="253">
        <f t="shared" si="188"/>
        <v>1014.9100000000001</v>
      </c>
      <c r="V899" s="93">
        <f t="shared" si="189"/>
        <v>0</v>
      </c>
    </row>
    <row r="900" spans="1:22" ht="18" customHeight="1" x14ac:dyDescent="0.2">
      <c r="A900" s="110" t="s">
        <v>1608</v>
      </c>
      <c r="B900" s="111"/>
      <c r="C900" s="201" t="s">
        <v>1609</v>
      </c>
      <c r="D900" s="91">
        <v>43300</v>
      </c>
      <c r="E900" s="92"/>
      <c r="F900" s="93"/>
      <c r="G900" s="93"/>
      <c r="H900" s="93">
        <v>95.460000000000008</v>
      </c>
      <c r="I900" s="93">
        <v>88.460000000000008</v>
      </c>
      <c r="J900" s="93"/>
      <c r="K900" s="93">
        <f t="shared" si="180"/>
        <v>0</v>
      </c>
      <c r="L900" s="93">
        <f t="shared" si="181"/>
        <v>0</v>
      </c>
      <c r="M900" s="94">
        <v>20</v>
      </c>
      <c r="N900" s="95" t="s">
        <v>289</v>
      </c>
      <c r="O900" s="93">
        <f t="shared" si="182"/>
        <v>0</v>
      </c>
      <c r="P900" s="93">
        <f t="shared" si="183"/>
        <v>0</v>
      </c>
      <c r="Q900" s="93">
        <f t="shared" si="184"/>
        <v>0</v>
      </c>
      <c r="R900" s="93">
        <f t="shared" si="185"/>
        <v>10</v>
      </c>
      <c r="S900" s="93">
        <f t="shared" si="186"/>
        <v>0</v>
      </c>
      <c r="T900" s="93">
        <f t="shared" si="187"/>
        <v>10</v>
      </c>
      <c r="U900" s="253">
        <f t="shared" si="188"/>
        <v>78.460000000000008</v>
      </c>
      <c r="V900" s="93">
        <f t="shared" si="189"/>
        <v>0</v>
      </c>
    </row>
    <row r="901" spans="1:22" ht="18" customHeight="1" x14ac:dyDescent="0.2">
      <c r="A901" s="110" t="s">
        <v>1610</v>
      </c>
      <c r="B901" s="111"/>
      <c r="C901" s="203" t="s">
        <v>1611</v>
      </c>
      <c r="D901" s="91">
        <v>43300</v>
      </c>
      <c r="E901" s="92"/>
      <c r="F901" s="93"/>
      <c r="G901" s="93"/>
      <c r="H901" s="93">
        <v>663.63</v>
      </c>
      <c r="I901" s="93">
        <v>630.63</v>
      </c>
      <c r="J901" s="93"/>
      <c r="K901" s="93">
        <f t="shared" si="180"/>
        <v>0</v>
      </c>
      <c r="L901" s="93">
        <f t="shared" si="181"/>
        <v>0</v>
      </c>
      <c r="M901" s="94">
        <v>13.33</v>
      </c>
      <c r="N901" s="95" t="s">
        <v>289</v>
      </c>
      <c r="O901" s="93">
        <f t="shared" si="182"/>
        <v>0</v>
      </c>
      <c r="P901" s="93">
        <f t="shared" si="183"/>
        <v>0</v>
      </c>
      <c r="Q901" s="93">
        <f t="shared" si="184"/>
        <v>0</v>
      </c>
      <c r="R901" s="93">
        <f t="shared" si="185"/>
        <v>49</v>
      </c>
      <c r="S901" s="93">
        <f t="shared" si="186"/>
        <v>0</v>
      </c>
      <c r="T901" s="93">
        <f t="shared" si="187"/>
        <v>49</v>
      </c>
      <c r="U901" s="253">
        <f t="shared" si="188"/>
        <v>581.63</v>
      </c>
      <c r="V901" s="93">
        <f t="shared" si="189"/>
        <v>0</v>
      </c>
    </row>
    <row r="902" spans="1:22" ht="18" customHeight="1" x14ac:dyDescent="0.2">
      <c r="A902" s="110" t="s">
        <v>1612</v>
      </c>
      <c r="B902" s="111"/>
      <c r="C902" s="203" t="s">
        <v>1613</v>
      </c>
      <c r="D902" s="91">
        <v>43300</v>
      </c>
      <c r="E902" s="92"/>
      <c r="F902" s="93"/>
      <c r="G902" s="93"/>
      <c r="H902" s="93">
        <v>777.28</v>
      </c>
      <c r="I902" s="93">
        <v>739.28</v>
      </c>
      <c r="J902" s="93"/>
      <c r="K902" s="93">
        <f t="shared" si="180"/>
        <v>0</v>
      </c>
      <c r="L902" s="93">
        <f t="shared" si="181"/>
        <v>0</v>
      </c>
      <c r="M902" s="94">
        <v>13.33</v>
      </c>
      <c r="N902" s="95" t="s">
        <v>289</v>
      </c>
      <c r="O902" s="93">
        <f t="shared" si="182"/>
        <v>0</v>
      </c>
      <c r="P902" s="93">
        <f t="shared" si="183"/>
        <v>0</v>
      </c>
      <c r="Q902" s="93">
        <f t="shared" si="184"/>
        <v>0</v>
      </c>
      <c r="R902" s="93">
        <f t="shared" si="185"/>
        <v>57</v>
      </c>
      <c r="S902" s="93">
        <f t="shared" si="186"/>
        <v>0</v>
      </c>
      <c r="T902" s="93">
        <f t="shared" si="187"/>
        <v>57</v>
      </c>
      <c r="U902" s="253">
        <f t="shared" si="188"/>
        <v>682.28</v>
      </c>
      <c r="V902" s="93">
        <f t="shared" si="189"/>
        <v>0</v>
      </c>
    </row>
    <row r="903" spans="1:22" ht="18" customHeight="1" x14ac:dyDescent="0.2">
      <c r="A903" s="110" t="s">
        <v>1614</v>
      </c>
      <c r="B903" s="111"/>
      <c r="C903" s="203" t="s">
        <v>1615</v>
      </c>
      <c r="D903" s="91">
        <v>43300</v>
      </c>
      <c r="E903" s="92"/>
      <c r="F903" s="93"/>
      <c r="G903" s="93"/>
      <c r="H903" s="93">
        <v>960</v>
      </c>
      <c r="I903" s="93">
        <v>913</v>
      </c>
      <c r="J903" s="93"/>
      <c r="K903" s="93">
        <f t="shared" si="180"/>
        <v>0</v>
      </c>
      <c r="L903" s="93">
        <f t="shared" si="181"/>
        <v>0</v>
      </c>
      <c r="M903" s="94">
        <v>13.33</v>
      </c>
      <c r="N903" s="95" t="s">
        <v>289</v>
      </c>
      <c r="O903" s="93">
        <f t="shared" si="182"/>
        <v>0</v>
      </c>
      <c r="P903" s="93">
        <f t="shared" si="183"/>
        <v>0</v>
      </c>
      <c r="Q903" s="93">
        <f t="shared" si="184"/>
        <v>0</v>
      </c>
      <c r="R903" s="93">
        <f t="shared" si="185"/>
        <v>70</v>
      </c>
      <c r="S903" s="93">
        <f t="shared" si="186"/>
        <v>0</v>
      </c>
      <c r="T903" s="93">
        <f t="shared" si="187"/>
        <v>70</v>
      </c>
      <c r="U903" s="253">
        <f t="shared" si="188"/>
        <v>843</v>
      </c>
      <c r="V903" s="93">
        <f t="shared" si="189"/>
        <v>0</v>
      </c>
    </row>
    <row r="904" spans="1:22" ht="18" customHeight="1" x14ac:dyDescent="0.2">
      <c r="A904" s="110" t="s">
        <v>1616</v>
      </c>
      <c r="B904" s="111"/>
      <c r="C904" s="203" t="s">
        <v>1617</v>
      </c>
      <c r="D904" s="91">
        <v>43300</v>
      </c>
      <c r="E904" s="92"/>
      <c r="F904" s="93"/>
      <c r="G904" s="209"/>
      <c r="H904" s="93">
        <v>1089.0899999999999</v>
      </c>
      <c r="I904" s="93">
        <v>1035.0899999999999</v>
      </c>
      <c r="J904" s="93"/>
      <c r="K904" s="93">
        <f t="shared" si="180"/>
        <v>0</v>
      </c>
      <c r="L904" s="93">
        <f t="shared" si="181"/>
        <v>0</v>
      </c>
      <c r="M904" s="94">
        <v>13.33</v>
      </c>
      <c r="N904" s="95" t="s">
        <v>289</v>
      </c>
      <c r="O904" s="93">
        <f t="shared" si="182"/>
        <v>0</v>
      </c>
      <c r="P904" s="93">
        <f t="shared" si="183"/>
        <v>0</v>
      </c>
      <c r="Q904" s="93">
        <f t="shared" si="184"/>
        <v>0</v>
      </c>
      <c r="R904" s="93">
        <f t="shared" si="185"/>
        <v>80</v>
      </c>
      <c r="S904" s="93">
        <f t="shared" si="186"/>
        <v>0</v>
      </c>
      <c r="T904" s="93">
        <f t="shared" si="187"/>
        <v>80</v>
      </c>
      <c r="U904" s="253">
        <f t="shared" si="188"/>
        <v>955.08999999999992</v>
      </c>
      <c r="V904" s="93">
        <f t="shared" si="189"/>
        <v>0</v>
      </c>
    </row>
    <row r="905" spans="1:22" ht="18" customHeight="1" x14ac:dyDescent="0.2">
      <c r="A905" s="110" t="s">
        <v>1618</v>
      </c>
      <c r="B905" s="111"/>
      <c r="C905" s="203" t="s">
        <v>1619</v>
      </c>
      <c r="D905" s="91">
        <v>43300</v>
      </c>
      <c r="E905" s="92"/>
      <c r="F905" s="93"/>
      <c r="G905" s="209"/>
      <c r="H905" s="93">
        <v>654.54</v>
      </c>
      <c r="I905" s="93">
        <v>606.54</v>
      </c>
      <c r="J905" s="93"/>
      <c r="K905" s="93">
        <f t="shared" si="180"/>
        <v>0</v>
      </c>
      <c r="L905" s="93">
        <f t="shared" si="181"/>
        <v>0</v>
      </c>
      <c r="M905" s="94">
        <v>20</v>
      </c>
      <c r="N905" s="95" t="s">
        <v>289</v>
      </c>
      <c r="O905" s="93">
        <f t="shared" si="182"/>
        <v>0</v>
      </c>
      <c r="P905" s="93">
        <f t="shared" si="183"/>
        <v>0</v>
      </c>
      <c r="Q905" s="93">
        <f t="shared" si="184"/>
        <v>0</v>
      </c>
      <c r="R905" s="93">
        <f t="shared" si="185"/>
        <v>70</v>
      </c>
      <c r="S905" s="93">
        <f t="shared" si="186"/>
        <v>0</v>
      </c>
      <c r="T905" s="93">
        <f t="shared" si="187"/>
        <v>70</v>
      </c>
      <c r="U905" s="253">
        <f t="shared" si="188"/>
        <v>536.54</v>
      </c>
      <c r="V905" s="93">
        <f t="shared" si="189"/>
        <v>0</v>
      </c>
    </row>
    <row r="906" spans="1:22" ht="18" customHeight="1" x14ac:dyDescent="0.2">
      <c r="A906" s="110" t="s">
        <v>1620</v>
      </c>
      <c r="B906" s="111"/>
      <c r="C906" s="203" t="s">
        <v>1621</v>
      </c>
      <c r="D906" s="91">
        <v>43300</v>
      </c>
      <c r="E906" s="92"/>
      <c r="F906" s="93"/>
      <c r="G906" s="93"/>
      <c r="H906" s="93">
        <v>5727.28</v>
      </c>
      <c r="I906" s="93">
        <v>5303.28</v>
      </c>
      <c r="J906" s="93"/>
      <c r="K906" s="93">
        <f t="shared" si="180"/>
        <v>0</v>
      </c>
      <c r="L906" s="93">
        <f t="shared" si="181"/>
        <v>0</v>
      </c>
      <c r="M906" s="94">
        <v>20</v>
      </c>
      <c r="N906" s="95" t="s">
        <v>289</v>
      </c>
      <c r="O906" s="93">
        <f t="shared" si="182"/>
        <v>0</v>
      </c>
      <c r="P906" s="93">
        <f t="shared" si="183"/>
        <v>0</v>
      </c>
      <c r="Q906" s="93">
        <f t="shared" si="184"/>
        <v>0</v>
      </c>
      <c r="R906" s="93">
        <f t="shared" si="185"/>
        <v>618</v>
      </c>
      <c r="S906" s="93">
        <f t="shared" si="186"/>
        <v>0</v>
      </c>
      <c r="T906" s="93">
        <f t="shared" si="187"/>
        <v>618</v>
      </c>
      <c r="U906" s="253">
        <f t="shared" si="188"/>
        <v>4685.28</v>
      </c>
      <c r="V906" s="93">
        <f t="shared" si="189"/>
        <v>0</v>
      </c>
    </row>
    <row r="907" spans="1:22" ht="18" customHeight="1" x14ac:dyDescent="0.2">
      <c r="A907" s="110" t="s">
        <v>1622</v>
      </c>
      <c r="B907" s="111"/>
      <c r="C907" s="203" t="s">
        <v>1623</v>
      </c>
      <c r="D907" s="91">
        <v>43357</v>
      </c>
      <c r="E907" s="92"/>
      <c r="F907" s="93"/>
      <c r="G907" s="93"/>
      <c r="H907" s="93">
        <v>3300</v>
      </c>
      <c r="I907" s="93">
        <v>3229</v>
      </c>
      <c r="J907" s="93"/>
      <c r="K907" s="93">
        <f t="shared" si="180"/>
        <v>0</v>
      </c>
      <c r="L907" s="93">
        <f t="shared" si="181"/>
        <v>0</v>
      </c>
      <c r="M907" s="94">
        <v>10</v>
      </c>
      <c r="N907" s="95" t="s">
        <v>289</v>
      </c>
      <c r="O907" s="93">
        <f t="shared" si="182"/>
        <v>0</v>
      </c>
      <c r="P907" s="93">
        <f t="shared" si="183"/>
        <v>0</v>
      </c>
      <c r="Q907" s="93">
        <f t="shared" si="184"/>
        <v>0</v>
      </c>
      <c r="R907" s="93">
        <f t="shared" si="185"/>
        <v>188</v>
      </c>
      <c r="S907" s="93">
        <f t="shared" si="186"/>
        <v>0</v>
      </c>
      <c r="T907" s="93">
        <f t="shared" si="187"/>
        <v>188</v>
      </c>
      <c r="U907" s="253">
        <f t="shared" si="188"/>
        <v>3041</v>
      </c>
      <c r="V907" s="93">
        <f t="shared" si="189"/>
        <v>0</v>
      </c>
    </row>
    <row r="908" spans="1:22" ht="18" customHeight="1" x14ac:dyDescent="0.2">
      <c r="A908" s="110" t="s">
        <v>1624</v>
      </c>
      <c r="B908" s="111"/>
      <c r="C908" s="203" t="s">
        <v>1625</v>
      </c>
      <c r="D908" s="91">
        <v>43357</v>
      </c>
      <c r="E908" s="92"/>
      <c r="F908" s="93"/>
      <c r="G908" s="209"/>
      <c r="H908" s="93">
        <v>8000</v>
      </c>
      <c r="I908" s="93">
        <v>7829</v>
      </c>
      <c r="J908" s="93"/>
      <c r="K908" s="93">
        <f t="shared" si="180"/>
        <v>0</v>
      </c>
      <c r="L908" s="93">
        <f t="shared" si="181"/>
        <v>0</v>
      </c>
      <c r="M908" s="94">
        <v>10</v>
      </c>
      <c r="N908" s="95" t="s">
        <v>289</v>
      </c>
      <c r="O908" s="93">
        <f t="shared" si="182"/>
        <v>0</v>
      </c>
      <c r="P908" s="93">
        <f t="shared" si="183"/>
        <v>0</v>
      </c>
      <c r="Q908" s="93">
        <f t="shared" si="184"/>
        <v>0</v>
      </c>
      <c r="R908" s="93">
        <f t="shared" si="185"/>
        <v>456</v>
      </c>
      <c r="S908" s="93">
        <f t="shared" si="186"/>
        <v>0</v>
      </c>
      <c r="T908" s="93">
        <f t="shared" si="187"/>
        <v>456</v>
      </c>
      <c r="U908" s="253">
        <f t="shared" si="188"/>
        <v>7373</v>
      </c>
      <c r="V908" s="93">
        <f t="shared" si="189"/>
        <v>0</v>
      </c>
    </row>
    <row r="909" spans="1:22" ht="18" customHeight="1" x14ac:dyDescent="0.2">
      <c r="A909" s="110" t="s">
        <v>1626</v>
      </c>
      <c r="B909" s="111"/>
      <c r="C909" s="203" t="s">
        <v>1627</v>
      </c>
      <c r="D909" s="91">
        <v>43381</v>
      </c>
      <c r="E909" s="92"/>
      <c r="F909" s="93"/>
      <c r="G909" s="209"/>
      <c r="H909" s="93">
        <v>2461.77</v>
      </c>
      <c r="I909" s="93">
        <v>2388.77</v>
      </c>
      <c r="J909" s="93"/>
      <c r="K909" s="93">
        <f t="shared" si="180"/>
        <v>0</v>
      </c>
      <c r="L909" s="93">
        <f t="shared" si="181"/>
        <v>0</v>
      </c>
      <c r="M909" s="94">
        <v>20</v>
      </c>
      <c r="N909" s="95" t="s">
        <v>289</v>
      </c>
      <c r="O909" s="93">
        <f t="shared" si="182"/>
        <v>0</v>
      </c>
      <c r="P909" s="93">
        <f t="shared" si="183"/>
        <v>0</v>
      </c>
      <c r="Q909" s="93">
        <f t="shared" si="184"/>
        <v>0</v>
      </c>
      <c r="R909" s="93">
        <f t="shared" si="185"/>
        <v>278</v>
      </c>
      <c r="S909" s="93">
        <f t="shared" si="186"/>
        <v>0</v>
      </c>
      <c r="T909" s="93">
        <f t="shared" si="187"/>
        <v>278</v>
      </c>
      <c r="U909" s="253">
        <f t="shared" si="188"/>
        <v>2110.77</v>
      </c>
      <c r="V909" s="93">
        <f t="shared" si="189"/>
        <v>0</v>
      </c>
    </row>
    <row r="910" spans="1:22" ht="18" customHeight="1" x14ac:dyDescent="0.2">
      <c r="A910" s="110" t="s">
        <v>1628</v>
      </c>
      <c r="B910" s="111"/>
      <c r="C910" s="203" t="s">
        <v>1629</v>
      </c>
      <c r="D910" s="91">
        <v>43374</v>
      </c>
      <c r="E910" s="92"/>
      <c r="F910" s="93"/>
      <c r="G910" s="93"/>
      <c r="H910" s="93">
        <v>825.45</v>
      </c>
      <c r="I910" s="93">
        <v>786.45</v>
      </c>
      <c r="J910" s="93"/>
      <c r="K910" s="93">
        <f t="shared" si="180"/>
        <v>0</v>
      </c>
      <c r="L910" s="93">
        <f t="shared" si="181"/>
        <v>0</v>
      </c>
      <c r="M910" s="94">
        <v>28.57</v>
      </c>
      <c r="N910" s="95" t="s">
        <v>289</v>
      </c>
      <c r="O910" s="93">
        <f t="shared" si="182"/>
        <v>0</v>
      </c>
      <c r="P910" s="93">
        <f t="shared" si="183"/>
        <v>0</v>
      </c>
      <c r="Q910" s="93">
        <f t="shared" si="184"/>
        <v>0</v>
      </c>
      <c r="R910" s="93">
        <f t="shared" si="185"/>
        <v>131</v>
      </c>
      <c r="S910" s="93">
        <f t="shared" si="186"/>
        <v>0</v>
      </c>
      <c r="T910" s="93">
        <f t="shared" si="187"/>
        <v>131</v>
      </c>
      <c r="U910" s="253">
        <f t="shared" si="188"/>
        <v>655.45</v>
      </c>
      <c r="V910" s="93">
        <f t="shared" si="189"/>
        <v>0</v>
      </c>
    </row>
    <row r="911" spans="1:22" ht="18" customHeight="1" x14ac:dyDescent="0.2">
      <c r="A911" s="110" t="s">
        <v>1630</v>
      </c>
      <c r="B911" s="111"/>
      <c r="C911" s="203" t="s">
        <v>1631</v>
      </c>
      <c r="D911" s="91">
        <v>43374</v>
      </c>
      <c r="E911" s="92"/>
      <c r="F911" s="93"/>
      <c r="G911" s="93"/>
      <c r="H911" s="93">
        <v>516.28</v>
      </c>
      <c r="I911" s="93">
        <v>473.28000000000003</v>
      </c>
      <c r="J911" s="93"/>
      <c r="K911" s="93">
        <f t="shared" si="180"/>
        <v>0</v>
      </c>
      <c r="L911" s="93">
        <f t="shared" si="181"/>
        <v>0</v>
      </c>
      <c r="M911" s="94">
        <v>50</v>
      </c>
      <c r="N911" s="95" t="s">
        <v>289</v>
      </c>
      <c r="O911" s="93">
        <f t="shared" si="182"/>
        <v>0</v>
      </c>
      <c r="P911" s="93">
        <f t="shared" si="183"/>
        <v>0</v>
      </c>
      <c r="Q911" s="93">
        <f t="shared" si="184"/>
        <v>0</v>
      </c>
      <c r="R911" s="93">
        <f t="shared" si="185"/>
        <v>138</v>
      </c>
      <c r="S911" s="93">
        <f t="shared" si="186"/>
        <v>0</v>
      </c>
      <c r="T911" s="93">
        <f t="shared" si="187"/>
        <v>138</v>
      </c>
      <c r="U911" s="253">
        <f>+I911+J911-T911-F911+K911-L911</f>
        <v>335.28000000000003</v>
      </c>
      <c r="V911" s="93">
        <f t="shared" si="189"/>
        <v>0</v>
      </c>
    </row>
    <row r="912" spans="1:22" ht="18" customHeight="1" x14ac:dyDescent="0.2">
      <c r="A912" s="110" t="s">
        <v>2085</v>
      </c>
      <c r="B912" s="111"/>
      <c r="C912" s="201" t="s">
        <v>1996</v>
      </c>
      <c r="D912" s="91">
        <v>43536</v>
      </c>
      <c r="E912" s="92"/>
      <c r="F912" s="93"/>
      <c r="G912" s="93"/>
      <c r="H912" s="93"/>
      <c r="I912" s="93"/>
      <c r="J912" s="93">
        <v>2025.45</v>
      </c>
      <c r="K912" s="93">
        <f t="shared" si="180"/>
        <v>0</v>
      </c>
      <c r="L912" s="93">
        <f t="shared" si="181"/>
        <v>0</v>
      </c>
      <c r="M912" s="94">
        <v>50</v>
      </c>
      <c r="N912" s="95" t="s">
        <v>289</v>
      </c>
      <c r="O912" s="93">
        <f t="shared" si="182"/>
        <v>0</v>
      </c>
      <c r="P912" s="93">
        <f t="shared" si="183"/>
        <v>0</v>
      </c>
      <c r="Q912" s="93">
        <f t="shared" si="184"/>
        <v>0</v>
      </c>
      <c r="R912" s="93">
        <f t="shared" si="185"/>
        <v>305</v>
      </c>
      <c r="S912" s="93">
        <f t="shared" si="186"/>
        <v>0</v>
      </c>
      <c r="T912" s="93">
        <f t="shared" si="187"/>
        <v>305</v>
      </c>
      <c r="U912" s="253">
        <f>+I912+J912-T912-F912+K912-L912</f>
        <v>1720.45</v>
      </c>
      <c r="V912" s="93">
        <f t="shared" si="189"/>
        <v>0</v>
      </c>
    </row>
    <row r="913" spans="1:25" ht="18" customHeight="1" x14ac:dyDescent="0.2">
      <c r="A913" s="204"/>
      <c r="B913" s="205"/>
      <c r="C913" s="207"/>
      <c r="D913" s="207"/>
      <c r="E913" s="92"/>
      <c r="F913" s="93"/>
      <c r="G913" s="93"/>
      <c r="H913" s="93"/>
      <c r="I913" s="209"/>
      <c r="J913" s="209"/>
      <c r="K913" s="209"/>
      <c r="L913" s="209"/>
      <c r="M913" s="210"/>
      <c r="N913" s="95"/>
      <c r="O913" s="95"/>
      <c r="P913" s="209"/>
      <c r="Q913" s="209"/>
      <c r="R913" s="95"/>
      <c r="S913" s="209"/>
      <c r="T913" s="209"/>
      <c r="U913" s="254"/>
      <c r="V913" s="209"/>
    </row>
    <row r="914" spans="1:25" ht="18" customHeight="1" x14ac:dyDescent="0.2">
      <c r="A914" s="204"/>
      <c r="B914" s="205"/>
      <c r="C914" s="206" t="s">
        <v>2043</v>
      </c>
      <c r="D914" s="207"/>
      <c r="E914" s="92"/>
      <c r="F914" s="93"/>
      <c r="G914" s="93"/>
      <c r="H914" s="208">
        <f>+J915-V915</f>
        <v>2025.45</v>
      </c>
      <c r="I914" s="209"/>
      <c r="J914" s="209"/>
      <c r="K914" s="209"/>
      <c r="L914" s="209"/>
      <c r="M914" s="210"/>
      <c r="N914" s="95"/>
      <c r="O914" s="95"/>
      <c r="P914" s="209"/>
      <c r="Q914" s="209"/>
      <c r="R914" s="95"/>
      <c r="S914" s="209"/>
      <c r="T914" s="209"/>
      <c r="U914" s="254"/>
      <c r="V914" s="209"/>
    </row>
    <row r="915" spans="1:25" s="14" customFormat="1" ht="18" customHeight="1" x14ac:dyDescent="0.2">
      <c r="A915" s="211"/>
      <c r="B915" s="212"/>
      <c r="C915" s="206" t="s">
        <v>1657</v>
      </c>
      <c r="D915" s="206"/>
      <c r="E915" s="219"/>
      <c r="F915" s="208">
        <f t="shared" ref="F915:L915" si="190">SUM(F885:F913)</f>
        <v>0</v>
      </c>
      <c r="G915" s="208">
        <f t="shared" si="190"/>
        <v>0</v>
      </c>
      <c r="H915" s="208">
        <f>SUM(H885:H914)</f>
        <v>53990.679999999993</v>
      </c>
      <c r="I915" s="208">
        <f t="shared" si="190"/>
        <v>33088.69</v>
      </c>
      <c r="J915" s="208">
        <f t="shared" si="190"/>
        <v>2025.45</v>
      </c>
      <c r="K915" s="208">
        <f t="shared" si="190"/>
        <v>0</v>
      </c>
      <c r="L915" s="208">
        <f t="shared" si="190"/>
        <v>0</v>
      </c>
      <c r="M915" s="214"/>
      <c r="N915" s="233"/>
      <c r="O915" s="208">
        <f>SUM(O885:O913)</f>
        <v>0</v>
      </c>
      <c r="P915" s="208">
        <f>SUM(P885:P913)</f>
        <v>0</v>
      </c>
      <c r="Q915" s="208"/>
      <c r="R915" s="208">
        <f>SUM(R885:R913)</f>
        <v>3702</v>
      </c>
      <c r="S915" s="208">
        <f>SUM(S885:S913)</f>
        <v>0</v>
      </c>
      <c r="T915" s="247">
        <f>SUM(T885:T913)</f>
        <v>3702</v>
      </c>
      <c r="U915" s="255">
        <f>SUM(U885:U913)</f>
        <v>31412.14</v>
      </c>
      <c r="V915" s="208">
        <f>SUM(V885:V913)</f>
        <v>0</v>
      </c>
    </row>
    <row r="916" spans="1:25" s="14" customFormat="1" ht="18" customHeight="1" x14ac:dyDescent="0.2">
      <c r="A916" s="211"/>
      <c r="B916" s="212"/>
      <c r="C916" s="206"/>
      <c r="D916" s="206"/>
      <c r="E916" s="219"/>
      <c r="F916" s="208"/>
      <c r="G916" s="208"/>
      <c r="H916" s="208"/>
      <c r="I916" s="208"/>
      <c r="J916" s="208"/>
      <c r="K916" s="208"/>
      <c r="L916" s="208"/>
      <c r="M916" s="214"/>
      <c r="N916" s="233"/>
      <c r="O916" s="208"/>
      <c r="P916" s="208"/>
      <c r="Q916" s="208"/>
      <c r="R916" s="208"/>
      <c r="S916" s="208"/>
      <c r="T916" s="208"/>
      <c r="U916" s="255"/>
      <c r="V916" s="208"/>
    </row>
    <row r="917" spans="1:25" s="14" customFormat="1" ht="18" customHeight="1" x14ac:dyDescent="0.2">
      <c r="A917" s="211"/>
      <c r="B917" s="212"/>
      <c r="C917" s="206" t="s">
        <v>2044</v>
      </c>
      <c r="D917" s="206"/>
      <c r="E917" s="219"/>
      <c r="F917" s="208"/>
      <c r="G917" s="208"/>
      <c r="H917" s="208"/>
      <c r="I917" s="208"/>
      <c r="J917" s="208"/>
      <c r="K917" s="208"/>
      <c r="L917" s="208"/>
      <c r="M917" s="214"/>
      <c r="N917" s="233"/>
      <c r="O917" s="208"/>
      <c r="P917" s="208"/>
      <c r="Q917" s="208"/>
      <c r="R917" s="208"/>
      <c r="S917" s="208"/>
      <c r="T917" s="208"/>
      <c r="U917" s="255"/>
      <c r="V917" s="208"/>
    </row>
    <row r="918" spans="1:25" ht="18" customHeight="1" x14ac:dyDescent="0.2">
      <c r="A918" s="204"/>
      <c r="B918" s="205"/>
      <c r="C918" s="207" t="s">
        <v>2088</v>
      </c>
      <c r="D918" s="207"/>
      <c r="E918" s="92"/>
      <c r="F918" s="93"/>
      <c r="G918" s="93"/>
      <c r="H918" s="93"/>
      <c r="I918" s="93">
        <v>16084.17</v>
      </c>
      <c r="J918" s="93"/>
      <c r="K918" s="93">
        <f>INT(IF($E918&gt;0,IF(+F918-I918+Q918&lt;0,0,+F918-I918+Q918),0))</f>
        <v>0</v>
      </c>
      <c r="L918" s="93">
        <f>INT(IF($E918&gt;0,IF(K918=0,-F918+I918-Q918,0),0))</f>
        <v>0</v>
      </c>
      <c r="M918" s="94">
        <v>37.5</v>
      </c>
      <c r="N918" s="95" t="s">
        <v>289</v>
      </c>
      <c r="O918" s="93">
        <f>IF(E918&gt;0,INT(IF($N918="D",IF($D918&lt;$H$3,$I918*($M918/100)*((E918-$H$3)/365),$J918*($M918/100)*($J$3-$D918)/365),0)),0)</f>
        <v>0</v>
      </c>
      <c r="P918" s="93">
        <f>IF(E918&gt;0,INT(IF($N918="P",IF($D918&lt;$H$3,$H918*($M918/100)*(E918-$H$3)/365,$J918*($M918/100)*($J$3-$D918)/365),0)),0)</f>
        <v>0</v>
      </c>
      <c r="Q918" s="93">
        <f>+O918+P918</f>
        <v>0</v>
      </c>
      <c r="R918" s="93">
        <f>INT(IF($E918&gt;0,0,(IF($N918="D",IF($D918&lt;$H$3,$I918*($M918/100)*$U$3/12,$J918*($M918/100)*($J$3-$D918)/365),0))))</f>
        <v>3518</v>
      </c>
      <c r="S918" s="93">
        <f>INT(IF($E918&gt;0,0,(IF($N918="P",IF($D918&lt;$H$3,$H918*($M918/100)*$U$3/12,$J918*($M918/100)*($J$3-$D918)/365),0))))</f>
        <v>0</v>
      </c>
      <c r="T918" s="93">
        <f>+R918+S918+Q918</f>
        <v>3518</v>
      </c>
      <c r="U918" s="253">
        <f>+I918+J918-T918-F918+K918-L918</f>
        <v>12566.17</v>
      </c>
      <c r="V918" s="93">
        <f>IF(E918&gt;0,+H918+J918,0)</f>
        <v>0</v>
      </c>
    </row>
    <row r="919" spans="1:25" ht="18" customHeight="1" x14ac:dyDescent="0.2">
      <c r="A919" s="204"/>
      <c r="B919" s="205"/>
      <c r="C919" s="207" t="s">
        <v>2089</v>
      </c>
      <c r="D919" s="239">
        <v>43435</v>
      </c>
      <c r="E919" s="92"/>
      <c r="F919" s="93"/>
      <c r="G919" s="93"/>
      <c r="H919" s="93"/>
      <c r="I919" s="93"/>
      <c r="J919" s="93">
        <v>8420.91</v>
      </c>
      <c r="K919" s="93">
        <f>INT(IF($E919&gt;0,IF(+F919-I919+Q919&lt;0,0,+F919-I919+Q919),0))</f>
        <v>0</v>
      </c>
      <c r="L919" s="93">
        <f>INT(IF($E919&gt;0,IF(K919=0,-F919+I919-Q919,0),0))</f>
        <v>0</v>
      </c>
      <c r="M919" s="94">
        <v>18.75</v>
      </c>
      <c r="N919" s="95" t="s">
        <v>289</v>
      </c>
      <c r="O919" s="93">
        <f>IF(E919&gt;0,INT(IF($N919="D",IF($D919&lt;$H$3,$I919*($M919/100)*((E919-$H$3)/365),$J919*($M919/100)*($J$3-$D919)/365),0)),0)</f>
        <v>0</v>
      </c>
      <c r="P919" s="93">
        <f>IF(E919&gt;0,INT(IF($N919="P",IF($D919&lt;$H$3,$H919*($M919/100)*(E919-$H$3)/365,$J919*($M919/100)*($J$3-$D919)/365),0)),0)</f>
        <v>0</v>
      </c>
      <c r="Q919" s="93">
        <f>+O919+P919</f>
        <v>0</v>
      </c>
      <c r="R919" s="93">
        <f>INT(IF($E919&gt;0,0,(IF($N919="D",IF($D919&lt;$H$3,$I919*($M919/100)*$U$3/12,$J919*($M919/100)*($J$3-$D919)/365),0))))</f>
        <v>912</v>
      </c>
      <c r="S919" s="93">
        <f>INT(IF($E919&gt;0,0,(IF($N919="P",IF($D919&lt;$H$3,$H919*($M919/100)*$U$3/12,$J919*($M919/100)*($J$3-$D919)/365),0))))</f>
        <v>0</v>
      </c>
      <c r="T919" s="93">
        <f>+R919+S919+Q919</f>
        <v>912</v>
      </c>
      <c r="U919" s="253">
        <f>+I919+J919-T919-F919+K919-L919</f>
        <v>7508.91</v>
      </c>
      <c r="V919" s="93">
        <f>IF(E919&gt;0,+H919+J919,0)</f>
        <v>0</v>
      </c>
    </row>
    <row r="920" spans="1:25" ht="18" customHeight="1" x14ac:dyDescent="0.2">
      <c r="A920" s="204"/>
      <c r="B920" s="205"/>
      <c r="C920" s="207"/>
      <c r="D920" s="207"/>
      <c r="E920" s="92"/>
      <c r="F920" s="93"/>
      <c r="G920" s="93"/>
      <c r="H920" s="93"/>
      <c r="I920" s="209"/>
      <c r="J920" s="209"/>
      <c r="K920" s="209"/>
      <c r="L920" s="209"/>
      <c r="M920" s="210"/>
      <c r="N920" s="95"/>
      <c r="O920" s="95"/>
      <c r="P920" s="209"/>
      <c r="Q920" s="209"/>
      <c r="R920" s="95"/>
      <c r="S920" s="209"/>
      <c r="T920" s="209"/>
      <c r="U920" s="254"/>
      <c r="V920" s="209"/>
    </row>
    <row r="921" spans="1:25" ht="18" customHeight="1" x14ac:dyDescent="0.2">
      <c r="A921" s="204"/>
      <c r="B921" s="205"/>
      <c r="C921" s="206" t="s">
        <v>2043</v>
      </c>
      <c r="D921" s="207"/>
      <c r="E921" s="92"/>
      <c r="F921" s="93"/>
      <c r="G921" s="93"/>
      <c r="H921" s="208">
        <f>+J922-V922</f>
        <v>8420.91</v>
      </c>
      <c r="I921" s="209"/>
      <c r="J921" s="209"/>
      <c r="K921" s="209"/>
      <c r="L921" s="209"/>
      <c r="M921" s="210"/>
      <c r="N921" s="95"/>
      <c r="O921" s="95"/>
      <c r="P921" s="209"/>
      <c r="Q921" s="209"/>
      <c r="R921" s="95"/>
      <c r="S921" s="209"/>
      <c r="T921" s="209"/>
      <c r="U921" s="254"/>
      <c r="V921" s="209"/>
    </row>
    <row r="922" spans="1:25" s="14" customFormat="1" ht="18" customHeight="1" x14ac:dyDescent="0.2">
      <c r="A922" s="211"/>
      <c r="B922" s="212"/>
      <c r="C922" s="206" t="s">
        <v>2090</v>
      </c>
      <c r="D922" s="206"/>
      <c r="E922" s="219"/>
      <c r="F922" s="208">
        <f t="shared" ref="F922:L922" si="191">SUM(F918:F920)</f>
        <v>0</v>
      </c>
      <c r="G922" s="208">
        <f t="shared" si="191"/>
        <v>0</v>
      </c>
      <c r="H922" s="208">
        <f t="shared" si="191"/>
        <v>0</v>
      </c>
      <c r="I922" s="208">
        <f t="shared" si="191"/>
        <v>16084.17</v>
      </c>
      <c r="J922" s="208">
        <f t="shared" si="191"/>
        <v>8420.91</v>
      </c>
      <c r="K922" s="208">
        <f t="shared" si="191"/>
        <v>0</v>
      </c>
      <c r="L922" s="208">
        <f t="shared" si="191"/>
        <v>0</v>
      </c>
      <c r="M922" s="214"/>
      <c r="N922" s="233"/>
      <c r="O922" s="208">
        <f>SUM(O892:O920)</f>
        <v>0</v>
      </c>
      <c r="P922" s="208">
        <f>SUM(P892:P920)</f>
        <v>0</v>
      </c>
      <c r="Q922" s="208"/>
      <c r="R922" s="208">
        <f>SUM(R892:R920)</f>
        <v>11327</v>
      </c>
      <c r="S922" s="208">
        <f>SUM(S892:S920)</f>
        <v>0</v>
      </c>
      <c r="T922" s="208">
        <f>SUM(T918:T920)</f>
        <v>4430</v>
      </c>
      <c r="U922" s="255">
        <f>SUM(U918:U920)</f>
        <v>20075.080000000002</v>
      </c>
      <c r="V922" s="208">
        <f>SUM(V918:V920)</f>
        <v>0</v>
      </c>
      <c r="Y922" s="11"/>
    </row>
    <row r="923" spans="1:25" ht="18" customHeight="1" x14ac:dyDescent="0.2">
      <c r="A923" s="204"/>
      <c r="B923" s="205"/>
      <c r="C923" s="207"/>
      <c r="D923" s="207"/>
      <c r="E923" s="92"/>
      <c r="F923" s="93"/>
      <c r="G923" s="93"/>
      <c r="H923" s="93"/>
      <c r="I923" s="209"/>
      <c r="J923" s="209"/>
      <c r="K923" s="209"/>
      <c r="L923" s="209"/>
      <c r="M923" s="210"/>
      <c r="N923" s="95"/>
      <c r="O923" s="95"/>
      <c r="P923" s="209"/>
      <c r="Q923" s="209"/>
      <c r="R923" s="95"/>
      <c r="S923" s="209"/>
      <c r="T923" s="209"/>
      <c r="U923" s="254"/>
      <c r="V923" s="209"/>
    </row>
    <row r="924" spans="1:25" s="14" customFormat="1" ht="18" customHeight="1" x14ac:dyDescent="0.2">
      <c r="A924" s="240"/>
      <c r="B924" s="241"/>
      <c r="C924" s="242" t="s">
        <v>1658</v>
      </c>
      <c r="D924" s="242"/>
      <c r="E924" s="243"/>
      <c r="F924" s="244">
        <f t="shared" ref="F924:L924" si="192">+F163+F633+F649+F881+F915+F922</f>
        <v>36598.18</v>
      </c>
      <c r="G924" s="244">
        <f t="shared" si="192"/>
        <v>0</v>
      </c>
      <c r="H924" s="244">
        <f t="shared" si="192"/>
        <v>8753450.3499999959</v>
      </c>
      <c r="I924" s="244">
        <f t="shared" si="192"/>
        <v>5424574.3120000008</v>
      </c>
      <c r="J924" s="244">
        <f t="shared" si="192"/>
        <v>857471.02999999991</v>
      </c>
      <c r="K924" s="244">
        <f t="shared" si="192"/>
        <v>15762</v>
      </c>
      <c r="L924" s="244">
        <f t="shared" si="192"/>
        <v>0</v>
      </c>
      <c r="M924" s="245"/>
      <c r="N924" s="246"/>
      <c r="O924" s="244">
        <f>+O163+O633+O649+O881+O915</f>
        <v>829</v>
      </c>
      <c r="P924" s="244">
        <f>+P163+P633+P649+P881+P915</f>
        <v>0</v>
      </c>
      <c r="Q924" s="244"/>
      <c r="R924" s="244">
        <f>+R163+R633+R649+R881+R915</f>
        <v>377942</v>
      </c>
      <c r="S924" s="244">
        <f>+S163+S633+S649+S881+S915</f>
        <v>29252</v>
      </c>
      <c r="T924" s="244">
        <f>+T163+T633+T649+T881+T915+T922</f>
        <v>421532</v>
      </c>
      <c r="U924" s="244">
        <f>+U163+U633+U649+U881+U915+U922</f>
        <v>5839677.6720000003</v>
      </c>
      <c r="V924" s="244">
        <f>+V163+V633+V649+V881+V915+V922</f>
        <v>231008.51</v>
      </c>
      <c r="Y924" s="11"/>
    </row>
    <row r="925" spans="1:25" ht="18" customHeight="1" x14ac:dyDescent="0.2">
      <c r="A925" s="41"/>
      <c r="B925" s="41"/>
      <c r="C925" s="41" t="s">
        <v>1659</v>
      </c>
      <c r="D925" s="42"/>
      <c r="E925" s="43"/>
      <c r="F925" s="9"/>
      <c r="G925" s="9"/>
      <c r="H925" s="9"/>
      <c r="I925" s="162">
        <v>5424574.7000000002</v>
      </c>
      <c r="J925" s="9"/>
      <c r="K925" s="9"/>
      <c r="L925" s="9"/>
      <c r="N925" s="46"/>
      <c r="O925" s="46"/>
      <c r="P925" s="9"/>
      <c r="Q925" s="9"/>
      <c r="R925" s="46"/>
      <c r="S925" s="9"/>
      <c r="T925" s="9"/>
      <c r="U925" s="259">
        <v>5839677.5499999998</v>
      </c>
      <c r="V925" s="9"/>
    </row>
    <row r="926" spans="1:25" ht="18" hidden="1" customHeight="1" x14ac:dyDescent="0.2">
      <c r="C926" s="42"/>
      <c r="D926" s="42"/>
      <c r="E926" s="43"/>
      <c r="F926" s="9"/>
      <c r="G926" s="9"/>
      <c r="H926" s="9">
        <f>+H924-H925</f>
        <v>8753450.3499999959</v>
      </c>
      <c r="I926" s="49"/>
      <c r="J926" s="10">
        <f>+J924-J925</f>
        <v>857471.02999999991</v>
      </c>
      <c r="K926" s="10"/>
      <c r="L926" s="10">
        <f>+K924-L924</f>
        <v>15762</v>
      </c>
      <c r="P926" s="10"/>
      <c r="Q926" s="10"/>
      <c r="S926" s="10"/>
      <c r="T926" s="10"/>
      <c r="U926" s="257"/>
      <c r="V926" s="10"/>
    </row>
    <row r="927" spans="1:25" ht="18" customHeight="1" x14ac:dyDescent="0.2">
      <c r="A927" s="41"/>
      <c r="B927" s="41"/>
      <c r="C927" s="41"/>
      <c r="D927" s="41"/>
      <c r="E927" s="47"/>
      <c r="F927" s="48"/>
      <c r="G927" s="48" t="s">
        <v>1648</v>
      </c>
      <c r="H927" s="48"/>
      <c r="I927" s="52" t="s">
        <v>1668</v>
      </c>
      <c r="J927" s="163"/>
      <c r="K927" s="10"/>
      <c r="L927" s="10"/>
      <c r="P927" s="10"/>
      <c r="Q927" s="10"/>
      <c r="S927" s="10"/>
      <c r="T927" s="10"/>
      <c r="U927" s="52" t="s">
        <v>1668</v>
      </c>
      <c r="V927" s="10"/>
    </row>
    <row r="928" spans="1:25" ht="18" customHeight="1" x14ac:dyDescent="0.2">
      <c r="C928" s="42"/>
      <c r="D928" s="42"/>
      <c r="E928" s="50"/>
      <c r="F928" s="51"/>
      <c r="G928" s="51"/>
      <c r="H928" s="42"/>
      <c r="I928" s="53" t="s">
        <v>1669</v>
      </c>
      <c r="P928" s="10"/>
      <c r="Q928" s="10"/>
      <c r="S928" s="10"/>
      <c r="T928" s="10"/>
      <c r="U928" s="53" t="s">
        <v>1669</v>
      </c>
      <c r="V928" s="12"/>
    </row>
    <row r="929" spans="3:22" ht="18" customHeight="1" x14ac:dyDescent="0.2">
      <c r="C929" s="15" t="s">
        <v>1663</v>
      </c>
      <c r="D929" s="42"/>
      <c r="E929" s="50"/>
      <c r="F929" s="51"/>
      <c r="G929" s="51"/>
      <c r="H929" s="42"/>
      <c r="I929" s="53">
        <v>43434</v>
      </c>
      <c r="P929" s="10"/>
      <c r="Q929" s="10"/>
      <c r="S929" s="10"/>
      <c r="T929" s="10"/>
      <c r="U929" s="53">
        <v>43646</v>
      </c>
      <c r="V929" s="10"/>
    </row>
    <row r="930" spans="3:22" ht="18" customHeight="1" x14ac:dyDescent="0.2">
      <c r="C930" s="42"/>
      <c r="D930" s="42"/>
      <c r="E930" s="50"/>
      <c r="F930" s="51"/>
      <c r="G930" s="51"/>
      <c r="H930" s="42"/>
      <c r="P930" s="10"/>
      <c r="Q930" s="10"/>
      <c r="S930" s="10"/>
      <c r="T930" s="10"/>
      <c r="U930" s="257"/>
      <c r="V930" s="10"/>
    </row>
    <row r="931" spans="3:22" x14ac:dyDescent="0.2">
      <c r="C931" s="42"/>
      <c r="D931" s="42"/>
      <c r="E931" s="50"/>
      <c r="F931" s="51"/>
      <c r="G931" s="51"/>
      <c r="H931" s="42"/>
      <c r="P931" s="10"/>
      <c r="Q931" s="10"/>
      <c r="S931" s="10"/>
      <c r="T931" s="10"/>
      <c r="U931" s="257"/>
      <c r="V931" s="10"/>
    </row>
    <row r="932" spans="3:22" x14ac:dyDescent="0.2">
      <c r="C932" s="42"/>
      <c r="D932" s="42"/>
      <c r="E932" s="50"/>
      <c r="F932" s="51"/>
      <c r="G932" s="51"/>
      <c r="H932" s="42"/>
      <c r="P932" s="10"/>
      <c r="Q932" s="10"/>
      <c r="S932" s="10"/>
      <c r="T932" s="10"/>
      <c r="U932" s="257"/>
      <c r="V932" s="10"/>
    </row>
    <row r="933" spans="3:22" x14ac:dyDescent="0.2">
      <c r="C933" s="42"/>
      <c r="D933" s="42"/>
      <c r="E933" s="50"/>
      <c r="F933" s="51"/>
      <c r="G933" s="51"/>
      <c r="H933" s="42"/>
      <c r="P933" s="10"/>
      <c r="Q933" s="10"/>
      <c r="S933" s="10"/>
      <c r="T933" s="10"/>
      <c r="U933" s="257"/>
      <c r="V933" s="10"/>
    </row>
    <row r="934" spans="3:22" x14ac:dyDescent="0.2">
      <c r="C934" s="42"/>
      <c r="D934" s="42"/>
      <c r="E934" s="50"/>
      <c r="F934" s="51"/>
      <c r="G934" s="51"/>
      <c r="H934" s="42"/>
      <c r="P934" s="10"/>
      <c r="Q934" s="10"/>
      <c r="S934" s="10"/>
      <c r="T934" s="10"/>
      <c r="U934" s="257"/>
      <c r="V934" s="10"/>
    </row>
    <row r="935" spans="3:22" x14ac:dyDescent="0.2">
      <c r="C935" s="42"/>
      <c r="D935" s="42"/>
      <c r="E935" s="50"/>
      <c r="F935" s="51"/>
      <c r="G935" s="51"/>
      <c r="H935" s="42"/>
      <c r="P935" s="10"/>
      <c r="Q935" s="10"/>
      <c r="S935" s="10"/>
      <c r="T935" s="10"/>
      <c r="U935" s="257"/>
      <c r="V935" s="10"/>
    </row>
    <row r="936" spans="3:22" x14ac:dyDescent="0.2">
      <c r="C936" s="42"/>
      <c r="D936" s="42"/>
      <c r="E936" s="50"/>
      <c r="F936" s="51"/>
      <c r="G936" s="51"/>
      <c r="H936" s="42"/>
      <c r="P936" s="10"/>
      <c r="Q936" s="10"/>
      <c r="S936" s="10"/>
      <c r="T936" s="10"/>
      <c r="U936" s="257"/>
      <c r="V936" s="10"/>
    </row>
    <row r="937" spans="3:22" x14ac:dyDescent="0.2">
      <c r="C937" s="42"/>
      <c r="D937" s="42"/>
      <c r="E937" s="50"/>
      <c r="F937" s="51"/>
      <c r="G937" s="51"/>
      <c r="H937" s="42"/>
      <c r="P937" s="10"/>
      <c r="Q937" s="10"/>
      <c r="S937" s="10"/>
      <c r="T937" s="10"/>
      <c r="U937" s="257"/>
      <c r="V937" s="10"/>
    </row>
    <row r="938" spans="3:22" x14ac:dyDescent="0.2">
      <c r="C938" s="42"/>
      <c r="D938" s="42"/>
      <c r="E938" s="50"/>
      <c r="F938" s="51"/>
      <c r="G938" s="51"/>
      <c r="H938" s="42"/>
      <c r="P938" s="10"/>
      <c r="Q938" s="10"/>
      <c r="S938" s="10"/>
      <c r="T938" s="10"/>
      <c r="U938" s="257"/>
      <c r="V938" s="10"/>
    </row>
    <row r="939" spans="3:22" x14ac:dyDescent="0.2">
      <c r="C939" s="42"/>
      <c r="D939" s="42"/>
      <c r="E939" s="50"/>
      <c r="F939" s="51"/>
      <c r="G939" s="51"/>
      <c r="H939" s="42"/>
      <c r="P939" s="10"/>
      <c r="Q939" s="10"/>
      <c r="S939" s="10"/>
      <c r="T939" s="10"/>
      <c r="U939" s="257"/>
      <c r="V939" s="10"/>
    </row>
    <row r="940" spans="3:22" x14ac:dyDescent="0.2">
      <c r="C940" s="42"/>
      <c r="D940" s="42"/>
      <c r="E940" s="50"/>
      <c r="F940" s="51"/>
      <c r="G940" s="51"/>
      <c r="H940" s="42"/>
      <c r="P940" s="10"/>
      <c r="Q940" s="10"/>
      <c r="S940" s="10"/>
      <c r="T940" s="10"/>
      <c r="U940" s="257"/>
      <c r="V940" s="10"/>
    </row>
    <row r="941" spans="3:22" x14ac:dyDescent="0.2">
      <c r="C941" s="42"/>
      <c r="D941" s="42"/>
      <c r="E941" s="50"/>
      <c r="F941" s="51"/>
      <c r="G941" s="51"/>
      <c r="H941" s="42"/>
      <c r="P941" s="10"/>
      <c r="Q941" s="10"/>
      <c r="S941" s="10"/>
      <c r="T941" s="10"/>
      <c r="U941" s="257"/>
      <c r="V941" s="10"/>
    </row>
    <row r="942" spans="3:22" x14ac:dyDescent="0.2">
      <c r="C942" s="42"/>
      <c r="D942" s="42"/>
      <c r="E942" s="50"/>
      <c r="F942" s="51"/>
      <c r="G942" s="51"/>
      <c r="H942" s="42"/>
      <c r="P942" s="10"/>
      <c r="Q942" s="10"/>
      <c r="S942" s="10"/>
      <c r="T942" s="10"/>
      <c r="U942" s="257"/>
      <c r="V942" s="10"/>
    </row>
    <row r="943" spans="3:22" x14ac:dyDescent="0.2">
      <c r="C943" s="42"/>
      <c r="D943" s="42"/>
      <c r="E943" s="50"/>
      <c r="F943" s="51"/>
      <c r="G943" s="51"/>
      <c r="H943" s="42"/>
      <c r="P943" s="10"/>
      <c r="Q943" s="10"/>
      <c r="S943" s="10"/>
      <c r="T943" s="10"/>
      <c r="U943" s="257"/>
      <c r="V943" s="10"/>
    </row>
    <row r="944" spans="3:22" x14ac:dyDescent="0.2">
      <c r="C944" s="42"/>
      <c r="D944" s="42"/>
      <c r="E944" s="50"/>
      <c r="F944" s="51"/>
      <c r="G944" s="51"/>
      <c r="P944" s="10"/>
      <c r="Q944" s="10"/>
      <c r="S944" s="10"/>
      <c r="T944" s="10"/>
      <c r="U944" s="257"/>
      <c r="V944" s="10"/>
    </row>
    <row r="945" spans="3:22" x14ac:dyDescent="0.2">
      <c r="C945" s="42"/>
      <c r="D945" s="42"/>
      <c r="E945" s="50"/>
      <c r="F945" s="51"/>
      <c r="G945" s="51"/>
      <c r="H945" s="42"/>
      <c r="P945" s="10"/>
      <c r="Q945" s="10"/>
      <c r="S945" s="10"/>
      <c r="T945" s="10"/>
      <c r="U945" s="257"/>
      <c r="V945" s="10"/>
    </row>
    <row r="946" spans="3:22" x14ac:dyDescent="0.2">
      <c r="P946" s="10"/>
      <c r="Q946" s="10"/>
      <c r="S946" s="10"/>
      <c r="T946" s="10"/>
      <c r="U946" s="257"/>
      <c r="V946" s="10"/>
    </row>
    <row r="947" spans="3:22" x14ac:dyDescent="0.2">
      <c r="P947" s="10"/>
      <c r="Q947" s="10"/>
      <c r="S947" s="10"/>
      <c r="T947" s="10"/>
      <c r="U947" s="257"/>
      <c r="V947" s="10"/>
    </row>
    <row r="948" spans="3:22" x14ac:dyDescent="0.2">
      <c r="F948" s="51"/>
      <c r="G948" s="51"/>
      <c r="H948" s="42"/>
      <c r="P948" s="10"/>
      <c r="Q948" s="10"/>
      <c r="S948" s="10"/>
      <c r="T948" s="10"/>
      <c r="U948" s="257"/>
      <c r="V948" s="10"/>
    </row>
    <row r="949" spans="3:22" x14ac:dyDescent="0.2">
      <c r="P949" s="10"/>
      <c r="Q949" s="10"/>
      <c r="S949" s="10"/>
      <c r="T949" s="10"/>
      <c r="U949" s="257"/>
      <c r="V949" s="10"/>
    </row>
    <row r="950" spans="3:22" x14ac:dyDescent="0.2">
      <c r="P950" s="10"/>
      <c r="Q950" s="10"/>
      <c r="S950" s="10"/>
      <c r="T950" s="10"/>
      <c r="U950" s="257"/>
      <c r="V950" s="10"/>
    </row>
    <row r="951" spans="3:22" x14ac:dyDescent="0.2">
      <c r="P951" s="10"/>
      <c r="Q951" s="10"/>
      <c r="S951" s="10"/>
      <c r="T951" s="10"/>
      <c r="U951" s="257"/>
      <c r="V951" s="10"/>
    </row>
    <row r="952" spans="3:22" x14ac:dyDescent="0.2">
      <c r="P952" s="10"/>
      <c r="Q952" s="10"/>
      <c r="S952" s="10"/>
      <c r="T952" s="10"/>
      <c r="U952" s="257"/>
      <c r="V952" s="10"/>
    </row>
    <row r="953" spans="3:22" x14ac:dyDescent="0.2">
      <c r="P953" s="10"/>
      <c r="Q953" s="10"/>
      <c r="S953" s="10"/>
      <c r="T953" s="10"/>
      <c r="U953" s="257"/>
      <c r="V953" s="10"/>
    </row>
    <row r="954" spans="3:22" x14ac:dyDescent="0.2">
      <c r="P954" s="10"/>
      <c r="Q954" s="10"/>
      <c r="S954" s="10"/>
      <c r="T954" s="10"/>
      <c r="U954" s="257"/>
      <c r="V954" s="10"/>
    </row>
    <row r="955" spans="3:22" x14ac:dyDescent="0.2">
      <c r="P955" s="10"/>
      <c r="Q955" s="10"/>
      <c r="S955" s="10"/>
      <c r="T955" s="10"/>
      <c r="U955" s="257"/>
      <c r="V955" s="10"/>
    </row>
    <row r="956" spans="3:22" x14ac:dyDescent="0.2">
      <c r="P956" s="10"/>
      <c r="Q956" s="10"/>
      <c r="S956" s="10"/>
      <c r="T956" s="10"/>
      <c r="U956" s="257"/>
      <c r="V956" s="10"/>
    </row>
    <row r="957" spans="3:22" x14ac:dyDescent="0.2">
      <c r="P957" s="10"/>
      <c r="Q957" s="10"/>
      <c r="S957" s="10"/>
      <c r="T957" s="10"/>
      <c r="U957" s="257"/>
      <c r="V957" s="10"/>
    </row>
    <row r="958" spans="3:22" x14ac:dyDescent="0.2">
      <c r="P958" s="10"/>
      <c r="Q958" s="10"/>
      <c r="S958" s="10"/>
      <c r="T958" s="10"/>
      <c r="U958" s="257"/>
      <c r="V958" s="10"/>
    </row>
    <row r="959" spans="3:22" x14ac:dyDescent="0.2">
      <c r="P959" s="10"/>
      <c r="Q959" s="10"/>
      <c r="S959" s="10"/>
      <c r="T959" s="10"/>
      <c r="U959" s="257"/>
      <c r="V959" s="10"/>
    </row>
    <row r="960" spans="3:22" x14ac:dyDescent="0.2">
      <c r="P960" s="10"/>
      <c r="Q960" s="10"/>
      <c r="S960" s="10"/>
      <c r="T960" s="10"/>
      <c r="U960" s="257"/>
      <c r="V960" s="10"/>
    </row>
    <row r="961" spans="16:22" x14ac:dyDescent="0.2">
      <c r="P961" s="10"/>
      <c r="Q961" s="10"/>
      <c r="S961" s="10"/>
      <c r="T961" s="10"/>
      <c r="U961" s="257"/>
      <c r="V961" s="10"/>
    </row>
    <row r="962" spans="16:22" x14ac:dyDescent="0.2">
      <c r="P962" s="10"/>
      <c r="Q962" s="10"/>
      <c r="S962" s="10"/>
      <c r="T962" s="10"/>
      <c r="U962" s="257"/>
      <c r="V962" s="10"/>
    </row>
    <row r="963" spans="16:22" x14ac:dyDescent="0.2">
      <c r="P963" s="10"/>
      <c r="Q963" s="10"/>
      <c r="S963" s="10"/>
      <c r="T963" s="10"/>
      <c r="U963" s="257"/>
      <c r="V963" s="10"/>
    </row>
    <row r="964" spans="16:22" x14ac:dyDescent="0.2">
      <c r="P964" s="10"/>
      <c r="Q964" s="10"/>
      <c r="S964" s="10"/>
      <c r="T964" s="10"/>
      <c r="U964" s="257"/>
      <c r="V964" s="10"/>
    </row>
    <row r="965" spans="16:22" x14ac:dyDescent="0.2">
      <c r="P965" s="10"/>
      <c r="Q965" s="10"/>
      <c r="S965" s="10"/>
      <c r="T965" s="10"/>
      <c r="U965" s="257"/>
      <c r="V965" s="10"/>
    </row>
    <row r="966" spans="16:22" x14ac:dyDescent="0.2">
      <c r="P966" s="10"/>
      <c r="Q966" s="10"/>
      <c r="S966" s="10"/>
      <c r="T966" s="10"/>
      <c r="U966" s="257"/>
      <c r="V966" s="10"/>
    </row>
    <row r="967" spans="16:22" x14ac:dyDescent="0.2">
      <c r="P967" s="10"/>
      <c r="Q967" s="10"/>
      <c r="S967" s="10"/>
      <c r="T967" s="10"/>
      <c r="U967" s="257"/>
      <c r="V967" s="10"/>
    </row>
    <row r="968" spans="16:22" x14ac:dyDescent="0.2">
      <c r="P968" s="10"/>
      <c r="Q968" s="10"/>
      <c r="S968" s="10"/>
      <c r="T968" s="10"/>
      <c r="U968" s="257"/>
      <c r="V968" s="10"/>
    </row>
    <row r="969" spans="16:22" x14ac:dyDescent="0.2">
      <c r="P969" s="10"/>
      <c r="Q969" s="10"/>
      <c r="S969" s="10"/>
      <c r="T969" s="10"/>
      <c r="U969" s="257"/>
      <c r="V969" s="10"/>
    </row>
    <row r="970" spans="16:22" x14ac:dyDescent="0.2">
      <c r="P970" s="10"/>
      <c r="Q970" s="10"/>
      <c r="S970" s="10"/>
      <c r="T970" s="10"/>
      <c r="U970" s="257"/>
      <c r="V970" s="10"/>
    </row>
    <row r="971" spans="16:22" x14ac:dyDescent="0.2">
      <c r="P971" s="10"/>
      <c r="Q971" s="10"/>
      <c r="S971" s="10"/>
      <c r="T971" s="10"/>
      <c r="U971" s="257"/>
      <c r="V971" s="10"/>
    </row>
    <row r="972" spans="16:22" x14ac:dyDescent="0.2">
      <c r="P972" s="10"/>
      <c r="Q972" s="10"/>
      <c r="S972" s="10"/>
      <c r="T972" s="10"/>
      <c r="U972" s="257"/>
      <c r="V972" s="10"/>
    </row>
    <row r="973" spans="16:22" x14ac:dyDescent="0.2">
      <c r="P973" s="10"/>
      <c r="Q973" s="10"/>
      <c r="S973" s="10"/>
      <c r="T973" s="10"/>
      <c r="U973" s="257"/>
      <c r="V973" s="10"/>
    </row>
    <row r="974" spans="16:22" x14ac:dyDescent="0.2">
      <c r="P974" s="10"/>
      <c r="Q974" s="10"/>
      <c r="S974" s="10"/>
      <c r="T974" s="10"/>
      <c r="U974" s="257"/>
      <c r="V974" s="10"/>
    </row>
    <row r="975" spans="16:22" x14ac:dyDescent="0.2">
      <c r="P975" s="10"/>
      <c r="Q975" s="10"/>
      <c r="S975" s="10"/>
      <c r="T975" s="10"/>
      <c r="U975" s="257"/>
      <c r="V975" s="10"/>
    </row>
    <row r="976" spans="16:22" x14ac:dyDescent="0.2">
      <c r="P976" s="10"/>
      <c r="Q976" s="10"/>
      <c r="S976" s="10"/>
      <c r="T976" s="10"/>
      <c r="U976" s="257"/>
      <c r="V976" s="10"/>
    </row>
    <row r="977" spans="16:22" x14ac:dyDescent="0.2">
      <c r="P977" s="10"/>
      <c r="Q977" s="10"/>
      <c r="S977" s="10"/>
      <c r="T977" s="10"/>
      <c r="U977" s="257"/>
      <c r="V977" s="10"/>
    </row>
    <row r="978" spans="16:22" x14ac:dyDescent="0.2">
      <c r="P978" s="10"/>
      <c r="Q978" s="10"/>
      <c r="S978" s="10"/>
      <c r="T978" s="10"/>
      <c r="U978" s="257"/>
      <c r="V978" s="10"/>
    </row>
  </sheetData>
  <mergeCells count="2">
    <mergeCell ref="D1:U1"/>
    <mergeCell ref="D2:U2"/>
  </mergeCells>
  <phoneticPr fontId="15" type="noConversion"/>
  <pageMargins left="0.23622047244094491" right="0.23622047244094491" top="0.74803149606299213" bottom="0.74803149606299213" header="0.31496062992125984" footer="0.31496062992125984"/>
  <pageSetup paperSize="9" scale="66" fitToHeight="25" orientation="landscape" r:id="rId1"/>
  <headerFooter>
    <oddFooter>&amp;Z&amp;F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171"/>
  <sheetViews>
    <sheetView workbookViewId="0">
      <pane ySplit="1770" topLeftCell="A100"/>
      <selection sqref="A1:XFD1048576"/>
      <selection pane="bottomLeft" activeCell="U123" sqref="U123"/>
    </sheetView>
  </sheetViews>
  <sheetFormatPr defaultColWidth="6.85546875" defaultRowHeight="12.75" x14ac:dyDescent="0.2"/>
  <cols>
    <col min="1" max="2" width="6.85546875" style="11"/>
    <col min="3" max="3" width="59.7109375" style="11" bestFit="1" customWidth="1"/>
    <col min="4" max="4" width="10.28515625" style="11" bestFit="1" customWidth="1"/>
    <col min="5" max="5" width="10.140625" style="18" bestFit="1" customWidth="1"/>
    <col min="6" max="6" width="10" style="19" bestFit="1" customWidth="1"/>
    <col min="7" max="7" width="8.42578125" style="19" bestFit="1" customWidth="1"/>
    <col min="8" max="10" width="12.85546875" style="11" bestFit="1" customWidth="1"/>
    <col min="11" max="12" width="7.7109375" style="11" bestFit="1" customWidth="1"/>
    <col min="13" max="13" width="7" style="11" bestFit="1" customWidth="1"/>
    <col min="14" max="14" width="6.85546875" style="44"/>
    <col min="15" max="15" width="8.7109375" style="44" hidden="1" customWidth="1"/>
    <col min="16" max="16" width="8.7109375" style="11" hidden="1" customWidth="1"/>
    <col min="17" max="17" width="9.85546875" style="11" hidden="1" customWidth="1"/>
    <col min="18" max="18" width="8.7109375" style="44" hidden="1" customWidth="1"/>
    <col min="19" max="19" width="8.7109375" style="11" hidden="1" customWidth="1"/>
    <col min="20" max="20" width="10.28515625" style="11" bestFit="1" customWidth="1"/>
    <col min="21" max="21" width="12.85546875" style="258" bestFit="1" customWidth="1"/>
    <col min="22" max="22" width="12.85546875" style="11" bestFit="1" customWidth="1"/>
    <col min="23" max="23" width="6.85546875" style="11"/>
    <col min="24" max="24" width="9.7109375" style="11" bestFit="1" customWidth="1"/>
    <col min="25" max="16384" width="6.85546875" style="11"/>
  </cols>
  <sheetData>
    <row r="1" spans="1:24" ht="13.5" customHeight="1" x14ac:dyDescent="0.2">
      <c r="A1" s="14"/>
      <c r="B1" s="15"/>
      <c r="C1" s="15"/>
      <c r="D1" s="519" t="s">
        <v>1824</v>
      </c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161"/>
    </row>
    <row r="2" spans="1:24" ht="15.75" customHeight="1" x14ac:dyDescent="0.2">
      <c r="A2" s="14"/>
      <c r="B2" s="16"/>
      <c r="C2" s="16"/>
      <c r="D2" s="520" t="s">
        <v>1</v>
      </c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161"/>
    </row>
    <row r="3" spans="1:24" ht="13.5" customHeight="1" x14ac:dyDescent="0.2">
      <c r="A3" s="14"/>
      <c r="B3" s="17"/>
      <c r="C3" s="17"/>
      <c r="D3" s="17"/>
      <c r="H3" s="20">
        <v>43435</v>
      </c>
      <c r="I3" s="21" t="s">
        <v>1637</v>
      </c>
      <c r="J3" s="20">
        <v>43646</v>
      </c>
      <c r="K3" s="17"/>
      <c r="L3" s="17"/>
      <c r="M3" s="17"/>
      <c r="N3" s="22"/>
      <c r="O3" s="22"/>
      <c r="P3" s="17"/>
      <c r="Q3" s="17"/>
      <c r="R3" s="22"/>
      <c r="S3" s="17"/>
      <c r="T3" s="17" t="s">
        <v>1639</v>
      </c>
      <c r="U3" s="260">
        <f>ROUND((+J3-H3)/365*12,0)</f>
        <v>7</v>
      </c>
      <c r="V3" s="172"/>
    </row>
    <row r="4" spans="1:24" ht="3" customHeight="1" x14ac:dyDescent="0.2">
      <c r="A4" s="14"/>
      <c r="B4" s="14"/>
      <c r="C4" s="14"/>
      <c r="D4" s="14"/>
      <c r="E4" s="24"/>
      <c r="F4" s="23"/>
      <c r="G4" s="23"/>
      <c r="H4" s="14"/>
      <c r="I4" s="14"/>
      <c r="J4" s="14"/>
      <c r="K4" s="14"/>
      <c r="L4" s="14"/>
      <c r="M4" s="14"/>
      <c r="N4" s="25"/>
      <c r="O4" s="25"/>
      <c r="P4" s="14"/>
      <c r="Q4" s="14"/>
      <c r="R4" s="25"/>
      <c r="S4" s="14"/>
      <c r="T4" s="14"/>
      <c r="U4" s="261"/>
      <c r="V4" s="164"/>
    </row>
    <row r="5" spans="1:24" ht="15" customHeight="1" x14ac:dyDescent="0.2">
      <c r="A5" s="54"/>
      <c r="B5" s="55"/>
      <c r="C5" s="55"/>
      <c r="D5" s="26" t="s">
        <v>4</v>
      </c>
      <c r="E5" s="27" t="s">
        <v>1641</v>
      </c>
      <c r="F5" s="28"/>
      <c r="G5" s="29"/>
      <c r="H5" s="30" t="s">
        <v>1643</v>
      </c>
      <c r="I5" s="31" t="s">
        <v>1646</v>
      </c>
      <c r="J5" s="32" t="s">
        <v>1647</v>
      </c>
      <c r="K5" s="31" t="s">
        <v>1649</v>
      </c>
      <c r="L5" s="31" t="s">
        <v>1650</v>
      </c>
      <c r="M5" s="31" t="s">
        <v>1634</v>
      </c>
      <c r="N5" s="33" t="s">
        <v>1634</v>
      </c>
      <c r="O5" s="33" t="s">
        <v>1664</v>
      </c>
      <c r="P5" s="31" t="s">
        <v>1665</v>
      </c>
      <c r="Q5" s="31" t="s">
        <v>1666</v>
      </c>
      <c r="R5" s="33" t="s">
        <v>1661</v>
      </c>
      <c r="S5" s="31" t="s">
        <v>1660</v>
      </c>
      <c r="T5" s="31" t="s">
        <v>1662</v>
      </c>
      <c r="U5" s="262" t="s">
        <v>1653</v>
      </c>
      <c r="V5" s="184" t="s">
        <v>2086</v>
      </c>
    </row>
    <row r="6" spans="1:24" ht="15" customHeight="1" x14ac:dyDescent="0.2">
      <c r="A6" s="56" t="s">
        <v>1636</v>
      </c>
      <c r="B6" s="57"/>
      <c r="C6" s="57" t="s">
        <v>12</v>
      </c>
      <c r="D6" s="34" t="s">
        <v>1640</v>
      </c>
      <c r="E6" s="35" t="s">
        <v>1640</v>
      </c>
      <c r="F6" s="36" t="s">
        <v>1642</v>
      </c>
      <c r="G6" s="37" t="s">
        <v>1644</v>
      </c>
      <c r="H6" s="38" t="s">
        <v>1644</v>
      </c>
      <c r="I6" s="39" t="s">
        <v>1645</v>
      </c>
      <c r="J6" s="34"/>
      <c r="K6" s="34"/>
      <c r="L6" s="34"/>
      <c r="M6" s="39" t="s">
        <v>1651</v>
      </c>
      <c r="N6" s="40" t="s">
        <v>1633</v>
      </c>
      <c r="O6" s="40" t="s">
        <v>1634</v>
      </c>
      <c r="P6" s="40" t="s">
        <v>1634</v>
      </c>
      <c r="Q6" s="40" t="s">
        <v>1667</v>
      </c>
      <c r="R6" s="40" t="s">
        <v>1634</v>
      </c>
      <c r="S6" s="40" t="s">
        <v>1634</v>
      </c>
      <c r="T6" s="40" t="s">
        <v>1634</v>
      </c>
      <c r="U6" s="263" t="s">
        <v>1652</v>
      </c>
      <c r="V6" s="193" t="s">
        <v>2087</v>
      </c>
    </row>
    <row r="7" spans="1:24" ht="15.75" customHeight="1" x14ac:dyDescent="0.2">
      <c r="A7" s="278"/>
      <c r="B7" s="279"/>
      <c r="C7" s="58"/>
      <c r="D7" s="59"/>
      <c r="E7" s="60"/>
      <c r="F7" s="61"/>
      <c r="G7" s="61"/>
      <c r="H7" s="61"/>
      <c r="I7" s="61"/>
      <c r="J7" s="61"/>
      <c r="K7" s="61"/>
      <c r="L7" s="61"/>
      <c r="M7" s="59"/>
      <c r="N7" s="62"/>
      <c r="O7" s="62"/>
      <c r="P7" s="59"/>
      <c r="Q7" s="59"/>
      <c r="R7" s="62"/>
      <c r="S7" s="59"/>
      <c r="T7" s="59"/>
      <c r="U7" s="264"/>
      <c r="V7" s="200"/>
    </row>
    <row r="8" spans="1:24" ht="15.75" customHeight="1" x14ac:dyDescent="0.2">
      <c r="A8" s="269" t="s">
        <v>2102</v>
      </c>
      <c r="B8" s="270"/>
      <c r="C8" s="271"/>
      <c r="D8" s="272"/>
      <c r="E8" s="273"/>
      <c r="F8" s="274"/>
      <c r="G8" s="274"/>
      <c r="H8" s="274"/>
      <c r="I8" s="274"/>
      <c r="J8" s="274"/>
      <c r="K8" s="274"/>
      <c r="L8" s="274"/>
      <c r="M8" s="272"/>
      <c r="N8" s="275"/>
      <c r="O8" s="275"/>
      <c r="P8" s="272"/>
      <c r="Q8" s="272"/>
      <c r="R8" s="275"/>
      <c r="S8" s="272"/>
      <c r="T8" s="272"/>
      <c r="U8" s="276"/>
      <c r="V8" s="277"/>
    </row>
    <row r="9" spans="1:24" ht="15.75" customHeight="1" x14ac:dyDescent="0.2">
      <c r="A9" s="280"/>
      <c r="B9" s="270"/>
      <c r="C9" s="271" t="s">
        <v>2103</v>
      </c>
      <c r="D9" s="286">
        <v>41761</v>
      </c>
      <c r="E9" s="282"/>
      <c r="F9" s="283"/>
      <c r="G9" s="283"/>
      <c r="H9" s="283">
        <v>1764225.9</v>
      </c>
      <c r="I9" s="283">
        <f>+H9</f>
        <v>1764225.9</v>
      </c>
      <c r="J9" s="283"/>
      <c r="K9" s="283"/>
      <c r="L9" s="283"/>
      <c r="M9" s="284"/>
      <c r="N9" s="285"/>
      <c r="O9" s="285"/>
      <c r="P9" s="284"/>
      <c r="Q9" s="284"/>
      <c r="R9" s="285"/>
      <c r="S9" s="284"/>
      <c r="T9" s="284"/>
      <c r="U9" s="276">
        <f>+I9</f>
        <v>1764225.9</v>
      </c>
      <c r="V9" s="277"/>
    </row>
    <row r="10" spans="1:24" ht="15.75" customHeight="1" x14ac:dyDescent="0.2">
      <c r="A10" s="280"/>
      <c r="B10" s="270"/>
      <c r="C10" s="271" t="s">
        <v>2104</v>
      </c>
      <c r="D10" s="281">
        <v>42171</v>
      </c>
      <c r="E10" s="282"/>
      <c r="F10" s="283"/>
      <c r="G10" s="283"/>
      <c r="H10" s="283">
        <v>159527.31</v>
      </c>
      <c r="I10" s="283">
        <f>+H10</f>
        <v>159527.31</v>
      </c>
      <c r="J10" s="283"/>
      <c r="K10" s="283"/>
      <c r="L10" s="283"/>
      <c r="M10" s="284"/>
      <c r="N10" s="285"/>
      <c r="O10" s="285"/>
      <c r="P10" s="284"/>
      <c r="Q10" s="284"/>
      <c r="R10" s="285"/>
      <c r="S10" s="284"/>
      <c r="T10" s="284"/>
      <c r="U10" s="276">
        <f>+I10</f>
        <v>159527.31</v>
      </c>
      <c r="V10" s="277"/>
      <c r="X10" s="258"/>
    </row>
    <row r="11" spans="1:24" ht="15.75" customHeight="1" x14ac:dyDescent="0.2">
      <c r="A11" s="280"/>
      <c r="B11" s="270"/>
      <c r="C11" s="271" t="s">
        <v>2105</v>
      </c>
      <c r="D11" s="281">
        <v>42186</v>
      </c>
      <c r="E11" s="282"/>
      <c r="F11" s="283"/>
      <c r="G11" s="283"/>
      <c r="H11" s="283">
        <v>1310</v>
      </c>
      <c r="I11" s="283">
        <f>+H11</f>
        <v>1310</v>
      </c>
      <c r="J11" s="283"/>
      <c r="K11" s="283"/>
      <c r="L11" s="283"/>
      <c r="M11" s="284"/>
      <c r="N11" s="285"/>
      <c r="O11" s="285"/>
      <c r="P11" s="284"/>
      <c r="Q11" s="284"/>
      <c r="R11" s="285"/>
      <c r="S11" s="284"/>
      <c r="T11" s="284"/>
      <c r="U11" s="276">
        <f>+I11</f>
        <v>1310</v>
      </c>
      <c r="V11" s="277"/>
      <c r="X11" s="258"/>
    </row>
    <row r="12" spans="1:24" ht="15.75" customHeight="1" x14ac:dyDescent="0.2">
      <c r="A12" s="280"/>
      <c r="B12" s="270"/>
      <c r="C12" s="271"/>
      <c r="D12" s="281"/>
      <c r="E12" s="282"/>
      <c r="F12" s="283"/>
      <c r="G12" s="283"/>
      <c r="H12" s="283"/>
      <c r="I12" s="283"/>
      <c r="J12" s="283"/>
      <c r="K12" s="283"/>
      <c r="L12" s="283"/>
      <c r="M12" s="284"/>
      <c r="N12" s="285"/>
      <c r="O12" s="285"/>
      <c r="P12" s="284"/>
      <c r="Q12" s="284"/>
      <c r="R12" s="285"/>
      <c r="S12" s="284"/>
      <c r="T12" s="284"/>
      <c r="U12" s="276"/>
      <c r="V12" s="277"/>
      <c r="X12" s="258"/>
    </row>
    <row r="13" spans="1:24" s="14" customFormat="1" ht="18" customHeight="1" x14ac:dyDescent="0.2">
      <c r="A13" s="105"/>
      <c r="B13" s="106"/>
      <c r="C13" s="77" t="s">
        <v>2106</v>
      </c>
      <c r="D13" s="76"/>
      <c r="E13" s="78"/>
      <c r="F13" s="79">
        <f t="shared" ref="F13:L13" si="0">SUM(F8:F12)</f>
        <v>0</v>
      </c>
      <c r="G13" s="79">
        <f t="shared" si="0"/>
        <v>0</v>
      </c>
      <c r="H13" s="79">
        <f t="shared" si="0"/>
        <v>1925063.21</v>
      </c>
      <c r="I13" s="79">
        <f t="shared" si="0"/>
        <v>1925063.21</v>
      </c>
      <c r="J13" s="79">
        <f t="shared" si="0"/>
        <v>0</v>
      </c>
      <c r="K13" s="79">
        <f t="shared" si="0"/>
        <v>0</v>
      </c>
      <c r="L13" s="79">
        <f t="shared" si="0"/>
        <v>0</v>
      </c>
      <c r="M13" s="80"/>
      <c r="N13" s="81"/>
      <c r="O13" s="79" t="e">
        <f>SUM(#REF!)</f>
        <v>#REF!</v>
      </c>
      <c r="P13" s="79" t="e">
        <f>SUM(#REF!)</f>
        <v>#REF!</v>
      </c>
      <c r="Q13" s="79"/>
      <c r="R13" s="79" t="e">
        <f>SUM(#REF!)</f>
        <v>#REF!</v>
      </c>
      <c r="S13" s="79" t="e">
        <f>SUM(#REF!)</f>
        <v>#REF!</v>
      </c>
      <c r="T13" s="79">
        <f>SUM(T8:T12)</f>
        <v>0</v>
      </c>
      <c r="U13" s="79">
        <f>SUM(U8:U12)</f>
        <v>1925063.21</v>
      </c>
      <c r="V13" s="79">
        <f>SUM(V8:V12)</f>
        <v>0</v>
      </c>
    </row>
    <row r="14" spans="1:24" ht="15.75" customHeight="1" x14ac:dyDescent="0.2">
      <c r="A14" s="269"/>
      <c r="B14" s="270"/>
      <c r="C14" s="271"/>
      <c r="D14" s="272"/>
      <c r="E14" s="273"/>
      <c r="F14" s="274"/>
      <c r="G14" s="274"/>
      <c r="H14" s="274"/>
      <c r="I14" s="274"/>
      <c r="J14" s="274"/>
      <c r="K14" s="274"/>
      <c r="L14" s="274"/>
      <c r="M14" s="272"/>
      <c r="N14" s="275"/>
      <c r="O14" s="275"/>
      <c r="P14" s="272"/>
      <c r="Q14" s="272"/>
      <c r="R14" s="275"/>
      <c r="S14" s="272"/>
      <c r="T14" s="272"/>
      <c r="U14" s="276"/>
      <c r="V14" s="277"/>
    </row>
    <row r="15" spans="1:24" ht="15.75" customHeight="1" x14ac:dyDescent="0.2">
      <c r="A15" s="269" t="s">
        <v>2101</v>
      </c>
      <c r="B15" s="270"/>
      <c r="C15" s="271"/>
      <c r="D15" s="272"/>
      <c r="E15" s="273"/>
      <c r="F15" s="274"/>
      <c r="G15" s="274"/>
      <c r="H15" s="274"/>
      <c r="I15" s="274"/>
      <c r="J15" s="274"/>
      <c r="K15" s="274"/>
      <c r="L15" s="274"/>
      <c r="M15" s="272"/>
      <c r="N15" s="275"/>
      <c r="O15" s="275"/>
      <c r="P15" s="272"/>
      <c r="Q15" s="272"/>
      <c r="R15" s="275"/>
      <c r="S15" s="272"/>
      <c r="T15" s="272"/>
      <c r="U15" s="276"/>
      <c r="V15" s="277"/>
    </row>
    <row r="16" spans="1:24" ht="15.75" customHeight="1" x14ac:dyDescent="0.2">
      <c r="A16" s="101" t="s">
        <v>1675</v>
      </c>
      <c r="B16" s="102"/>
      <c r="C16" s="64" t="s">
        <v>1676</v>
      </c>
      <c r="D16" s="65">
        <v>41780</v>
      </c>
      <c r="E16" s="66"/>
      <c r="F16" s="67"/>
      <c r="G16" s="67"/>
      <c r="H16" s="67">
        <v>3730</v>
      </c>
      <c r="I16" s="67">
        <v>3309</v>
      </c>
      <c r="J16" s="67">
        <v>0</v>
      </c>
      <c r="K16" s="68">
        <f t="shared" ref="K16:K79" si="1">INT(IF($E16&gt;0,IF(+F16-I16+Q16&lt;0,0,+F16-I16+Q16),0))</f>
        <v>0</v>
      </c>
      <c r="L16" s="68">
        <f t="shared" ref="L16:L79" si="2">INT(IF($E16&gt;0,IF(K16=0,-F16+I16-Q16,0),0))</f>
        <v>0</v>
      </c>
      <c r="M16" s="69">
        <v>2.5</v>
      </c>
      <c r="N16" s="70" t="s">
        <v>17</v>
      </c>
      <c r="O16" s="68">
        <f>IF(E16&gt;0,INT(IF($N16="D",IF($D16&lt;$H$3,$I16*($M16/100)*((E16-$H$3)/365),$J16*($M16/100)*($J$3-$D16)/365),0)),0)</f>
        <v>0</v>
      </c>
      <c r="P16" s="68">
        <f>IF(E16&gt;0,INT(IF($N16="P",IF($D16&lt;$H$3,$H16*($M16/100)*(E16-$H$3)/365,$J16*($M16/100)*($J$3-$D16)/365),0)),0)</f>
        <v>0</v>
      </c>
      <c r="Q16" s="68">
        <f>+O16+P16</f>
        <v>0</v>
      </c>
      <c r="R16" s="68">
        <f t="shared" ref="R16:R79" si="3">INT(IF($E16&gt;0,0,(IF($N16="D",IF($D16&lt;$H$3,$I16*($M16/100)*$U$3/12,$J16*($M16/100)*($J$3-$D16)/365),0))))</f>
        <v>0</v>
      </c>
      <c r="S16" s="68">
        <f t="shared" ref="S16:S79" si="4">INT(IF($E16&gt;0,0,(IF($N16="P",IF($D16&lt;$H$3,$H16*($M16/100)*$U$3/12,$J16*($M16/100)*($J$3-$D16)/365),0))))</f>
        <v>54</v>
      </c>
      <c r="T16" s="68">
        <f>+R16+S16+Q16</f>
        <v>54</v>
      </c>
      <c r="U16" s="265">
        <f>+I16+J16-T16</f>
        <v>3255</v>
      </c>
      <c r="V16" s="93">
        <f>IF(E16&gt;0,+H16+J16,0)</f>
        <v>0</v>
      </c>
    </row>
    <row r="17" spans="1:22" ht="18" customHeight="1" x14ac:dyDescent="0.2">
      <c r="A17" s="101" t="s">
        <v>1677</v>
      </c>
      <c r="B17" s="102"/>
      <c r="C17" s="71" t="s">
        <v>1678</v>
      </c>
      <c r="D17" s="65">
        <v>41780</v>
      </c>
      <c r="E17" s="66"/>
      <c r="F17" s="67"/>
      <c r="G17" s="67"/>
      <c r="H17" s="67">
        <v>15123.76</v>
      </c>
      <c r="I17" s="67">
        <v>13411.76</v>
      </c>
      <c r="J17" s="67">
        <v>0</v>
      </c>
      <c r="K17" s="68">
        <f t="shared" si="1"/>
        <v>0</v>
      </c>
      <c r="L17" s="68">
        <f t="shared" si="2"/>
        <v>0</v>
      </c>
      <c r="M17" s="69">
        <v>2.5</v>
      </c>
      <c r="N17" s="70" t="s">
        <v>17</v>
      </c>
      <c r="O17" s="68">
        <f t="shared" ref="O17:O80" si="5">IF(E17&gt;0,INT(IF($N17="D",IF($D17&lt;$H$3,$I17*($M17/100)*((E17-$H$3)/365),$J17*($M17/100)*($J$3-$D17)/365),0)),0)</f>
        <v>0</v>
      </c>
      <c r="P17" s="68">
        <f t="shared" ref="P17:P80" si="6">IF(E17&gt;0,INT(IF($N17="P",IF($D17&lt;$H$3,$H17*($M17/100)*(E17-$H$3)/365,$J17*($M17/100)*($J$3-$D17)/365),0)),0)</f>
        <v>0</v>
      </c>
      <c r="Q17" s="68">
        <f t="shared" ref="Q17:Q80" si="7">+O17+P17</f>
        <v>0</v>
      </c>
      <c r="R17" s="68">
        <f t="shared" si="3"/>
        <v>0</v>
      </c>
      <c r="S17" s="68">
        <f t="shared" si="4"/>
        <v>220</v>
      </c>
      <c r="T17" s="68">
        <f t="shared" ref="T17:T80" si="8">+R17+S17+Q17</f>
        <v>220</v>
      </c>
      <c r="U17" s="265">
        <f t="shared" ref="U17:U80" si="9">+I17+J17-T17</f>
        <v>13191.76</v>
      </c>
      <c r="V17" s="93">
        <f t="shared" ref="V17:V80" si="10">IF(E17&gt;0,+H17+J17,0)</f>
        <v>0</v>
      </c>
    </row>
    <row r="18" spans="1:22" ht="18" customHeight="1" x14ac:dyDescent="0.2">
      <c r="A18" s="101" t="s">
        <v>1679</v>
      </c>
      <c r="B18" s="102"/>
      <c r="C18" s="71" t="s">
        <v>1676</v>
      </c>
      <c r="D18" s="65">
        <v>41820</v>
      </c>
      <c r="E18" s="66"/>
      <c r="F18" s="67"/>
      <c r="G18" s="67"/>
      <c r="H18" s="67">
        <v>8798.5500000000011</v>
      </c>
      <c r="I18" s="67">
        <v>7825.55</v>
      </c>
      <c r="J18" s="67">
        <v>0</v>
      </c>
      <c r="K18" s="68">
        <f t="shared" si="1"/>
        <v>0</v>
      </c>
      <c r="L18" s="68">
        <f t="shared" si="2"/>
        <v>0</v>
      </c>
      <c r="M18" s="69">
        <v>2.5</v>
      </c>
      <c r="N18" s="70" t="s">
        <v>17</v>
      </c>
      <c r="O18" s="68">
        <f t="shared" si="5"/>
        <v>0</v>
      </c>
      <c r="P18" s="68">
        <f t="shared" si="6"/>
        <v>0</v>
      </c>
      <c r="Q18" s="68">
        <f t="shared" si="7"/>
        <v>0</v>
      </c>
      <c r="R18" s="68">
        <f t="shared" si="3"/>
        <v>0</v>
      </c>
      <c r="S18" s="68">
        <f t="shared" si="4"/>
        <v>128</v>
      </c>
      <c r="T18" s="68">
        <f t="shared" si="8"/>
        <v>128</v>
      </c>
      <c r="U18" s="265">
        <f t="shared" si="9"/>
        <v>7697.55</v>
      </c>
      <c r="V18" s="93">
        <f t="shared" si="10"/>
        <v>0</v>
      </c>
    </row>
    <row r="19" spans="1:22" ht="18" customHeight="1" x14ac:dyDescent="0.2">
      <c r="A19" s="101" t="s">
        <v>1680</v>
      </c>
      <c r="B19" s="102"/>
      <c r="C19" s="71" t="s">
        <v>1681</v>
      </c>
      <c r="D19" s="65">
        <v>41863</v>
      </c>
      <c r="E19" s="66"/>
      <c r="F19" s="67"/>
      <c r="G19" s="67"/>
      <c r="H19" s="67">
        <v>6110</v>
      </c>
      <c r="I19" s="67">
        <v>5452</v>
      </c>
      <c r="J19" s="67">
        <v>0</v>
      </c>
      <c r="K19" s="68">
        <f t="shared" si="1"/>
        <v>0</v>
      </c>
      <c r="L19" s="68">
        <f t="shared" si="2"/>
        <v>0</v>
      </c>
      <c r="M19" s="69">
        <v>2.5</v>
      </c>
      <c r="N19" s="70" t="s">
        <v>17</v>
      </c>
      <c r="O19" s="68">
        <f t="shared" si="5"/>
        <v>0</v>
      </c>
      <c r="P19" s="68">
        <f t="shared" si="6"/>
        <v>0</v>
      </c>
      <c r="Q19" s="68">
        <f t="shared" si="7"/>
        <v>0</v>
      </c>
      <c r="R19" s="68">
        <f t="shared" si="3"/>
        <v>0</v>
      </c>
      <c r="S19" s="68">
        <f t="shared" si="4"/>
        <v>89</v>
      </c>
      <c r="T19" s="68">
        <f t="shared" si="8"/>
        <v>89</v>
      </c>
      <c r="U19" s="265">
        <f t="shared" si="9"/>
        <v>5363</v>
      </c>
      <c r="V19" s="93">
        <f t="shared" si="10"/>
        <v>0</v>
      </c>
    </row>
    <row r="20" spans="1:22" ht="18" customHeight="1" x14ac:dyDescent="0.2">
      <c r="A20" s="101" t="s">
        <v>1682</v>
      </c>
      <c r="B20" s="102"/>
      <c r="C20" s="71" t="s">
        <v>1683</v>
      </c>
      <c r="D20" s="65">
        <v>41891</v>
      </c>
      <c r="E20" s="66"/>
      <c r="F20" s="67"/>
      <c r="G20" s="67"/>
      <c r="H20" s="67">
        <v>1128.6400000000001</v>
      </c>
      <c r="I20" s="67">
        <v>1009.64</v>
      </c>
      <c r="J20" s="67">
        <v>0</v>
      </c>
      <c r="K20" s="68">
        <f t="shared" si="1"/>
        <v>0</v>
      </c>
      <c r="L20" s="68">
        <f t="shared" si="2"/>
        <v>0</v>
      </c>
      <c r="M20" s="69">
        <v>2.5</v>
      </c>
      <c r="N20" s="70" t="s">
        <v>17</v>
      </c>
      <c r="O20" s="68">
        <f t="shared" si="5"/>
        <v>0</v>
      </c>
      <c r="P20" s="68">
        <f t="shared" si="6"/>
        <v>0</v>
      </c>
      <c r="Q20" s="68">
        <f t="shared" si="7"/>
        <v>0</v>
      </c>
      <c r="R20" s="68">
        <f t="shared" si="3"/>
        <v>0</v>
      </c>
      <c r="S20" s="68">
        <f t="shared" si="4"/>
        <v>16</v>
      </c>
      <c r="T20" s="68">
        <f t="shared" si="8"/>
        <v>16</v>
      </c>
      <c r="U20" s="265">
        <f t="shared" si="9"/>
        <v>993.64</v>
      </c>
      <c r="V20" s="93">
        <f t="shared" si="10"/>
        <v>0</v>
      </c>
    </row>
    <row r="21" spans="1:22" ht="18" customHeight="1" x14ac:dyDescent="0.2">
      <c r="A21" s="101" t="s">
        <v>1684</v>
      </c>
      <c r="B21" s="102"/>
      <c r="C21" s="72" t="s">
        <v>1681</v>
      </c>
      <c r="D21" s="65">
        <v>41891</v>
      </c>
      <c r="E21" s="66"/>
      <c r="F21" s="67"/>
      <c r="G21" s="67"/>
      <c r="H21" s="67">
        <v>5296</v>
      </c>
      <c r="I21" s="67">
        <v>4738</v>
      </c>
      <c r="J21" s="67">
        <v>0</v>
      </c>
      <c r="K21" s="68">
        <f t="shared" si="1"/>
        <v>0</v>
      </c>
      <c r="L21" s="68">
        <f t="shared" si="2"/>
        <v>0</v>
      </c>
      <c r="M21" s="69">
        <v>2.5</v>
      </c>
      <c r="N21" s="70" t="s">
        <v>17</v>
      </c>
      <c r="O21" s="68">
        <f t="shared" si="5"/>
        <v>0</v>
      </c>
      <c r="P21" s="68">
        <f t="shared" si="6"/>
        <v>0</v>
      </c>
      <c r="Q21" s="68">
        <f t="shared" si="7"/>
        <v>0</v>
      </c>
      <c r="R21" s="68">
        <f t="shared" si="3"/>
        <v>0</v>
      </c>
      <c r="S21" s="68">
        <f t="shared" si="4"/>
        <v>77</v>
      </c>
      <c r="T21" s="68">
        <f t="shared" si="8"/>
        <v>77</v>
      </c>
      <c r="U21" s="265">
        <f t="shared" si="9"/>
        <v>4661</v>
      </c>
      <c r="V21" s="93">
        <f t="shared" si="10"/>
        <v>0</v>
      </c>
    </row>
    <row r="22" spans="1:22" ht="18" customHeight="1" x14ac:dyDescent="0.2">
      <c r="A22" s="101" t="s">
        <v>1685</v>
      </c>
      <c r="B22" s="102"/>
      <c r="C22" s="64" t="s">
        <v>1676</v>
      </c>
      <c r="D22" s="65">
        <v>41935</v>
      </c>
      <c r="E22" s="66"/>
      <c r="F22" s="67"/>
      <c r="G22" s="67"/>
      <c r="H22" s="67">
        <v>5708.11</v>
      </c>
      <c r="I22" s="67">
        <v>5121.1099999999997</v>
      </c>
      <c r="J22" s="67">
        <v>0</v>
      </c>
      <c r="K22" s="68">
        <f t="shared" si="1"/>
        <v>0</v>
      </c>
      <c r="L22" s="68">
        <f t="shared" si="2"/>
        <v>0</v>
      </c>
      <c r="M22" s="69">
        <v>2.5</v>
      </c>
      <c r="N22" s="70" t="s">
        <v>17</v>
      </c>
      <c r="O22" s="68">
        <f t="shared" si="5"/>
        <v>0</v>
      </c>
      <c r="P22" s="68">
        <f t="shared" si="6"/>
        <v>0</v>
      </c>
      <c r="Q22" s="68">
        <f t="shared" si="7"/>
        <v>0</v>
      </c>
      <c r="R22" s="68">
        <f t="shared" si="3"/>
        <v>0</v>
      </c>
      <c r="S22" s="68">
        <f t="shared" si="4"/>
        <v>83</v>
      </c>
      <c r="T22" s="68">
        <f t="shared" si="8"/>
        <v>83</v>
      </c>
      <c r="U22" s="265">
        <f t="shared" si="9"/>
        <v>5038.1099999999997</v>
      </c>
      <c r="V22" s="93">
        <f t="shared" si="10"/>
        <v>0</v>
      </c>
    </row>
    <row r="23" spans="1:22" ht="18" customHeight="1" x14ac:dyDescent="0.2">
      <c r="A23" s="101" t="s">
        <v>1686</v>
      </c>
      <c r="B23" s="102"/>
      <c r="C23" s="64" t="s">
        <v>1687</v>
      </c>
      <c r="D23" s="65">
        <v>42122</v>
      </c>
      <c r="E23" s="66"/>
      <c r="F23" s="67"/>
      <c r="G23" s="67"/>
      <c r="H23" s="67">
        <v>6247.2</v>
      </c>
      <c r="I23" s="67">
        <v>5687.2</v>
      </c>
      <c r="J23" s="67">
        <v>0</v>
      </c>
      <c r="K23" s="68">
        <f t="shared" si="1"/>
        <v>0</v>
      </c>
      <c r="L23" s="68">
        <f t="shared" si="2"/>
        <v>0</v>
      </c>
      <c r="M23" s="69">
        <v>2.5</v>
      </c>
      <c r="N23" s="70" t="s">
        <v>17</v>
      </c>
      <c r="O23" s="68">
        <f t="shared" si="5"/>
        <v>0</v>
      </c>
      <c r="P23" s="68">
        <f t="shared" si="6"/>
        <v>0</v>
      </c>
      <c r="Q23" s="68">
        <f t="shared" si="7"/>
        <v>0</v>
      </c>
      <c r="R23" s="68">
        <f t="shared" si="3"/>
        <v>0</v>
      </c>
      <c r="S23" s="68">
        <f t="shared" si="4"/>
        <v>91</v>
      </c>
      <c r="T23" s="68">
        <f t="shared" si="8"/>
        <v>91</v>
      </c>
      <c r="U23" s="265">
        <f t="shared" si="9"/>
        <v>5596.2</v>
      </c>
      <c r="V23" s="93">
        <f t="shared" si="10"/>
        <v>0</v>
      </c>
    </row>
    <row r="24" spans="1:22" ht="18" customHeight="1" x14ac:dyDescent="0.2">
      <c r="A24" s="101" t="s">
        <v>1688</v>
      </c>
      <c r="B24" s="102"/>
      <c r="C24" s="71" t="s">
        <v>1689</v>
      </c>
      <c r="D24" s="65">
        <v>41935</v>
      </c>
      <c r="E24" s="66"/>
      <c r="F24" s="67"/>
      <c r="G24" s="67"/>
      <c r="H24" s="67">
        <v>1900.75</v>
      </c>
      <c r="I24" s="67">
        <v>1703.75</v>
      </c>
      <c r="J24" s="67">
        <v>0</v>
      </c>
      <c r="K24" s="68">
        <f t="shared" si="1"/>
        <v>0</v>
      </c>
      <c r="L24" s="68">
        <f t="shared" si="2"/>
        <v>0</v>
      </c>
      <c r="M24" s="69">
        <v>2.5</v>
      </c>
      <c r="N24" s="70" t="s">
        <v>17</v>
      </c>
      <c r="O24" s="68">
        <f t="shared" si="5"/>
        <v>0</v>
      </c>
      <c r="P24" s="68">
        <f t="shared" si="6"/>
        <v>0</v>
      </c>
      <c r="Q24" s="68">
        <f t="shared" si="7"/>
        <v>0</v>
      </c>
      <c r="R24" s="68">
        <f t="shared" si="3"/>
        <v>0</v>
      </c>
      <c r="S24" s="68">
        <f t="shared" si="4"/>
        <v>27</v>
      </c>
      <c r="T24" s="68">
        <f t="shared" si="8"/>
        <v>27</v>
      </c>
      <c r="U24" s="265">
        <f t="shared" si="9"/>
        <v>1676.75</v>
      </c>
      <c r="V24" s="93">
        <f t="shared" si="10"/>
        <v>0</v>
      </c>
    </row>
    <row r="25" spans="1:22" ht="18" customHeight="1" x14ac:dyDescent="0.2">
      <c r="A25" s="101" t="s">
        <v>1690</v>
      </c>
      <c r="B25" s="102"/>
      <c r="C25" s="72" t="s">
        <v>1689</v>
      </c>
      <c r="D25" s="65">
        <v>42095</v>
      </c>
      <c r="E25" s="66"/>
      <c r="F25" s="67"/>
      <c r="G25" s="67"/>
      <c r="H25" s="67">
        <v>4463.6500000000005</v>
      </c>
      <c r="I25" s="67">
        <v>4052.65</v>
      </c>
      <c r="J25" s="67">
        <v>0</v>
      </c>
      <c r="K25" s="68">
        <f t="shared" si="1"/>
        <v>0</v>
      </c>
      <c r="L25" s="68">
        <f t="shared" si="2"/>
        <v>0</v>
      </c>
      <c r="M25" s="69">
        <v>2.5</v>
      </c>
      <c r="N25" s="70" t="s">
        <v>17</v>
      </c>
      <c r="O25" s="68">
        <f t="shared" si="5"/>
        <v>0</v>
      </c>
      <c r="P25" s="68">
        <f t="shared" si="6"/>
        <v>0</v>
      </c>
      <c r="Q25" s="68">
        <f t="shared" si="7"/>
        <v>0</v>
      </c>
      <c r="R25" s="68">
        <f t="shared" si="3"/>
        <v>0</v>
      </c>
      <c r="S25" s="68">
        <f t="shared" si="4"/>
        <v>65</v>
      </c>
      <c r="T25" s="68">
        <f t="shared" si="8"/>
        <v>65</v>
      </c>
      <c r="U25" s="265">
        <f t="shared" si="9"/>
        <v>3987.65</v>
      </c>
      <c r="V25" s="93">
        <f t="shared" si="10"/>
        <v>0</v>
      </c>
    </row>
    <row r="26" spans="1:22" ht="18" customHeight="1" x14ac:dyDescent="0.2">
      <c r="A26" s="101" t="s">
        <v>1691</v>
      </c>
      <c r="B26" s="102"/>
      <c r="C26" s="71" t="s">
        <v>1689</v>
      </c>
      <c r="D26" s="65">
        <v>42170</v>
      </c>
      <c r="E26" s="66"/>
      <c r="F26" s="67"/>
      <c r="G26" s="67"/>
      <c r="H26" s="67">
        <v>2366.9299999999998</v>
      </c>
      <c r="I26" s="67">
        <v>2161.9299999999998</v>
      </c>
      <c r="J26" s="67">
        <v>0</v>
      </c>
      <c r="K26" s="68">
        <f t="shared" si="1"/>
        <v>0</v>
      </c>
      <c r="L26" s="68">
        <f t="shared" si="2"/>
        <v>0</v>
      </c>
      <c r="M26" s="69">
        <v>2.5</v>
      </c>
      <c r="N26" s="70" t="s">
        <v>17</v>
      </c>
      <c r="O26" s="68">
        <f t="shared" si="5"/>
        <v>0</v>
      </c>
      <c r="P26" s="68">
        <f t="shared" si="6"/>
        <v>0</v>
      </c>
      <c r="Q26" s="68">
        <f t="shared" si="7"/>
        <v>0</v>
      </c>
      <c r="R26" s="68">
        <f t="shared" si="3"/>
        <v>0</v>
      </c>
      <c r="S26" s="68">
        <f t="shared" si="4"/>
        <v>34</v>
      </c>
      <c r="T26" s="68">
        <f t="shared" si="8"/>
        <v>34</v>
      </c>
      <c r="U26" s="265">
        <f t="shared" si="9"/>
        <v>2127.9299999999998</v>
      </c>
      <c r="V26" s="93">
        <f t="shared" si="10"/>
        <v>0</v>
      </c>
    </row>
    <row r="27" spans="1:22" ht="18" customHeight="1" x14ac:dyDescent="0.2">
      <c r="A27" s="101" t="s">
        <v>1692</v>
      </c>
      <c r="B27" s="102"/>
      <c r="C27" s="71" t="s">
        <v>1693</v>
      </c>
      <c r="D27" s="65">
        <v>41960</v>
      </c>
      <c r="E27" s="66"/>
      <c r="F27" s="67"/>
      <c r="G27" s="67"/>
      <c r="H27" s="67">
        <v>20320</v>
      </c>
      <c r="I27" s="67">
        <v>3908</v>
      </c>
      <c r="J27" s="67">
        <v>0</v>
      </c>
      <c r="K27" s="68">
        <f t="shared" si="1"/>
        <v>0</v>
      </c>
      <c r="L27" s="68">
        <f t="shared" si="2"/>
        <v>0</v>
      </c>
      <c r="M27" s="69">
        <v>20</v>
      </c>
      <c r="N27" s="70" t="s">
        <v>17</v>
      </c>
      <c r="O27" s="68">
        <f t="shared" si="5"/>
        <v>0</v>
      </c>
      <c r="P27" s="68">
        <f t="shared" si="6"/>
        <v>0</v>
      </c>
      <c r="Q27" s="68">
        <f t="shared" si="7"/>
        <v>0</v>
      </c>
      <c r="R27" s="68">
        <f t="shared" si="3"/>
        <v>0</v>
      </c>
      <c r="S27" s="68">
        <f t="shared" si="4"/>
        <v>2370</v>
      </c>
      <c r="T27" s="68">
        <f t="shared" si="8"/>
        <v>2370</v>
      </c>
      <c r="U27" s="265">
        <f t="shared" si="9"/>
        <v>1538</v>
      </c>
      <c r="V27" s="93">
        <f t="shared" si="10"/>
        <v>0</v>
      </c>
    </row>
    <row r="28" spans="1:22" ht="18" customHeight="1" x14ac:dyDescent="0.2">
      <c r="A28" s="101" t="s">
        <v>1694</v>
      </c>
      <c r="B28" s="102"/>
      <c r="C28" s="73" t="s">
        <v>1695</v>
      </c>
      <c r="D28" s="65">
        <v>41971</v>
      </c>
      <c r="E28" s="66"/>
      <c r="F28" s="67"/>
      <c r="G28" s="67"/>
      <c r="H28" s="67">
        <v>6712</v>
      </c>
      <c r="I28" s="67">
        <v>6039</v>
      </c>
      <c r="J28" s="67">
        <v>0</v>
      </c>
      <c r="K28" s="68">
        <f t="shared" si="1"/>
        <v>0</v>
      </c>
      <c r="L28" s="68">
        <f t="shared" si="2"/>
        <v>0</v>
      </c>
      <c r="M28" s="69">
        <v>2.5</v>
      </c>
      <c r="N28" s="70" t="s">
        <v>17</v>
      </c>
      <c r="O28" s="68">
        <f t="shared" si="5"/>
        <v>0</v>
      </c>
      <c r="P28" s="68">
        <f t="shared" si="6"/>
        <v>0</v>
      </c>
      <c r="Q28" s="68">
        <f t="shared" si="7"/>
        <v>0</v>
      </c>
      <c r="R28" s="68">
        <f t="shared" si="3"/>
        <v>0</v>
      </c>
      <c r="S28" s="68">
        <f t="shared" si="4"/>
        <v>97</v>
      </c>
      <c r="T28" s="68">
        <f t="shared" si="8"/>
        <v>97</v>
      </c>
      <c r="U28" s="265">
        <f t="shared" si="9"/>
        <v>5942</v>
      </c>
      <c r="V28" s="93">
        <f t="shared" si="10"/>
        <v>0</v>
      </c>
    </row>
    <row r="29" spans="1:22" ht="18" customHeight="1" x14ac:dyDescent="0.2">
      <c r="A29" s="101" t="s">
        <v>1696</v>
      </c>
      <c r="B29" s="102"/>
      <c r="C29" s="72" t="s">
        <v>1695</v>
      </c>
      <c r="D29" s="65">
        <v>42082</v>
      </c>
      <c r="E29" s="66"/>
      <c r="F29" s="67"/>
      <c r="G29" s="67"/>
      <c r="H29" s="67">
        <v>1425</v>
      </c>
      <c r="I29" s="67">
        <v>1292</v>
      </c>
      <c r="J29" s="67">
        <v>0</v>
      </c>
      <c r="K29" s="68">
        <f t="shared" si="1"/>
        <v>0</v>
      </c>
      <c r="L29" s="68">
        <f t="shared" si="2"/>
        <v>0</v>
      </c>
      <c r="M29" s="69">
        <v>2.5</v>
      </c>
      <c r="N29" s="70" t="s">
        <v>17</v>
      </c>
      <c r="O29" s="68">
        <f t="shared" si="5"/>
        <v>0</v>
      </c>
      <c r="P29" s="68">
        <f t="shared" si="6"/>
        <v>0</v>
      </c>
      <c r="Q29" s="68">
        <f t="shared" si="7"/>
        <v>0</v>
      </c>
      <c r="R29" s="68">
        <f t="shared" si="3"/>
        <v>0</v>
      </c>
      <c r="S29" s="68">
        <f t="shared" si="4"/>
        <v>20</v>
      </c>
      <c r="T29" s="68">
        <f t="shared" si="8"/>
        <v>20</v>
      </c>
      <c r="U29" s="265">
        <f t="shared" si="9"/>
        <v>1272</v>
      </c>
      <c r="V29" s="93">
        <f t="shared" si="10"/>
        <v>0</v>
      </c>
    </row>
    <row r="30" spans="1:22" ht="18" customHeight="1" x14ac:dyDescent="0.2">
      <c r="A30" s="101" t="s">
        <v>1697</v>
      </c>
      <c r="B30" s="102"/>
      <c r="C30" s="73" t="s">
        <v>1698</v>
      </c>
      <c r="D30" s="65">
        <v>42018</v>
      </c>
      <c r="E30" s="66"/>
      <c r="F30" s="67"/>
      <c r="G30" s="67"/>
      <c r="H30" s="67">
        <v>35118.58</v>
      </c>
      <c r="I30" s="67">
        <v>31712.58</v>
      </c>
      <c r="J30" s="67">
        <v>0</v>
      </c>
      <c r="K30" s="68">
        <f t="shared" si="1"/>
        <v>0</v>
      </c>
      <c r="L30" s="68">
        <f t="shared" si="2"/>
        <v>0</v>
      </c>
      <c r="M30" s="69">
        <v>2.5</v>
      </c>
      <c r="N30" s="70" t="s">
        <v>17</v>
      </c>
      <c r="O30" s="68">
        <f t="shared" si="5"/>
        <v>0</v>
      </c>
      <c r="P30" s="68">
        <f t="shared" si="6"/>
        <v>0</v>
      </c>
      <c r="Q30" s="68">
        <f t="shared" si="7"/>
        <v>0</v>
      </c>
      <c r="R30" s="68">
        <f t="shared" si="3"/>
        <v>0</v>
      </c>
      <c r="S30" s="68">
        <f t="shared" si="4"/>
        <v>512</v>
      </c>
      <c r="T30" s="68">
        <f t="shared" si="8"/>
        <v>512</v>
      </c>
      <c r="U30" s="265">
        <f t="shared" si="9"/>
        <v>31200.58</v>
      </c>
      <c r="V30" s="93">
        <f t="shared" si="10"/>
        <v>0</v>
      </c>
    </row>
    <row r="31" spans="1:22" ht="18" customHeight="1" x14ac:dyDescent="0.2">
      <c r="A31" s="101" t="s">
        <v>1699</v>
      </c>
      <c r="B31" s="102"/>
      <c r="C31" s="72" t="s">
        <v>1695</v>
      </c>
      <c r="D31" s="65">
        <v>42096</v>
      </c>
      <c r="E31" s="66"/>
      <c r="F31" s="67"/>
      <c r="G31" s="67"/>
      <c r="H31" s="67">
        <v>763</v>
      </c>
      <c r="I31" s="67">
        <v>693</v>
      </c>
      <c r="J31" s="67">
        <v>0</v>
      </c>
      <c r="K31" s="68">
        <f t="shared" si="1"/>
        <v>0</v>
      </c>
      <c r="L31" s="68">
        <f t="shared" si="2"/>
        <v>0</v>
      </c>
      <c r="M31" s="69">
        <v>2.5</v>
      </c>
      <c r="N31" s="70" t="s">
        <v>17</v>
      </c>
      <c r="O31" s="68">
        <f t="shared" si="5"/>
        <v>0</v>
      </c>
      <c r="P31" s="68">
        <f t="shared" si="6"/>
        <v>0</v>
      </c>
      <c r="Q31" s="68">
        <f t="shared" si="7"/>
        <v>0</v>
      </c>
      <c r="R31" s="68">
        <f t="shared" si="3"/>
        <v>0</v>
      </c>
      <c r="S31" s="68">
        <f t="shared" si="4"/>
        <v>11</v>
      </c>
      <c r="T31" s="68">
        <f t="shared" si="8"/>
        <v>11</v>
      </c>
      <c r="U31" s="265">
        <f t="shared" si="9"/>
        <v>682</v>
      </c>
      <c r="V31" s="93">
        <f t="shared" si="10"/>
        <v>0</v>
      </c>
    </row>
    <row r="32" spans="1:22" ht="18" customHeight="1" x14ac:dyDescent="0.2">
      <c r="A32" s="101" t="s">
        <v>1700</v>
      </c>
      <c r="B32" s="102"/>
      <c r="C32" s="64" t="s">
        <v>1698</v>
      </c>
      <c r="D32" s="65">
        <v>42130</v>
      </c>
      <c r="E32" s="66"/>
      <c r="F32" s="67"/>
      <c r="G32" s="67"/>
      <c r="H32" s="67">
        <v>5339.55</v>
      </c>
      <c r="I32" s="67">
        <v>4864.55</v>
      </c>
      <c r="J32" s="67">
        <v>0</v>
      </c>
      <c r="K32" s="68">
        <f t="shared" si="1"/>
        <v>0</v>
      </c>
      <c r="L32" s="68">
        <f t="shared" si="2"/>
        <v>0</v>
      </c>
      <c r="M32" s="69">
        <v>2.5</v>
      </c>
      <c r="N32" s="70" t="s">
        <v>17</v>
      </c>
      <c r="O32" s="68">
        <f t="shared" si="5"/>
        <v>0</v>
      </c>
      <c r="P32" s="68">
        <f t="shared" si="6"/>
        <v>0</v>
      </c>
      <c r="Q32" s="68">
        <f t="shared" si="7"/>
        <v>0</v>
      </c>
      <c r="R32" s="68">
        <f t="shared" si="3"/>
        <v>0</v>
      </c>
      <c r="S32" s="68">
        <f t="shared" si="4"/>
        <v>77</v>
      </c>
      <c r="T32" s="68">
        <f t="shared" si="8"/>
        <v>77</v>
      </c>
      <c r="U32" s="265">
        <f t="shared" si="9"/>
        <v>4787.55</v>
      </c>
      <c r="V32" s="93">
        <f t="shared" si="10"/>
        <v>0</v>
      </c>
    </row>
    <row r="33" spans="1:22" ht="18" customHeight="1" x14ac:dyDescent="0.2">
      <c r="A33" s="101" t="s">
        <v>1701</v>
      </c>
      <c r="B33" s="102"/>
      <c r="C33" s="64" t="s">
        <v>1702</v>
      </c>
      <c r="D33" s="65">
        <v>42175</v>
      </c>
      <c r="E33" s="66"/>
      <c r="F33" s="67"/>
      <c r="G33" s="67"/>
      <c r="H33" s="67">
        <v>196.81</v>
      </c>
      <c r="I33" s="67">
        <v>178.81</v>
      </c>
      <c r="J33" s="67">
        <v>0</v>
      </c>
      <c r="K33" s="68">
        <f t="shared" si="1"/>
        <v>0</v>
      </c>
      <c r="L33" s="68">
        <f t="shared" si="2"/>
        <v>0</v>
      </c>
      <c r="M33" s="69">
        <v>2.5</v>
      </c>
      <c r="N33" s="70" t="s">
        <v>17</v>
      </c>
      <c r="O33" s="68">
        <f t="shared" si="5"/>
        <v>0</v>
      </c>
      <c r="P33" s="68">
        <f t="shared" si="6"/>
        <v>0</v>
      </c>
      <c r="Q33" s="68">
        <f t="shared" si="7"/>
        <v>0</v>
      </c>
      <c r="R33" s="68">
        <f t="shared" si="3"/>
        <v>0</v>
      </c>
      <c r="S33" s="68">
        <f t="shared" si="4"/>
        <v>2</v>
      </c>
      <c r="T33" s="68">
        <f t="shared" si="8"/>
        <v>2</v>
      </c>
      <c r="U33" s="265">
        <f t="shared" si="9"/>
        <v>176.81</v>
      </c>
      <c r="V33" s="93">
        <f t="shared" si="10"/>
        <v>0</v>
      </c>
    </row>
    <row r="34" spans="1:22" ht="18" customHeight="1" x14ac:dyDescent="0.2">
      <c r="A34" s="101" t="s">
        <v>1703</v>
      </c>
      <c r="B34" s="102"/>
      <c r="C34" s="64" t="s">
        <v>1704</v>
      </c>
      <c r="D34" s="65">
        <v>42186</v>
      </c>
      <c r="E34" s="66"/>
      <c r="F34" s="67"/>
      <c r="G34" s="67"/>
      <c r="H34" s="67">
        <v>33936.89</v>
      </c>
      <c r="I34" s="67">
        <v>31036.89</v>
      </c>
      <c r="J34" s="67">
        <v>0</v>
      </c>
      <c r="K34" s="68">
        <f t="shared" si="1"/>
        <v>0</v>
      </c>
      <c r="L34" s="68">
        <f t="shared" si="2"/>
        <v>0</v>
      </c>
      <c r="M34" s="69">
        <v>2.5</v>
      </c>
      <c r="N34" s="70" t="s">
        <v>17</v>
      </c>
      <c r="O34" s="68">
        <f t="shared" si="5"/>
        <v>0</v>
      </c>
      <c r="P34" s="68">
        <f t="shared" si="6"/>
        <v>0</v>
      </c>
      <c r="Q34" s="68">
        <f t="shared" si="7"/>
        <v>0</v>
      </c>
      <c r="R34" s="68">
        <f t="shared" si="3"/>
        <v>0</v>
      </c>
      <c r="S34" s="68">
        <f t="shared" si="4"/>
        <v>494</v>
      </c>
      <c r="T34" s="68">
        <f t="shared" si="8"/>
        <v>494</v>
      </c>
      <c r="U34" s="265">
        <f t="shared" si="9"/>
        <v>30542.89</v>
      </c>
      <c r="V34" s="93">
        <f t="shared" si="10"/>
        <v>0</v>
      </c>
    </row>
    <row r="35" spans="1:22" ht="18" customHeight="1" x14ac:dyDescent="0.2">
      <c r="A35" s="101" t="s">
        <v>1705</v>
      </c>
      <c r="B35" s="102"/>
      <c r="C35" s="64" t="s">
        <v>1706</v>
      </c>
      <c r="D35" s="65">
        <v>42514</v>
      </c>
      <c r="E35" s="66"/>
      <c r="F35" s="67"/>
      <c r="G35" s="67"/>
      <c r="H35" s="67">
        <v>1746.3600000000001</v>
      </c>
      <c r="I35" s="67">
        <v>1109.3600000000001</v>
      </c>
      <c r="J35" s="67">
        <v>0</v>
      </c>
      <c r="K35" s="68">
        <f t="shared" si="1"/>
        <v>0</v>
      </c>
      <c r="L35" s="68">
        <f t="shared" si="2"/>
        <v>0</v>
      </c>
      <c r="M35" s="69">
        <v>16.669999999999998</v>
      </c>
      <c r="N35" s="70" t="s">
        <v>289</v>
      </c>
      <c r="O35" s="68">
        <f t="shared" si="5"/>
        <v>0</v>
      </c>
      <c r="P35" s="68">
        <f t="shared" si="6"/>
        <v>0</v>
      </c>
      <c r="Q35" s="68">
        <f t="shared" si="7"/>
        <v>0</v>
      </c>
      <c r="R35" s="68">
        <f t="shared" si="3"/>
        <v>107</v>
      </c>
      <c r="S35" s="68">
        <f t="shared" si="4"/>
        <v>0</v>
      </c>
      <c r="T35" s="68">
        <f t="shared" si="8"/>
        <v>107</v>
      </c>
      <c r="U35" s="265">
        <f t="shared" si="9"/>
        <v>1002.3600000000001</v>
      </c>
      <c r="V35" s="93">
        <f t="shared" si="10"/>
        <v>0</v>
      </c>
    </row>
    <row r="36" spans="1:22" ht="18" customHeight="1" x14ac:dyDescent="0.2">
      <c r="A36" s="101" t="s">
        <v>1707</v>
      </c>
      <c r="B36" s="102"/>
      <c r="C36" s="64" t="s">
        <v>1708</v>
      </c>
      <c r="D36" s="65">
        <v>42514</v>
      </c>
      <c r="E36" s="66"/>
      <c r="F36" s="67"/>
      <c r="G36" s="67"/>
      <c r="H36" s="67">
        <v>4398.41</v>
      </c>
      <c r="I36" s="67">
        <v>4121.41</v>
      </c>
      <c r="J36" s="67">
        <v>0</v>
      </c>
      <c r="K36" s="68">
        <f t="shared" si="1"/>
        <v>0</v>
      </c>
      <c r="L36" s="68">
        <f t="shared" si="2"/>
        <v>0</v>
      </c>
      <c r="M36" s="69">
        <v>2.5</v>
      </c>
      <c r="N36" s="70" t="s">
        <v>17</v>
      </c>
      <c r="O36" s="68">
        <f t="shared" si="5"/>
        <v>0</v>
      </c>
      <c r="P36" s="68">
        <f t="shared" si="6"/>
        <v>0</v>
      </c>
      <c r="Q36" s="68">
        <f t="shared" si="7"/>
        <v>0</v>
      </c>
      <c r="R36" s="68">
        <f t="shared" si="3"/>
        <v>0</v>
      </c>
      <c r="S36" s="68">
        <f t="shared" si="4"/>
        <v>64</v>
      </c>
      <c r="T36" s="68">
        <f t="shared" si="8"/>
        <v>64</v>
      </c>
      <c r="U36" s="265">
        <f t="shared" si="9"/>
        <v>4057.41</v>
      </c>
      <c r="V36" s="93">
        <f t="shared" si="10"/>
        <v>0</v>
      </c>
    </row>
    <row r="37" spans="1:22" ht="18" customHeight="1" x14ac:dyDescent="0.2">
      <c r="A37" s="101" t="s">
        <v>1709</v>
      </c>
      <c r="B37" s="102"/>
      <c r="C37" s="64" t="s">
        <v>1710</v>
      </c>
      <c r="D37" s="65">
        <v>42514</v>
      </c>
      <c r="E37" s="66"/>
      <c r="F37" s="67"/>
      <c r="G37" s="67"/>
      <c r="H37" s="67">
        <v>3646.48</v>
      </c>
      <c r="I37" s="67">
        <v>3417.48</v>
      </c>
      <c r="J37" s="67">
        <v>0</v>
      </c>
      <c r="K37" s="68">
        <f t="shared" si="1"/>
        <v>0</v>
      </c>
      <c r="L37" s="68">
        <f t="shared" si="2"/>
        <v>0</v>
      </c>
      <c r="M37" s="69">
        <v>2.5</v>
      </c>
      <c r="N37" s="70" t="s">
        <v>17</v>
      </c>
      <c r="O37" s="68">
        <f t="shared" si="5"/>
        <v>0</v>
      </c>
      <c r="P37" s="68">
        <f t="shared" si="6"/>
        <v>0</v>
      </c>
      <c r="Q37" s="68">
        <f t="shared" si="7"/>
        <v>0</v>
      </c>
      <c r="R37" s="68">
        <f t="shared" si="3"/>
        <v>0</v>
      </c>
      <c r="S37" s="68">
        <f t="shared" si="4"/>
        <v>53</v>
      </c>
      <c r="T37" s="68">
        <f t="shared" si="8"/>
        <v>53</v>
      </c>
      <c r="U37" s="265">
        <f t="shared" si="9"/>
        <v>3364.48</v>
      </c>
      <c r="V37" s="93">
        <f t="shared" si="10"/>
        <v>0</v>
      </c>
    </row>
    <row r="38" spans="1:22" ht="18" customHeight="1" x14ac:dyDescent="0.2">
      <c r="A38" s="101" t="s">
        <v>1711</v>
      </c>
      <c r="B38" s="102"/>
      <c r="C38" s="64" t="s">
        <v>1096</v>
      </c>
      <c r="D38" s="65">
        <v>42514</v>
      </c>
      <c r="E38" s="66"/>
      <c r="F38" s="67"/>
      <c r="G38" s="67"/>
      <c r="H38" s="67">
        <v>445</v>
      </c>
      <c r="I38" s="67">
        <v>256</v>
      </c>
      <c r="J38" s="67">
        <v>0</v>
      </c>
      <c r="K38" s="68">
        <f t="shared" si="1"/>
        <v>0</v>
      </c>
      <c r="L38" s="68">
        <f t="shared" si="2"/>
        <v>0</v>
      </c>
      <c r="M38" s="69">
        <v>20</v>
      </c>
      <c r="N38" s="70" t="s">
        <v>289</v>
      </c>
      <c r="O38" s="68">
        <f t="shared" si="5"/>
        <v>0</v>
      </c>
      <c r="P38" s="68">
        <f t="shared" si="6"/>
        <v>0</v>
      </c>
      <c r="Q38" s="68">
        <f t="shared" si="7"/>
        <v>0</v>
      </c>
      <c r="R38" s="68">
        <f t="shared" si="3"/>
        <v>29</v>
      </c>
      <c r="S38" s="68">
        <f t="shared" si="4"/>
        <v>0</v>
      </c>
      <c r="T38" s="68">
        <f t="shared" si="8"/>
        <v>29</v>
      </c>
      <c r="U38" s="265">
        <f t="shared" si="9"/>
        <v>227</v>
      </c>
      <c r="V38" s="93">
        <f t="shared" si="10"/>
        <v>0</v>
      </c>
    </row>
    <row r="39" spans="1:22" ht="18" customHeight="1" x14ac:dyDescent="0.2">
      <c r="A39" s="101" t="s">
        <v>1712</v>
      </c>
      <c r="B39" s="102"/>
      <c r="C39" s="73" t="s">
        <v>1713</v>
      </c>
      <c r="D39" s="65">
        <v>42514</v>
      </c>
      <c r="E39" s="66"/>
      <c r="F39" s="67"/>
      <c r="G39" s="67"/>
      <c r="H39" s="67">
        <v>434.09000000000003</v>
      </c>
      <c r="I39" s="67">
        <v>406.09000000000003</v>
      </c>
      <c r="J39" s="67">
        <v>0</v>
      </c>
      <c r="K39" s="68">
        <f t="shared" si="1"/>
        <v>0</v>
      </c>
      <c r="L39" s="68">
        <f t="shared" si="2"/>
        <v>0</v>
      </c>
      <c r="M39" s="69">
        <v>2.5</v>
      </c>
      <c r="N39" s="70" t="s">
        <v>17</v>
      </c>
      <c r="O39" s="68">
        <f t="shared" si="5"/>
        <v>0</v>
      </c>
      <c r="P39" s="68">
        <f t="shared" si="6"/>
        <v>0</v>
      </c>
      <c r="Q39" s="68">
        <f t="shared" si="7"/>
        <v>0</v>
      </c>
      <c r="R39" s="68">
        <f t="shared" si="3"/>
        <v>0</v>
      </c>
      <c r="S39" s="68">
        <f t="shared" si="4"/>
        <v>6</v>
      </c>
      <c r="T39" s="68">
        <f t="shared" si="8"/>
        <v>6</v>
      </c>
      <c r="U39" s="265">
        <f t="shared" si="9"/>
        <v>400.09000000000003</v>
      </c>
      <c r="V39" s="93">
        <f t="shared" si="10"/>
        <v>0</v>
      </c>
    </row>
    <row r="40" spans="1:22" ht="18" customHeight="1" x14ac:dyDescent="0.2">
      <c r="A40" s="101" t="s">
        <v>1714</v>
      </c>
      <c r="B40" s="102"/>
      <c r="C40" s="72" t="s">
        <v>1715</v>
      </c>
      <c r="D40" s="65">
        <v>42514</v>
      </c>
      <c r="E40" s="66"/>
      <c r="F40" s="67"/>
      <c r="G40" s="67"/>
      <c r="H40" s="67">
        <v>118.18</v>
      </c>
      <c r="I40" s="67">
        <v>110.18</v>
      </c>
      <c r="J40" s="67">
        <v>0</v>
      </c>
      <c r="K40" s="68">
        <f t="shared" si="1"/>
        <v>0</v>
      </c>
      <c r="L40" s="68">
        <f t="shared" si="2"/>
        <v>0</v>
      </c>
      <c r="M40" s="69">
        <v>2.5</v>
      </c>
      <c r="N40" s="70" t="s">
        <v>17</v>
      </c>
      <c r="O40" s="68">
        <f t="shared" si="5"/>
        <v>0</v>
      </c>
      <c r="P40" s="68">
        <f t="shared" si="6"/>
        <v>0</v>
      </c>
      <c r="Q40" s="68">
        <f t="shared" si="7"/>
        <v>0</v>
      </c>
      <c r="R40" s="68">
        <f t="shared" si="3"/>
        <v>0</v>
      </c>
      <c r="S40" s="68">
        <f t="shared" si="4"/>
        <v>1</v>
      </c>
      <c r="T40" s="68">
        <f t="shared" si="8"/>
        <v>1</v>
      </c>
      <c r="U40" s="265">
        <f t="shared" si="9"/>
        <v>109.18</v>
      </c>
      <c r="V40" s="93">
        <f t="shared" si="10"/>
        <v>0</v>
      </c>
    </row>
    <row r="41" spans="1:22" ht="18" customHeight="1" x14ac:dyDescent="0.2">
      <c r="A41" s="101" t="s">
        <v>1716</v>
      </c>
      <c r="B41" s="102"/>
      <c r="C41" s="73" t="s">
        <v>1717</v>
      </c>
      <c r="D41" s="65">
        <v>42514</v>
      </c>
      <c r="E41" s="66"/>
      <c r="F41" s="67"/>
      <c r="G41" s="67"/>
      <c r="H41" s="67">
        <v>4480</v>
      </c>
      <c r="I41" s="67">
        <v>1287</v>
      </c>
      <c r="J41" s="67">
        <v>0</v>
      </c>
      <c r="K41" s="68">
        <f t="shared" si="1"/>
        <v>0</v>
      </c>
      <c r="L41" s="68">
        <f t="shared" si="2"/>
        <v>0</v>
      </c>
      <c r="M41" s="69">
        <v>40</v>
      </c>
      <c r="N41" s="70" t="s">
        <v>289</v>
      </c>
      <c r="O41" s="68">
        <f t="shared" si="5"/>
        <v>0</v>
      </c>
      <c r="P41" s="68">
        <f t="shared" si="6"/>
        <v>0</v>
      </c>
      <c r="Q41" s="68">
        <f t="shared" si="7"/>
        <v>0</v>
      </c>
      <c r="R41" s="68">
        <f t="shared" si="3"/>
        <v>300</v>
      </c>
      <c r="S41" s="68">
        <f t="shared" si="4"/>
        <v>0</v>
      </c>
      <c r="T41" s="68">
        <f t="shared" si="8"/>
        <v>300</v>
      </c>
      <c r="U41" s="265">
        <f t="shared" si="9"/>
        <v>987</v>
      </c>
      <c r="V41" s="93">
        <f t="shared" si="10"/>
        <v>0</v>
      </c>
    </row>
    <row r="42" spans="1:22" ht="18" customHeight="1" x14ac:dyDescent="0.2">
      <c r="A42" s="101" t="s">
        <v>1718</v>
      </c>
      <c r="B42" s="102"/>
      <c r="C42" s="73" t="s">
        <v>1719</v>
      </c>
      <c r="D42" s="65">
        <v>42514</v>
      </c>
      <c r="E42" s="66"/>
      <c r="F42" s="67"/>
      <c r="G42" s="67"/>
      <c r="H42" s="67">
        <v>945.45</v>
      </c>
      <c r="I42" s="67">
        <v>542.45000000000005</v>
      </c>
      <c r="J42" s="67">
        <v>0</v>
      </c>
      <c r="K42" s="68">
        <f t="shared" si="1"/>
        <v>0</v>
      </c>
      <c r="L42" s="68">
        <f t="shared" si="2"/>
        <v>0</v>
      </c>
      <c r="M42" s="69">
        <v>20</v>
      </c>
      <c r="N42" s="70" t="s">
        <v>289</v>
      </c>
      <c r="O42" s="68">
        <f t="shared" si="5"/>
        <v>0</v>
      </c>
      <c r="P42" s="68">
        <f t="shared" si="6"/>
        <v>0</v>
      </c>
      <c r="Q42" s="68">
        <f t="shared" si="7"/>
        <v>0</v>
      </c>
      <c r="R42" s="68">
        <f t="shared" si="3"/>
        <v>63</v>
      </c>
      <c r="S42" s="68">
        <f t="shared" si="4"/>
        <v>0</v>
      </c>
      <c r="T42" s="68">
        <f t="shared" si="8"/>
        <v>63</v>
      </c>
      <c r="U42" s="265">
        <f t="shared" si="9"/>
        <v>479.45000000000005</v>
      </c>
      <c r="V42" s="93">
        <f t="shared" si="10"/>
        <v>0</v>
      </c>
    </row>
    <row r="43" spans="1:22" ht="18" customHeight="1" x14ac:dyDescent="0.2">
      <c r="A43" s="101" t="s">
        <v>1720</v>
      </c>
      <c r="B43" s="102"/>
      <c r="C43" s="72" t="s">
        <v>1721</v>
      </c>
      <c r="D43" s="65">
        <v>42514</v>
      </c>
      <c r="E43" s="66"/>
      <c r="F43" s="67"/>
      <c r="G43" s="67"/>
      <c r="H43" s="67">
        <v>7439</v>
      </c>
      <c r="I43" s="67">
        <v>6970</v>
      </c>
      <c r="J43" s="67">
        <v>0</v>
      </c>
      <c r="K43" s="68">
        <f t="shared" si="1"/>
        <v>0</v>
      </c>
      <c r="L43" s="68">
        <f t="shared" si="2"/>
        <v>0</v>
      </c>
      <c r="M43" s="69">
        <v>2.5</v>
      </c>
      <c r="N43" s="70" t="s">
        <v>17</v>
      </c>
      <c r="O43" s="68">
        <f t="shared" si="5"/>
        <v>0</v>
      </c>
      <c r="P43" s="68">
        <f t="shared" si="6"/>
        <v>0</v>
      </c>
      <c r="Q43" s="68">
        <f t="shared" si="7"/>
        <v>0</v>
      </c>
      <c r="R43" s="68">
        <f t="shared" si="3"/>
        <v>0</v>
      </c>
      <c r="S43" s="68">
        <f t="shared" si="4"/>
        <v>108</v>
      </c>
      <c r="T43" s="68">
        <f t="shared" si="8"/>
        <v>108</v>
      </c>
      <c r="U43" s="265">
        <f t="shared" si="9"/>
        <v>6862</v>
      </c>
      <c r="V43" s="93">
        <f t="shared" si="10"/>
        <v>0</v>
      </c>
    </row>
    <row r="44" spans="1:22" ht="18" customHeight="1" x14ac:dyDescent="0.2">
      <c r="A44" s="101" t="s">
        <v>1722</v>
      </c>
      <c r="B44" s="102"/>
      <c r="C44" s="73" t="s">
        <v>1723</v>
      </c>
      <c r="D44" s="65">
        <v>42551</v>
      </c>
      <c r="E44" s="66"/>
      <c r="F44" s="67"/>
      <c r="G44" s="67"/>
      <c r="H44" s="67">
        <v>5339.55</v>
      </c>
      <c r="I44" s="67">
        <v>5016.55</v>
      </c>
      <c r="J44" s="67">
        <v>0</v>
      </c>
      <c r="K44" s="68">
        <f t="shared" si="1"/>
        <v>0</v>
      </c>
      <c r="L44" s="68">
        <f t="shared" si="2"/>
        <v>0</v>
      </c>
      <c r="M44" s="69">
        <v>2.5</v>
      </c>
      <c r="N44" s="70" t="s">
        <v>17</v>
      </c>
      <c r="O44" s="68">
        <f t="shared" si="5"/>
        <v>0</v>
      </c>
      <c r="P44" s="68">
        <f t="shared" si="6"/>
        <v>0</v>
      </c>
      <c r="Q44" s="68">
        <f t="shared" si="7"/>
        <v>0</v>
      </c>
      <c r="R44" s="68">
        <f t="shared" si="3"/>
        <v>0</v>
      </c>
      <c r="S44" s="68">
        <f t="shared" si="4"/>
        <v>77</v>
      </c>
      <c r="T44" s="68">
        <f t="shared" si="8"/>
        <v>77</v>
      </c>
      <c r="U44" s="265">
        <f t="shared" si="9"/>
        <v>4939.55</v>
      </c>
      <c r="V44" s="93">
        <f t="shared" si="10"/>
        <v>0</v>
      </c>
    </row>
    <row r="45" spans="1:22" ht="18" customHeight="1" x14ac:dyDescent="0.2">
      <c r="A45" s="101" t="s">
        <v>1724</v>
      </c>
      <c r="B45" s="102"/>
      <c r="C45" s="73" t="s">
        <v>1725</v>
      </c>
      <c r="D45" s="65">
        <v>42592</v>
      </c>
      <c r="E45" s="66"/>
      <c r="F45" s="67"/>
      <c r="G45" s="67"/>
      <c r="H45" s="67">
        <v>1027.25</v>
      </c>
      <c r="I45" s="67">
        <v>967.25</v>
      </c>
      <c r="J45" s="67">
        <v>0</v>
      </c>
      <c r="K45" s="68">
        <f t="shared" si="1"/>
        <v>0</v>
      </c>
      <c r="L45" s="68">
        <f t="shared" si="2"/>
        <v>0</v>
      </c>
      <c r="M45" s="69">
        <v>2.5</v>
      </c>
      <c r="N45" s="70" t="s">
        <v>17</v>
      </c>
      <c r="O45" s="68">
        <f t="shared" si="5"/>
        <v>0</v>
      </c>
      <c r="P45" s="68">
        <f t="shared" si="6"/>
        <v>0</v>
      </c>
      <c r="Q45" s="68">
        <f t="shared" si="7"/>
        <v>0</v>
      </c>
      <c r="R45" s="68">
        <f t="shared" si="3"/>
        <v>0</v>
      </c>
      <c r="S45" s="68">
        <f t="shared" si="4"/>
        <v>14</v>
      </c>
      <c r="T45" s="68">
        <f t="shared" si="8"/>
        <v>14</v>
      </c>
      <c r="U45" s="265">
        <f t="shared" si="9"/>
        <v>953.25</v>
      </c>
      <c r="V45" s="93">
        <f t="shared" si="10"/>
        <v>0</v>
      </c>
    </row>
    <row r="46" spans="1:22" ht="18" customHeight="1" x14ac:dyDescent="0.2">
      <c r="A46" s="101" t="s">
        <v>1726</v>
      </c>
      <c r="B46" s="102"/>
      <c r="C46" s="73" t="s">
        <v>1727</v>
      </c>
      <c r="D46" s="65">
        <v>42690</v>
      </c>
      <c r="E46" s="66"/>
      <c r="F46" s="67"/>
      <c r="G46" s="67"/>
      <c r="H46" s="67">
        <v>58590</v>
      </c>
      <c r="I46" s="67">
        <v>47378</v>
      </c>
      <c r="J46" s="67">
        <v>0</v>
      </c>
      <c r="K46" s="68">
        <f t="shared" si="1"/>
        <v>0</v>
      </c>
      <c r="L46" s="68">
        <f t="shared" si="2"/>
        <v>0</v>
      </c>
      <c r="M46" s="69">
        <v>10</v>
      </c>
      <c r="N46" s="70" t="s">
        <v>289</v>
      </c>
      <c r="O46" s="68">
        <f t="shared" si="5"/>
        <v>0</v>
      </c>
      <c r="P46" s="68">
        <f t="shared" si="6"/>
        <v>0</v>
      </c>
      <c r="Q46" s="68">
        <f t="shared" si="7"/>
        <v>0</v>
      </c>
      <c r="R46" s="68">
        <f t="shared" si="3"/>
        <v>2763</v>
      </c>
      <c r="S46" s="68">
        <f t="shared" si="4"/>
        <v>0</v>
      </c>
      <c r="T46" s="68">
        <f t="shared" si="8"/>
        <v>2763</v>
      </c>
      <c r="U46" s="265">
        <f t="shared" si="9"/>
        <v>44615</v>
      </c>
      <c r="V46" s="93">
        <f t="shared" si="10"/>
        <v>0</v>
      </c>
    </row>
    <row r="47" spans="1:22" ht="18" customHeight="1" x14ac:dyDescent="0.2">
      <c r="A47" s="101" t="s">
        <v>1728</v>
      </c>
      <c r="B47" s="102"/>
      <c r="C47" s="72" t="s">
        <v>1729</v>
      </c>
      <c r="D47" s="65">
        <v>42704</v>
      </c>
      <c r="E47" s="66"/>
      <c r="F47" s="67"/>
      <c r="G47" s="67"/>
      <c r="H47" s="67">
        <v>2700</v>
      </c>
      <c r="I47" s="67">
        <v>2565</v>
      </c>
      <c r="J47" s="67">
        <v>0</v>
      </c>
      <c r="K47" s="68">
        <f t="shared" si="1"/>
        <v>0</v>
      </c>
      <c r="L47" s="68">
        <f t="shared" si="2"/>
        <v>0</v>
      </c>
      <c r="M47" s="69">
        <v>2.5</v>
      </c>
      <c r="N47" s="70" t="s">
        <v>17</v>
      </c>
      <c r="O47" s="68">
        <f t="shared" si="5"/>
        <v>0</v>
      </c>
      <c r="P47" s="68">
        <f t="shared" si="6"/>
        <v>0</v>
      </c>
      <c r="Q47" s="68">
        <f t="shared" si="7"/>
        <v>0</v>
      </c>
      <c r="R47" s="68">
        <f t="shared" si="3"/>
        <v>0</v>
      </c>
      <c r="S47" s="68">
        <f t="shared" si="4"/>
        <v>39</v>
      </c>
      <c r="T47" s="68">
        <f t="shared" si="8"/>
        <v>39</v>
      </c>
      <c r="U47" s="265">
        <f t="shared" si="9"/>
        <v>2526</v>
      </c>
      <c r="V47" s="93">
        <f t="shared" si="10"/>
        <v>0</v>
      </c>
    </row>
    <row r="48" spans="1:22" ht="18" customHeight="1" x14ac:dyDescent="0.2">
      <c r="A48" s="101" t="s">
        <v>1730</v>
      </c>
      <c r="B48" s="102"/>
      <c r="C48" s="64" t="s">
        <v>1731</v>
      </c>
      <c r="D48" s="65">
        <v>42781</v>
      </c>
      <c r="E48" s="66"/>
      <c r="F48" s="67"/>
      <c r="G48" s="67"/>
      <c r="H48" s="67">
        <v>4582</v>
      </c>
      <c r="I48" s="67">
        <v>4376</v>
      </c>
      <c r="J48" s="67">
        <v>0</v>
      </c>
      <c r="K48" s="68">
        <f t="shared" si="1"/>
        <v>0</v>
      </c>
      <c r="L48" s="68">
        <f t="shared" si="2"/>
        <v>0</v>
      </c>
      <c r="M48" s="69">
        <v>2.5</v>
      </c>
      <c r="N48" s="70" t="s">
        <v>17</v>
      </c>
      <c r="O48" s="68">
        <f t="shared" si="5"/>
        <v>0</v>
      </c>
      <c r="P48" s="68">
        <f t="shared" si="6"/>
        <v>0</v>
      </c>
      <c r="Q48" s="68">
        <f t="shared" si="7"/>
        <v>0</v>
      </c>
      <c r="R48" s="68">
        <f t="shared" si="3"/>
        <v>0</v>
      </c>
      <c r="S48" s="68">
        <f t="shared" si="4"/>
        <v>66</v>
      </c>
      <c r="T48" s="68">
        <f t="shared" si="8"/>
        <v>66</v>
      </c>
      <c r="U48" s="265">
        <f t="shared" si="9"/>
        <v>4310</v>
      </c>
      <c r="V48" s="93">
        <f t="shared" si="10"/>
        <v>0</v>
      </c>
    </row>
    <row r="49" spans="1:22" ht="18" customHeight="1" x14ac:dyDescent="0.2">
      <c r="A49" s="101" t="s">
        <v>1732</v>
      </c>
      <c r="B49" s="102"/>
      <c r="C49" s="64" t="s">
        <v>1733</v>
      </c>
      <c r="D49" s="65">
        <v>42794</v>
      </c>
      <c r="E49" s="66"/>
      <c r="F49" s="67"/>
      <c r="G49" s="67"/>
      <c r="H49" s="67">
        <v>4900</v>
      </c>
      <c r="I49" s="67">
        <v>4685</v>
      </c>
      <c r="J49" s="67">
        <v>0</v>
      </c>
      <c r="K49" s="68">
        <f t="shared" si="1"/>
        <v>0</v>
      </c>
      <c r="L49" s="68">
        <f t="shared" si="2"/>
        <v>0</v>
      </c>
      <c r="M49" s="69">
        <v>2.5</v>
      </c>
      <c r="N49" s="70" t="s">
        <v>17</v>
      </c>
      <c r="O49" s="68">
        <f t="shared" si="5"/>
        <v>0</v>
      </c>
      <c r="P49" s="68">
        <f t="shared" si="6"/>
        <v>0</v>
      </c>
      <c r="Q49" s="68">
        <f t="shared" si="7"/>
        <v>0</v>
      </c>
      <c r="R49" s="68">
        <f t="shared" si="3"/>
        <v>0</v>
      </c>
      <c r="S49" s="68">
        <f t="shared" si="4"/>
        <v>71</v>
      </c>
      <c r="T49" s="68">
        <f t="shared" si="8"/>
        <v>71</v>
      </c>
      <c r="U49" s="265">
        <f t="shared" si="9"/>
        <v>4614</v>
      </c>
      <c r="V49" s="93">
        <f t="shared" si="10"/>
        <v>0</v>
      </c>
    </row>
    <row r="50" spans="1:22" ht="18" customHeight="1" x14ac:dyDescent="0.2">
      <c r="A50" s="101" t="s">
        <v>1734</v>
      </c>
      <c r="B50" s="102"/>
      <c r="C50" s="64" t="s">
        <v>1735</v>
      </c>
      <c r="D50" s="65">
        <v>42794</v>
      </c>
      <c r="E50" s="66"/>
      <c r="F50" s="67"/>
      <c r="G50" s="67"/>
      <c r="H50" s="67">
        <v>53058.36</v>
      </c>
      <c r="I50" s="67">
        <v>50729.36</v>
      </c>
      <c r="J50" s="67">
        <v>0</v>
      </c>
      <c r="K50" s="68">
        <f t="shared" si="1"/>
        <v>0</v>
      </c>
      <c r="L50" s="68">
        <f t="shared" si="2"/>
        <v>0</v>
      </c>
      <c r="M50" s="69">
        <v>2.5</v>
      </c>
      <c r="N50" s="70" t="s">
        <v>17</v>
      </c>
      <c r="O50" s="68">
        <f t="shared" si="5"/>
        <v>0</v>
      </c>
      <c r="P50" s="68">
        <f t="shared" si="6"/>
        <v>0</v>
      </c>
      <c r="Q50" s="68">
        <f t="shared" si="7"/>
        <v>0</v>
      </c>
      <c r="R50" s="68">
        <f t="shared" si="3"/>
        <v>0</v>
      </c>
      <c r="S50" s="68">
        <f t="shared" si="4"/>
        <v>773</v>
      </c>
      <c r="T50" s="68">
        <f t="shared" si="8"/>
        <v>773</v>
      </c>
      <c r="U50" s="265">
        <f t="shared" si="9"/>
        <v>49956.36</v>
      </c>
      <c r="V50" s="93">
        <f t="shared" si="10"/>
        <v>0</v>
      </c>
    </row>
    <row r="51" spans="1:22" ht="18" customHeight="1" x14ac:dyDescent="0.2">
      <c r="A51" s="101" t="s">
        <v>1736</v>
      </c>
      <c r="B51" s="102"/>
      <c r="C51" s="64" t="s">
        <v>1737</v>
      </c>
      <c r="D51" s="65">
        <v>42821</v>
      </c>
      <c r="E51" s="66"/>
      <c r="F51" s="67"/>
      <c r="G51" s="67"/>
      <c r="H51" s="67">
        <v>363</v>
      </c>
      <c r="I51" s="67">
        <v>348</v>
      </c>
      <c r="J51" s="67">
        <v>0</v>
      </c>
      <c r="K51" s="68">
        <f t="shared" si="1"/>
        <v>0</v>
      </c>
      <c r="L51" s="68">
        <f t="shared" si="2"/>
        <v>0</v>
      </c>
      <c r="M51" s="69">
        <v>2.5</v>
      </c>
      <c r="N51" s="70" t="s">
        <v>17</v>
      </c>
      <c r="O51" s="68">
        <f t="shared" si="5"/>
        <v>0</v>
      </c>
      <c r="P51" s="68">
        <f t="shared" si="6"/>
        <v>0</v>
      </c>
      <c r="Q51" s="68">
        <f t="shared" si="7"/>
        <v>0</v>
      </c>
      <c r="R51" s="68">
        <f t="shared" si="3"/>
        <v>0</v>
      </c>
      <c r="S51" s="68">
        <f t="shared" si="4"/>
        <v>5</v>
      </c>
      <c r="T51" s="68">
        <f t="shared" si="8"/>
        <v>5</v>
      </c>
      <c r="U51" s="265">
        <f t="shared" si="9"/>
        <v>343</v>
      </c>
      <c r="V51" s="93">
        <f t="shared" si="10"/>
        <v>0</v>
      </c>
    </row>
    <row r="52" spans="1:22" ht="18" customHeight="1" x14ac:dyDescent="0.2">
      <c r="A52" s="101" t="s">
        <v>1738</v>
      </c>
      <c r="B52" s="102"/>
      <c r="C52" s="64" t="s">
        <v>1735</v>
      </c>
      <c r="D52" s="65">
        <v>42826</v>
      </c>
      <c r="E52" s="66"/>
      <c r="F52" s="67"/>
      <c r="G52" s="67"/>
      <c r="H52" s="67">
        <v>30767.5</v>
      </c>
      <c r="I52" s="67">
        <v>29484.5</v>
      </c>
      <c r="J52" s="67">
        <v>0</v>
      </c>
      <c r="K52" s="68">
        <f t="shared" si="1"/>
        <v>0</v>
      </c>
      <c r="L52" s="68">
        <f t="shared" si="2"/>
        <v>0</v>
      </c>
      <c r="M52" s="69">
        <v>2.5</v>
      </c>
      <c r="N52" s="70" t="s">
        <v>17</v>
      </c>
      <c r="O52" s="68">
        <f t="shared" si="5"/>
        <v>0</v>
      </c>
      <c r="P52" s="68">
        <f t="shared" si="6"/>
        <v>0</v>
      </c>
      <c r="Q52" s="68">
        <f t="shared" si="7"/>
        <v>0</v>
      </c>
      <c r="R52" s="68">
        <f t="shared" si="3"/>
        <v>0</v>
      </c>
      <c r="S52" s="68">
        <f t="shared" si="4"/>
        <v>448</v>
      </c>
      <c r="T52" s="68">
        <f t="shared" si="8"/>
        <v>448</v>
      </c>
      <c r="U52" s="265">
        <f t="shared" si="9"/>
        <v>29036.5</v>
      </c>
      <c r="V52" s="93">
        <f t="shared" si="10"/>
        <v>0</v>
      </c>
    </row>
    <row r="53" spans="1:22" ht="18" customHeight="1" x14ac:dyDescent="0.2">
      <c r="A53" s="101" t="s">
        <v>1739</v>
      </c>
      <c r="B53" s="102"/>
      <c r="C53" s="64" t="s">
        <v>1735</v>
      </c>
      <c r="D53" s="65">
        <v>42828</v>
      </c>
      <c r="E53" s="66"/>
      <c r="F53" s="67"/>
      <c r="G53" s="67"/>
      <c r="H53" s="67">
        <v>3377.5</v>
      </c>
      <c r="I53" s="67">
        <v>3237.5</v>
      </c>
      <c r="J53" s="67">
        <v>0</v>
      </c>
      <c r="K53" s="68">
        <f t="shared" si="1"/>
        <v>0</v>
      </c>
      <c r="L53" s="68">
        <f t="shared" si="2"/>
        <v>0</v>
      </c>
      <c r="M53" s="69">
        <v>2.5</v>
      </c>
      <c r="N53" s="70" t="s">
        <v>17</v>
      </c>
      <c r="O53" s="68">
        <f t="shared" si="5"/>
        <v>0</v>
      </c>
      <c r="P53" s="68">
        <f t="shared" si="6"/>
        <v>0</v>
      </c>
      <c r="Q53" s="68">
        <f t="shared" si="7"/>
        <v>0</v>
      </c>
      <c r="R53" s="68">
        <f t="shared" si="3"/>
        <v>0</v>
      </c>
      <c r="S53" s="68">
        <f t="shared" si="4"/>
        <v>49</v>
      </c>
      <c r="T53" s="68">
        <f t="shared" si="8"/>
        <v>49</v>
      </c>
      <c r="U53" s="265">
        <f t="shared" si="9"/>
        <v>3188.5</v>
      </c>
      <c r="V53" s="93">
        <f t="shared" si="10"/>
        <v>0</v>
      </c>
    </row>
    <row r="54" spans="1:22" ht="18" customHeight="1" x14ac:dyDescent="0.2">
      <c r="A54" s="101" t="s">
        <v>1740</v>
      </c>
      <c r="B54" s="102"/>
      <c r="C54" s="64" t="s">
        <v>1735</v>
      </c>
      <c r="D54" s="65">
        <v>42855</v>
      </c>
      <c r="E54" s="66"/>
      <c r="F54" s="67"/>
      <c r="G54" s="67"/>
      <c r="H54" s="67">
        <v>10177</v>
      </c>
      <c r="I54" s="67">
        <v>9773</v>
      </c>
      <c r="J54" s="67">
        <v>0</v>
      </c>
      <c r="K54" s="68">
        <f t="shared" si="1"/>
        <v>0</v>
      </c>
      <c r="L54" s="68">
        <f t="shared" si="2"/>
        <v>0</v>
      </c>
      <c r="M54" s="69">
        <v>2.5</v>
      </c>
      <c r="N54" s="70" t="s">
        <v>17</v>
      </c>
      <c r="O54" s="68">
        <f t="shared" si="5"/>
        <v>0</v>
      </c>
      <c r="P54" s="68">
        <f t="shared" si="6"/>
        <v>0</v>
      </c>
      <c r="Q54" s="68">
        <f t="shared" si="7"/>
        <v>0</v>
      </c>
      <c r="R54" s="68">
        <f t="shared" si="3"/>
        <v>0</v>
      </c>
      <c r="S54" s="68">
        <f t="shared" si="4"/>
        <v>148</v>
      </c>
      <c r="T54" s="68">
        <f t="shared" si="8"/>
        <v>148</v>
      </c>
      <c r="U54" s="265">
        <f t="shared" si="9"/>
        <v>9625</v>
      </c>
      <c r="V54" s="93">
        <f t="shared" si="10"/>
        <v>0</v>
      </c>
    </row>
    <row r="55" spans="1:22" ht="18" customHeight="1" x14ac:dyDescent="0.2">
      <c r="A55" s="101" t="s">
        <v>1741</v>
      </c>
      <c r="B55" s="102"/>
      <c r="C55" s="73" t="s">
        <v>1742</v>
      </c>
      <c r="D55" s="65">
        <v>42884</v>
      </c>
      <c r="E55" s="66"/>
      <c r="F55" s="67"/>
      <c r="G55" s="67"/>
      <c r="H55" s="67">
        <v>1260</v>
      </c>
      <c r="I55" s="67">
        <v>1212</v>
      </c>
      <c r="J55" s="67">
        <v>0</v>
      </c>
      <c r="K55" s="68">
        <f t="shared" si="1"/>
        <v>0</v>
      </c>
      <c r="L55" s="68">
        <f t="shared" si="2"/>
        <v>0</v>
      </c>
      <c r="M55" s="69">
        <v>2.5</v>
      </c>
      <c r="N55" s="70" t="s">
        <v>17</v>
      </c>
      <c r="O55" s="68">
        <f t="shared" si="5"/>
        <v>0</v>
      </c>
      <c r="P55" s="68">
        <f t="shared" si="6"/>
        <v>0</v>
      </c>
      <c r="Q55" s="68">
        <f t="shared" si="7"/>
        <v>0</v>
      </c>
      <c r="R55" s="68">
        <f t="shared" si="3"/>
        <v>0</v>
      </c>
      <c r="S55" s="68">
        <f t="shared" si="4"/>
        <v>18</v>
      </c>
      <c r="T55" s="68">
        <f t="shared" si="8"/>
        <v>18</v>
      </c>
      <c r="U55" s="265">
        <f t="shared" si="9"/>
        <v>1194</v>
      </c>
      <c r="V55" s="93">
        <f t="shared" si="10"/>
        <v>0</v>
      </c>
    </row>
    <row r="56" spans="1:22" ht="18" customHeight="1" x14ac:dyDescent="0.2">
      <c r="A56" s="101" t="s">
        <v>1743</v>
      </c>
      <c r="B56" s="102"/>
      <c r="C56" s="64" t="s">
        <v>1735</v>
      </c>
      <c r="D56" s="65">
        <v>42886</v>
      </c>
      <c r="E56" s="66"/>
      <c r="F56" s="67"/>
      <c r="G56" s="67"/>
      <c r="H56" s="67">
        <v>10975</v>
      </c>
      <c r="I56" s="67">
        <v>10563</v>
      </c>
      <c r="J56" s="67">
        <v>0</v>
      </c>
      <c r="K56" s="68">
        <f t="shared" si="1"/>
        <v>0</v>
      </c>
      <c r="L56" s="68">
        <f t="shared" si="2"/>
        <v>0</v>
      </c>
      <c r="M56" s="69">
        <v>2.5</v>
      </c>
      <c r="N56" s="70" t="s">
        <v>17</v>
      </c>
      <c r="O56" s="68">
        <f t="shared" si="5"/>
        <v>0</v>
      </c>
      <c r="P56" s="68">
        <f t="shared" si="6"/>
        <v>0</v>
      </c>
      <c r="Q56" s="68">
        <f t="shared" si="7"/>
        <v>0</v>
      </c>
      <c r="R56" s="68">
        <f t="shared" si="3"/>
        <v>0</v>
      </c>
      <c r="S56" s="68">
        <f t="shared" si="4"/>
        <v>160</v>
      </c>
      <c r="T56" s="68">
        <f t="shared" si="8"/>
        <v>160</v>
      </c>
      <c r="U56" s="265">
        <f t="shared" si="9"/>
        <v>10403</v>
      </c>
      <c r="V56" s="93">
        <f t="shared" si="10"/>
        <v>0</v>
      </c>
    </row>
    <row r="57" spans="1:22" ht="18" customHeight="1" x14ac:dyDescent="0.2">
      <c r="A57" s="101" t="s">
        <v>1744</v>
      </c>
      <c r="B57" s="102"/>
      <c r="C57" s="64" t="s">
        <v>1735</v>
      </c>
      <c r="D57" s="65">
        <v>42886</v>
      </c>
      <c r="E57" s="66"/>
      <c r="F57" s="67"/>
      <c r="G57" s="67"/>
      <c r="H57" s="67">
        <v>15437.5</v>
      </c>
      <c r="I57" s="67">
        <v>14856.5</v>
      </c>
      <c r="J57" s="67">
        <v>0</v>
      </c>
      <c r="K57" s="68">
        <f t="shared" si="1"/>
        <v>0</v>
      </c>
      <c r="L57" s="68">
        <f t="shared" si="2"/>
        <v>0</v>
      </c>
      <c r="M57" s="69">
        <v>2.5</v>
      </c>
      <c r="N57" s="70" t="s">
        <v>17</v>
      </c>
      <c r="O57" s="68">
        <f t="shared" si="5"/>
        <v>0</v>
      </c>
      <c r="P57" s="68">
        <f t="shared" si="6"/>
        <v>0</v>
      </c>
      <c r="Q57" s="68">
        <f t="shared" si="7"/>
        <v>0</v>
      </c>
      <c r="R57" s="68">
        <f t="shared" si="3"/>
        <v>0</v>
      </c>
      <c r="S57" s="68">
        <f t="shared" si="4"/>
        <v>225</v>
      </c>
      <c r="T57" s="68">
        <f t="shared" si="8"/>
        <v>225</v>
      </c>
      <c r="U57" s="265">
        <f t="shared" si="9"/>
        <v>14631.5</v>
      </c>
      <c r="V57" s="93">
        <f t="shared" si="10"/>
        <v>0</v>
      </c>
    </row>
    <row r="58" spans="1:22" ht="18" customHeight="1" x14ac:dyDescent="0.2">
      <c r="A58" s="101" t="s">
        <v>1745</v>
      </c>
      <c r="B58" s="102"/>
      <c r="C58" s="64" t="s">
        <v>1746</v>
      </c>
      <c r="D58" s="65">
        <v>42886</v>
      </c>
      <c r="E58" s="66"/>
      <c r="F58" s="67"/>
      <c r="G58" s="67"/>
      <c r="H58" s="67">
        <v>10656.25</v>
      </c>
      <c r="I58" s="67">
        <v>10255.25</v>
      </c>
      <c r="J58" s="67">
        <v>0</v>
      </c>
      <c r="K58" s="68">
        <f t="shared" si="1"/>
        <v>0</v>
      </c>
      <c r="L58" s="68">
        <f t="shared" si="2"/>
        <v>0</v>
      </c>
      <c r="M58" s="69">
        <v>2.5</v>
      </c>
      <c r="N58" s="70" t="s">
        <v>17</v>
      </c>
      <c r="O58" s="68">
        <f t="shared" si="5"/>
        <v>0</v>
      </c>
      <c r="P58" s="68">
        <f t="shared" si="6"/>
        <v>0</v>
      </c>
      <c r="Q58" s="68">
        <f t="shared" si="7"/>
        <v>0</v>
      </c>
      <c r="R58" s="68">
        <f t="shared" si="3"/>
        <v>0</v>
      </c>
      <c r="S58" s="68">
        <f t="shared" si="4"/>
        <v>155</v>
      </c>
      <c r="T58" s="68">
        <f t="shared" si="8"/>
        <v>155</v>
      </c>
      <c r="U58" s="265">
        <f t="shared" si="9"/>
        <v>10100.25</v>
      </c>
      <c r="V58" s="93">
        <f t="shared" si="10"/>
        <v>0</v>
      </c>
    </row>
    <row r="59" spans="1:22" ht="18" customHeight="1" x14ac:dyDescent="0.2">
      <c r="A59" s="101" t="s">
        <v>1747</v>
      </c>
      <c r="B59" s="102"/>
      <c r="C59" s="64" t="s">
        <v>1748</v>
      </c>
      <c r="D59" s="65">
        <v>42887</v>
      </c>
      <c r="E59" s="66"/>
      <c r="F59" s="67"/>
      <c r="G59" s="67"/>
      <c r="H59" s="67">
        <v>437.5</v>
      </c>
      <c r="I59" s="67">
        <v>420.5</v>
      </c>
      <c r="J59" s="67">
        <v>0</v>
      </c>
      <c r="K59" s="68">
        <f t="shared" si="1"/>
        <v>0</v>
      </c>
      <c r="L59" s="68">
        <f t="shared" si="2"/>
        <v>0</v>
      </c>
      <c r="M59" s="69">
        <v>2.5</v>
      </c>
      <c r="N59" s="70" t="s">
        <v>17</v>
      </c>
      <c r="O59" s="68">
        <f t="shared" si="5"/>
        <v>0</v>
      </c>
      <c r="P59" s="68">
        <f t="shared" si="6"/>
        <v>0</v>
      </c>
      <c r="Q59" s="68">
        <f t="shared" si="7"/>
        <v>0</v>
      </c>
      <c r="R59" s="68">
        <f t="shared" si="3"/>
        <v>0</v>
      </c>
      <c r="S59" s="68">
        <f t="shared" si="4"/>
        <v>6</v>
      </c>
      <c r="T59" s="68">
        <f t="shared" si="8"/>
        <v>6</v>
      </c>
      <c r="U59" s="265">
        <f t="shared" si="9"/>
        <v>414.5</v>
      </c>
      <c r="V59" s="93">
        <f t="shared" si="10"/>
        <v>0</v>
      </c>
    </row>
    <row r="60" spans="1:22" ht="18" customHeight="1" x14ac:dyDescent="0.2">
      <c r="A60" s="101" t="s">
        <v>1749</v>
      </c>
      <c r="B60" s="102"/>
      <c r="C60" s="64" t="s">
        <v>1750</v>
      </c>
      <c r="D60" s="65">
        <v>42894</v>
      </c>
      <c r="E60" s="66"/>
      <c r="F60" s="67"/>
      <c r="G60" s="67"/>
      <c r="H60" s="67">
        <v>16875</v>
      </c>
      <c r="I60" s="67">
        <v>16249</v>
      </c>
      <c r="J60" s="67">
        <v>0</v>
      </c>
      <c r="K60" s="68">
        <f t="shared" si="1"/>
        <v>0</v>
      </c>
      <c r="L60" s="68">
        <f t="shared" si="2"/>
        <v>0</v>
      </c>
      <c r="M60" s="69">
        <v>2.5</v>
      </c>
      <c r="N60" s="70" t="s">
        <v>17</v>
      </c>
      <c r="O60" s="68">
        <f t="shared" si="5"/>
        <v>0</v>
      </c>
      <c r="P60" s="68">
        <f t="shared" si="6"/>
        <v>0</v>
      </c>
      <c r="Q60" s="68">
        <f t="shared" si="7"/>
        <v>0</v>
      </c>
      <c r="R60" s="68">
        <f t="shared" si="3"/>
        <v>0</v>
      </c>
      <c r="S60" s="68">
        <f t="shared" si="4"/>
        <v>246</v>
      </c>
      <c r="T60" s="68">
        <f t="shared" si="8"/>
        <v>246</v>
      </c>
      <c r="U60" s="265">
        <f t="shared" si="9"/>
        <v>16003</v>
      </c>
      <c r="V60" s="93">
        <f t="shared" si="10"/>
        <v>0</v>
      </c>
    </row>
    <row r="61" spans="1:22" ht="18" customHeight="1" x14ac:dyDescent="0.2">
      <c r="A61" s="101" t="s">
        <v>1751</v>
      </c>
      <c r="B61" s="102"/>
      <c r="C61" s="64" t="s">
        <v>1752</v>
      </c>
      <c r="D61" s="65">
        <v>42744</v>
      </c>
      <c r="E61" s="66"/>
      <c r="F61" s="67"/>
      <c r="G61" s="67"/>
      <c r="H61" s="67">
        <v>4150</v>
      </c>
      <c r="I61" s="67">
        <v>2754</v>
      </c>
      <c r="J61" s="67">
        <v>0</v>
      </c>
      <c r="K61" s="68">
        <f t="shared" si="1"/>
        <v>0</v>
      </c>
      <c r="L61" s="68">
        <f t="shared" si="2"/>
        <v>0</v>
      </c>
      <c r="M61" s="69">
        <v>20</v>
      </c>
      <c r="N61" s="70" t="s">
        <v>289</v>
      </c>
      <c r="O61" s="68">
        <f t="shared" si="5"/>
        <v>0</v>
      </c>
      <c r="P61" s="68">
        <f t="shared" si="6"/>
        <v>0</v>
      </c>
      <c r="Q61" s="68">
        <f t="shared" si="7"/>
        <v>0</v>
      </c>
      <c r="R61" s="68">
        <f t="shared" si="3"/>
        <v>321</v>
      </c>
      <c r="S61" s="68">
        <f t="shared" si="4"/>
        <v>0</v>
      </c>
      <c r="T61" s="68">
        <f t="shared" si="8"/>
        <v>321</v>
      </c>
      <c r="U61" s="265">
        <f t="shared" si="9"/>
        <v>2433</v>
      </c>
      <c r="V61" s="93">
        <f t="shared" si="10"/>
        <v>0</v>
      </c>
    </row>
    <row r="62" spans="1:22" ht="18" customHeight="1" x14ac:dyDescent="0.2">
      <c r="A62" s="101" t="s">
        <v>1753</v>
      </c>
      <c r="B62" s="102"/>
      <c r="C62" s="64" t="s">
        <v>1754</v>
      </c>
      <c r="D62" s="65">
        <v>42754</v>
      </c>
      <c r="E62" s="66"/>
      <c r="F62" s="67"/>
      <c r="G62" s="67"/>
      <c r="H62" s="67">
        <v>90.91</v>
      </c>
      <c r="I62" s="67">
        <v>86.91</v>
      </c>
      <c r="J62" s="67">
        <v>0</v>
      </c>
      <c r="K62" s="68">
        <f t="shared" si="1"/>
        <v>0</v>
      </c>
      <c r="L62" s="68">
        <f t="shared" si="2"/>
        <v>0</v>
      </c>
      <c r="M62" s="69">
        <v>2.5</v>
      </c>
      <c r="N62" s="70" t="s">
        <v>17</v>
      </c>
      <c r="O62" s="68">
        <f t="shared" si="5"/>
        <v>0</v>
      </c>
      <c r="P62" s="68">
        <f t="shared" si="6"/>
        <v>0</v>
      </c>
      <c r="Q62" s="68">
        <f t="shared" si="7"/>
        <v>0</v>
      </c>
      <c r="R62" s="68">
        <f t="shared" si="3"/>
        <v>0</v>
      </c>
      <c r="S62" s="68">
        <f t="shared" si="4"/>
        <v>1</v>
      </c>
      <c r="T62" s="68">
        <f t="shared" si="8"/>
        <v>1</v>
      </c>
      <c r="U62" s="265">
        <f t="shared" si="9"/>
        <v>85.91</v>
      </c>
      <c r="V62" s="93">
        <f t="shared" si="10"/>
        <v>0</v>
      </c>
    </row>
    <row r="63" spans="1:22" ht="18" customHeight="1" x14ac:dyDescent="0.2">
      <c r="A63" s="101" t="s">
        <v>1755</v>
      </c>
      <c r="B63" s="102"/>
      <c r="C63" s="64" t="s">
        <v>1756</v>
      </c>
      <c r="D63" s="65">
        <v>42552</v>
      </c>
      <c r="E63" s="66"/>
      <c r="F63" s="67"/>
      <c r="G63" s="67"/>
      <c r="H63" s="67">
        <v>19603</v>
      </c>
      <c r="I63" s="67">
        <v>18418</v>
      </c>
      <c r="J63" s="67">
        <v>0</v>
      </c>
      <c r="K63" s="68">
        <f t="shared" si="1"/>
        <v>0</v>
      </c>
      <c r="L63" s="68">
        <f t="shared" si="2"/>
        <v>0</v>
      </c>
      <c r="M63" s="69">
        <v>2.5</v>
      </c>
      <c r="N63" s="70" t="s">
        <v>17</v>
      </c>
      <c r="O63" s="68">
        <f t="shared" si="5"/>
        <v>0</v>
      </c>
      <c r="P63" s="68">
        <f t="shared" si="6"/>
        <v>0</v>
      </c>
      <c r="Q63" s="68">
        <f t="shared" si="7"/>
        <v>0</v>
      </c>
      <c r="R63" s="68">
        <f t="shared" si="3"/>
        <v>0</v>
      </c>
      <c r="S63" s="68">
        <f t="shared" si="4"/>
        <v>285</v>
      </c>
      <c r="T63" s="68">
        <f t="shared" si="8"/>
        <v>285</v>
      </c>
      <c r="U63" s="265">
        <f t="shared" si="9"/>
        <v>18133</v>
      </c>
      <c r="V63" s="93">
        <f t="shared" si="10"/>
        <v>0</v>
      </c>
    </row>
    <row r="64" spans="1:22" ht="18" customHeight="1" x14ac:dyDescent="0.2">
      <c r="A64" s="101" t="s">
        <v>1757</v>
      </c>
      <c r="B64" s="102"/>
      <c r="C64" s="64" t="s">
        <v>1758</v>
      </c>
      <c r="D64" s="65">
        <v>42670</v>
      </c>
      <c r="E64" s="66"/>
      <c r="F64" s="67"/>
      <c r="G64" s="67"/>
      <c r="H64" s="67">
        <v>713</v>
      </c>
      <c r="I64" s="67">
        <v>676</v>
      </c>
      <c r="J64" s="67">
        <v>0</v>
      </c>
      <c r="K64" s="68">
        <f t="shared" si="1"/>
        <v>0</v>
      </c>
      <c r="L64" s="68">
        <f t="shared" si="2"/>
        <v>0</v>
      </c>
      <c r="M64" s="69">
        <v>2.5</v>
      </c>
      <c r="N64" s="70" t="s">
        <v>17</v>
      </c>
      <c r="O64" s="68">
        <f t="shared" si="5"/>
        <v>0</v>
      </c>
      <c r="P64" s="68">
        <f t="shared" si="6"/>
        <v>0</v>
      </c>
      <c r="Q64" s="68">
        <f t="shared" si="7"/>
        <v>0</v>
      </c>
      <c r="R64" s="68">
        <f t="shared" si="3"/>
        <v>0</v>
      </c>
      <c r="S64" s="68">
        <f t="shared" si="4"/>
        <v>10</v>
      </c>
      <c r="T64" s="68">
        <f t="shared" si="8"/>
        <v>10</v>
      </c>
      <c r="U64" s="265">
        <f t="shared" si="9"/>
        <v>666</v>
      </c>
      <c r="V64" s="93">
        <f t="shared" si="10"/>
        <v>0</v>
      </c>
    </row>
    <row r="65" spans="1:22" ht="18" customHeight="1" x14ac:dyDescent="0.2">
      <c r="A65" s="101" t="s">
        <v>1759</v>
      </c>
      <c r="B65" s="102"/>
      <c r="C65" s="64" t="s">
        <v>1760</v>
      </c>
      <c r="D65" s="65">
        <v>42772</v>
      </c>
      <c r="E65" s="66"/>
      <c r="F65" s="67"/>
      <c r="G65" s="67"/>
      <c r="H65" s="67">
        <v>15000</v>
      </c>
      <c r="I65" s="67">
        <v>14319</v>
      </c>
      <c r="J65" s="67">
        <v>0</v>
      </c>
      <c r="K65" s="68">
        <f t="shared" si="1"/>
        <v>0</v>
      </c>
      <c r="L65" s="68">
        <f t="shared" si="2"/>
        <v>0</v>
      </c>
      <c r="M65" s="69">
        <v>2.5</v>
      </c>
      <c r="N65" s="70" t="s">
        <v>17</v>
      </c>
      <c r="O65" s="68">
        <f t="shared" si="5"/>
        <v>0</v>
      </c>
      <c r="P65" s="68">
        <f t="shared" si="6"/>
        <v>0</v>
      </c>
      <c r="Q65" s="68">
        <f t="shared" si="7"/>
        <v>0</v>
      </c>
      <c r="R65" s="68">
        <f t="shared" si="3"/>
        <v>0</v>
      </c>
      <c r="S65" s="68">
        <f t="shared" si="4"/>
        <v>218</v>
      </c>
      <c r="T65" s="68">
        <f t="shared" si="8"/>
        <v>218</v>
      </c>
      <c r="U65" s="265">
        <f t="shared" si="9"/>
        <v>14101</v>
      </c>
      <c r="V65" s="93">
        <f t="shared" si="10"/>
        <v>0</v>
      </c>
    </row>
    <row r="66" spans="1:22" ht="18" customHeight="1" x14ac:dyDescent="0.2">
      <c r="A66" s="101" t="s">
        <v>1761</v>
      </c>
      <c r="B66" s="102"/>
      <c r="C66" s="64" t="s">
        <v>1762</v>
      </c>
      <c r="D66" s="65">
        <v>42801</v>
      </c>
      <c r="E66" s="66"/>
      <c r="F66" s="67"/>
      <c r="G66" s="67"/>
      <c r="H66" s="67">
        <v>102416.55</v>
      </c>
      <c r="I66" s="67">
        <v>85504.55</v>
      </c>
      <c r="J66" s="67">
        <v>0</v>
      </c>
      <c r="K66" s="68">
        <f t="shared" si="1"/>
        <v>0</v>
      </c>
      <c r="L66" s="68">
        <f t="shared" si="2"/>
        <v>0</v>
      </c>
      <c r="M66" s="69">
        <v>10</v>
      </c>
      <c r="N66" s="70" t="s">
        <v>289</v>
      </c>
      <c r="O66" s="68">
        <f t="shared" si="5"/>
        <v>0</v>
      </c>
      <c r="P66" s="68">
        <f t="shared" si="6"/>
        <v>0</v>
      </c>
      <c r="Q66" s="68">
        <f t="shared" si="7"/>
        <v>0</v>
      </c>
      <c r="R66" s="68">
        <f t="shared" si="3"/>
        <v>4987</v>
      </c>
      <c r="S66" s="68">
        <f t="shared" si="4"/>
        <v>0</v>
      </c>
      <c r="T66" s="68">
        <f t="shared" si="8"/>
        <v>4987</v>
      </c>
      <c r="U66" s="265">
        <f t="shared" si="9"/>
        <v>80517.55</v>
      </c>
      <c r="V66" s="93">
        <f t="shared" si="10"/>
        <v>0</v>
      </c>
    </row>
    <row r="67" spans="1:22" ht="18" customHeight="1" x14ac:dyDescent="0.2">
      <c r="A67" s="101" t="s">
        <v>1763</v>
      </c>
      <c r="B67" s="102"/>
      <c r="C67" s="64" t="s">
        <v>1764</v>
      </c>
      <c r="D67" s="65">
        <v>42915</v>
      </c>
      <c r="E67" s="66"/>
      <c r="F67" s="67"/>
      <c r="G67" s="67"/>
      <c r="H67" s="67">
        <v>11342</v>
      </c>
      <c r="I67" s="67">
        <v>8304</v>
      </c>
      <c r="J67" s="67">
        <v>0</v>
      </c>
      <c r="K67" s="68">
        <f t="shared" si="1"/>
        <v>0</v>
      </c>
      <c r="L67" s="68">
        <f t="shared" si="2"/>
        <v>0</v>
      </c>
      <c r="M67" s="69">
        <v>20</v>
      </c>
      <c r="N67" s="70" t="s">
        <v>289</v>
      </c>
      <c r="O67" s="68">
        <f t="shared" si="5"/>
        <v>0</v>
      </c>
      <c r="P67" s="68">
        <f t="shared" si="6"/>
        <v>0</v>
      </c>
      <c r="Q67" s="68">
        <f t="shared" si="7"/>
        <v>0</v>
      </c>
      <c r="R67" s="68">
        <f t="shared" si="3"/>
        <v>968</v>
      </c>
      <c r="S67" s="68">
        <f t="shared" si="4"/>
        <v>0</v>
      </c>
      <c r="T67" s="68">
        <f t="shared" si="8"/>
        <v>968</v>
      </c>
      <c r="U67" s="265">
        <f t="shared" si="9"/>
        <v>7336</v>
      </c>
      <c r="V67" s="93">
        <f t="shared" si="10"/>
        <v>0</v>
      </c>
    </row>
    <row r="68" spans="1:22" ht="18" customHeight="1" x14ac:dyDescent="0.2">
      <c r="A68" s="101" t="s">
        <v>1765</v>
      </c>
      <c r="B68" s="102"/>
      <c r="C68" s="73" t="s">
        <v>1766</v>
      </c>
      <c r="D68" s="65">
        <v>42947</v>
      </c>
      <c r="E68" s="66"/>
      <c r="F68" s="67"/>
      <c r="G68" s="67"/>
      <c r="H68" s="67">
        <v>180000</v>
      </c>
      <c r="I68" s="67">
        <v>173984</v>
      </c>
      <c r="J68" s="67">
        <v>0</v>
      </c>
      <c r="K68" s="68">
        <f t="shared" si="1"/>
        <v>0</v>
      </c>
      <c r="L68" s="68">
        <f t="shared" si="2"/>
        <v>0</v>
      </c>
      <c r="M68" s="69">
        <v>2.5</v>
      </c>
      <c r="N68" s="70" t="s">
        <v>17</v>
      </c>
      <c r="O68" s="68">
        <f t="shared" si="5"/>
        <v>0</v>
      </c>
      <c r="P68" s="68">
        <f t="shared" si="6"/>
        <v>0</v>
      </c>
      <c r="Q68" s="68">
        <f t="shared" si="7"/>
        <v>0</v>
      </c>
      <c r="R68" s="68">
        <f t="shared" si="3"/>
        <v>0</v>
      </c>
      <c r="S68" s="68">
        <f t="shared" si="4"/>
        <v>2625</v>
      </c>
      <c r="T68" s="68">
        <f t="shared" si="8"/>
        <v>2625</v>
      </c>
      <c r="U68" s="265">
        <f t="shared" si="9"/>
        <v>171359</v>
      </c>
      <c r="V68" s="93">
        <f t="shared" si="10"/>
        <v>0</v>
      </c>
    </row>
    <row r="69" spans="1:22" ht="18" customHeight="1" x14ac:dyDescent="0.2">
      <c r="A69" s="101" t="s">
        <v>1767</v>
      </c>
      <c r="B69" s="102"/>
      <c r="C69" s="72" t="s">
        <v>1768</v>
      </c>
      <c r="D69" s="65">
        <v>43074</v>
      </c>
      <c r="E69" s="66"/>
      <c r="F69" s="67"/>
      <c r="G69" s="67"/>
      <c r="H69" s="67">
        <v>6596.1</v>
      </c>
      <c r="I69" s="67">
        <v>6433.1</v>
      </c>
      <c r="J69" s="67">
        <v>0</v>
      </c>
      <c r="K69" s="68">
        <f t="shared" si="1"/>
        <v>0</v>
      </c>
      <c r="L69" s="68">
        <f t="shared" si="2"/>
        <v>0</v>
      </c>
      <c r="M69" s="69">
        <v>2.5</v>
      </c>
      <c r="N69" s="70" t="s">
        <v>17</v>
      </c>
      <c r="O69" s="68">
        <f t="shared" si="5"/>
        <v>0</v>
      </c>
      <c r="P69" s="68">
        <f t="shared" si="6"/>
        <v>0</v>
      </c>
      <c r="Q69" s="68">
        <f t="shared" si="7"/>
        <v>0</v>
      </c>
      <c r="R69" s="68">
        <f t="shared" si="3"/>
        <v>0</v>
      </c>
      <c r="S69" s="68">
        <f t="shared" si="4"/>
        <v>96</v>
      </c>
      <c r="T69" s="68">
        <f t="shared" si="8"/>
        <v>96</v>
      </c>
      <c r="U69" s="265">
        <f t="shared" si="9"/>
        <v>6337.1</v>
      </c>
      <c r="V69" s="93">
        <f t="shared" si="10"/>
        <v>0</v>
      </c>
    </row>
    <row r="70" spans="1:22" ht="18" customHeight="1" x14ac:dyDescent="0.2">
      <c r="A70" s="101" t="s">
        <v>1769</v>
      </c>
      <c r="B70" s="102"/>
      <c r="C70" s="73" t="s">
        <v>1770</v>
      </c>
      <c r="D70" s="65">
        <v>43009</v>
      </c>
      <c r="E70" s="66"/>
      <c r="F70" s="67"/>
      <c r="G70" s="67"/>
      <c r="H70" s="67">
        <v>5520</v>
      </c>
      <c r="I70" s="67">
        <v>5359</v>
      </c>
      <c r="J70" s="67">
        <v>0</v>
      </c>
      <c r="K70" s="68">
        <f t="shared" si="1"/>
        <v>0</v>
      </c>
      <c r="L70" s="68">
        <f t="shared" si="2"/>
        <v>0</v>
      </c>
      <c r="M70" s="69">
        <v>2.5</v>
      </c>
      <c r="N70" s="70" t="s">
        <v>17</v>
      </c>
      <c r="O70" s="68">
        <f t="shared" si="5"/>
        <v>0</v>
      </c>
      <c r="P70" s="68">
        <f t="shared" si="6"/>
        <v>0</v>
      </c>
      <c r="Q70" s="68">
        <f t="shared" si="7"/>
        <v>0</v>
      </c>
      <c r="R70" s="68">
        <f t="shared" si="3"/>
        <v>0</v>
      </c>
      <c r="S70" s="68">
        <f t="shared" si="4"/>
        <v>80</v>
      </c>
      <c r="T70" s="68">
        <f t="shared" si="8"/>
        <v>80</v>
      </c>
      <c r="U70" s="265">
        <f t="shared" si="9"/>
        <v>5279</v>
      </c>
      <c r="V70" s="93">
        <f t="shared" si="10"/>
        <v>0</v>
      </c>
    </row>
    <row r="71" spans="1:22" ht="18" customHeight="1" x14ac:dyDescent="0.2">
      <c r="A71" s="101" t="s">
        <v>1771</v>
      </c>
      <c r="B71" s="102"/>
      <c r="C71" s="72" t="s">
        <v>1770</v>
      </c>
      <c r="D71" s="65">
        <v>43101</v>
      </c>
      <c r="E71" s="66"/>
      <c r="F71" s="67"/>
      <c r="G71" s="67"/>
      <c r="H71" s="67">
        <v>15432.130000000001</v>
      </c>
      <c r="I71" s="67">
        <v>15079.130000000001</v>
      </c>
      <c r="J71" s="67">
        <v>0</v>
      </c>
      <c r="K71" s="68">
        <f t="shared" si="1"/>
        <v>0</v>
      </c>
      <c r="L71" s="68">
        <f t="shared" si="2"/>
        <v>0</v>
      </c>
      <c r="M71" s="69">
        <v>2.5</v>
      </c>
      <c r="N71" s="70" t="s">
        <v>17</v>
      </c>
      <c r="O71" s="68">
        <f t="shared" si="5"/>
        <v>0</v>
      </c>
      <c r="P71" s="68">
        <f t="shared" si="6"/>
        <v>0</v>
      </c>
      <c r="Q71" s="68">
        <f t="shared" si="7"/>
        <v>0</v>
      </c>
      <c r="R71" s="68">
        <f t="shared" si="3"/>
        <v>0</v>
      </c>
      <c r="S71" s="68">
        <f t="shared" si="4"/>
        <v>225</v>
      </c>
      <c r="T71" s="68">
        <f t="shared" si="8"/>
        <v>225</v>
      </c>
      <c r="U71" s="265">
        <f t="shared" si="9"/>
        <v>14854.130000000001</v>
      </c>
      <c r="V71" s="93">
        <f t="shared" si="10"/>
        <v>0</v>
      </c>
    </row>
    <row r="72" spans="1:22" ht="18" customHeight="1" x14ac:dyDescent="0.2">
      <c r="A72" s="101" t="s">
        <v>1772</v>
      </c>
      <c r="B72" s="102"/>
      <c r="C72" s="64" t="s">
        <v>1770</v>
      </c>
      <c r="D72" s="65">
        <v>43165</v>
      </c>
      <c r="E72" s="66"/>
      <c r="F72" s="67"/>
      <c r="G72" s="67"/>
      <c r="H72" s="67">
        <v>1125</v>
      </c>
      <c r="I72" s="67">
        <v>1104</v>
      </c>
      <c r="J72" s="67">
        <v>0</v>
      </c>
      <c r="K72" s="68">
        <f t="shared" si="1"/>
        <v>0</v>
      </c>
      <c r="L72" s="68">
        <f t="shared" si="2"/>
        <v>0</v>
      </c>
      <c r="M72" s="69">
        <v>2.5</v>
      </c>
      <c r="N72" s="70" t="s">
        <v>17</v>
      </c>
      <c r="O72" s="68">
        <f t="shared" si="5"/>
        <v>0</v>
      </c>
      <c r="P72" s="68">
        <f t="shared" si="6"/>
        <v>0</v>
      </c>
      <c r="Q72" s="68">
        <f t="shared" si="7"/>
        <v>0</v>
      </c>
      <c r="R72" s="68">
        <f t="shared" si="3"/>
        <v>0</v>
      </c>
      <c r="S72" s="68">
        <f t="shared" si="4"/>
        <v>16</v>
      </c>
      <c r="T72" s="68">
        <f t="shared" si="8"/>
        <v>16</v>
      </c>
      <c r="U72" s="265">
        <f t="shared" si="9"/>
        <v>1088</v>
      </c>
      <c r="V72" s="93">
        <f t="shared" si="10"/>
        <v>0</v>
      </c>
    </row>
    <row r="73" spans="1:22" ht="18" customHeight="1" x14ac:dyDescent="0.2">
      <c r="A73" s="101" t="s">
        <v>1773</v>
      </c>
      <c r="B73" s="102"/>
      <c r="C73" s="64" t="s">
        <v>1770</v>
      </c>
      <c r="D73" s="65">
        <v>43168</v>
      </c>
      <c r="E73" s="66"/>
      <c r="F73" s="67"/>
      <c r="G73" s="67"/>
      <c r="H73" s="67">
        <v>10016.25</v>
      </c>
      <c r="I73" s="67">
        <v>9833.25</v>
      </c>
      <c r="J73" s="67">
        <v>0</v>
      </c>
      <c r="K73" s="68">
        <f t="shared" si="1"/>
        <v>0</v>
      </c>
      <c r="L73" s="68">
        <f t="shared" si="2"/>
        <v>0</v>
      </c>
      <c r="M73" s="69">
        <v>2.5</v>
      </c>
      <c r="N73" s="70" t="s">
        <v>17</v>
      </c>
      <c r="O73" s="68">
        <f t="shared" si="5"/>
        <v>0</v>
      </c>
      <c r="P73" s="68">
        <f t="shared" si="6"/>
        <v>0</v>
      </c>
      <c r="Q73" s="68">
        <f t="shared" si="7"/>
        <v>0</v>
      </c>
      <c r="R73" s="68">
        <f t="shared" si="3"/>
        <v>0</v>
      </c>
      <c r="S73" s="68">
        <f t="shared" si="4"/>
        <v>146</v>
      </c>
      <c r="T73" s="68">
        <f t="shared" si="8"/>
        <v>146</v>
      </c>
      <c r="U73" s="265">
        <f t="shared" si="9"/>
        <v>9687.25</v>
      </c>
      <c r="V73" s="93">
        <f t="shared" si="10"/>
        <v>0</v>
      </c>
    </row>
    <row r="74" spans="1:22" ht="18" customHeight="1" x14ac:dyDescent="0.2">
      <c r="A74" s="101" t="s">
        <v>1774</v>
      </c>
      <c r="B74" s="102"/>
      <c r="C74" s="64" t="s">
        <v>1770</v>
      </c>
      <c r="D74" s="65">
        <v>43175</v>
      </c>
      <c r="E74" s="66"/>
      <c r="F74" s="67"/>
      <c r="G74" s="67"/>
      <c r="H74" s="67">
        <v>10222.5</v>
      </c>
      <c r="I74" s="67">
        <v>10040.5</v>
      </c>
      <c r="J74" s="67">
        <v>0</v>
      </c>
      <c r="K74" s="68">
        <f t="shared" si="1"/>
        <v>0</v>
      </c>
      <c r="L74" s="68">
        <f t="shared" si="2"/>
        <v>0</v>
      </c>
      <c r="M74" s="69">
        <v>2.5</v>
      </c>
      <c r="N74" s="70" t="s">
        <v>17</v>
      </c>
      <c r="O74" s="68">
        <f t="shared" si="5"/>
        <v>0</v>
      </c>
      <c r="P74" s="68">
        <f t="shared" si="6"/>
        <v>0</v>
      </c>
      <c r="Q74" s="68">
        <f t="shared" si="7"/>
        <v>0</v>
      </c>
      <c r="R74" s="68">
        <f t="shared" si="3"/>
        <v>0</v>
      </c>
      <c r="S74" s="68">
        <f t="shared" si="4"/>
        <v>149</v>
      </c>
      <c r="T74" s="68">
        <f t="shared" si="8"/>
        <v>149</v>
      </c>
      <c r="U74" s="265">
        <f t="shared" si="9"/>
        <v>9891.5</v>
      </c>
      <c r="V74" s="93">
        <f t="shared" si="10"/>
        <v>0</v>
      </c>
    </row>
    <row r="75" spans="1:22" ht="18" customHeight="1" x14ac:dyDescent="0.2">
      <c r="A75" s="101" t="s">
        <v>1775</v>
      </c>
      <c r="B75" s="102"/>
      <c r="C75" s="64" t="s">
        <v>1770</v>
      </c>
      <c r="D75" s="65">
        <v>43178</v>
      </c>
      <c r="E75" s="66"/>
      <c r="F75" s="67"/>
      <c r="G75" s="67"/>
      <c r="H75" s="67">
        <v>12062.5</v>
      </c>
      <c r="I75" s="67">
        <v>11850.5</v>
      </c>
      <c r="J75" s="67">
        <v>0</v>
      </c>
      <c r="K75" s="68">
        <f t="shared" si="1"/>
        <v>0</v>
      </c>
      <c r="L75" s="68">
        <f t="shared" si="2"/>
        <v>0</v>
      </c>
      <c r="M75" s="69">
        <v>2.5</v>
      </c>
      <c r="N75" s="70" t="s">
        <v>17</v>
      </c>
      <c r="O75" s="68">
        <f t="shared" si="5"/>
        <v>0</v>
      </c>
      <c r="P75" s="68">
        <f t="shared" si="6"/>
        <v>0</v>
      </c>
      <c r="Q75" s="68">
        <f t="shared" si="7"/>
        <v>0</v>
      </c>
      <c r="R75" s="68">
        <f t="shared" si="3"/>
        <v>0</v>
      </c>
      <c r="S75" s="68">
        <f t="shared" si="4"/>
        <v>175</v>
      </c>
      <c r="T75" s="68">
        <f t="shared" si="8"/>
        <v>175</v>
      </c>
      <c r="U75" s="265">
        <f t="shared" si="9"/>
        <v>11675.5</v>
      </c>
      <c r="V75" s="93">
        <f t="shared" si="10"/>
        <v>0</v>
      </c>
    </row>
    <row r="76" spans="1:22" ht="18" customHeight="1" x14ac:dyDescent="0.2">
      <c r="A76" s="101" t="s">
        <v>1776</v>
      </c>
      <c r="B76" s="102"/>
      <c r="C76" s="64" t="s">
        <v>1770</v>
      </c>
      <c r="D76" s="65">
        <v>43223</v>
      </c>
      <c r="E76" s="66"/>
      <c r="F76" s="67"/>
      <c r="G76" s="67"/>
      <c r="H76" s="67">
        <v>42609.42</v>
      </c>
      <c r="I76" s="67">
        <v>41990.42</v>
      </c>
      <c r="J76" s="67">
        <v>0</v>
      </c>
      <c r="K76" s="68">
        <f t="shared" si="1"/>
        <v>0</v>
      </c>
      <c r="L76" s="68">
        <f t="shared" si="2"/>
        <v>0</v>
      </c>
      <c r="M76" s="69">
        <v>2.5</v>
      </c>
      <c r="N76" s="70" t="s">
        <v>17</v>
      </c>
      <c r="O76" s="68">
        <f t="shared" si="5"/>
        <v>0</v>
      </c>
      <c r="P76" s="68">
        <f t="shared" si="6"/>
        <v>0</v>
      </c>
      <c r="Q76" s="68">
        <f t="shared" si="7"/>
        <v>0</v>
      </c>
      <c r="R76" s="68">
        <f t="shared" si="3"/>
        <v>0</v>
      </c>
      <c r="S76" s="68">
        <f t="shared" si="4"/>
        <v>621</v>
      </c>
      <c r="T76" s="68">
        <f t="shared" si="8"/>
        <v>621</v>
      </c>
      <c r="U76" s="265">
        <f t="shared" si="9"/>
        <v>41369.42</v>
      </c>
      <c r="V76" s="93">
        <f t="shared" si="10"/>
        <v>0</v>
      </c>
    </row>
    <row r="77" spans="1:22" ht="18" customHeight="1" x14ac:dyDescent="0.2">
      <c r="A77" s="101" t="s">
        <v>1777</v>
      </c>
      <c r="B77" s="102"/>
      <c r="C77" s="64" t="s">
        <v>1770</v>
      </c>
      <c r="D77" s="65">
        <v>43229</v>
      </c>
      <c r="E77" s="66"/>
      <c r="F77" s="67"/>
      <c r="G77" s="67"/>
      <c r="H77" s="67">
        <v>51124.42</v>
      </c>
      <c r="I77" s="67">
        <v>50402.42</v>
      </c>
      <c r="J77" s="67">
        <v>0</v>
      </c>
      <c r="K77" s="68">
        <f t="shared" si="1"/>
        <v>0</v>
      </c>
      <c r="L77" s="68">
        <f t="shared" si="2"/>
        <v>0</v>
      </c>
      <c r="M77" s="69">
        <v>2.5</v>
      </c>
      <c r="N77" s="70" t="s">
        <v>17</v>
      </c>
      <c r="O77" s="68">
        <f t="shared" si="5"/>
        <v>0</v>
      </c>
      <c r="P77" s="68">
        <f t="shared" si="6"/>
        <v>0</v>
      </c>
      <c r="Q77" s="68">
        <f t="shared" si="7"/>
        <v>0</v>
      </c>
      <c r="R77" s="68">
        <f t="shared" si="3"/>
        <v>0</v>
      </c>
      <c r="S77" s="68">
        <f t="shared" si="4"/>
        <v>745</v>
      </c>
      <c r="T77" s="68">
        <f t="shared" si="8"/>
        <v>745</v>
      </c>
      <c r="U77" s="265">
        <f t="shared" si="9"/>
        <v>49657.42</v>
      </c>
      <c r="V77" s="93">
        <f t="shared" si="10"/>
        <v>0</v>
      </c>
    </row>
    <row r="78" spans="1:22" ht="18" customHeight="1" x14ac:dyDescent="0.2">
      <c r="A78" s="101" t="s">
        <v>1778</v>
      </c>
      <c r="B78" s="102"/>
      <c r="C78" s="64" t="s">
        <v>1770</v>
      </c>
      <c r="D78" s="65">
        <v>43265</v>
      </c>
      <c r="E78" s="66"/>
      <c r="F78" s="67"/>
      <c r="G78" s="67"/>
      <c r="H78" s="67">
        <v>625</v>
      </c>
      <c r="I78" s="67">
        <v>617</v>
      </c>
      <c r="J78" s="67">
        <v>0</v>
      </c>
      <c r="K78" s="68">
        <f t="shared" si="1"/>
        <v>0</v>
      </c>
      <c r="L78" s="68">
        <f t="shared" si="2"/>
        <v>0</v>
      </c>
      <c r="M78" s="69">
        <v>2.5</v>
      </c>
      <c r="N78" s="70" t="s">
        <v>17</v>
      </c>
      <c r="O78" s="68">
        <f t="shared" si="5"/>
        <v>0</v>
      </c>
      <c r="P78" s="68">
        <f t="shared" si="6"/>
        <v>0</v>
      </c>
      <c r="Q78" s="68">
        <f t="shared" si="7"/>
        <v>0</v>
      </c>
      <c r="R78" s="68">
        <f t="shared" si="3"/>
        <v>0</v>
      </c>
      <c r="S78" s="68">
        <f t="shared" si="4"/>
        <v>9</v>
      </c>
      <c r="T78" s="68">
        <f t="shared" si="8"/>
        <v>9</v>
      </c>
      <c r="U78" s="265">
        <f t="shared" si="9"/>
        <v>608</v>
      </c>
      <c r="V78" s="93">
        <f t="shared" si="10"/>
        <v>0</v>
      </c>
    </row>
    <row r="79" spans="1:22" ht="18" customHeight="1" x14ac:dyDescent="0.2">
      <c r="A79" s="101" t="s">
        <v>1779</v>
      </c>
      <c r="B79" s="102"/>
      <c r="C79" s="73" t="s">
        <v>1780</v>
      </c>
      <c r="D79" s="65">
        <v>43311</v>
      </c>
      <c r="E79" s="66"/>
      <c r="F79" s="67"/>
      <c r="G79" s="67"/>
      <c r="H79" s="67">
        <v>66926</v>
      </c>
      <c r="I79" s="67">
        <v>66358</v>
      </c>
      <c r="J79" s="67">
        <v>0</v>
      </c>
      <c r="K79" s="68">
        <f t="shared" si="1"/>
        <v>0</v>
      </c>
      <c r="L79" s="68">
        <f t="shared" si="2"/>
        <v>0</v>
      </c>
      <c r="M79" s="69">
        <v>2.5</v>
      </c>
      <c r="N79" s="70" t="s">
        <v>17</v>
      </c>
      <c r="O79" s="68">
        <f t="shared" si="5"/>
        <v>0</v>
      </c>
      <c r="P79" s="68">
        <f t="shared" si="6"/>
        <v>0</v>
      </c>
      <c r="Q79" s="68">
        <f t="shared" si="7"/>
        <v>0</v>
      </c>
      <c r="R79" s="68">
        <f t="shared" si="3"/>
        <v>0</v>
      </c>
      <c r="S79" s="68">
        <f t="shared" si="4"/>
        <v>976</v>
      </c>
      <c r="T79" s="68">
        <f t="shared" si="8"/>
        <v>976</v>
      </c>
      <c r="U79" s="265">
        <f t="shared" si="9"/>
        <v>65382</v>
      </c>
      <c r="V79" s="93">
        <f t="shared" si="10"/>
        <v>0</v>
      </c>
    </row>
    <row r="80" spans="1:22" ht="18" customHeight="1" x14ac:dyDescent="0.2">
      <c r="A80" s="101" t="s">
        <v>1781</v>
      </c>
      <c r="B80" s="102"/>
      <c r="C80" s="72" t="s">
        <v>1780</v>
      </c>
      <c r="D80" s="65">
        <v>43343</v>
      </c>
      <c r="E80" s="66"/>
      <c r="F80" s="67"/>
      <c r="G80" s="67"/>
      <c r="H80" s="67">
        <v>251248</v>
      </c>
      <c r="I80" s="67">
        <v>249665</v>
      </c>
      <c r="J80" s="67">
        <v>0</v>
      </c>
      <c r="K80" s="68">
        <f t="shared" ref="K80:K95" si="11">INT(IF($E80&gt;0,IF(+F80-I80+Q80&lt;0,0,+F80-I80+Q80),0))</f>
        <v>0</v>
      </c>
      <c r="L80" s="68">
        <f t="shared" ref="L80:L95" si="12">INT(IF($E80&gt;0,IF(K80=0,-F80+I80-Q80,0),0))</f>
        <v>0</v>
      </c>
      <c r="M80" s="69">
        <v>2.5</v>
      </c>
      <c r="N80" s="70" t="s">
        <v>17</v>
      </c>
      <c r="O80" s="68">
        <f t="shared" si="5"/>
        <v>0</v>
      </c>
      <c r="P80" s="68">
        <f t="shared" si="6"/>
        <v>0</v>
      </c>
      <c r="Q80" s="68">
        <f t="shared" si="7"/>
        <v>0</v>
      </c>
      <c r="R80" s="68">
        <f t="shared" ref="R80:R99" si="13">INT(IF($E80&gt;0,0,(IF($N80="D",IF($D80&lt;$H$3,$I80*($M80/100)*$U$3/12,$J80*($M80/100)*($J$3-$D80)/365),0))))</f>
        <v>0</v>
      </c>
      <c r="S80" s="68">
        <f t="shared" ref="S80:S99" si="14">INT(IF($E80&gt;0,0,(IF($N80="P",IF($D80&lt;$H$3,$H80*($M80/100)*$U$3/12,$J80*($M80/100)*($J$3-$D80)/365),0))))</f>
        <v>3664</v>
      </c>
      <c r="T80" s="68">
        <f t="shared" si="8"/>
        <v>3664</v>
      </c>
      <c r="U80" s="265">
        <f t="shared" si="9"/>
        <v>246001</v>
      </c>
      <c r="V80" s="93">
        <f t="shared" si="10"/>
        <v>0</v>
      </c>
    </row>
    <row r="81" spans="1:22" ht="18" customHeight="1" x14ac:dyDescent="0.2">
      <c r="A81" s="101" t="s">
        <v>1782</v>
      </c>
      <c r="B81" s="102"/>
      <c r="C81" s="64" t="s">
        <v>1783</v>
      </c>
      <c r="D81" s="65">
        <v>43345</v>
      </c>
      <c r="E81" s="66"/>
      <c r="F81" s="67"/>
      <c r="G81" s="67"/>
      <c r="H81" s="67">
        <v>6368</v>
      </c>
      <c r="I81" s="67">
        <v>6329</v>
      </c>
      <c r="J81" s="67">
        <v>0</v>
      </c>
      <c r="K81" s="68">
        <f t="shared" si="11"/>
        <v>0</v>
      </c>
      <c r="L81" s="68">
        <f t="shared" si="12"/>
        <v>0</v>
      </c>
      <c r="M81" s="69">
        <v>2.5</v>
      </c>
      <c r="N81" s="70" t="s">
        <v>17</v>
      </c>
      <c r="O81" s="68">
        <f t="shared" ref="O81:O95" si="15">IF(E81&gt;0,INT(IF($N81="D",IF($D81&lt;$H$3,$I81*($M81/100)*((E81-$H$3)/365),$J81*($M81/100)*($J$3-$D81)/365),0)),0)</f>
        <v>0</v>
      </c>
      <c r="P81" s="68">
        <f t="shared" ref="P81:P95" si="16">IF(E81&gt;0,INT(IF($N81="P",IF($D81&lt;$H$3,$H81*($M81/100)*(E81-$H$3)/365,$J81*($M81/100)*($J$3-$D81)/365),0)),0)</f>
        <v>0</v>
      </c>
      <c r="Q81" s="68">
        <f t="shared" ref="Q81:Q95" si="17">+O81+P81</f>
        <v>0</v>
      </c>
      <c r="R81" s="68">
        <f t="shared" si="13"/>
        <v>0</v>
      </c>
      <c r="S81" s="68">
        <f t="shared" si="14"/>
        <v>92</v>
      </c>
      <c r="T81" s="68">
        <f t="shared" ref="T81:T95" si="18">+R81+S81+Q81</f>
        <v>92</v>
      </c>
      <c r="U81" s="265">
        <f t="shared" ref="U81:U95" si="19">+I81+J81-T81</f>
        <v>6237</v>
      </c>
      <c r="V81" s="93">
        <f t="shared" ref="V81:V110" si="20">IF(E81&gt;0,+H81+J81,0)</f>
        <v>0</v>
      </c>
    </row>
    <row r="82" spans="1:22" ht="18" customHeight="1" x14ac:dyDescent="0.2">
      <c r="A82" s="101" t="s">
        <v>1784</v>
      </c>
      <c r="B82" s="102"/>
      <c r="C82" s="64" t="s">
        <v>1785</v>
      </c>
      <c r="D82" s="65">
        <v>43345</v>
      </c>
      <c r="E82" s="66"/>
      <c r="F82" s="67"/>
      <c r="G82" s="67"/>
      <c r="H82" s="67">
        <v>4524.2</v>
      </c>
      <c r="I82" s="67">
        <v>4496.2</v>
      </c>
      <c r="J82" s="67">
        <v>0</v>
      </c>
      <c r="K82" s="68">
        <f t="shared" si="11"/>
        <v>0</v>
      </c>
      <c r="L82" s="68">
        <f t="shared" si="12"/>
        <v>0</v>
      </c>
      <c r="M82" s="69">
        <v>2.5</v>
      </c>
      <c r="N82" s="70" t="s">
        <v>17</v>
      </c>
      <c r="O82" s="68">
        <f t="shared" si="15"/>
        <v>0</v>
      </c>
      <c r="P82" s="68">
        <f t="shared" si="16"/>
        <v>0</v>
      </c>
      <c r="Q82" s="68">
        <f t="shared" si="17"/>
        <v>0</v>
      </c>
      <c r="R82" s="68">
        <f t="shared" si="13"/>
        <v>0</v>
      </c>
      <c r="S82" s="68">
        <f t="shared" si="14"/>
        <v>65</v>
      </c>
      <c r="T82" s="68">
        <f t="shared" si="18"/>
        <v>65</v>
      </c>
      <c r="U82" s="265">
        <f t="shared" si="19"/>
        <v>4431.2</v>
      </c>
      <c r="V82" s="93">
        <f t="shared" si="20"/>
        <v>0</v>
      </c>
    </row>
    <row r="83" spans="1:22" ht="18" customHeight="1" x14ac:dyDescent="0.2">
      <c r="A83" s="101" t="s">
        <v>1786</v>
      </c>
      <c r="B83" s="102"/>
      <c r="C83" s="73" t="s">
        <v>1787</v>
      </c>
      <c r="D83" s="65">
        <v>43345</v>
      </c>
      <c r="E83" s="66"/>
      <c r="F83" s="67"/>
      <c r="G83" s="67"/>
      <c r="H83" s="67">
        <v>3120</v>
      </c>
      <c r="I83" s="67">
        <v>3101</v>
      </c>
      <c r="J83" s="67">
        <v>0</v>
      </c>
      <c r="K83" s="68">
        <f t="shared" si="11"/>
        <v>0</v>
      </c>
      <c r="L83" s="68">
        <f t="shared" si="12"/>
        <v>0</v>
      </c>
      <c r="M83" s="69">
        <v>2.5</v>
      </c>
      <c r="N83" s="70" t="s">
        <v>17</v>
      </c>
      <c r="O83" s="68">
        <f t="shared" si="15"/>
        <v>0</v>
      </c>
      <c r="P83" s="68">
        <f t="shared" si="16"/>
        <v>0</v>
      </c>
      <c r="Q83" s="68">
        <f t="shared" si="17"/>
        <v>0</v>
      </c>
      <c r="R83" s="68">
        <f t="shared" si="13"/>
        <v>0</v>
      </c>
      <c r="S83" s="68">
        <f t="shared" si="14"/>
        <v>45</v>
      </c>
      <c r="T83" s="68">
        <f t="shared" si="18"/>
        <v>45</v>
      </c>
      <c r="U83" s="265">
        <f t="shared" si="19"/>
        <v>3056</v>
      </c>
      <c r="V83" s="93">
        <f t="shared" si="20"/>
        <v>0</v>
      </c>
    </row>
    <row r="84" spans="1:22" ht="18" customHeight="1" x14ac:dyDescent="0.2">
      <c r="A84" s="101" t="s">
        <v>1788</v>
      </c>
      <c r="B84" s="102"/>
      <c r="C84" s="72" t="s">
        <v>1789</v>
      </c>
      <c r="D84" s="65">
        <v>43345</v>
      </c>
      <c r="E84" s="66"/>
      <c r="F84" s="67"/>
      <c r="G84" s="67"/>
      <c r="H84" s="67">
        <v>8877.8000000000011</v>
      </c>
      <c r="I84" s="67">
        <v>8822.8000000000011</v>
      </c>
      <c r="J84" s="67">
        <v>0</v>
      </c>
      <c r="K84" s="68">
        <f t="shared" si="11"/>
        <v>0</v>
      </c>
      <c r="L84" s="68">
        <f t="shared" si="12"/>
        <v>0</v>
      </c>
      <c r="M84" s="69">
        <v>2.5</v>
      </c>
      <c r="N84" s="70" t="s">
        <v>17</v>
      </c>
      <c r="O84" s="68">
        <f t="shared" si="15"/>
        <v>0</v>
      </c>
      <c r="P84" s="68">
        <f t="shared" si="16"/>
        <v>0</v>
      </c>
      <c r="Q84" s="68">
        <f t="shared" si="17"/>
        <v>0</v>
      </c>
      <c r="R84" s="68">
        <f t="shared" si="13"/>
        <v>0</v>
      </c>
      <c r="S84" s="68">
        <f t="shared" si="14"/>
        <v>129</v>
      </c>
      <c r="T84" s="68">
        <f t="shared" si="18"/>
        <v>129</v>
      </c>
      <c r="U84" s="265">
        <f t="shared" si="19"/>
        <v>8693.8000000000011</v>
      </c>
      <c r="V84" s="93">
        <f t="shared" si="20"/>
        <v>0</v>
      </c>
    </row>
    <row r="85" spans="1:22" ht="18" customHeight="1" x14ac:dyDescent="0.2">
      <c r="A85" s="101" t="s">
        <v>1790</v>
      </c>
      <c r="B85" s="102"/>
      <c r="C85" s="64" t="s">
        <v>1791</v>
      </c>
      <c r="D85" s="65">
        <v>43370</v>
      </c>
      <c r="E85" s="66"/>
      <c r="F85" s="67"/>
      <c r="G85" s="67"/>
      <c r="H85" s="67">
        <v>42733</v>
      </c>
      <c r="I85" s="67">
        <v>42543</v>
      </c>
      <c r="J85" s="67">
        <v>0</v>
      </c>
      <c r="K85" s="68">
        <f t="shared" si="11"/>
        <v>0</v>
      </c>
      <c r="L85" s="68">
        <f t="shared" si="12"/>
        <v>0</v>
      </c>
      <c r="M85" s="69">
        <v>2.5</v>
      </c>
      <c r="N85" s="70" t="s">
        <v>17</v>
      </c>
      <c r="O85" s="68">
        <f t="shared" si="15"/>
        <v>0</v>
      </c>
      <c r="P85" s="68">
        <f t="shared" si="16"/>
        <v>0</v>
      </c>
      <c r="Q85" s="68">
        <f t="shared" si="17"/>
        <v>0</v>
      </c>
      <c r="R85" s="68">
        <f t="shared" si="13"/>
        <v>0</v>
      </c>
      <c r="S85" s="68">
        <f t="shared" si="14"/>
        <v>623</v>
      </c>
      <c r="T85" s="68">
        <f t="shared" si="18"/>
        <v>623</v>
      </c>
      <c r="U85" s="265">
        <f t="shared" si="19"/>
        <v>41920</v>
      </c>
      <c r="V85" s="93">
        <f t="shared" si="20"/>
        <v>0</v>
      </c>
    </row>
    <row r="86" spans="1:22" ht="18" customHeight="1" x14ac:dyDescent="0.2">
      <c r="A86" s="101" t="s">
        <v>1792</v>
      </c>
      <c r="B86" s="102"/>
      <c r="C86" s="64" t="s">
        <v>1789</v>
      </c>
      <c r="D86" s="65">
        <v>43374</v>
      </c>
      <c r="E86" s="66"/>
      <c r="F86" s="67"/>
      <c r="G86" s="67"/>
      <c r="H86" s="67">
        <v>6718.4000000000005</v>
      </c>
      <c r="I86" s="67">
        <v>6690.4000000000005</v>
      </c>
      <c r="J86" s="67">
        <v>0</v>
      </c>
      <c r="K86" s="68">
        <f t="shared" si="11"/>
        <v>0</v>
      </c>
      <c r="L86" s="68">
        <f t="shared" si="12"/>
        <v>0</v>
      </c>
      <c r="M86" s="69">
        <v>2.5</v>
      </c>
      <c r="N86" s="70" t="s">
        <v>17</v>
      </c>
      <c r="O86" s="68">
        <f t="shared" si="15"/>
        <v>0</v>
      </c>
      <c r="P86" s="68">
        <f t="shared" si="16"/>
        <v>0</v>
      </c>
      <c r="Q86" s="68">
        <f t="shared" si="17"/>
        <v>0</v>
      </c>
      <c r="R86" s="68">
        <f t="shared" si="13"/>
        <v>0</v>
      </c>
      <c r="S86" s="68">
        <f t="shared" si="14"/>
        <v>97</v>
      </c>
      <c r="T86" s="68">
        <f t="shared" si="18"/>
        <v>97</v>
      </c>
      <c r="U86" s="265">
        <f t="shared" si="19"/>
        <v>6593.4000000000005</v>
      </c>
      <c r="V86" s="93">
        <f t="shared" si="20"/>
        <v>0</v>
      </c>
    </row>
    <row r="87" spans="1:22" ht="18" customHeight="1" x14ac:dyDescent="0.2">
      <c r="A87" s="101" t="s">
        <v>1793</v>
      </c>
      <c r="B87" s="102"/>
      <c r="C87" s="64" t="s">
        <v>1794</v>
      </c>
      <c r="D87" s="65">
        <v>43374</v>
      </c>
      <c r="E87" s="66"/>
      <c r="F87" s="67"/>
      <c r="G87" s="67"/>
      <c r="H87" s="67">
        <v>3739.9</v>
      </c>
      <c r="I87" s="67">
        <v>3723.9</v>
      </c>
      <c r="J87" s="67">
        <v>0</v>
      </c>
      <c r="K87" s="68">
        <f t="shared" si="11"/>
        <v>0</v>
      </c>
      <c r="L87" s="68">
        <f t="shared" si="12"/>
        <v>0</v>
      </c>
      <c r="M87" s="69">
        <v>2.5</v>
      </c>
      <c r="N87" s="70" t="s">
        <v>17</v>
      </c>
      <c r="O87" s="68">
        <f t="shared" si="15"/>
        <v>0</v>
      </c>
      <c r="P87" s="68">
        <f t="shared" si="16"/>
        <v>0</v>
      </c>
      <c r="Q87" s="68">
        <f t="shared" si="17"/>
        <v>0</v>
      </c>
      <c r="R87" s="68">
        <f t="shared" si="13"/>
        <v>0</v>
      </c>
      <c r="S87" s="68">
        <f t="shared" si="14"/>
        <v>54</v>
      </c>
      <c r="T87" s="68">
        <f t="shared" si="18"/>
        <v>54</v>
      </c>
      <c r="U87" s="265">
        <f t="shared" si="19"/>
        <v>3669.9</v>
      </c>
      <c r="V87" s="93">
        <f t="shared" si="20"/>
        <v>0</v>
      </c>
    </row>
    <row r="88" spans="1:22" ht="18" customHeight="1" x14ac:dyDescent="0.2">
      <c r="A88" s="101" t="s">
        <v>1795</v>
      </c>
      <c r="B88" s="102"/>
      <c r="C88" s="64" t="s">
        <v>1796</v>
      </c>
      <c r="D88" s="65">
        <v>43385</v>
      </c>
      <c r="E88" s="66"/>
      <c r="F88" s="67"/>
      <c r="G88" s="67"/>
      <c r="H88" s="67">
        <v>16314</v>
      </c>
      <c r="I88" s="67">
        <v>16258</v>
      </c>
      <c r="J88" s="67">
        <v>0</v>
      </c>
      <c r="K88" s="68">
        <f t="shared" si="11"/>
        <v>0</v>
      </c>
      <c r="L88" s="68">
        <f t="shared" si="12"/>
        <v>0</v>
      </c>
      <c r="M88" s="69">
        <v>2.5</v>
      </c>
      <c r="N88" s="70" t="s">
        <v>17</v>
      </c>
      <c r="O88" s="68">
        <f t="shared" si="15"/>
        <v>0</v>
      </c>
      <c r="P88" s="68">
        <f t="shared" si="16"/>
        <v>0</v>
      </c>
      <c r="Q88" s="68">
        <f t="shared" si="17"/>
        <v>0</v>
      </c>
      <c r="R88" s="68">
        <f t="shared" si="13"/>
        <v>0</v>
      </c>
      <c r="S88" s="68">
        <f t="shared" si="14"/>
        <v>237</v>
      </c>
      <c r="T88" s="68">
        <f t="shared" si="18"/>
        <v>237</v>
      </c>
      <c r="U88" s="265">
        <f t="shared" si="19"/>
        <v>16021</v>
      </c>
      <c r="V88" s="93">
        <f t="shared" si="20"/>
        <v>0</v>
      </c>
    </row>
    <row r="89" spans="1:22" ht="18" customHeight="1" x14ac:dyDescent="0.2">
      <c r="A89" s="101" t="s">
        <v>1797</v>
      </c>
      <c r="B89" s="102"/>
      <c r="C89" s="64" t="s">
        <v>1798</v>
      </c>
      <c r="D89" s="65">
        <v>43413</v>
      </c>
      <c r="E89" s="66"/>
      <c r="F89" s="67"/>
      <c r="G89" s="67"/>
      <c r="H89" s="67">
        <v>181818.18</v>
      </c>
      <c r="I89" s="67">
        <v>181544.18</v>
      </c>
      <c r="J89" s="67">
        <v>0</v>
      </c>
      <c r="K89" s="68">
        <f t="shared" si="11"/>
        <v>0</v>
      </c>
      <c r="L89" s="68">
        <f t="shared" si="12"/>
        <v>0</v>
      </c>
      <c r="M89" s="69">
        <v>2.5</v>
      </c>
      <c r="N89" s="70" t="s">
        <v>17</v>
      </c>
      <c r="O89" s="68">
        <f t="shared" si="15"/>
        <v>0</v>
      </c>
      <c r="P89" s="68">
        <f t="shared" si="16"/>
        <v>0</v>
      </c>
      <c r="Q89" s="68">
        <f t="shared" si="17"/>
        <v>0</v>
      </c>
      <c r="R89" s="68">
        <f t="shared" si="13"/>
        <v>0</v>
      </c>
      <c r="S89" s="68">
        <f t="shared" si="14"/>
        <v>2651</v>
      </c>
      <c r="T89" s="68">
        <f t="shared" si="18"/>
        <v>2651</v>
      </c>
      <c r="U89" s="265">
        <f t="shared" si="19"/>
        <v>178893.18</v>
      </c>
      <c r="V89" s="93">
        <f t="shared" si="20"/>
        <v>0</v>
      </c>
    </row>
    <row r="90" spans="1:22" ht="18" customHeight="1" x14ac:dyDescent="0.2">
      <c r="A90" s="101" t="s">
        <v>1799</v>
      </c>
      <c r="B90" s="102"/>
      <c r="C90" s="64" t="s">
        <v>1800</v>
      </c>
      <c r="D90" s="65">
        <v>43374</v>
      </c>
      <c r="E90" s="66"/>
      <c r="F90" s="67"/>
      <c r="G90" s="67"/>
      <c r="H90" s="67">
        <v>10259.15</v>
      </c>
      <c r="I90" s="67">
        <v>10216.15</v>
      </c>
      <c r="J90" s="67">
        <v>0</v>
      </c>
      <c r="K90" s="68">
        <f t="shared" si="11"/>
        <v>0</v>
      </c>
      <c r="L90" s="68">
        <f t="shared" si="12"/>
        <v>0</v>
      </c>
      <c r="M90" s="69">
        <v>2.5</v>
      </c>
      <c r="N90" s="70" t="s">
        <v>17</v>
      </c>
      <c r="O90" s="68">
        <f t="shared" si="15"/>
        <v>0</v>
      </c>
      <c r="P90" s="68">
        <f t="shared" si="16"/>
        <v>0</v>
      </c>
      <c r="Q90" s="68">
        <f t="shared" si="17"/>
        <v>0</v>
      </c>
      <c r="R90" s="68">
        <f t="shared" si="13"/>
        <v>0</v>
      </c>
      <c r="S90" s="68">
        <f t="shared" si="14"/>
        <v>149</v>
      </c>
      <c r="T90" s="68">
        <f t="shared" si="18"/>
        <v>149</v>
      </c>
      <c r="U90" s="265">
        <f t="shared" si="19"/>
        <v>10067.15</v>
      </c>
      <c r="V90" s="93">
        <f t="shared" si="20"/>
        <v>0</v>
      </c>
    </row>
    <row r="91" spans="1:22" ht="18" customHeight="1" x14ac:dyDescent="0.2">
      <c r="A91" s="101" t="s">
        <v>1801</v>
      </c>
      <c r="B91" s="102"/>
      <c r="C91" s="64" t="s">
        <v>1802</v>
      </c>
      <c r="D91" s="65">
        <v>43374</v>
      </c>
      <c r="E91" s="66"/>
      <c r="F91" s="67"/>
      <c r="G91" s="67"/>
      <c r="H91" s="67">
        <v>12387.5</v>
      </c>
      <c r="I91" s="67">
        <v>12335.5</v>
      </c>
      <c r="J91" s="67">
        <v>0</v>
      </c>
      <c r="K91" s="68">
        <f t="shared" si="11"/>
        <v>0</v>
      </c>
      <c r="L91" s="68">
        <f t="shared" si="12"/>
        <v>0</v>
      </c>
      <c r="M91" s="69">
        <v>2.5</v>
      </c>
      <c r="N91" s="70" t="s">
        <v>17</v>
      </c>
      <c r="O91" s="68">
        <f t="shared" si="15"/>
        <v>0</v>
      </c>
      <c r="P91" s="68">
        <f t="shared" si="16"/>
        <v>0</v>
      </c>
      <c r="Q91" s="68">
        <f t="shared" si="17"/>
        <v>0</v>
      </c>
      <c r="R91" s="68">
        <f t="shared" si="13"/>
        <v>0</v>
      </c>
      <c r="S91" s="68">
        <f t="shared" si="14"/>
        <v>180</v>
      </c>
      <c r="T91" s="68">
        <f t="shared" si="18"/>
        <v>180</v>
      </c>
      <c r="U91" s="265">
        <f t="shared" si="19"/>
        <v>12155.5</v>
      </c>
      <c r="V91" s="93">
        <f t="shared" si="20"/>
        <v>0</v>
      </c>
    </row>
    <row r="92" spans="1:22" ht="18" customHeight="1" x14ac:dyDescent="0.2">
      <c r="A92" s="101" t="s">
        <v>1803</v>
      </c>
      <c r="B92" s="102"/>
      <c r="C92" s="64" t="s">
        <v>1804</v>
      </c>
      <c r="D92" s="65">
        <v>43412</v>
      </c>
      <c r="E92" s="66"/>
      <c r="F92" s="67"/>
      <c r="G92" s="67"/>
      <c r="H92" s="67">
        <v>22391.93</v>
      </c>
      <c r="I92" s="67">
        <v>22356.93</v>
      </c>
      <c r="J92" s="67">
        <v>0</v>
      </c>
      <c r="K92" s="68">
        <f t="shared" si="11"/>
        <v>0</v>
      </c>
      <c r="L92" s="68">
        <f t="shared" si="12"/>
        <v>0</v>
      </c>
      <c r="M92" s="69">
        <v>2.5</v>
      </c>
      <c r="N92" s="70" t="s">
        <v>17</v>
      </c>
      <c r="O92" s="68">
        <f t="shared" si="15"/>
        <v>0</v>
      </c>
      <c r="P92" s="68">
        <f t="shared" si="16"/>
        <v>0</v>
      </c>
      <c r="Q92" s="68">
        <f t="shared" si="17"/>
        <v>0</v>
      </c>
      <c r="R92" s="68">
        <f t="shared" si="13"/>
        <v>0</v>
      </c>
      <c r="S92" s="68">
        <f t="shared" si="14"/>
        <v>326</v>
      </c>
      <c r="T92" s="68">
        <f t="shared" si="18"/>
        <v>326</v>
      </c>
      <c r="U92" s="265">
        <f t="shared" si="19"/>
        <v>22030.93</v>
      </c>
      <c r="V92" s="93">
        <f t="shared" si="20"/>
        <v>0</v>
      </c>
    </row>
    <row r="93" spans="1:22" ht="18" customHeight="1" x14ac:dyDescent="0.2">
      <c r="A93" s="101" t="s">
        <v>1805</v>
      </c>
      <c r="B93" s="102"/>
      <c r="C93" s="64" t="s">
        <v>1806</v>
      </c>
      <c r="D93" s="65">
        <v>43419</v>
      </c>
      <c r="E93" s="66"/>
      <c r="F93" s="67"/>
      <c r="G93" s="67"/>
      <c r="H93" s="67">
        <v>8732.85</v>
      </c>
      <c r="I93" s="67">
        <v>8722.85</v>
      </c>
      <c r="J93" s="67">
        <v>0</v>
      </c>
      <c r="K93" s="68">
        <f t="shared" si="11"/>
        <v>0</v>
      </c>
      <c r="L93" s="68">
        <f t="shared" si="12"/>
        <v>0</v>
      </c>
      <c r="M93" s="69">
        <v>2.5</v>
      </c>
      <c r="N93" s="70" t="s">
        <v>17</v>
      </c>
      <c r="O93" s="68">
        <f t="shared" si="15"/>
        <v>0</v>
      </c>
      <c r="P93" s="68">
        <f t="shared" si="16"/>
        <v>0</v>
      </c>
      <c r="Q93" s="68">
        <f t="shared" si="17"/>
        <v>0</v>
      </c>
      <c r="R93" s="68">
        <f t="shared" si="13"/>
        <v>0</v>
      </c>
      <c r="S93" s="68">
        <f t="shared" si="14"/>
        <v>127</v>
      </c>
      <c r="T93" s="68">
        <f t="shared" si="18"/>
        <v>127</v>
      </c>
      <c r="U93" s="265">
        <f t="shared" si="19"/>
        <v>8595.85</v>
      </c>
      <c r="V93" s="93">
        <f t="shared" si="20"/>
        <v>0</v>
      </c>
    </row>
    <row r="94" spans="1:22" ht="18" customHeight="1" x14ac:dyDescent="0.2">
      <c r="A94" s="101" t="s">
        <v>1807</v>
      </c>
      <c r="B94" s="102"/>
      <c r="C94" s="64" t="s">
        <v>1808</v>
      </c>
      <c r="D94" s="65">
        <v>43425</v>
      </c>
      <c r="E94" s="66"/>
      <c r="F94" s="67"/>
      <c r="G94" s="67"/>
      <c r="H94" s="67">
        <v>972.6</v>
      </c>
      <c r="I94" s="67">
        <v>971.6</v>
      </c>
      <c r="J94" s="67">
        <v>0</v>
      </c>
      <c r="K94" s="68">
        <f t="shared" si="11"/>
        <v>0</v>
      </c>
      <c r="L94" s="68">
        <f t="shared" si="12"/>
        <v>0</v>
      </c>
      <c r="M94" s="69">
        <v>2.5</v>
      </c>
      <c r="N94" s="70" t="s">
        <v>17</v>
      </c>
      <c r="O94" s="68">
        <f t="shared" si="15"/>
        <v>0</v>
      </c>
      <c r="P94" s="68">
        <f t="shared" si="16"/>
        <v>0</v>
      </c>
      <c r="Q94" s="68">
        <f t="shared" si="17"/>
        <v>0</v>
      </c>
      <c r="R94" s="68">
        <f t="shared" si="13"/>
        <v>0</v>
      </c>
      <c r="S94" s="68">
        <f t="shared" si="14"/>
        <v>14</v>
      </c>
      <c r="T94" s="68">
        <f t="shared" si="18"/>
        <v>14</v>
      </c>
      <c r="U94" s="265">
        <f t="shared" si="19"/>
        <v>957.6</v>
      </c>
      <c r="V94" s="93">
        <f t="shared" si="20"/>
        <v>0</v>
      </c>
    </row>
    <row r="95" spans="1:22" ht="18" customHeight="1" x14ac:dyDescent="0.2">
      <c r="A95" s="101" t="s">
        <v>1809</v>
      </c>
      <c r="B95" s="102"/>
      <c r="C95" s="64" t="s">
        <v>1810</v>
      </c>
      <c r="D95" s="65">
        <v>43430</v>
      </c>
      <c r="E95" s="66"/>
      <c r="F95" s="67"/>
      <c r="G95" s="67"/>
      <c r="H95" s="67">
        <v>1423</v>
      </c>
      <c r="I95" s="67">
        <v>1422</v>
      </c>
      <c r="J95" s="67">
        <v>0</v>
      </c>
      <c r="K95" s="68">
        <f t="shared" si="11"/>
        <v>0</v>
      </c>
      <c r="L95" s="68">
        <f t="shared" si="12"/>
        <v>0</v>
      </c>
      <c r="M95" s="69">
        <v>2.5</v>
      </c>
      <c r="N95" s="70" t="s">
        <v>17</v>
      </c>
      <c r="O95" s="68">
        <f t="shared" si="15"/>
        <v>0</v>
      </c>
      <c r="P95" s="68">
        <f t="shared" si="16"/>
        <v>0</v>
      </c>
      <c r="Q95" s="68">
        <f t="shared" si="17"/>
        <v>0</v>
      </c>
      <c r="R95" s="68">
        <f t="shared" si="13"/>
        <v>0</v>
      </c>
      <c r="S95" s="68">
        <f t="shared" si="14"/>
        <v>20</v>
      </c>
      <c r="T95" s="68">
        <f t="shared" si="18"/>
        <v>20</v>
      </c>
      <c r="U95" s="265">
        <f t="shared" si="19"/>
        <v>1402</v>
      </c>
      <c r="V95" s="93">
        <f t="shared" si="20"/>
        <v>0</v>
      </c>
    </row>
    <row r="96" spans="1:22" ht="18" customHeight="1" x14ac:dyDescent="0.2">
      <c r="A96" s="101" t="s">
        <v>2091</v>
      </c>
      <c r="B96" s="102"/>
      <c r="C96" s="64" t="s">
        <v>2094</v>
      </c>
      <c r="D96" s="65">
        <v>43558</v>
      </c>
      <c r="E96" s="66"/>
      <c r="F96" s="67"/>
      <c r="G96" s="67"/>
      <c r="H96" s="67"/>
      <c r="I96" s="67"/>
      <c r="J96" s="67">
        <v>376794.89</v>
      </c>
      <c r="K96" s="68">
        <f>INT(IF($E96&gt;0,IF(+F96-I96+Q96&lt;0,0,+F96-I96+Q96),0))</f>
        <v>0</v>
      </c>
      <c r="L96" s="68">
        <f>INT(IF($E96&gt;0,IF(K96=0,-F96+I96-Q96,0),0))</f>
        <v>0</v>
      </c>
      <c r="M96" s="69">
        <v>2.5</v>
      </c>
      <c r="N96" s="70" t="s">
        <v>17</v>
      </c>
      <c r="O96" s="68">
        <f>IF(E96&gt;0,INT(IF($N96="D",IF($D96&lt;$H$3,$I96*($M96/100)*((E96-$H$3)/365),$J96*($M96/100)*($J$3-$D96)/365),0)),0)</f>
        <v>0</v>
      </c>
      <c r="P96" s="68">
        <f>IF(E96&gt;0,INT(IF($N96="P",IF($D96&lt;$H$3,$H96*($M96/100)*(E96-$H$3)/365,$J96*($M96/100)*($J$3-$D96)/365),0)),0)</f>
        <v>0</v>
      </c>
      <c r="Q96" s="68">
        <f>+O96+P96</f>
        <v>0</v>
      </c>
      <c r="R96" s="68">
        <f t="shared" si="13"/>
        <v>0</v>
      </c>
      <c r="S96" s="68">
        <f t="shared" si="14"/>
        <v>2271</v>
      </c>
      <c r="T96" s="68">
        <f>+R96+S96+Q96</f>
        <v>2271</v>
      </c>
      <c r="U96" s="265">
        <f>+I96+J96-T96</f>
        <v>374523.89</v>
      </c>
      <c r="V96" s="93">
        <f>IF(E96&gt;0,+H96+J96,0)</f>
        <v>0</v>
      </c>
    </row>
    <row r="97" spans="1:22" ht="18" customHeight="1" x14ac:dyDescent="0.2">
      <c r="A97" s="101" t="s">
        <v>2092</v>
      </c>
      <c r="B97" s="102"/>
      <c r="C97" s="64" t="s">
        <v>2095</v>
      </c>
      <c r="D97" s="65">
        <v>43558</v>
      </c>
      <c r="E97" s="66"/>
      <c r="F97" s="67"/>
      <c r="G97" s="67"/>
      <c r="H97" s="67"/>
      <c r="I97" s="67"/>
      <c r="J97" s="67">
        <v>131260.76</v>
      </c>
      <c r="K97" s="68">
        <f>INT(IF($E97&gt;0,IF(+F97-I97+Q97&lt;0,0,+F97-I97+Q97),0))</f>
        <v>0</v>
      </c>
      <c r="L97" s="68">
        <f>INT(IF($E97&gt;0,IF(K97=0,-F97+I97-Q97,0),0))</f>
        <v>0</v>
      </c>
      <c r="M97" s="69">
        <v>2.5</v>
      </c>
      <c r="N97" s="70" t="s">
        <v>17</v>
      </c>
      <c r="O97" s="68">
        <f>IF(E97&gt;0,INT(IF($N97="D",IF($D97&lt;$H$3,$I97*($M97/100)*((E97-$H$3)/365),$J97*($M97/100)*($J$3-$D97)/365),0)),0)</f>
        <v>0</v>
      </c>
      <c r="P97" s="68">
        <f>IF(E97&gt;0,INT(IF($N97="P",IF($D97&lt;$H$3,$H97*($M97/100)*(E97-$H$3)/365,$J97*($M97/100)*($J$3-$D97)/365),0)),0)</f>
        <v>0</v>
      </c>
      <c r="Q97" s="68">
        <f>+O97+P97</f>
        <v>0</v>
      </c>
      <c r="R97" s="68">
        <f t="shared" si="13"/>
        <v>0</v>
      </c>
      <c r="S97" s="68">
        <f t="shared" si="14"/>
        <v>791</v>
      </c>
      <c r="T97" s="68">
        <f>+R97+S97+Q97</f>
        <v>791</v>
      </c>
      <c r="U97" s="265">
        <f>+I97+J97-T97</f>
        <v>130469.76000000001</v>
      </c>
      <c r="V97" s="93">
        <f>IF(E97&gt;0,+H97+J97,0)</f>
        <v>0</v>
      </c>
    </row>
    <row r="98" spans="1:22" ht="18" customHeight="1" x14ac:dyDescent="0.2">
      <c r="A98" s="101" t="s">
        <v>2093</v>
      </c>
      <c r="B98" s="102"/>
      <c r="C98" s="64" t="s">
        <v>2096</v>
      </c>
      <c r="D98" s="65">
        <v>43451</v>
      </c>
      <c r="E98" s="66"/>
      <c r="F98" s="67"/>
      <c r="G98" s="67"/>
      <c r="H98" s="67"/>
      <c r="I98" s="67"/>
      <c r="J98" s="67">
        <v>12814.55</v>
      </c>
      <c r="K98" s="68">
        <f>INT(IF($E98&gt;0,IF(+F98-I98+Q98&lt;0,0,+F98-I98+Q98),0))</f>
        <v>0</v>
      </c>
      <c r="L98" s="68">
        <f>INT(IF($E98&gt;0,IF(K98=0,-F98+I98-Q98,0),0))</f>
        <v>0</v>
      </c>
      <c r="M98" s="69">
        <v>2.5</v>
      </c>
      <c r="N98" s="70" t="s">
        <v>17</v>
      </c>
      <c r="O98" s="68">
        <f>IF(E98&gt;0,INT(IF($N98="D",IF($D98&lt;$H$3,$I98*($M98/100)*((E98-$H$3)/365),$J98*($M98/100)*($J$3-$D98)/365),0)),0)</f>
        <v>0</v>
      </c>
      <c r="P98" s="68">
        <f>IF(E98&gt;0,INT(IF($N98="P",IF($D98&lt;$H$3,$H98*($M98/100)*(E98-$H$3)/365,$J98*($M98/100)*($J$3-$D98)/365),0)),0)</f>
        <v>0</v>
      </c>
      <c r="Q98" s="68">
        <f>+O98+P98</f>
        <v>0</v>
      </c>
      <c r="R98" s="68">
        <f t="shared" si="13"/>
        <v>0</v>
      </c>
      <c r="S98" s="68">
        <f t="shared" si="14"/>
        <v>171</v>
      </c>
      <c r="T98" s="68">
        <f>+R98+S98+Q98</f>
        <v>171</v>
      </c>
      <c r="U98" s="265">
        <f>+I98+J98-T98</f>
        <v>12643.55</v>
      </c>
      <c r="V98" s="93">
        <f>IF(E98&gt;0,+H98+J98,0)</f>
        <v>0</v>
      </c>
    </row>
    <row r="99" spans="1:22" ht="18" customHeight="1" x14ac:dyDescent="0.2">
      <c r="A99" s="101" t="s">
        <v>2097</v>
      </c>
      <c r="B99" s="102"/>
      <c r="C99" s="64" t="s">
        <v>2107</v>
      </c>
      <c r="D99" s="65">
        <v>43646</v>
      </c>
      <c r="E99" s="66"/>
      <c r="F99" s="67"/>
      <c r="G99" s="67"/>
      <c r="H99" s="67"/>
      <c r="I99" s="67"/>
      <c r="J99" s="67">
        <f>19139.4+114836.4</f>
        <v>133975.79999999999</v>
      </c>
      <c r="K99" s="68">
        <f>INT(IF($E99&gt;0,IF(+F99-I99+Q99&lt;0,0,+F99-I99+Q99),0))</f>
        <v>0</v>
      </c>
      <c r="L99" s="68">
        <f>INT(IF($E99&gt;0,IF(K99=0,-F99+I99-Q99,0),0))</f>
        <v>0</v>
      </c>
      <c r="M99" s="69">
        <v>2.5</v>
      </c>
      <c r="N99" s="70" t="s">
        <v>17</v>
      </c>
      <c r="O99" s="68">
        <f>IF(E99&gt;0,INT(IF($N99="D",IF($D99&lt;$H$3,$I99*($M99/100)*((E99-$H$3)/365),$J99*($M99/100)*($J$3-$D99)/365),0)),0)</f>
        <v>0</v>
      </c>
      <c r="P99" s="68">
        <f>IF(E99&gt;0,INT(IF($N99="P",IF($D99&lt;$H$3,$H99*($M99/100)*(E99-$H$3)/365,$J99*($M99/100)*($J$3-$D99)/365),0)),0)</f>
        <v>0</v>
      </c>
      <c r="Q99" s="68">
        <f>+O99+P99</f>
        <v>0</v>
      </c>
      <c r="R99" s="68">
        <f t="shared" si="13"/>
        <v>0</v>
      </c>
      <c r="S99" s="68">
        <f t="shared" si="14"/>
        <v>0</v>
      </c>
      <c r="T99" s="68">
        <f>+R99+S99+Q99</f>
        <v>0</v>
      </c>
      <c r="U99" s="265">
        <f>+I99+J99-T99</f>
        <v>133975.79999999999</v>
      </c>
      <c r="V99" s="93">
        <f>IF(E99&gt;0,+H99+J99,0)</f>
        <v>0</v>
      </c>
    </row>
    <row r="100" spans="1:22" ht="18" customHeight="1" x14ac:dyDescent="0.2">
      <c r="A100" s="101"/>
      <c r="B100" s="102"/>
      <c r="C100" s="64"/>
      <c r="D100" s="65"/>
      <c r="E100" s="66"/>
      <c r="F100" s="67"/>
      <c r="G100" s="67"/>
      <c r="H100" s="67"/>
      <c r="I100" s="67"/>
      <c r="J100" s="67"/>
      <c r="K100" s="68"/>
      <c r="L100" s="68"/>
      <c r="M100" s="69"/>
      <c r="N100" s="70"/>
      <c r="O100" s="68"/>
      <c r="P100" s="68"/>
      <c r="Q100" s="68"/>
      <c r="R100" s="68"/>
      <c r="S100" s="68"/>
      <c r="T100" s="68"/>
      <c r="U100" s="265"/>
      <c r="V100" s="93"/>
    </row>
    <row r="101" spans="1:22" ht="18" customHeight="1" x14ac:dyDescent="0.2">
      <c r="A101" s="103"/>
      <c r="B101" s="104"/>
      <c r="C101" s="83" t="s">
        <v>2043</v>
      </c>
      <c r="D101" s="63"/>
      <c r="E101" s="66"/>
      <c r="F101" s="67"/>
      <c r="G101" s="67"/>
      <c r="H101" s="79">
        <f>+J102-V102</f>
        <v>654846</v>
      </c>
      <c r="I101" s="75"/>
      <c r="J101" s="75"/>
      <c r="K101" s="75"/>
      <c r="L101" s="75"/>
      <c r="M101" s="74"/>
      <c r="N101" s="70"/>
      <c r="O101" s="70"/>
      <c r="P101" s="75"/>
      <c r="Q101" s="75"/>
      <c r="R101" s="70"/>
      <c r="S101" s="75"/>
      <c r="T101" s="75"/>
      <c r="U101" s="266"/>
      <c r="V101" s="93"/>
    </row>
    <row r="102" spans="1:22" s="14" customFormat="1" ht="18" customHeight="1" x14ac:dyDescent="0.2">
      <c r="A102" s="105"/>
      <c r="B102" s="106"/>
      <c r="C102" s="77" t="s">
        <v>1825</v>
      </c>
      <c r="D102" s="76"/>
      <c r="E102" s="78"/>
      <c r="F102" s="79">
        <f t="shared" ref="F102:L102" si="21">SUM(F16:F99)</f>
        <v>0</v>
      </c>
      <c r="G102" s="79">
        <f t="shared" si="21"/>
        <v>0</v>
      </c>
      <c r="H102" s="79">
        <f>SUM(H16:H101)</f>
        <v>2210911.09</v>
      </c>
      <c r="I102" s="79">
        <f t="shared" si="21"/>
        <v>1466846.0899999999</v>
      </c>
      <c r="J102" s="268">
        <f>SUM(J16:J99)</f>
        <v>654846</v>
      </c>
      <c r="K102" s="79">
        <f t="shared" si="21"/>
        <v>0</v>
      </c>
      <c r="L102" s="79">
        <f t="shared" si="21"/>
        <v>0</v>
      </c>
      <c r="M102" s="80"/>
      <c r="N102" s="81"/>
      <c r="O102" s="79">
        <f>SUM(O16:O99)</f>
        <v>0</v>
      </c>
      <c r="P102" s="79">
        <f>SUM(P16:P99)</f>
        <v>0</v>
      </c>
      <c r="Q102" s="79"/>
      <c r="R102" s="79">
        <f>SUM(R16:R99)</f>
        <v>9538</v>
      </c>
      <c r="S102" s="79">
        <f>SUM(S16:S99)</f>
        <v>25282</v>
      </c>
      <c r="T102" s="268">
        <f>SUM(T16:T99)</f>
        <v>34820</v>
      </c>
      <c r="U102" s="267">
        <f>SUM(U16:U99)</f>
        <v>2086872.09</v>
      </c>
      <c r="V102" s="79">
        <f>SUM(V16:V99)</f>
        <v>0</v>
      </c>
    </row>
    <row r="103" spans="1:22" s="14" customFormat="1" ht="18" customHeight="1" x14ac:dyDescent="0.2">
      <c r="A103" s="105"/>
      <c r="B103" s="106"/>
      <c r="C103" s="82"/>
      <c r="D103" s="83"/>
      <c r="E103" s="84"/>
      <c r="F103" s="79"/>
      <c r="G103" s="79"/>
      <c r="H103" s="85"/>
      <c r="I103" s="85"/>
      <c r="J103" s="79"/>
      <c r="K103" s="79"/>
      <c r="L103" s="85"/>
      <c r="M103" s="80"/>
      <c r="N103" s="81"/>
      <c r="O103" s="81"/>
      <c r="P103" s="79"/>
      <c r="Q103" s="79"/>
      <c r="R103" s="81"/>
      <c r="S103" s="79">
        <v>18420</v>
      </c>
      <c r="T103" s="79"/>
      <c r="U103" s="267"/>
      <c r="V103" s="93"/>
    </row>
    <row r="104" spans="1:22" ht="18" customHeight="1" x14ac:dyDescent="0.2">
      <c r="A104" s="107">
        <v>740</v>
      </c>
      <c r="B104" s="108"/>
      <c r="C104" s="74"/>
      <c r="D104" s="82"/>
      <c r="E104" s="86"/>
      <c r="F104" s="87"/>
      <c r="G104" s="87"/>
      <c r="H104" s="87"/>
      <c r="I104" s="87"/>
      <c r="J104" s="87"/>
      <c r="K104" s="87"/>
      <c r="L104" s="87"/>
      <c r="M104" s="82"/>
      <c r="N104" s="88"/>
      <c r="O104" s="88"/>
      <c r="P104" s="87"/>
      <c r="Q104" s="87"/>
      <c r="R104" s="88"/>
      <c r="S104" s="87"/>
      <c r="T104" s="87"/>
      <c r="U104" s="266"/>
      <c r="V104" s="93"/>
    </row>
    <row r="105" spans="1:22" ht="18" customHeight="1" x14ac:dyDescent="0.2">
      <c r="A105" s="109" t="s">
        <v>1577</v>
      </c>
      <c r="B105" s="104"/>
      <c r="C105" s="74"/>
      <c r="D105" s="74"/>
      <c r="E105" s="89"/>
      <c r="F105" s="75"/>
      <c r="G105" s="75"/>
      <c r="H105" s="75"/>
      <c r="I105" s="75"/>
      <c r="J105" s="75"/>
      <c r="K105" s="75"/>
      <c r="L105" s="75"/>
      <c r="M105" s="74"/>
      <c r="N105" s="70"/>
      <c r="O105" s="70"/>
      <c r="P105" s="75"/>
      <c r="Q105" s="75"/>
      <c r="R105" s="70"/>
      <c r="S105" s="75"/>
      <c r="T105" s="75"/>
      <c r="U105" s="266"/>
      <c r="V105" s="93"/>
    </row>
    <row r="106" spans="1:22" ht="18" customHeight="1" x14ac:dyDescent="0.2">
      <c r="A106" s="101" t="s">
        <v>1811</v>
      </c>
      <c r="B106" s="102"/>
      <c r="C106" s="72" t="s">
        <v>1812</v>
      </c>
      <c r="D106" s="65">
        <v>41913</v>
      </c>
      <c r="E106" s="66"/>
      <c r="F106" s="67"/>
      <c r="G106" s="75"/>
      <c r="H106" s="67">
        <v>14536.36</v>
      </c>
      <c r="I106" s="67">
        <v>2422.36</v>
      </c>
      <c r="J106" s="67"/>
      <c r="K106" s="68">
        <f>INT(IF($E106&gt;0,IF(+F106-I106+Q106&lt;0,0,+F106-I106+Q106),0))</f>
        <v>0</v>
      </c>
      <c r="L106" s="68">
        <f>INT(IF($E106&gt;0,IF(K106=0,-F106+I106-Q106,0),0))</f>
        <v>0</v>
      </c>
      <c r="M106" s="69">
        <v>20</v>
      </c>
      <c r="N106" s="70" t="s">
        <v>17</v>
      </c>
      <c r="O106" s="68">
        <f>IF(E106&gt;0,INT(IF($N106="D",IF($D106&lt;$H$3,$I106*($M106/100)*((E106-$H$3)/365),$J106*($M106/100)*($J$3-$D106)/365),0)),0)</f>
        <v>0</v>
      </c>
      <c r="P106" s="68">
        <f>IF(E106&gt;0,INT(IF($N106="P",IF($D106&lt;$H$3,$H106*($M106/100)*(E106-$H$3)/365,$J106*($M106/100)*($J$3-$D106)/365),0)),0)</f>
        <v>0</v>
      </c>
      <c r="Q106" s="68">
        <f>+O106+P106</f>
        <v>0</v>
      </c>
      <c r="R106" s="68">
        <f>INT(IF($E106&gt;0,0,(IF($N106="D",IF($D106&lt;$H$3,$I106*($M106/100)*$U$3/12,$J106*($M106/100)*($J$3-$D106)/365),0))))</f>
        <v>0</v>
      </c>
      <c r="S106" s="68">
        <f>INT(IF($E106&gt;0,0,(IF($N106="P",IF($D106&lt;$H$3,$H106*($M106/100)*$U$3/12,$J106*($M106/100)*($J$3-$D106)/365),0))))</f>
        <v>1695</v>
      </c>
      <c r="T106" s="68">
        <f>+R106+S106+Q106</f>
        <v>1695</v>
      </c>
      <c r="U106" s="265">
        <f>+I106+J106-T106</f>
        <v>727.36000000000013</v>
      </c>
      <c r="V106" s="93">
        <f t="shared" si="20"/>
        <v>0</v>
      </c>
    </row>
    <row r="107" spans="1:22" ht="18" customHeight="1" x14ac:dyDescent="0.2">
      <c r="A107" s="101" t="s">
        <v>1813</v>
      </c>
      <c r="B107" s="102"/>
      <c r="C107" s="64" t="s">
        <v>1814</v>
      </c>
      <c r="D107" s="65">
        <v>42664</v>
      </c>
      <c r="E107" s="66"/>
      <c r="F107" s="67"/>
      <c r="G107" s="67"/>
      <c r="H107" s="67">
        <v>7409.09</v>
      </c>
      <c r="I107" s="67">
        <v>4678.09</v>
      </c>
      <c r="J107" s="67"/>
      <c r="K107" s="68">
        <f>INT(IF($E107&gt;0,IF(+F107-I107+Q107&lt;0,0,+F107-I107+Q107),0))</f>
        <v>0</v>
      </c>
      <c r="L107" s="68">
        <f>INT(IF($E107&gt;0,IF(K107=0,-F107+I107-Q107,0),0))</f>
        <v>0</v>
      </c>
      <c r="M107" s="69">
        <v>20</v>
      </c>
      <c r="N107" s="70" t="s">
        <v>289</v>
      </c>
      <c r="O107" s="68">
        <f>IF(E107&gt;0,INT(IF($N107="D",IF($D107&lt;$H$3,$I107*($M107/100)*((E107-$H$3)/365),$J107*($M107/100)*($J$3-$D107)/365),0)),0)</f>
        <v>0</v>
      </c>
      <c r="P107" s="68">
        <f>IF(E107&gt;0,INT(IF($N107="P",IF($D107&lt;$H$3,$H107*($M107/100)*(E107-$H$3)/365,$J107*($M107/100)*($J$3-$D107)/365),0)),0)</f>
        <v>0</v>
      </c>
      <c r="Q107" s="68">
        <f>+O107+P107</f>
        <v>0</v>
      </c>
      <c r="R107" s="68">
        <f>INT(IF($E107&gt;0,0,(IF($N107="D",IF($D107&lt;$H$3,$I107*($M107/100)*$U$3/12,$J107*($M107/100)*($J$3-$D107)/365),0))))</f>
        <v>545</v>
      </c>
      <c r="S107" s="68">
        <f>INT(IF($E107&gt;0,0,(IF($N107="P",IF($D107&lt;$H$3,$H107*($M107/100)*$U$3/12,$J107*($M107/100)*($J$3-$D107)/365),0))))</f>
        <v>0</v>
      </c>
      <c r="T107" s="68">
        <f>+R107+S107+Q107</f>
        <v>545</v>
      </c>
      <c r="U107" s="265">
        <f>+I107+J107-T107</f>
        <v>4133.09</v>
      </c>
      <c r="V107" s="93">
        <f t="shared" si="20"/>
        <v>0</v>
      </c>
    </row>
    <row r="108" spans="1:22" ht="18" customHeight="1" x14ac:dyDescent="0.2">
      <c r="A108" s="101" t="s">
        <v>1815</v>
      </c>
      <c r="B108" s="102"/>
      <c r="C108" s="64" t="s">
        <v>1816</v>
      </c>
      <c r="D108" s="65">
        <v>42664</v>
      </c>
      <c r="E108" s="66"/>
      <c r="F108" s="67"/>
      <c r="G108" s="67"/>
      <c r="H108" s="67">
        <v>1227.27</v>
      </c>
      <c r="I108" s="67">
        <v>775.27</v>
      </c>
      <c r="J108" s="67"/>
      <c r="K108" s="68">
        <f>INT(IF($E108&gt;0,IF(+F108-I108+Q108&lt;0,0,+F108-I108+Q108),0))</f>
        <v>0</v>
      </c>
      <c r="L108" s="68">
        <f>INT(IF($E108&gt;0,IF(K108=0,-F108+I108-Q108,0),0))</f>
        <v>0</v>
      </c>
      <c r="M108" s="69">
        <v>20</v>
      </c>
      <c r="N108" s="70" t="s">
        <v>289</v>
      </c>
      <c r="O108" s="68">
        <f>IF(E108&gt;0,INT(IF($N108="D",IF($D108&lt;$H$3,$I108*($M108/100)*((E108-$H$3)/365),$J108*($M108/100)*($J$3-$D108)/365),0)),0)</f>
        <v>0</v>
      </c>
      <c r="P108" s="68">
        <f>IF(E108&gt;0,INT(IF($N108="P",IF($D108&lt;$H$3,$H108*($M108/100)*(E108-$H$3)/365,$J108*($M108/100)*($J$3-$D108)/365),0)),0)</f>
        <v>0</v>
      </c>
      <c r="Q108" s="68">
        <f>+O108+P108</f>
        <v>0</v>
      </c>
      <c r="R108" s="68">
        <f>INT(IF($E108&gt;0,0,(IF($N108="D",IF($D108&lt;$H$3,$I108*($M108/100)*$U$3/12,$J108*($M108/100)*($J$3-$D108)/365),0))))</f>
        <v>90</v>
      </c>
      <c r="S108" s="68">
        <f>INT(IF($E108&gt;0,0,(IF($N108="P",IF($D108&lt;$H$3,$H108*($M108/100)*$U$3/12,$J108*($M108/100)*($J$3-$D108)/365),0))))</f>
        <v>0</v>
      </c>
      <c r="T108" s="68">
        <f>+R108+S108+Q108</f>
        <v>90</v>
      </c>
      <c r="U108" s="265">
        <f>+I108+J108-T108</f>
        <v>685.27</v>
      </c>
      <c r="V108" s="93">
        <f t="shared" si="20"/>
        <v>0</v>
      </c>
    </row>
    <row r="109" spans="1:22" ht="18" customHeight="1" x14ac:dyDescent="0.2">
      <c r="A109" s="101" t="s">
        <v>1817</v>
      </c>
      <c r="B109" s="102"/>
      <c r="C109" s="64" t="s">
        <v>1818</v>
      </c>
      <c r="D109" s="65">
        <v>42990</v>
      </c>
      <c r="E109" s="66"/>
      <c r="F109" s="67"/>
      <c r="G109" s="67"/>
      <c r="H109" s="67">
        <v>1471.43</v>
      </c>
      <c r="I109" s="67">
        <v>1132.43</v>
      </c>
      <c r="J109" s="67"/>
      <c r="K109" s="68">
        <f>INT(IF($E109&gt;0,IF(+F109-I109+Q109&lt;0,0,+F109-I109+Q109),0))</f>
        <v>0</v>
      </c>
      <c r="L109" s="68">
        <f>INT(IF($E109&gt;0,IF(K109=0,-F109+I109-Q109,0),0))</f>
        <v>0</v>
      </c>
      <c r="M109" s="69">
        <v>20</v>
      </c>
      <c r="N109" s="70" t="s">
        <v>289</v>
      </c>
      <c r="O109" s="68">
        <f>IF(E109&gt;0,INT(IF($N109="D",IF($D109&lt;$H$3,$I109*($M109/100)*((E109-$H$3)/365),$J109*($M109/100)*($J$3-$D109)/365),0)),0)</f>
        <v>0</v>
      </c>
      <c r="P109" s="68">
        <f>IF(E109&gt;0,INT(IF($N109="P",IF($D109&lt;$H$3,$H109*($M109/100)*(E109-$H$3)/365,$J109*($M109/100)*($J$3-$D109)/365),0)),0)</f>
        <v>0</v>
      </c>
      <c r="Q109" s="68">
        <f>+O109+P109</f>
        <v>0</v>
      </c>
      <c r="R109" s="68">
        <f>INT(IF($E109&gt;0,0,(IF($N109="D",IF($D109&lt;$H$3,$I109*($M109/100)*$U$3/12,$J109*($M109/100)*($J$3-$D109)/365),0))))</f>
        <v>132</v>
      </c>
      <c r="S109" s="68">
        <f>INT(IF($E109&gt;0,0,(IF($N109="P",IF($D109&lt;$H$3,$H109*($M109/100)*$U$3/12,$J109*($M109/100)*($J$3-$D109)/365),0))))</f>
        <v>0</v>
      </c>
      <c r="T109" s="68">
        <f>+R109+S109+Q109</f>
        <v>132</v>
      </c>
      <c r="U109" s="265">
        <f>+I109+J109-T109</f>
        <v>1000.4300000000001</v>
      </c>
      <c r="V109" s="93">
        <f t="shared" si="20"/>
        <v>0</v>
      </c>
    </row>
    <row r="110" spans="1:22" ht="18" customHeight="1" x14ac:dyDescent="0.2">
      <c r="A110" s="101" t="s">
        <v>1819</v>
      </c>
      <c r="B110" s="102"/>
      <c r="C110" s="64" t="s">
        <v>1820</v>
      </c>
      <c r="D110" s="65">
        <v>43139</v>
      </c>
      <c r="E110" s="66"/>
      <c r="F110" s="67"/>
      <c r="G110" s="67"/>
      <c r="H110" s="67">
        <v>2500</v>
      </c>
      <c r="I110" s="67">
        <v>2111</v>
      </c>
      <c r="J110" s="67"/>
      <c r="K110" s="68">
        <f>INT(IF($E110&gt;0,IF(+F110-I110+Q110&lt;0,0,+F110-I110+Q110),0))</f>
        <v>0</v>
      </c>
      <c r="L110" s="68">
        <f>INT(IF($E110&gt;0,IF(K110=0,-F110+I110-Q110,0),0))</f>
        <v>0</v>
      </c>
      <c r="M110" s="69">
        <v>20</v>
      </c>
      <c r="N110" s="70" t="s">
        <v>289</v>
      </c>
      <c r="O110" s="68">
        <f>IF(E110&gt;0,INT(IF($N110="D",IF($D110&lt;$H$3,$I110*($M110/100)*((E110-$H$3)/365),$J110*($M110/100)*($J$3-$D110)/365),0)),0)</f>
        <v>0</v>
      </c>
      <c r="P110" s="68">
        <f>IF(E110&gt;0,INT(IF($N110="P",IF($D110&lt;$H$3,$H110*($M110/100)*(E110-$H$3)/365,$J110*($M110/100)*($J$3-$D110)/365),0)),0)</f>
        <v>0</v>
      </c>
      <c r="Q110" s="68">
        <f>+O110+P110</f>
        <v>0</v>
      </c>
      <c r="R110" s="68">
        <f>INT(IF($E110&gt;0,0,(IF($N110="D",IF($D110&lt;$H$3,$I110*($M110/100)*$U$3/12,$J110*($M110/100)*($J$3-$D110)/365),0))))</f>
        <v>246</v>
      </c>
      <c r="S110" s="68">
        <f>INT(IF($E110&gt;0,0,(IF($N110="P",IF($D110&lt;$H$3,$H110*($M110/100)*$U$3/12,$J110*($M110/100)*($J$3-$D110)/365),0))))</f>
        <v>0</v>
      </c>
      <c r="T110" s="68">
        <f>+R110+S110+Q110</f>
        <v>246</v>
      </c>
      <c r="U110" s="265">
        <f>+I110+J110-T110</f>
        <v>1865</v>
      </c>
      <c r="V110" s="93">
        <f t="shared" si="20"/>
        <v>0</v>
      </c>
    </row>
    <row r="111" spans="1:22" ht="18" customHeight="1" x14ac:dyDescent="0.2">
      <c r="A111" s="103"/>
      <c r="B111" s="104"/>
      <c r="C111" s="63"/>
      <c r="D111" s="63"/>
      <c r="E111" s="66"/>
      <c r="F111" s="67"/>
      <c r="G111" s="67"/>
      <c r="H111" s="67"/>
      <c r="I111" s="75"/>
      <c r="J111" s="75"/>
      <c r="K111" s="75"/>
      <c r="L111" s="75"/>
      <c r="M111" s="74"/>
      <c r="N111" s="70"/>
      <c r="O111" s="70"/>
      <c r="P111" s="75"/>
      <c r="Q111" s="75"/>
      <c r="R111" s="70"/>
      <c r="S111" s="75"/>
      <c r="T111" s="75"/>
      <c r="U111" s="266"/>
      <c r="V111" s="93"/>
    </row>
    <row r="112" spans="1:22" ht="18" customHeight="1" x14ac:dyDescent="0.2">
      <c r="A112" s="103"/>
      <c r="B112" s="104"/>
      <c r="C112" s="83" t="s">
        <v>2043</v>
      </c>
      <c r="D112" s="63"/>
      <c r="E112" s="66"/>
      <c r="F112" s="67"/>
      <c r="G112" s="67"/>
      <c r="H112" s="79">
        <f>+J113-V113</f>
        <v>0</v>
      </c>
      <c r="I112" s="75"/>
      <c r="J112" s="75"/>
      <c r="K112" s="75"/>
      <c r="L112" s="75"/>
      <c r="M112" s="74"/>
      <c r="N112" s="70"/>
      <c r="O112" s="70"/>
      <c r="P112" s="75"/>
      <c r="Q112" s="75"/>
      <c r="R112" s="70"/>
      <c r="S112" s="75"/>
      <c r="T112" s="75"/>
      <c r="U112" s="266"/>
      <c r="V112" s="93"/>
    </row>
    <row r="113" spans="1:23" s="14" customFormat="1" ht="18" customHeight="1" x14ac:dyDescent="0.2">
      <c r="A113" s="105"/>
      <c r="B113" s="106"/>
      <c r="C113" s="77" t="s">
        <v>1657</v>
      </c>
      <c r="D113" s="83"/>
      <c r="E113" s="84"/>
      <c r="F113" s="79">
        <f t="shared" ref="F113:L113" si="22">SUM(F106:F111)</f>
        <v>0</v>
      </c>
      <c r="G113" s="79">
        <f t="shared" si="22"/>
        <v>0</v>
      </c>
      <c r="H113" s="79">
        <f>SUM(H106:H112)</f>
        <v>27144.15</v>
      </c>
      <c r="I113" s="79">
        <f t="shared" si="22"/>
        <v>11119.150000000001</v>
      </c>
      <c r="J113" s="79">
        <f t="shared" si="22"/>
        <v>0</v>
      </c>
      <c r="K113" s="79">
        <f t="shared" si="22"/>
        <v>0</v>
      </c>
      <c r="L113" s="79">
        <f t="shared" si="22"/>
        <v>0</v>
      </c>
      <c r="M113" s="83"/>
      <c r="N113" s="81"/>
      <c r="O113" s="79">
        <f t="shared" ref="O113:T113" si="23">SUM(O106:O110)</f>
        <v>0</v>
      </c>
      <c r="P113" s="79">
        <f t="shared" si="23"/>
        <v>0</v>
      </c>
      <c r="Q113" s="79">
        <f t="shared" si="23"/>
        <v>0</v>
      </c>
      <c r="R113" s="79">
        <f t="shared" si="23"/>
        <v>1013</v>
      </c>
      <c r="S113" s="79">
        <f t="shared" si="23"/>
        <v>1695</v>
      </c>
      <c r="T113" s="268">
        <f t="shared" si="23"/>
        <v>2708</v>
      </c>
      <c r="U113" s="267">
        <f>SUM(U106:U111)</f>
        <v>8411.1500000000015</v>
      </c>
      <c r="V113" s="93">
        <f>SUM(V106:V112)</f>
        <v>0</v>
      </c>
    </row>
    <row r="114" spans="1:23" ht="18" customHeight="1" x14ac:dyDescent="0.2">
      <c r="A114" s="101"/>
      <c r="B114" s="102"/>
      <c r="C114" s="63"/>
      <c r="D114" s="63"/>
      <c r="E114" s="66"/>
      <c r="F114" s="67"/>
      <c r="G114" s="67"/>
      <c r="H114" s="67"/>
      <c r="I114" s="67"/>
      <c r="J114" s="67"/>
      <c r="K114" s="67"/>
      <c r="L114" s="67"/>
      <c r="M114" s="63"/>
      <c r="N114" s="63"/>
      <c r="O114" s="63">
        <v>17647</v>
      </c>
      <c r="P114" s="67">
        <v>0</v>
      </c>
      <c r="Q114" s="67"/>
      <c r="R114" s="63">
        <v>131255</v>
      </c>
      <c r="S114" s="67">
        <v>337</v>
      </c>
      <c r="T114" s="67"/>
      <c r="U114" s="265"/>
      <c r="V114" s="93"/>
      <c r="W114" s="42"/>
    </row>
    <row r="115" spans="1:23" ht="18" customHeight="1" x14ac:dyDescent="0.2">
      <c r="A115" s="103"/>
      <c r="B115" s="104"/>
      <c r="C115" s="63"/>
      <c r="D115" s="63"/>
      <c r="E115" s="66"/>
      <c r="F115" s="67"/>
      <c r="G115" s="67"/>
      <c r="H115" s="67"/>
      <c r="I115" s="75"/>
      <c r="J115" s="75"/>
      <c r="K115" s="75"/>
      <c r="L115" s="75"/>
      <c r="M115" s="74"/>
      <c r="N115" s="70"/>
      <c r="O115" s="70"/>
      <c r="P115" s="75"/>
      <c r="Q115" s="75"/>
      <c r="R115" s="70"/>
      <c r="S115" s="75"/>
      <c r="T115" s="75"/>
      <c r="U115" s="266"/>
      <c r="V115" s="93"/>
    </row>
    <row r="116" spans="1:23" ht="18" customHeight="1" x14ac:dyDescent="0.2">
      <c r="A116" s="103"/>
      <c r="B116" s="104"/>
      <c r="C116" s="63"/>
      <c r="D116" s="63"/>
      <c r="E116" s="66"/>
      <c r="F116" s="67"/>
      <c r="G116" s="67"/>
      <c r="H116" s="67"/>
      <c r="I116" s="75"/>
      <c r="J116" s="75"/>
      <c r="K116" s="75"/>
      <c r="L116" s="75"/>
      <c r="M116" s="74"/>
      <c r="N116" s="70"/>
      <c r="O116" s="70"/>
      <c r="P116" s="75"/>
      <c r="Q116" s="75"/>
      <c r="R116" s="70"/>
      <c r="S116" s="75"/>
      <c r="T116" s="75"/>
      <c r="U116" s="266"/>
      <c r="V116" s="93"/>
    </row>
    <row r="117" spans="1:23" s="14" customFormat="1" ht="18" customHeight="1" x14ac:dyDescent="0.2">
      <c r="A117" s="112"/>
      <c r="B117" s="113"/>
      <c r="C117" s="97" t="s">
        <v>1658</v>
      </c>
      <c r="D117" s="97"/>
      <c r="E117" s="98"/>
      <c r="F117" s="99">
        <f t="shared" ref="F117:L117" si="24">+F102+F113+F13</f>
        <v>0</v>
      </c>
      <c r="G117" s="99">
        <f t="shared" si="24"/>
        <v>0</v>
      </c>
      <c r="H117" s="99">
        <f t="shared" si="24"/>
        <v>4163118.4499999997</v>
      </c>
      <c r="I117" s="99">
        <f t="shared" si="24"/>
        <v>3403028.4499999997</v>
      </c>
      <c r="J117" s="99">
        <f t="shared" si="24"/>
        <v>654846</v>
      </c>
      <c r="K117" s="99">
        <f t="shared" si="24"/>
        <v>0</v>
      </c>
      <c r="L117" s="99">
        <f t="shared" si="24"/>
        <v>0</v>
      </c>
      <c r="M117" s="96"/>
      <c r="N117" s="100"/>
      <c r="O117" s="99" t="e">
        <f>+O102+O113+#REF!+#REF!+#REF!</f>
        <v>#REF!</v>
      </c>
      <c r="P117" s="99" t="e">
        <f>+P102+P113+#REF!+#REF!+#REF!</f>
        <v>#REF!</v>
      </c>
      <c r="Q117" s="99"/>
      <c r="R117" s="99" t="e">
        <f>+R102+R113+#REF!+#REF!+#REF!</f>
        <v>#REF!</v>
      </c>
      <c r="S117" s="99" t="e">
        <f>+S102+S113+#REF!+#REF!+#REF!</f>
        <v>#REF!</v>
      </c>
      <c r="T117" s="99">
        <f>+T102+T113+T13</f>
        <v>37528</v>
      </c>
      <c r="U117" s="287">
        <f>+U102+U113+U13</f>
        <v>4020346.45</v>
      </c>
      <c r="V117" s="99">
        <f>+V102+V113+V13</f>
        <v>0</v>
      </c>
    </row>
    <row r="118" spans="1:23" ht="18" customHeight="1" x14ac:dyDescent="0.2">
      <c r="A118" s="41"/>
      <c r="B118" s="41"/>
      <c r="C118" s="41" t="s">
        <v>1659</v>
      </c>
      <c r="D118" s="42"/>
      <c r="E118" s="43"/>
      <c r="F118" s="9"/>
      <c r="G118" s="9"/>
      <c r="H118" s="9"/>
      <c r="I118" s="162">
        <v>3403028</v>
      </c>
      <c r="J118" s="9"/>
      <c r="K118" s="9"/>
      <c r="L118" s="9"/>
      <c r="N118" s="46"/>
      <c r="O118" s="46"/>
      <c r="P118" s="9"/>
      <c r="Q118" s="9"/>
      <c r="R118" s="46"/>
      <c r="S118" s="9"/>
      <c r="T118" s="9"/>
      <c r="U118" s="256">
        <v>4020346.45</v>
      </c>
      <c r="V118" s="10">
        <f>+U117-U118</f>
        <v>0</v>
      </c>
    </row>
    <row r="119" spans="1:23" ht="18" hidden="1" customHeight="1" x14ac:dyDescent="0.2">
      <c r="C119" s="42"/>
      <c r="D119" s="42"/>
      <c r="E119" s="43"/>
      <c r="F119" s="9"/>
      <c r="G119" s="9"/>
      <c r="H119" s="9">
        <f>+H117-H118</f>
        <v>4163118.4499999997</v>
      </c>
      <c r="I119" s="10"/>
      <c r="J119" s="10">
        <f>+J117-J118</f>
        <v>654846</v>
      </c>
      <c r="K119" s="10"/>
      <c r="L119" s="10">
        <f>+K117-L117</f>
        <v>0</v>
      </c>
      <c r="P119" s="10"/>
      <c r="Q119" s="10"/>
      <c r="S119" s="10"/>
      <c r="T119" s="10"/>
      <c r="U119" s="257"/>
      <c r="V119" s="10"/>
    </row>
    <row r="120" spans="1:23" ht="18" customHeight="1" x14ac:dyDescent="0.2">
      <c r="A120" s="41"/>
      <c r="B120" s="41"/>
      <c r="C120" s="41"/>
      <c r="D120" s="41"/>
      <c r="E120" s="47"/>
      <c r="F120" s="48"/>
      <c r="G120" s="48"/>
      <c r="H120" s="48"/>
      <c r="I120" s="52" t="s">
        <v>1668</v>
      </c>
      <c r="J120" s="49"/>
      <c r="K120" s="10"/>
      <c r="L120" s="10">
        <f>+L118-L119</f>
        <v>0</v>
      </c>
      <c r="P120" s="10"/>
      <c r="Q120" s="10"/>
      <c r="S120" s="10"/>
      <c r="T120" s="10"/>
      <c r="U120" s="52" t="s">
        <v>1668</v>
      </c>
      <c r="V120" s="10">
        <f>+U117-U118</f>
        <v>0</v>
      </c>
    </row>
    <row r="121" spans="1:23" ht="18" customHeight="1" x14ac:dyDescent="0.2">
      <c r="C121" s="42"/>
      <c r="D121" s="42"/>
      <c r="E121" s="50"/>
      <c r="F121" s="51"/>
      <c r="G121" s="51"/>
      <c r="H121" s="42"/>
      <c r="I121" s="53" t="s">
        <v>1669</v>
      </c>
      <c r="P121" s="10"/>
      <c r="Q121" s="10"/>
      <c r="S121" s="10"/>
      <c r="T121" s="10"/>
      <c r="U121" s="53" t="s">
        <v>1669</v>
      </c>
      <c r="V121" s="10"/>
    </row>
    <row r="122" spans="1:23" ht="18" customHeight="1" x14ac:dyDescent="0.2">
      <c r="C122" s="15" t="s">
        <v>1663</v>
      </c>
      <c r="D122" s="42"/>
      <c r="E122" s="50"/>
      <c r="F122" s="51"/>
      <c r="G122" s="51"/>
      <c r="H122" s="42"/>
      <c r="I122" s="53">
        <v>43434</v>
      </c>
      <c r="P122" s="10"/>
      <c r="Q122" s="10"/>
      <c r="S122" s="10"/>
      <c r="T122" s="10"/>
      <c r="U122" s="53">
        <v>43646</v>
      </c>
      <c r="V122" s="10"/>
    </row>
    <row r="123" spans="1:23" ht="18" customHeight="1" x14ac:dyDescent="0.2">
      <c r="C123" s="42"/>
      <c r="D123" s="42"/>
      <c r="E123" s="50"/>
      <c r="F123" s="51"/>
      <c r="G123" s="51"/>
      <c r="H123" s="42"/>
      <c r="P123" s="10"/>
      <c r="Q123" s="10"/>
      <c r="S123" s="10"/>
      <c r="T123" s="10"/>
      <c r="U123" s="257"/>
      <c r="V123" s="10"/>
    </row>
    <row r="124" spans="1:23" x14ac:dyDescent="0.2">
      <c r="C124" s="42"/>
      <c r="D124" s="42"/>
      <c r="E124" s="50"/>
      <c r="F124" s="51"/>
      <c r="G124" s="51"/>
      <c r="H124" s="42"/>
      <c r="P124" s="10"/>
      <c r="Q124" s="10"/>
      <c r="S124" s="10"/>
      <c r="T124" s="10"/>
      <c r="U124" s="257"/>
      <c r="V124" s="10"/>
    </row>
    <row r="125" spans="1:23" x14ac:dyDescent="0.2">
      <c r="C125" s="42"/>
      <c r="D125" s="42"/>
      <c r="E125" s="50"/>
      <c r="F125" s="51"/>
      <c r="G125" s="51"/>
      <c r="H125" s="42"/>
      <c r="P125" s="10"/>
      <c r="Q125" s="10"/>
      <c r="S125" s="10"/>
      <c r="T125" s="10"/>
      <c r="U125" s="257"/>
      <c r="V125" s="10"/>
    </row>
    <row r="126" spans="1:23" x14ac:dyDescent="0.2">
      <c r="C126" s="42"/>
      <c r="D126" s="42"/>
      <c r="E126" s="50"/>
      <c r="F126" s="51"/>
      <c r="G126" s="51"/>
      <c r="H126" s="42"/>
      <c r="P126" s="10"/>
      <c r="Q126" s="10"/>
      <c r="S126" s="10"/>
      <c r="T126" s="10"/>
      <c r="U126" s="257"/>
      <c r="V126" s="10"/>
    </row>
    <row r="127" spans="1:23" x14ac:dyDescent="0.2">
      <c r="C127" s="42"/>
      <c r="D127" s="42"/>
      <c r="E127" s="50"/>
      <c r="F127" s="51"/>
      <c r="G127" s="51"/>
      <c r="H127" s="42"/>
      <c r="P127" s="10"/>
      <c r="Q127" s="10"/>
      <c r="S127" s="10"/>
      <c r="T127" s="10"/>
      <c r="U127" s="257"/>
      <c r="V127" s="10"/>
    </row>
    <row r="128" spans="1:23" x14ac:dyDescent="0.2">
      <c r="C128" s="42"/>
      <c r="D128" s="42"/>
      <c r="E128" s="50"/>
      <c r="F128" s="51"/>
      <c r="G128" s="51"/>
      <c r="H128" s="42"/>
      <c r="P128" s="10"/>
      <c r="Q128" s="10"/>
      <c r="S128" s="10"/>
      <c r="T128" s="10"/>
      <c r="U128" s="257"/>
      <c r="V128" s="10"/>
    </row>
    <row r="129" spans="3:22" x14ac:dyDescent="0.2">
      <c r="C129" s="42"/>
      <c r="D129" s="42"/>
      <c r="E129" s="50"/>
      <c r="F129" s="51"/>
      <c r="G129" s="51"/>
      <c r="H129" s="42"/>
      <c r="P129" s="10"/>
      <c r="Q129" s="10"/>
      <c r="S129" s="10"/>
      <c r="T129" s="10"/>
      <c r="U129" s="257"/>
      <c r="V129" s="10"/>
    </row>
    <row r="130" spans="3:22" x14ac:dyDescent="0.2">
      <c r="C130" s="42"/>
      <c r="D130" s="42"/>
      <c r="E130" s="50"/>
      <c r="F130" s="51"/>
      <c r="G130" s="51"/>
      <c r="H130" s="42"/>
      <c r="P130" s="10"/>
      <c r="Q130" s="10"/>
      <c r="S130" s="10"/>
      <c r="T130" s="10"/>
      <c r="U130" s="257"/>
      <c r="V130" s="10"/>
    </row>
    <row r="131" spans="3:22" x14ac:dyDescent="0.2">
      <c r="C131" s="42"/>
      <c r="D131" s="42"/>
      <c r="E131" s="50"/>
      <c r="F131" s="51"/>
      <c r="G131" s="51"/>
      <c r="H131" s="42"/>
      <c r="P131" s="10"/>
      <c r="Q131" s="10"/>
      <c r="S131" s="10"/>
      <c r="T131" s="10"/>
      <c r="U131" s="257"/>
      <c r="V131" s="10"/>
    </row>
    <row r="132" spans="3:22" x14ac:dyDescent="0.2">
      <c r="C132" s="42"/>
      <c r="D132" s="42"/>
      <c r="E132" s="50"/>
      <c r="F132" s="51"/>
      <c r="G132" s="51"/>
      <c r="H132" s="42"/>
      <c r="P132" s="10"/>
      <c r="Q132" s="10"/>
      <c r="S132" s="10"/>
      <c r="T132" s="10"/>
      <c r="U132" s="257"/>
      <c r="V132" s="10"/>
    </row>
    <row r="133" spans="3:22" x14ac:dyDescent="0.2">
      <c r="C133" s="42"/>
      <c r="D133" s="42"/>
      <c r="E133" s="50"/>
      <c r="F133" s="51"/>
      <c r="G133" s="51"/>
      <c r="H133" s="42"/>
      <c r="P133" s="10"/>
      <c r="Q133" s="10"/>
      <c r="S133" s="10"/>
      <c r="T133" s="10"/>
      <c r="U133" s="257"/>
      <c r="V133" s="10"/>
    </row>
    <row r="134" spans="3:22" x14ac:dyDescent="0.2">
      <c r="C134" s="42"/>
      <c r="D134" s="42"/>
      <c r="E134" s="50"/>
      <c r="F134" s="51"/>
      <c r="G134" s="51"/>
      <c r="H134" s="42"/>
      <c r="P134" s="10"/>
      <c r="Q134" s="10"/>
      <c r="S134" s="10"/>
      <c r="T134" s="10"/>
      <c r="U134" s="257"/>
      <c r="V134" s="10"/>
    </row>
    <row r="135" spans="3:22" x14ac:dyDescent="0.2">
      <c r="C135" s="42"/>
      <c r="D135" s="42"/>
      <c r="E135" s="50"/>
      <c r="F135" s="51"/>
      <c r="G135" s="51"/>
      <c r="H135" s="42"/>
      <c r="P135" s="10"/>
      <c r="Q135" s="10"/>
      <c r="S135" s="10"/>
      <c r="T135" s="10"/>
      <c r="U135" s="257"/>
      <c r="V135" s="10"/>
    </row>
    <row r="136" spans="3:22" x14ac:dyDescent="0.2">
      <c r="C136" s="42"/>
      <c r="D136" s="42"/>
      <c r="E136" s="50"/>
      <c r="F136" s="51"/>
      <c r="G136" s="51"/>
      <c r="H136" s="42"/>
      <c r="P136" s="10"/>
      <c r="Q136" s="10"/>
      <c r="S136" s="10"/>
      <c r="T136" s="10"/>
      <c r="U136" s="257"/>
      <c r="V136" s="10"/>
    </row>
    <row r="137" spans="3:22" x14ac:dyDescent="0.2">
      <c r="C137" s="42"/>
      <c r="D137" s="42"/>
      <c r="E137" s="50"/>
      <c r="F137" s="51"/>
      <c r="G137" s="51"/>
      <c r="P137" s="10"/>
      <c r="Q137" s="10"/>
      <c r="S137" s="10"/>
      <c r="T137" s="10"/>
      <c r="U137" s="257"/>
      <c r="V137" s="10"/>
    </row>
    <row r="138" spans="3:22" x14ac:dyDescent="0.2">
      <c r="C138" s="42"/>
      <c r="D138" s="42"/>
      <c r="E138" s="50"/>
      <c r="F138" s="51"/>
      <c r="G138" s="51"/>
      <c r="H138" s="42"/>
      <c r="P138" s="10"/>
      <c r="Q138" s="10"/>
      <c r="S138" s="10"/>
      <c r="T138" s="10"/>
      <c r="U138" s="257"/>
      <c r="V138" s="10"/>
    </row>
    <row r="139" spans="3:22" x14ac:dyDescent="0.2">
      <c r="P139" s="10"/>
      <c r="Q139" s="10"/>
      <c r="S139" s="10"/>
      <c r="T139" s="10"/>
      <c r="U139" s="257"/>
      <c r="V139" s="10"/>
    </row>
    <row r="140" spans="3:22" x14ac:dyDescent="0.2">
      <c r="P140" s="10"/>
      <c r="Q140" s="10"/>
      <c r="S140" s="10"/>
      <c r="T140" s="10"/>
      <c r="U140" s="257"/>
      <c r="V140" s="10"/>
    </row>
    <row r="141" spans="3:22" x14ac:dyDescent="0.2">
      <c r="F141" s="51"/>
      <c r="G141" s="51"/>
      <c r="H141" s="42"/>
      <c r="P141" s="10"/>
      <c r="Q141" s="10"/>
      <c r="S141" s="10"/>
      <c r="T141" s="10"/>
      <c r="U141" s="257"/>
      <c r="V141" s="10"/>
    </row>
    <row r="142" spans="3:22" x14ac:dyDescent="0.2">
      <c r="P142" s="10"/>
      <c r="Q142" s="10"/>
      <c r="S142" s="10"/>
      <c r="T142" s="10"/>
      <c r="U142" s="257"/>
      <c r="V142" s="10"/>
    </row>
    <row r="143" spans="3:22" x14ac:dyDescent="0.2">
      <c r="P143" s="10"/>
      <c r="Q143" s="10"/>
      <c r="S143" s="10"/>
      <c r="T143" s="10"/>
      <c r="U143" s="257"/>
      <c r="V143" s="10"/>
    </row>
    <row r="144" spans="3:22" x14ac:dyDescent="0.2">
      <c r="P144" s="10"/>
      <c r="Q144" s="10"/>
      <c r="S144" s="10"/>
      <c r="T144" s="10"/>
      <c r="U144" s="257"/>
      <c r="V144" s="10"/>
    </row>
    <row r="145" spans="16:22" x14ac:dyDescent="0.2">
      <c r="P145" s="10"/>
      <c r="Q145" s="10"/>
      <c r="S145" s="10"/>
      <c r="T145" s="10"/>
      <c r="U145" s="257"/>
      <c r="V145" s="10"/>
    </row>
    <row r="146" spans="16:22" x14ac:dyDescent="0.2">
      <c r="P146" s="10"/>
      <c r="Q146" s="10"/>
      <c r="S146" s="10"/>
      <c r="T146" s="10"/>
      <c r="U146" s="257"/>
      <c r="V146" s="10"/>
    </row>
    <row r="147" spans="16:22" x14ac:dyDescent="0.2">
      <c r="P147" s="10"/>
      <c r="Q147" s="10"/>
      <c r="S147" s="10"/>
      <c r="T147" s="10"/>
      <c r="U147" s="257"/>
      <c r="V147" s="10"/>
    </row>
    <row r="148" spans="16:22" x14ac:dyDescent="0.2">
      <c r="P148" s="10"/>
      <c r="Q148" s="10"/>
      <c r="S148" s="10"/>
      <c r="T148" s="10"/>
      <c r="U148" s="257"/>
      <c r="V148" s="10"/>
    </row>
    <row r="149" spans="16:22" x14ac:dyDescent="0.2">
      <c r="P149" s="10"/>
      <c r="Q149" s="10"/>
      <c r="S149" s="10"/>
      <c r="T149" s="10"/>
      <c r="U149" s="257"/>
      <c r="V149" s="10"/>
    </row>
    <row r="150" spans="16:22" x14ac:dyDescent="0.2">
      <c r="P150" s="10"/>
      <c r="Q150" s="10"/>
      <c r="S150" s="10"/>
      <c r="T150" s="10"/>
      <c r="U150" s="257"/>
      <c r="V150" s="10"/>
    </row>
    <row r="151" spans="16:22" x14ac:dyDescent="0.2">
      <c r="P151" s="10"/>
      <c r="Q151" s="10"/>
      <c r="S151" s="10"/>
      <c r="T151" s="10"/>
      <c r="U151" s="257"/>
      <c r="V151" s="10"/>
    </row>
    <row r="152" spans="16:22" x14ac:dyDescent="0.2">
      <c r="P152" s="10"/>
      <c r="Q152" s="10"/>
      <c r="S152" s="10"/>
      <c r="T152" s="10"/>
      <c r="U152" s="257"/>
      <c r="V152" s="10"/>
    </row>
    <row r="153" spans="16:22" x14ac:dyDescent="0.2">
      <c r="P153" s="10"/>
      <c r="Q153" s="10"/>
      <c r="S153" s="10"/>
      <c r="T153" s="10"/>
      <c r="U153" s="257"/>
      <c r="V153" s="10"/>
    </row>
    <row r="154" spans="16:22" x14ac:dyDescent="0.2">
      <c r="P154" s="10"/>
      <c r="Q154" s="10"/>
      <c r="S154" s="10"/>
      <c r="T154" s="10"/>
      <c r="U154" s="257"/>
      <c r="V154" s="10"/>
    </row>
    <row r="155" spans="16:22" x14ac:dyDescent="0.2">
      <c r="P155" s="10"/>
      <c r="Q155" s="10"/>
      <c r="S155" s="10"/>
      <c r="T155" s="10"/>
      <c r="U155" s="257"/>
      <c r="V155" s="10"/>
    </row>
    <row r="156" spans="16:22" x14ac:dyDescent="0.2">
      <c r="P156" s="10"/>
      <c r="Q156" s="10"/>
      <c r="S156" s="10"/>
      <c r="T156" s="10"/>
      <c r="U156" s="257"/>
      <c r="V156" s="10"/>
    </row>
    <row r="157" spans="16:22" x14ac:dyDescent="0.2">
      <c r="P157" s="10"/>
      <c r="Q157" s="10"/>
      <c r="S157" s="10"/>
      <c r="T157" s="10"/>
      <c r="U157" s="257"/>
      <c r="V157" s="10"/>
    </row>
    <row r="158" spans="16:22" x14ac:dyDescent="0.2">
      <c r="P158" s="10"/>
      <c r="Q158" s="10"/>
      <c r="S158" s="10"/>
      <c r="T158" s="10"/>
      <c r="U158" s="257"/>
      <c r="V158" s="10"/>
    </row>
    <row r="159" spans="16:22" x14ac:dyDescent="0.2">
      <c r="P159" s="10"/>
      <c r="Q159" s="10"/>
      <c r="S159" s="10"/>
      <c r="T159" s="10"/>
      <c r="U159" s="257"/>
      <c r="V159" s="10"/>
    </row>
    <row r="160" spans="16:22" x14ac:dyDescent="0.2">
      <c r="P160" s="10"/>
      <c r="Q160" s="10"/>
      <c r="S160" s="10"/>
      <c r="T160" s="10"/>
      <c r="U160" s="257"/>
      <c r="V160" s="10"/>
    </row>
    <row r="161" spans="16:22" x14ac:dyDescent="0.2">
      <c r="P161" s="10"/>
      <c r="Q161" s="10"/>
      <c r="S161" s="10"/>
      <c r="T161" s="10"/>
      <c r="U161" s="257"/>
      <c r="V161" s="10"/>
    </row>
    <row r="162" spans="16:22" x14ac:dyDescent="0.2">
      <c r="P162" s="10"/>
      <c r="Q162" s="10"/>
      <c r="S162" s="10"/>
      <c r="T162" s="10"/>
      <c r="U162" s="257"/>
      <c r="V162" s="10"/>
    </row>
    <row r="163" spans="16:22" x14ac:dyDescent="0.2">
      <c r="P163" s="10"/>
      <c r="Q163" s="10"/>
      <c r="S163" s="10"/>
      <c r="T163" s="10"/>
      <c r="U163" s="257"/>
      <c r="V163" s="10"/>
    </row>
    <row r="164" spans="16:22" x14ac:dyDescent="0.2">
      <c r="P164" s="10"/>
      <c r="Q164" s="10"/>
      <c r="S164" s="10"/>
      <c r="T164" s="10"/>
      <c r="U164" s="257"/>
    </row>
    <row r="165" spans="16:22" x14ac:dyDescent="0.2">
      <c r="P165" s="10"/>
      <c r="Q165" s="10"/>
      <c r="S165" s="10"/>
      <c r="T165" s="10"/>
      <c r="U165" s="257"/>
    </row>
    <row r="166" spans="16:22" x14ac:dyDescent="0.2">
      <c r="P166" s="10"/>
      <c r="Q166" s="10"/>
      <c r="S166" s="10"/>
      <c r="T166" s="10"/>
      <c r="U166" s="257"/>
    </row>
    <row r="167" spans="16:22" x14ac:dyDescent="0.2">
      <c r="P167" s="10"/>
      <c r="Q167" s="10"/>
      <c r="S167" s="10"/>
      <c r="T167" s="10"/>
      <c r="U167" s="257"/>
    </row>
    <row r="168" spans="16:22" x14ac:dyDescent="0.2">
      <c r="P168" s="10"/>
      <c r="Q168" s="10"/>
      <c r="S168" s="10"/>
      <c r="T168" s="10"/>
      <c r="U168" s="257"/>
    </row>
    <row r="169" spans="16:22" x14ac:dyDescent="0.2">
      <c r="P169" s="10"/>
      <c r="Q169" s="10"/>
      <c r="S169" s="10"/>
      <c r="T169" s="10"/>
      <c r="U169" s="257"/>
    </row>
    <row r="170" spans="16:22" x14ac:dyDescent="0.2">
      <c r="P170" s="10"/>
      <c r="Q170" s="10"/>
      <c r="S170" s="10"/>
      <c r="T170" s="10"/>
      <c r="U170" s="257"/>
    </row>
    <row r="171" spans="16:22" x14ac:dyDescent="0.2">
      <c r="P171" s="10"/>
      <c r="Q171" s="10"/>
      <c r="S171" s="10"/>
      <c r="T171" s="10"/>
      <c r="U171" s="257"/>
    </row>
  </sheetData>
  <mergeCells count="2">
    <mergeCell ref="D1:U1"/>
    <mergeCell ref="D2:U2"/>
  </mergeCells>
  <phoneticPr fontId="15" type="noConversion"/>
  <pageMargins left="0.23622047244094491" right="0.23622047244094491" top="0.74803149606299213" bottom="0.74803149606299213" header="0.31496062992125984" footer="0.31496062992125984"/>
  <pageSetup paperSize="9" scale="54" fitToHeight="3" orientation="landscape" horizontalDpi="0" verticalDpi="0" r:id="rId1"/>
  <headerFooter>
    <oddFooter>&amp;Z&amp;F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41"/>
  <sheetViews>
    <sheetView workbookViewId="0">
      <selection activeCell="G12" sqref="G12"/>
    </sheetView>
  </sheetViews>
  <sheetFormatPr defaultColWidth="9.140625" defaultRowHeight="12.75" x14ac:dyDescent="0.2"/>
  <cols>
    <col min="1" max="1" width="20.7109375" style="132" customWidth="1"/>
    <col min="2" max="2" width="9.140625" style="132"/>
    <col min="3" max="3" width="10.5703125" style="132" bestFit="1" customWidth="1"/>
    <col min="4" max="4" width="4" style="132" bestFit="1" customWidth="1"/>
    <col min="5" max="5" width="78.28515625" style="132" bestFit="1" customWidth="1"/>
    <col min="6" max="6" width="12.7109375" style="134" bestFit="1" customWidth="1"/>
    <col min="7" max="7" width="13.140625" style="134" bestFit="1" customWidth="1"/>
    <col min="8" max="8" width="12.7109375" style="134" bestFit="1" customWidth="1"/>
    <col min="9" max="9" width="13.7109375" style="132" bestFit="1" customWidth="1"/>
    <col min="10" max="10" width="13.42578125" style="132" bestFit="1" customWidth="1"/>
    <col min="11" max="11" width="11.140625" style="132" bestFit="1" customWidth="1"/>
    <col min="12" max="16384" width="9.140625" style="132"/>
  </cols>
  <sheetData>
    <row r="1" spans="1:8" ht="15" x14ac:dyDescent="0.25">
      <c r="B1" s="133" t="s">
        <v>1826</v>
      </c>
    </row>
    <row r="2" spans="1:8" ht="15" x14ac:dyDescent="0.25">
      <c r="C2" s="135">
        <v>43435</v>
      </c>
      <c r="E2" s="133" t="s">
        <v>1827</v>
      </c>
      <c r="G2" s="136">
        <v>1927580.47</v>
      </c>
    </row>
    <row r="3" spans="1:8" ht="15" x14ac:dyDescent="0.25">
      <c r="C3" s="135"/>
      <c r="E3" s="137" t="s">
        <v>1828</v>
      </c>
    </row>
    <row r="4" spans="1:8" ht="15" x14ac:dyDescent="0.25">
      <c r="A4" s="132" t="s">
        <v>1829</v>
      </c>
      <c r="C4" s="135">
        <v>43439</v>
      </c>
      <c r="E4" s="138" t="s">
        <v>1830</v>
      </c>
      <c r="F4" s="139">
        <f>307.67-215.38</f>
        <v>92.29000000000002</v>
      </c>
      <c r="G4" s="132"/>
    </row>
    <row r="5" spans="1:8" ht="15" x14ac:dyDescent="0.25">
      <c r="A5" s="132" t="s">
        <v>1831</v>
      </c>
      <c r="C5" s="135">
        <v>43439</v>
      </c>
      <c r="E5" s="138" t="s">
        <v>1832</v>
      </c>
      <c r="F5" s="139">
        <v>12180</v>
      </c>
      <c r="G5" s="132"/>
    </row>
    <row r="6" spans="1:8" ht="15" x14ac:dyDescent="0.25">
      <c r="A6" s="132" t="s">
        <v>1833</v>
      </c>
      <c r="C6" s="135">
        <v>43454</v>
      </c>
      <c r="E6" s="138" t="s">
        <v>1834</v>
      </c>
      <c r="F6" s="139">
        <v>4621.1499999999996</v>
      </c>
      <c r="G6" s="132"/>
    </row>
    <row r="7" spans="1:8" ht="15" x14ac:dyDescent="0.25">
      <c r="A7" s="132" t="s">
        <v>1835</v>
      </c>
      <c r="C7" s="135">
        <v>43467</v>
      </c>
      <c r="E7" s="138" t="s">
        <v>1836</v>
      </c>
      <c r="F7" s="139">
        <v>635.24</v>
      </c>
      <c r="G7" s="132"/>
    </row>
    <row r="8" spans="1:8" ht="15" x14ac:dyDescent="0.25">
      <c r="A8" s="132" t="s">
        <v>1831</v>
      </c>
      <c r="C8" s="135">
        <v>43473</v>
      </c>
      <c r="E8" s="138" t="s">
        <v>1832</v>
      </c>
      <c r="F8" s="139">
        <v>10500</v>
      </c>
      <c r="G8" s="132"/>
    </row>
    <row r="9" spans="1:8" ht="15" x14ac:dyDescent="0.25">
      <c r="A9" s="132" t="s">
        <v>1835</v>
      </c>
      <c r="C9" s="135">
        <v>43475</v>
      </c>
      <c r="E9" s="138" t="s">
        <v>1836</v>
      </c>
      <c r="F9" s="139">
        <v>517.32000000000005</v>
      </c>
      <c r="G9" s="132"/>
    </row>
    <row r="10" spans="1:8" x14ac:dyDescent="0.2">
      <c r="A10" s="132" t="s">
        <v>1892</v>
      </c>
      <c r="C10" s="135">
        <v>43446</v>
      </c>
      <c r="E10" s="132" t="s">
        <v>1923</v>
      </c>
      <c r="F10" s="141">
        <f>9818.64-8812.7-6873.05+6168.89</f>
        <v>301.77999999999884</v>
      </c>
      <c r="G10" s="132"/>
      <c r="H10" s="132"/>
    </row>
    <row r="11" spans="1:8" ht="15" x14ac:dyDescent="0.25">
      <c r="A11" s="132" t="s">
        <v>1833</v>
      </c>
      <c r="C11" s="135">
        <v>43502</v>
      </c>
      <c r="E11" s="138" t="s">
        <v>1837</v>
      </c>
      <c r="F11" s="139">
        <v>2178.92</v>
      </c>
      <c r="G11" s="132"/>
    </row>
    <row r="12" spans="1:8" ht="15" x14ac:dyDescent="0.25">
      <c r="C12" s="135"/>
      <c r="E12" s="138"/>
      <c r="F12" s="140"/>
      <c r="G12" s="134">
        <f>SUM(F4:F12)</f>
        <v>31026.700000000004</v>
      </c>
      <c r="H12" s="132"/>
    </row>
    <row r="13" spans="1:8" ht="15" x14ac:dyDescent="0.25">
      <c r="C13" s="135"/>
      <c r="E13" s="137" t="s">
        <v>1838</v>
      </c>
      <c r="F13" s="141"/>
      <c r="H13" s="132"/>
    </row>
    <row r="14" spans="1:8" ht="15" x14ac:dyDescent="0.25">
      <c r="A14" s="132" t="s">
        <v>1839</v>
      </c>
      <c r="C14" s="135">
        <v>43462</v>
      </c>
      <c r="E14" s="138" t="s">
        <v>1840</v>
      </c>
      <c r="F14" s="141">
        <f>1550+1215</f>
        <v>2765</v>
      </c>
      <c r="H14" s="132"/>
    </row>
    <row r="15" spans="1:8" ht="15" x14ac:dyDescent="0.25">
      <c r="A15" s="132" t="s">
        <v>1841</v>
      </c>
      <c r="C15" s="135">
        <v>43497</v>
      </c>
      <c r="E15" s="138" t="s">
        <v>1842</v>
      </c>
      <c r="F15" s="141">
        <v>1495</v>
      </c>
      <c r="H15" s="132"/>
    </row>
    <row r="16" spans="1:8" ht="15" x14ac:dyDescent="0.25">
      <c r="A16" s="132" t="s">
        <v>1841</v>
      </c>
      <c r="C16" s="135">
        <v>43497</v>
      </c>
      <c r="E16" s="138" t="s">
        <v>1843</v>
      </c>
      <c r="F16" s="141">
        <v>2242.5</v>
      </c>
      <c r="H16" s="132"/>
    </row>
    <row r="17" spans="1:8" ht="15" x14ac:dyDescent="0.25">
      <c r="A17" s="132" t="s">
        <v>1844</v>
      </c>
      <c r="C17" s="135">
        <v>43507</v>
      </c>
      <c r="E17" s="138" t="s">
        <v>1845</v>
      </c>
      <c r="F17" s="141">
        <v>762.5</v>
      </c>
      <c r="H17" s="132"/>
    </row>
    <row r="18" spans="1:8" ht="15" x14ac:dyDescent="0.25">
      <c r="A18" s="132" t="s">
        <v>1841</v>
      </c>
      <c r="C18" s="135">
        <v>43524</v>
      </c>
      <c r="E18" s="138" t="s">
        <v>1846</v>
      </c>
      <c r="F18" s="141">
        <v>585</v>
      </c>
      <c r="H18" s="132"/>
    </row>
    <row r="19" spans="1:8" ht="15" x14ac:dyDescent="0.25">
      <c r="A19" s="132" t="s">
        <v>1833</v>
      </c>
      <c r="C19" s="135">
        <v>43524</v>
      </c>
      <c r="E19" s="138" t="s">
        <v>1847</v>
      </c>
      <c r="F19" s="141">
        <v>3342.22</v>
      </c>
      <c r="H19" s="132"/>
    </row>
    <row r="20" spans="1:8" ht="15" x14ac:dyDescent="0.25">
      <c r="A20" s="132" t="s">
        <v>1848</v>
      </c>
      <c r="C20" s="135">
        <v>43531</v>
      </c>
      <c r="E20" s="138" t="s">
        <v>1849</v>
      </c>
      <c r="F20" s="141">
        <v>210</v>
      </c>
      <c r="H20" s="132"/>
    </row>
    <row r="21" spans="1:8" x14ac:dyDescent="0.2">
      <c r="A21" s="132" t="s">
        <v>1833</v>
      </c>
      <c r="C21" s="135">
        <v>43480</v>
      </c>
      <c r="E21" s="155" t="s">
        <v>2038</v>
      </c>
      <c r="F21" s="141">
        <v>1593.04</v>
      </c>
      <c r="G21" s="141"/>
      <c r="H21" s="132"/>
    </row>
    <row r="22" spans="1:8" ht="15" x14ac:dyDescent="0.25">
      <c r="A22" s="132" t="s">
        <v>1850</v>
      </c>
      <c r="C22" s="135">
        <v>43566</v>
      </c>
      <c r="E22" s="138" t="s">
        <v>1851</v>
      </c>
      <c r="F22" s="141">
        <v>490</v>
      </c>
      <c r="H22" s="132"/>
    </row>
    <row r="23" spans="1:8" ht="15" x14ac:dyDescent="0.25">
      <c r="C23" s="135"/>
      <c r="E23" s="138"/>
      <c r="F23" s="140"/>
      <c r="G23" s="134">
        <f>SUM(F14:F23)</f>
        <v>13485.259999999998</v>
      </c>
      <c r="H23" s="132"/>
    </row>
    <row r="24" spans="1:8" ht="15" x14ac:dyDescent="0.25">
      <c r="C24" s="135"/>
      <c r="E24" s="137" t="s">
        <v>1852</v>
      </c>
    </row>
    <row r="25" spans="1:8" ht="15" x14ac:dyDescent="0.25">
      <c r="A25" s="132" t="s">
        <v>1853</v>
      </c>
      <c r="C25" s="135">
        <v>43480</v>
      </c>
      <c r="E25" s="138" t="s">
        <v>1854</v>
      </c>
      <c r="F25" s="139">
        <f>2484+426+297</f>
        <v>3207</v>
      </c>
      <c r="G25" s="132"/>
      <c r="H25" s="132"/>
    </row>
    <row r="26" spans="1:8" ht="15" x14ac:dyDescent="0.25">
      <c r="A26" s="132" t="s">
        <v>1841</v>
      </c>
      <c r="C26" s="135">
        <v>43497</v>
      </c>
      <c r="E26" s="138" t="s">
        <v>1855</v>
      </c>
      <c r="F26" s="134">
        <v>3640</v>
      </c>
    </row>
    <row r="27" spans="1:8" ht="15" x14ac:dyDescent="0.25">
      <c r="A27" s="132" t="s">
        <v>1841</v>
      </c>
      <c r="C27" s="135">
        <v>43497</v>
      </c>
      <c r="E27" s="138" t="s">
        <v>1856</v>
      </c>
      <c r="F27" s="134">
        <v>2535</v>
      </c>
    </row>
    <row r="28" spans="1:8" ht="15" x14ac:dyDescent="0.25">
      <c r="A28" s="132" t="s">
        <v>1841</v>
      </c>
      <c r="C28" s="135">
        <v>43524</v>
      </c>
      <c r="E28" s="138" t="s">
        <v>1900</v>
      </c>
      <c r="F28" s="141">
        <v>4517.5</v>
      </c>
      <c r="G28" s="132"/>
      <c r="H28" s="132"/>
    </row>
    <row r="29" spans="1:8" ht="15" x14ac:dyDescent="0.25">
      <c r="A29" s="132" t="s">
        <v>1841</v>
      </c>
      <c r="C29" s="135">
        <v>43524</v>
      </c>
      <c r="E29" s="138" t="s">
        <v>1883</v>
      </c>
      <c r="F29" s="142">
        <v>1560</v>
      </c>
      <c r="G29" s="132"/>
      <c r="H29" s="132"/>
    </row>
    <row r="30" spans="1:8" x14ac:dyDescent="0.2">
      <c r="A30" s="132" t="s">
        <v>1841</v>
      </c>
      <c r="C30" s="135">
        <v>43585</v>
      </c>
      <c r="E30" s="132" t="s">
        <v>1944</v>
      </c>
      <c r="F30" s="141">
        <v>5232.5</v>
      </c>
      <c r="G30" s="141"/>
      <c r="H30" s="132"/>
    </row>
    <row r="31" spans="1:8" ht="15" x14ac:dyDescent="0.25">
      <c r="A31" s="132" t="s">
        <v>1841</v>
      </c>
      <c r="C31" s="135">
        <v>43524</v>
      </c>
      <c r="E31" s="138" t="s">
        <v>1857</v>
      </c>
      <c r="F31" s="154">
        <v>3217.5</v>
      </c>
    </row>
    <row r="32" spans="1:8" ht="15" x14ac:dyDescent="0.25">
      <c r="C32" s="135"/>
      <c r="E32" s="138"/>
      <c r="F32" s="148"/>
      <c r="G32" s="134">
        <f>SUM(F25:F31)</f>
        <v>23909.5</v>
      </c>
    </row>
    <row r="33" spans="1:8" ht="15" x14ac:dyDescent="0.25">
      <c r="C33" s="135"/>
      <c r="E33" s="138"/>
    </row>
    <row r="34" spans="1:8" ht="15" x14ac:dyDescent="0.25">
      <c r="C34" s="135"/>
      <c r="E34" s="137" t="s">
        <v>53</v>
      </c>
    </row>
    <row r="35" spans="1:8" ht="15" x14ac:dyDescent="0.25">
      <c r="A35" s="132" t="s">
        <v>1858</v>
      </c>
      <c r="C35" s="135">
        <v>43447</v>
      </c>
      <c r="E35" s="138" t="s">
        <v>1859</v>
      </c>
      <c r="F35" s="141">
        <v>681.4</v>
      </c>
      <c r="G35" s="132"/>
      <c r="H35" s="132"/>
    </row>
    <row r="36" spans="1:8" ht="15" x14ac:dyDescent="0.25">
      <c r="A36" s="132" t="s">
        <v>1853</v>
      </c>
      <c r="C36" s="135">
        <v>43451</v>
      </c>
      <c r="E36" s="138" t="s">
        <v>1859</v>
      </c>
      <c r="F36" s="141">
        <v>1044</v>
      </c>
      <c r="G36" s="132"/>
      <c r="H36" s="132"/>
    </row>
    <row r="37" spans="1:8" ht="15" x14ac:dyDescent="0.25">
      <c r="A37" s="132" t="s">
        <v>1858</v>
      </c>
      <c r="C37" s="135">
        <v>43494</v>
      </c>
      <c r="E37" s="138" t="s">
        <v>1859</v>
      </c>
      <c r="F37" s="141">
        <v>760</v>
      </c>
      <c r="G37" s="132"/>
      <c r="H37" s="132"/>
    </row>
    <row r="38" spans="1:8" ht="15" x14ac:dyDescent="0.25">
      <c r="A38" s="132" t="s">
        <v>1860</v>
      </c>
      <c r="C38" s="135">
        <v>43495</v>
      </c>
      <c r="E38" s="138" t="s">
        <v>1861</v>
      </c>
      <c r="F38" s="141">
        <v>130</v>
      </c>
      <c r="G38" s="132"/>
      <c r="H38" s="132"/>
    </row>
    <row r="39" spans="1:8" ht="15" x14ac:dyDescent="0.25">
      <c r="A39" s="132" t="s">
        <v>1841</v>
      </c>
      <c r="C39" s="135">
        <v>43497</v>
      </c>
      <c r="E39" s="138" t="s">
        <v>1862</v>
      </c>
      <c r="F39" s="141">
        <v>3087.5</v>
      </c>
      <c r="G39" s="132"/>
      <c r="H39" s="132"/>
    </row>
    <row r="40" spans="1:8" ht="15" x14ac:dyDescent="0.25">
      <c r="A40" s="132" t="s">
        <v>1853</v>
      </c>
      <c r="C40" s="135">
        <v>43515</v>
      </c>
      <c r="E40" s="138" t="s">
        <v>1863</v>
      </c>
      <c r="F40" s="141">
        <v>1511.2</v>
      </c>
      <c r="G40" s="132"/>
      <c r="H40" s="132"/>
    </row>
    <row r="41" spans="1:8" ht="15" x14ac:dyDescent="0.25">
      <c r="A41" s="132" t="s">
        <v>1858</v>
      </c>
      <c r="C41" s="135">
        <v>43538</v>
      </c>
      <c r="E41" s="138" t="s">
        <v>1864</v>
      </c>
      <c r="F41" s="139">
        <v>3340</v>
      </c>
      <c r="G41" s="132"/>
      <c r="H41" s="132"/>
    </row>
    <row r="42" spans="1:8" ht="15" x14ac:dyDescent="0.25">
      <c r="A42" s="132" t="s">
        <v>1865</v>
      </c>
      <c r="C42" s="135">
        <v>43542</v>
      </c>
      <c r="E42" s="138" t="s">
        <v>1866</v>
      </c>
      <c r="F42" s="141">
        <v>1210.5</v>
      </c>
      <c r="G42" s="132"/>
      <c r="H42" s="132"/>
    </row>
    <row r="43" spans="1:8" ht="15" x14ac:dyDescent="0.25">
      <c r="A43" s="132" t="s">
        <v>1865</v>
      </c>
      <c r="C43" s="135">
        <v>43543</v>
      </c>
      <c r="E43" s="138" t="s">
        <v>1867</v>
      </c>
      <c r="F43" s="141">
        <f>1487.46-263.76</f>
        <v>1223.7</v>
      </c>
      <c r="G43" s="132"/>
      <c r="H43" s="132"/>
    </row>
    <row r="44" spans="1:8" ht="15" x14ac:dyDescent="0.25">
      <c r="A44" s="132" t="s">
        <v>1860</v>
      </c>
      <c r="C44" s="135">
        <v>43545</v>
      </c>
      <c r="E44" s="138" t="s">
        <v>1861</v>
      </c>
      <c r="F44" s="141">
        <v>640</v>
      </c>
      <c r="G44" s="132"/>
      <c r="H44" s="132"/>
    </row>
    <row r="45" spans="1:8" ht="15" x14ac:dyDescent="0.25">
      <c r="A45" s="132" t="s">
        <v>1858</v>
      </c>
      <c r="C45" s="135">
        <v>43549</v>
      </c>
      <c r="E45" s="138" t="s">
        <v>1868</v>
      </c>
      <c r="F45" s="141">
        <v>1830</v>
      </c>
      <c r="G45" s="132"/>
      <c r="H45" s="132"/>
    </row>
    <row r="46" spans="1:8" ht="15" x14ac:dyDescent="0.25">
      <c r="A46" s="132" t="s">
        <v>1841</v>
      </c>
      <c r="C46" s="135">
        <v>43555</v>
      </c>
      <c r="E46" s="138" t="s">
        <v>1869</v>
      </c>
      <c r="F46" s="141">
        <v>6110</v>
      </c>
      <c r="G46" s="132"/>
      <c r="H46" s="132"/>
    </row>
    <row r="47" spans="1:8" ht="15" x14ac:dyDescent="0.25">
      <c r="A47" s="132" t="s">
        <v>1860</v>
      </c>
      <c r="C47" s="135">
        <v>43558</v>
      </c>
      <c r="E47" s="138" t="s">
        <v>1861</v>
      </c>
      <c r="F47" s="141">
        <v>510</v>
      </c>
      <c r="G47" s="132"/>
      <c r="H47" s="132"/>
    </row>
    <row r="48" spans="1:8" ht="15" x14ac:dyDescent="0.25">
      <c r="A48" s="132" t="s">
        <v>1853</v>
      </c>
      <c r="C48" s="135">
        <v>43567</v>
      </c>
      <c r="E48" s="138" t="s">
        <v>1870</v>
      </c>
      <c r="F48" s="141">
        <v>2570.6999999999998</v>
      </c>
      <c r="G48" s="132"/>
      <c r="H48" s="132"/>
    </row>
    <row r="49" spans="1:8" ht="15" x14ac:dyDescent="0.25">
      <c r="A49" s="132" t="s">
        <v>1841</v>
      </c>
      <c r="C49" s="135">
        <v>43585</v>
      </c>
      <c r="E49" s="138" t="s">
        <v>1871</v>
      </c>
      <c r="F49" s="141">
        <v>1722.5</v>
      </c>
      <c r="G49" s="132"/>
      <c r="H49" s="132"/>
    </row>
    <row r="50" spans="1:8" ht="15" x14ac:dyDescent="0.25">
      <c r="A50" s="132" t="s">
        <v>1865</v>
      </c>
      <c r="C50" s="135">
        <v>43622</v>
      </c>
      <c r="E50" s="138" t="s">
        <v>1872</v>
      </c>
      <c r="F50" s="141">
        <v>769</v>
      </c>
      <c r="G50" s="132"/>
      <c r="H50" s="132"/>
    </row>
    <row r="51" spans="1:8" ht="15" x14ac:dyDescent="0.25">
      <c r="A51" s="132" t="s">
        <v>1858</v>
      </c>
      <c r="C51" s="135">
        <v>43622</v>
      </c>
      <c r="E51" s="138" t="s">
        <v>1873</v>
      </c>
      <c r="F51" s="141">
        <v>534.45000000000005</v>
      </c>
      <c r="G51" s="132"/>
      <c r="H51" s="132"/>
    </row>
    <row r="52" spans="1:8" ht="15" x14ac:dyDescent="0.25">
      <c r="A52" s="132" t="s">
        <v>1860</v>
      </c>
      <c r="C52" s="135">
        <v>43640</v>
      </c>
      <c r="E52" s="138" t="s">
        <v>1861</v>
      </c>
      <c r="F52" s="141">
        <v>240</v>
      </c>
      <c r="G52" s="132"/>
      <c r="H52" s="132"/>
    </row>
    <row r="53" spans="1:8" ht="15" x14ac:dyDescent="0.25">
      <c r="A53" s="132" t="s">
        <v>1853</v>
      </c>
      <c r="C53" s="135">
        <v>43567</v>
      </c>
      <c r="E53" s="138" t="s">
        <v>2098</v>
      </c>
      <c r="F53" s="141">
        <v>1394.2</v>
      </c>
      <c r="G53" s="132"/>
      <c r="H53" s="132"/>
    </row>
    <row r="54" spans="1:8" ht="15" x14ac:dyDescent="0.25">
      <c r="C54" s="135"/>
      <c r="E54" s="138"/>
      <c r="F54" s="140"/>
      <c r="G54" s="134">
        <f>SUM(F35:F54)</f>
        <v>29309.15</v>
      </c>
      <c r="H54" s="132"/>
    </row>
    <row r="55" spans="1:8" ht="15" x14ac:dyDescent="0.25">
      <c r="C55" s="135"/>
      <c r="E55" s="138"/>
      <c r="F55" s="141"/>
      <c r="H55" s="132"/>
    </row>
    <row r="56" spans="1:8" ht="15" x14ac:dyDescent="0.25">
      <c r="C56" s="135"/>
      <c r="E56" s="137" t="s">
        <v>1874</v>
      </c>
      <c r="F56" s="141"/>
      <c r="G56" s="139"/>
      <c r="H56" s="132"/>
    </row>
    <row r="57" spans="1:8" ht="15" x14ac:dyDescent="0.25">
      <c r="A57" s="132" t="s">
        <v>1875</v>
      </c>
      <c r="C57" s="135">
        <v>43617</v>
      </c>
      <c r="E57" s="138" t="s">
        <v>1876</v>
      </c>
      <c r="F57" s="139">
        <v>38976.42</v>
      </c>
      <c r="G57" s="132"/>
      <c r="H57" s="132"/>
    </row>
    <row r="58" spans="1:8" ht="15" x14ac:dyDescent="0.25">
      <c r="C58" s="135"/>
      <c r="E58" s="138"/>
      <c r="F58" s="140"/>
      <c r="G58" s="139">
        <f>SUM(F57:F58)</f>
        <v>38976.42</v>
      </c>
      <c r="H58" s="132"/>
    </row>
    <row r="59" spans="1:8" ht="15" x14ac:dyDescent="0.25">
      <c r="C59" s="135"/>
      <c r="E59" s="137" t="s">
        <v>1877</v>
      </c>
      <c r="F59" s="132"/>
      <c r="G59" s="141"/>
      <c r="H59" s="132"/>
    </row>
    <row r="60" spans="1:8" ht="15" x14ac:dyDescent="0.25">
      <c r="A60" s="132" t="s">
        <v>1878</v>
      </c>
      <c r="C60" s="135">
        <v>43451</v>
      </c>
      <c r="E60" s="138" t="s">
        <v>1879</v>
      </c>
      <c r="F60" s="142">
        <v>740</v>
      </c>
      <c r="G60" s="141"/>
      <c r="H60" s="132"/>
    </row>
    <row r="61" spans="1:8" ht="15" x14ac:dyDescent="0.25">
      <c r="A61" s="132" t="s">
        <v>1880</v>
      </c>
      <c r="C61" s="135">
        <v>43479</v>
      </c>
      <c r="E61" s="138" t="s">
        <v>1881</v>
      </c>
      <c r="F61" s="142">
        <v>11780</v>
      </c>
      <c r="G61" s="141"/>
      <c r="H61" s="132"/>
    </row>
    <row r="62" spans="1:8" ht="15" x14ac:dyDescent="0.25">
      <c r="A62" s="132" t="s">
        <v>1841</v>
      </c>
      <c r="C62" s="135">
        <v>43497</v>
      </c>
      <c r="E62" s="138" t="s">
        <v>1882</v>
      </c>
      <c r="F62" s="144">
        <v>1560</v>
      </c>
      <c r="G62" s="151">
        <f>SUM(F60:F62)</f>
        <v>14080</v>
      </c>
      <c r="H62" s="132">
        <f>SUM(G4:G62)</f>
        <v>150787.03000000003</v>
      </c>
    </row>
    <row r="63" spans="1:8" ht="15" x14ac:dyDescent="0.25">
      <c r="C63" s="135"/>
      <c r="E63" s="138"/>
      <c r="F63" s="152"/>
      <c r="G63" s="151"/>
      <c r="H63" s="132"/>
    </row>
    <row r="64" spans="1:8" ht="15" x14ac:dyDescent="0.25">
      <c r="C64" s="135"/>
      <c r="E64" s="138"/>
      <c r="F64" s="141"/>
      <c r="G64" s="143"/>
      <c r="H64" s="132"/>
    </row>
    <row r="65" spans="1:9" ht="15" x14ac:dyDescent="0.25">
      <c r="C65" s="135">
        <v>43635</v>
      </c>
      <c r="D65" s="135"/>
      <c r="E65" s="133" t="s">
        <v>1887</v>
      </c>
      <c r="G65" s="136">
        <f>SUM(G2:G64)</f>
        <v>2078367.4999999998</v>
      </c>
      <c r="I65" s="134"/>
    </row>
    <row r="66" spans="1:9" ht="15" x14ac:dyDescent="0.25">
      <c r="C66" s="135"/>
      <c r="E66" s="138"/>
      <c r="I66" s="134"/>
    </row>
    <row r="67" spans="1:9" ht="15" x14ac:dyDescent="0.25">
      <c r="C67" s="135"/>
      <c r="E67" s="138"/>
    </row>
    <row r="68" spans="1:9" ht="15" x14ac:dyDescent="0.25">
      <c r="B68" s="150" t="s">
        <v>1888</v>
      </c>
    </row>
    <row r="69" spans="1:9" ht="15" x14ac:dyDescent="0.25">
      <c r="C69" s="135">
        <v>43435</v>
      </c>
      <c r="E69" s="133" t="s">
        <v>1827</v>
      </c>
      <c r="G69" s="136">
        <v>4255741.0999999996</v>
      </c>
      <c r="I69" s="134"/>
    </row>
    <row r="70" spans="1:9" ht="15" x14ac:dyDescent="0.25">
      <c r="C70" s="135"/>
      <c r="E70" s="133"/>
      <c r="G70" s="136"/>
    </row>
    <row r="71" spans="1:9" ht="15" x14ac:dyDescent="0.25">
      <c r="C71" s="135"/>
      <c r="E71" s="145" t="s">
        <v>1889</v>
      </c>
    </row>
    <row r="72" spans="1:9" ht="15" x14ac:dyDescent="0.25">
      <c r="A72" s="132" t="s">
        <v>1890</v>
      </c>
      <c r="C72" s="135">
        <v>43517</v>
      </c>
      <c r="E72" s="138" t="s">
        <v>1891</v>
      </c>
      <c r="F72" s="146">
        <v>44500</v>
      </c>
    </row>
    <row r="73" spans="1:9" ht="15" x14ac:dyDescent="0.25">
      <c r="A73" s="132" t="s">
        <v>1908</v>
      </c>
      <c r="C73" s="135">
        <v>43556</v>
      </c>
      <c r="E73" s="138" t="s">
        <v>1910</v>
      </c>
      <c r="F73" s="141">
        <v>9000</v>
      </c>
      <c r="G73" s="132"/>
      <c r="H73" s="132"/>
    </row>
    <row r="74" spans="1:9" x14ac:dyDescent="0.2">
      <c r="A74" s="132" t="s">
        <v>1841</v>
      </c>
      <c r="C74" s="135">
        <v>43585</v>
      </c>
      <c r="E74" s="132" t="s">
        <v>1886</v>
      </c>
      <c r="F74" s="144">
        <v>1300</v>
      </c>
      <c r="G74" s="141">
        <f>SUM(F72:F74)</f>
        <v>54800</v>
      </c>
      <c r="H74" s="132"/>
    </row>
    <row r="75" spans="1:9" ht="15" x14ac:dyDescent="0.25">
      <c r="C75" s="135"/>
      <c r="E75" s="138"/>
      <c r="F75" s="141"/>
      <c r="G75" s="132"/>
      <c r="H75" s="132"/>
    </row>
    <row r="76" spans="1:9" ht="15" x14ac:dyDescent="0.25">
      <c r="C76" s="135"/>
      <c r="E76" s="137" t="s">
        <v>2036</v>
      </c>
      <c r="F76" s="141"/>
      <c r="H76" s="132"/>
    </row>
    <row r="77" spans="1:9" ht="15" x14ac:dyDescent="0.25">
      <c r="A77" s="132" t="s">
        <v>1892</v>
      </c>
      <c r="C77" s="135">
        <v>43445</v>
      </c>
      <c r="E77" s="138" t="s">
        <v>1893</v>
      </c>
      <c r="F77" s="134">
        <f>262762-258744</f>
        <v>4018</v>
      </c>
    </row>
    <row r="78" spans="1:9" ht="15" x14ac:dyDescent="0.25">
      <c r="A78" s="132" t="s">
        <v>1894</v>
      </c>
      <c r="C78" s="135">
        <v>43445</v>
      </c>
      <c r="E78" s="138" t="s">
        <v>1895</v>
      </c>
      <c r="F78" s="134">
        <v>3677.11</v>
      </c>
    </row>
    <row r="79" spans="1:9" ht="15" x14ac:dyDescent="0.25">
      <c r="A79" s="132" t="s">
        <v>1892</v>
      </c>
      <c r="C79" s="135">
        <v>43461</v>
      </c>
      <c r="E79" s="138" t="s">
        <v>1896</v>
      </c>
      <c r="F79" s="134">
        <f>220017-216880</f>
        <v>3137</v>
      </c>
    </row>
    <row r="80" spans="1:9" ht="15" x14ac:dyDescent="0.25">
      <c r="A80" s="132" t="s">
        <v>1894</v>
      </c>
      <c r="C80" s="135">
        <v>43462</v>
      </c>
      <c r="E80" s="138" t="s">
        <v>1897</v>
      </c>
      <c r="F80" s="134">
        <v>2757.83</v>
      </c>
    </row>
    <row r="81" spans="1:11" ht="15" x14ac:dyDescent="0.25">
      <c r="A81" s="132" t="s">
        <v>1841</v>
      </c>
      <c r="C81" s="135">
        <v>43497</v>
      </c>
      <c r="E81" s="138" t="s">
        <v>1898</v>
      </c>
      <c r="F81" s="134">
        <v>1105</v>
      </c>
    </row>
    <row r="82" spans="1:11" ht="15" x14ac:dyDescent="0.25">
      <c r="A82" s="132" t="s">
        <v>1841</v>
      </c>
      <c r="C82" s="135">
        <v>43497</v>
      </c>
      <c r="E82" s="138" t="s">
        <v>1899</v>
      </c>
      <c r="F82" s="148">
        <v>2990</v>
      </c>
      <c r="G82" s="134">
        <f>SUM(F77:F82)</f>
        <v>17684.940000000002</v>
      </c>
    </row>
    <row r="83" spans="1:11" ht="15" x14ac:dyDescent="0.25">
      <c r="C83" s="135"/>
      <c r="E83" s="138"/>
    </row>
    <row r="84" spans="1:11" ht="15" x14ac:dyDescent="0.25">
      <c r="A84" s="132" t="s">
        <v>1903</v>
      </c>
      <c r="C84" s="135">
        <v>43546</v>
      </c>
      <c r="E84" s="138" t="s">
        <v>1904</v>
      </c>
      <c r="F84" s="141">
        <v>135</v>
      </c>
      <c r="G84" s="132"/>
      <c r="H84" s="132"/>
    </row>
    <row r="85" spans="1:11" ht="15" x14ac:dyDescent="0.25">
      <c r="A85" s="132" t="s">
        <v>1905</v>
      </c>
      <c r="C85" s="135">
        <v>43550</v>
      </c>
      <c r="E85" s="138" t="s">
        <v>1906</v>
      </c>
      <c r="F85" s="141">
        <v>1312.51</v>
      </c>
      <c r="G85" s="132"/>
      <c r="H85" s="132"/>
    </row>
    <row r="86" spans="1:11" ht="15" x14ac:dyDescent="0.25">
      <c r="A86" s="132" t="s">
        <v>1841</v>
      </c>
      <c r="C86" s="135">
        <v>43555</v>
      </c>
      <c r="E86" s="138" t="s">
        <v>1907</v>
      </c>
      <c r="F86" s="141">
        <v>2210</v>
      </c>
      <c r="G86" s="132"/>
      <c r="H86" s="132"/>
    </row>
    <row r="87" spans="1:11" ht="15" x14ac:dyDescent="0.25">
      <c r="A87" s="132" t="s">
        <v>1908</v>
      </c>
      <c r="C87" s="135">
        <v>43556</v>
      </c>
      <c r="E87" s="138" t="s">
        <v>1909</v>
      </c>
      <c r="F87" s="141">
        <v>14000</v>
      </c>
      <c r="G87" s="132"/>
      <c r="H87" s="132"/>
    </row>
    <row r="88" spans="1:11" ht="15" x14ac:dyDescent="0.25">
      <c r="A88" s="132" t="s">
        <v>1905</v>
      </c>
      <c r="C88" s="135">
        <v>43572</v>
      </c>
      <c r="E88" s="138" t="s">
        <v>1911</v>
      </c>
      <c r="F88" s="140">
        <v>923.5</v>
      </c>
      <c r="G88" s="141">
        <f>SUM(F84:F88)</f>
        <v>18581.010000000002</v>
      </c>
      <c r="H88" s="132"/>
    </row>
    <row r="89" spans="1:11" ht="15" x14ac:dyDescent="0.25">
      <c r="C89" s="135"/>
      <c r="E89" s="138"/>
      <c r="F89" s="153"/>
      <c r="H89" s="132"/>
    </row>
    <row r="90" spans="1:11" ht="15" x14ac:dyDescent="0.25">
      <c r="A90" s="132" t="s">
        <v>1901</v>
      </c>
      <c r="C90" s="135">
        <v>43538</v>
      </c>
      <c r="E90" s="138" t="s">
        <v>1902</v>
      </c>
      <c r="F90" s="141"/>
      <c r="G90" s="141">
        <v>14614</v>
      </c>
      <c r="H90" s="132"/>
    </row>
    <row r="91" spans="1:11" ht="15" x14ac:dyDescent="0.25">
      <c r="C91" s="135"/>
      <c r="E91" s="138"/>
      <c r="F91" s="141"/>
      <c r="G91" s="132"/>
      <c r="H91" s="132"/>
    </row>
    <row r="92" spans="1:11" ht="15" x14ac:dyDescent="0.25">
      <c r="C92" s="135"/>
      <c r="E92" s="137" t="s">
        <v>1918</v>
      </c>
    </row>
    <row r="93" spans="1:11" ht="15" x14ac:dyDescent="0.25">
      <c r="A93" s="132" t="s">
        <v>1912</v>
      </c>
      <c r="C93" s="135">
        <v>43437</v>
      </c>
      <c r="E93" s="138" t="s">
        <v>1918</v>
      </c>
      <c r="F93" s="134">
        <f>15880+30600</f>
        <v>46480</v>
      </c>
      <c r="K93" s="134"/>
    </row>
    <row r="94" spans="1:11" ht="15" x14ac:dyDescent="0.25">
      <c r="A94" s="132" t="s">
        <v>1912</v>
      </c>
      <c r="C94" s="135">
        <v>43466</v>
      </c>
      <c r="E94" s="138" t="s">
        <v>1913</v>
      </c>
      <c r="F94" s="134">
        <v>15700</v>
      </c>
    </row>
    <row r="95" spans="1:11" ht="15" x14ac:dyDescent="0.25">
      <c r="A95" s="132" t="s">
        <v>1841</v>
      </c>
      <c r="C95" s="135">
        <v>43555</v>
      </c>
      <c r="E95" s="138" t="s">
        <v>1920</v>
      </c>
      <c r="F95" s="148">
        <v>2925</v>
      </c>
      <c r="G95" s="134">
        <f>+F93+F95+F94</f>
        <v>65105</v>
      </c>
    </row>
    <row r="96" spans="1:11" ht="15" x14ac:dyDescent="0.25">
      <c r="C96" s="135"/>
      <c r="E96" s="138"/>
    </row>
    <row r="97" spans="1:8" ht="15" x14ac:dyDescent="0.25">
      <c r="C97" s="135"/>
      <c r="E97" s="137" t="s">
        <v>2061</v>
      </c>
    </row>
    <row r="98" spans="1:8" ht="15" x14ac:dyDescent="0.25">
      <c r="A98" s="132" t="s">
        <v>1912</v>
      </c>
      <c r="C98" s="135">
        <v>43437</v>
      </c>
      <c r="E98" s="138" t="s">
        <v>1919</v>
      </c>
      <c r="F98" s="134">
        <f>13630+18800</f>
        <v>32430</v>
      </c>
    </row>
    <row r="99" spans="1:8" ht="15" x14ac:dyDescent="0.25">
      <c r="A99" s="132" t="s">
        <v>1912</v>
      </c>
      <c r="C99" s="135">
        <v>43466</v>
      </c>
      <c r="E99" s="138" t="s">
        <v>1913</v>
      </c>
      <c r="F99" s="134">
        <v>9700</v>
      </c>
    </row>
    <row r="100" spans="1:8" ht="15" x14ac:dyDescent="0.25">
      <c r="A100" s="132" t="s">
        <v>1841</v>
      </c>
      <c r="C100" s="135">
        <v>43524</v>
      </c>
      <c r="E100" s="138" t="s">
        <v>1884</v>
      </c>
      <c r="F100" s="144">
        <v>650</v>
      </c>
      <c r="G100" s="143">
        <f>+F98+F100+F99</f>
        <v>42780</v>
      </c>
      <c r="H100" s="132"/>
    </row>
    <row r="101" spans="1:8" ht="15" x14ac:dyDescent="0.25">
      <c r="C101" s="135"/>
      <c r="E101" s="138"/>
      <c r="F101" s="152"/>
      <c r="G101" s="143"/>
      <c r="H101" s="132"/>
    </row>
    <row r="102" spans="1:8" ht="15" x14ac:dyDescent="0.25">
      <c r="C102" s="135"/>
      <c r="E102" s="137" t="s">
        <v>2037</v>
      </c>
      <c r="F102" s="152"/>
      <c r="G102" s="143"/>
      <c r="H102" s="132"/>
    </row>
    <row r="103" spans="1:8" x14ac:dyDescent="0.2">
      <c r="A103" s="132" t="s">
        <v>1924</v>
      </c>
      <c r="C103" s="135">
        <v>43454</v>
      </c>
      <c r="E103" s="132" t="s">
        <v>1925</v>
      </c>
      <c r="F103" s="141">
        <f>16470+16470</f>
        <v>32940</v>
      </c>
      <c r="G103" s="132"/>
      <c r="H103" s="132"/>
    </row>
    <row r="104" spans="1:8" x14ac:dyDescent="0.2">
      <c r="A104" s="132" t="s">
        <v>1924</v>
      </c>
      <c r="C104" s="135">
        <v>43487</v>
      </c>
      <c r="E104" s="132" t="s">
        <v>1933</v>
      </c>
      <c r="F104" s="141">
        <v>390</v>
      </c>
      <c r="G104" s="132"/>
      <c r="H104" s="132"/>
    </row>
    <row r="105" spans="1:8" x14ac:dyDescent="0.2">
      <c r="A105" s="132" t="s">
        <v>1924</v>
      </c>
      <c r="C105" s="135">
        <v>43487</v>
      </c>
      <c r="E105" s="132" t="s">
        <v>1934</v>
      </c>
      <c r="F105" s="140">
        <v>180</v>
      </c>
      <c r="G105" s="141">
        <f>SUM(F103:F105)</f>
        <v>33510</v>
      </c>
      <c r="H105" s="132"/>
    </row>
    <row r="106" spans="1:8" x14ac:dyDescent="0.2">
      <c r="C106" s="135"/>
      <c r="F106" s="153"/>
      <c r="G106" s="141"/>
      <c r="H106" s="132"/>
    </row>
    <row r="107" spans="1:8" x14ac:dyDescent="0.2">
      <c r="A107" s="132" t="s">
        <v>1945</v>
      </c>
      <c r="C107" s="135">
        <v>43586</v>
      </c>
      <c r="E107" s="132" t="s">
        <v>1946</v>
      </c>
      <c r="F107" s="139">
        <v>8757.51</v>
      </c>
      <c r="G107" s="132"/>
      <c r="H107" s="132"/>
    </row>
    <row r="108" spans="1:8" x14ac:dyDescent="0.2">
      <c r="A108" s="132" t="s">
        <v>1841</v>
      </c>
      <c r="C108" s="135">
        <v>43524</v>
      </c>
      <c r="E108" s="132" t="s">
        <v>1939</v>
      </c>
      <c r="F108" s="156">
        <v>1527.5</v>
      </c>
      <c r="G108" s="157">
        <f>+F107+F108</f>
        <v>10285.01</v>
      </c>
      <c r="H108" s="132"/>
    </row>
    <row r="109" spans="1:8" ht="15" x14ac:dyDescent="0.25">
      <c r="C109" s="135"/>
      <c r="E109" s="138"/>
    </row>
    <row r="110" spans="1:8" x14ac:dyDescent="0.2">
      <c r="A110" s="132" t="s">
        <v>1916</v>
      </c>
      <c r="C110" s="135">
        <v>43461</v>
      </c>
      <c r="E110" s="132" t="s">
        <v>1926</v>
      </c>
      <c r="F110" s="132"/>
      <c r="G110" s="139">
        <v>2515</v>
      </c>
      <c r="H110" s="132"/>
    </row>
    <row r="111" spans="1:8" ht="15" x14ac:dyDescent="0.25">
      <c r="A111" s="132" t="s">
        <v>1914</v>
      </c>
      <c r="C111" s="135">
        <v>43487</v>
      </c>
      <c r="E111" s="138" t="s">
        <v>1915</v>
      </c>
      <c r="F111" s="134">
        <v>1120.5999999999999</v>
      </c>
      <c r="G111" s="134">
        <v>1120.5999999999999</v>
      </c>
    </row>
    <row r="112" spans="1:8" ht="15" x14ac:dyDescent="0.25">
      <c r="A112" s="132" t="s">
        <v>1916</v>
      </c>
      <c r="C112" s="135">
        <v>43509</v>
      </c>
      <c r="E112" s="138" t="s">
        <v>1917</v>
      </c>
      <c r="F112" s="134">
        <v>4820</v>
      </c>
      <c r="G112" s="134">
        <v>4820</v>
      </c>
    </row>
    <row r="113" spans="1:10" x14ac:dyDescent="0.2">
      <c r="A113" s="132" t="s">
        <v>1929</v>
      </c>
      <c r="C113" s="135">
        <v>43466</v>
      </c>
      <c r="E113" s="132" t="s">
        <v>1930</v>
      </c>
      <c r="F113" s="132"/>
      <c r="G113" s="139">
        <f>2186.43+301.44</f>
        <v>2487.87</v>
      </c>
      <c r="H113" s="132"/>
    </row>
    <row r="114" spans="1:10" x14ac:dyDescent="0.2">
      <c r="A114" s="132" t="s">
        <v>1931</v>
      </c>
      <c r="C114" s="135">
        <v>43476</v>
      </c>
      <c r="E114" s="132" t="s">
        <v>1932</v>
      </c>
      <c r="F114" s="132"/>
      <c r="G114" s="139">
        <v>2305</v>
      </c>
      <c r="H114" s="132"/>
    </row>
    <row r="115" spans="1:10" x14ac:dyDescent="0.2">
      <c r="A115" s="132" t="s">
        <v>1841</v>
      </c>
      <c r="C115" s="135">
        <v>43497</v>
      </c>
      <c r="E115" s="132" t="s">
        <v>1935</v>
      </c>
      <c r="F115" s="132"/>
      <c r="G115" s="139">
        <v>1657.5</v>
      </c>
      <c r="H115" s="132"/>
    </row>
    <row r="116" spans="1:10" x14ac:dyDescent="0.2">
      <c r="A116" s="132" t="s">
        <v>1947</v>
      </c>
      <c r="C116" s="135">
        <v>43627</v>
      </c>
      <c r="E116" s="132" t="s">
        <v>1948</v>
      </c>
      <c r="F116" s="132"/>
      <c r="G116" s="139">
        <v>-7500</v>
      </c>
      <c r="H116" s="132"/>
    </row>
    <row r="117" spans="1:10" x14ac:dyDescent="0.2">
      <c r="A117" s="132" t="s">
        <v>1927</v>
      </c>
      <c r="C117" s="135">
        <v>43466</v>
      </c>
      <c r="E117" s="132" t="s">
        <v>1928</v>
      </c>
      <c r="F117" s="132"/>
      <c r="G117" s="139">
        <v>6500</v>
      </c>
      <c r="H117" s="132"/>
    </row>
    <row r="118" spans="1:10" ht="15" x14ac:dyDescent="0.25">
      <c r="A118" s="132" t="s">
        <v>1927</v>
      </c>
      <c r="C118" s="135">
        <v>43525</v>
      </c>
      <c r="D118" s="132">
        <v>100</v>
      </c>
      <c r="E118" s="138" t="s">
        <v>1994</v>
      </c>
      <c r="G118" s="139">
        <v>6500</v>
      </c>
      <c r="I118" s="157"/>
    </row>
    <row r="119" spans="1:10" x14ac:dyDescent="0.2">
      <c r="C119" s="135"/>
      <c r="F119" s="132"/>
      <c r="G119" s="141"/>
      <c r="H119" s="132"/>
    </row>
    <row r="120" spans="1:10" x14ac:dyDescent="0.2">
      <c r="C120" s="135"/>
      <c r="F120" s="132"/>
      <c r="G120" s="141"/>
      <c r="H120" s="132" t="s">
        <v>2100</v>
      </c>
    </row>
    <row r="121" spans="1:10" ht="15" x14ac:dyDescent="0.25">
      <c r="C121" s="135">
        <v>43635</v>
      </c>
      <c r="D121" s="135"/>
      <c r="E121" s="133" t="s">
        <v>1949</v>
      </c>
      <c r="G121" s="136">
        <f>SUM(G69:G120)</f>
        <v>4533507.0299999993</v>
      </c>
      <c r="H121" s="134">
        <v>64251.719999999994</v>
      </c>
      <c r="I121" s="134">
        <f>+G121-H121</f>
        <v>4469255.3099999996</v>
      </c>
      <c r="J121" s="134">
        <f>+G116-I121</f>
        <v>-4476755.3099999996</v>
      </c>
    </row>
    <row r="122" spans="1:10" x14ac:dyDescent="0.2">
      <c r="C122" s="135"/>
    </row>
    <row r="123" spans="1:10" x14ac:dyDescent="0.2">
      <c r="C123" s="135"/>
      <c r="I123" s="134"/>
    </row>
    <row r="124" spans="1:10" ht="15" x14ac:dyDescent="0.25">
      <c r="B124" s="133" t="s">
        <v>1119</v>
      </c>
      <c r="C124" s="135"/>
      <c r="I124" s="134"/>
    </row>
    <row r="125" spans="1:10" ht="15" x14ac:dyDescent="0.25">
      <c r="C125" s="135">
        <v>43435</v>
      </c>
      <c r="E125" s="133" t="s">
        <v>1827</v>
      </c>
      <c r="G125" s="136">
        <v>413234.21</v>
      </c>
      <c r="I125" s="134"/>
    </row>
    <row r="126" spans="1:10" x14ac:dyDescent="0.2">
      <c r="A126" s="132" t="s">
        <v>1921</v>
      </c>
      <c r="C126" s="135">
        <v>43437</v>
      </c>
      <c r="E126" s="132" t="s">
        <v>1922</v>
      </c>
      <c r="F126" s="132"/>
      <c r="G126" s="139">
        <v>37034</v>
      </c>
      <c r="H126" s="132"/>
    </row>
    <row r="127" spans="1:10" ht="15" x14ac:dyDescent="0.25">
      <c r="A127" s="132" t="s">
        <v>1950</v>
      </c>
      <c r="C127" s="147">
        <v>43497</v>
      </c>
      <c r="E127" s="132" t="s">
        <v>1951</v>
      </c>
      <c r="F127" s="132"/>
      <c r="G127" s="132">
        <v>-21818.18</v>
      </c>
      <c r="H127" s="132"/>
    </row>
    <row r="128" spans="1:10" x14ac:dyDescent="0.2">
      <c r="C128" s="135"/>
      <c r="F128" s="132"/>
      <c r="G128" s="141"/>
      <c r="H128" s="132"/>
    </row>
    <row r="129" spans="1:11" ht="15" x14ac:dyDescent="0.25">
      <c r="C129" s="135">
        <v>43635</v>
      </c>
      <c r="E129" s="133" t="s">
        <v>1949</v>
      </c>
      <c r="G129" s="136">
        <f>SUM(G125:G128)</f>
        <v>428450.03</v>
      </c>
      <c r="I129" s="134"/>
    </row>
    <row r="130" spans="1:11" x14ac:dyDescent="0.2">
      <c r="C130" s="135"/>
      <c r="I130" s="134"/>
    </row>
    <row r="131" spans="1:11" x14ac:dyDescent="0.2">
      <c r="C131" s="135"/>
      <c r="I131" s="134"/>
    </row>
    <row r="132" spans="1:11" ht="15" x14ac:dyDescent="0.25">
      <c r="B132" s="150" t="s">
        <v>1952</v>
      </c>
    </row>
    <row r="133" spans="1:11" ht="15" x14ac:dyDescent="0.25">
      <c r="C133" s="135">
        <v>43435</v>
      </c>
      <c r="E133" s="133" t="s">
        <v>1827</v>
      </c>
      <c r="G133" s="136">
        <v>1486886.89</v>
      </c>
    </row>
    <row r="134" spans="1:11" ht="15" x14ac:dyDescent="0.25">
      <c r="C134" s="135"/>
      <c r="E134" s="137" t="s">
        <v>1953</v>
      </c>
      <c r="I134" s="134" t="s">
        <v>1954</v>
      </c>
    </row>
    <row r="135" spans="1:11" ht="15" x14ac:dyDescent="0.25">
      <c r="A135" s="132" t="s">
        <v>1955</v>
      </c>
      <c r="C135" s="135">
        <v>43438</v>
      </c>
      <c r="D135" s="132">
        <v>134</v>
      </c>
      <c r="E135" s="138" t="s">
        <v>1956</v>
      </c>
      <c r="G135" s="134">
        <f>-3440-1920</f>
        <v>-5360</v>
      </c>
      <c r="I135" s="134">
        <f>G135/D135</f>
        <v>-40</v>
      </c>
      <c r="K135" s="134"/>
    </row>
    <row r="136" spans="1:11" ht="15" x14ac:dyDescent="0.25">
      <c r="A136" s="132" t="s">
        <v>1955</v>
      </c>
      <c r="C136" s="135">
        <v>43507</v>
      </c>
      <c r="D136" s="132">
        <v>48</v>
      </c>
      <c r="E136" s="138" t="s">
        <v>1956</v>
      </c>
      <c r="G136" s="134">
        <v>-1920</v>
      </c>
      <c r="H136" s="132"/>
      <c r="I136" s="134">
        <f>G136/D136</f>
        <v>-40</v>
      </c>
      <c r="K136" s="134"/>
    </row>
    <row r="137" spans="1:11" ht="15" x14ac:dyDescent="0.25">
      <c r="C137" s="135"/>
      <c r="E137" s="138"/>
      <c r="H137" s="132"/>
      <c r="I137" s="134"/>
    </row>
    <row r="138" spans="1:11" ht="15" x14ac:dyDescent="0.25">
      <c r="C138" s="135"/>
      <c r="E138" s="138"/>
      <c r="H138" s="132"/>
      <c r="I138" s="134"/>
    </row>
    <row r="139" spans="1:11" ht="15" x14ac:dyDescent="0.25">
      <c r="C139" s="135"/>
      <c r="E139" s="137" t="s">
        <v>1957</v>
      </c>
      <c r="H139" s="132"/>
      <c r="I139" s="134"/>
    </row>
    <row r="140" spans="1:11" ht="15" x14ac:dyDescent="0.25">
      <c r="A140" s="132" t="s">
        <v>1958</v>
      </c>
      <c r="C140" s="135">
        <v>43514</v>
      </c>
      <c r="D140" s="132">
        <v>2</v>
      </c>
      <c r="E140" s="138" t="s">
        <v>1959</v>
      </c>
      <c r="F140" s="134">
        <v>3046</v>
      </c>
      <c r="H140" s="132"/>
      <c r="I140" s="134">
        <f>F140/D140</f>
        <v>1523</v>
      </c>
    </row>
    <row r="141" spans="1:11" ht="15" x14ac:dyDescent="0.25">
      <c r="A141" s="132" t="s">
        <v>1958</v>
      </c>
      <c r="C141" s="135">
        <v>43514</v>
      </c>
      <c r="D141" s="132">
        <v>2</v>
      </c>
      <c r="E141" s="138" t="s">
        <v>1960</v>
      </c>
      <c r="F141" s="134">
        <v>2910</v>
      </c>
      <c r="H141" s="132"/>
      <c r="I141" s="134">
        <f t="shared" ref="I141:I152" si="0">F141/D141</f>
        <v>1455</v>
      </c>
    </row>
    <row r="142" spans="1:11" ht="15" x14ac:dyDescent="0.25">
      <c r="A142" s="132" t="s">
        <v>1958</v>
      </c>
      <c r="C142" s="135">
        <v>43514</v>
      </c>
      <c r="D142" s="132">
        <v>4</v>
      </c>
      <c r="E142" s="138" t="s">
        <v>1959</v>
      </c>
      <c r="F142" s="134">
        <f>7925-14-1571</f>
        <v>6340</v>
      </c>
      <c r="H142" s="132"/>
      <c r="I142" s="134">
        <f t="shared" si="0"/>
        <v>1585</v>
      </c>
    </row>
    <row r="143" spans="1:11" ht="15" x14ac:dyDescent="0.25">
      <c r="A143" s="132" t="s">
        <v>1958</v>
      </c>
      <c r="C143" s="135">
        <v>43552</v>
      </c>
      <c r="D143" s="132">
        <v>2</v>
      </c>
      <c r="E143" s="138" t="s">
        <v>1961</v>
      </c>
      <c r="F143" s="134">
        <f>4473-1441-14</f>
        <v>3018</v>
      </c>
      <c r="H143" s="132"/>
      <c r="I143" s="134">
        <f t="shared" si="0"/>
        <v>1509</v>
      </c>
    </row>
    <row r="144" spans="1:11" ht="15" x14ac:dyDescent="0.25">
      <c r="A144" s="132" t="s">
        <v>1958</v>
      </c>
      <c r="C144" s="135">
        <v>43552</v>
      </c>
      <c r="D144" s="132">
        <v>2</v>
      </c>
      <c r="E144" s="138" t="s">
        <v>1961</v>
      </c>
      <c r="F144" s="134">
        <f>4569-1509-14</f>
        <v>3046</v>
      </c>
      <c r="H144" s="132"/>
      <c r="I144" s="134">
        <f t="shared" si="0"/>
        <v>1523</v>
      </c>
    </row>
    <row r="145" spans="1:9" ht="15" x14ac:dyDescent="0.25">
      <c r="A145" s="132" t="s">
        <v>1962</v>
      </c>
      <c r="C145" s="135">
        <v>43550</v>
      </c>
      <c r="D145" s="132">
        <v>3</v>
      </c>
      <c r="E145" s="138" t="s">
        <v>1963</v>
      </c>
      <c r="F145" s="134">
        <f>4965.59+45.89</f>
        <v>5011.4800000000005</v>
      </c>
      <c r="H145" s="132"/>
      <c r="I145" s="134">
        <f t="shared" si="0"/>
        <v>1670.4933333333336</v>
      </c>
    </row>
    <row r="146" spans="1:9" ht="15" x14ac:dyDescent="0.25">
      <c r="A146" s="132" t="s">
        <v>1962</v>
      </c>
      <c r="C146" s="135">
        <v>43550</v>
      </c>
      <c r="D146" s="132">
        <v>3</v>
      </c>
      <c r="E146" s="138" t="s">
        <v>1964</v>
      </c>
      <c r="F146" s="134">
        <f>5260.58+45.89</f>
        <v>5306.47</v>
      </c>
      <c r="H146" s="132"/>
      <c r="I146" s="134">
        <f t="shared" si="0"/>
        <v>1768.8233333333335</v>
      </c>
    </row>
    <row r="147" spans="1:9" ht="15" x14ac:dyDescent="0.25">
      <c r="A147" s="132" t="s">
        <v>1962</v>
      </c>
      <c r="C147" s="135">
        <v>43550</v>
      </c>
      <c r="D147" s="132">
        <v>1</v>
      </c>
      <c r="E147" s="138" t="s">
        <v>1964</v>
      </c>
      <c r="F147" s="134">
        <v>1573.25</v>
      </c>
      <c r="H147" s="132"/>
      <c r="I147" s="134">
        <f t="shared" si="0"/>
        <v>1573.25</v>
      </c>
    </row>
    <row r="148" spans="1:9" ht="15" x14ac:dyDescent="0.25">
      <c r="A148" s="132" t="s">
        <v>1962</v>
      </c>
      <c r="C148" s="135">
        <v>43550</v>
      </c>
      <c r="D148" s="132">
        <v>3</v>
      </c>
      <c r="E148" s="138" t="s">
        <v>1964</v>
      </c>
      <c r="F148" s="134">
        <v>5358.89</v>
      </c>
      <c r="H148" s="132"/>
      <c r="I148" s="134">
        <f t="shared" si="0"/>
        <v>1786.2966666666669</v>
      </c>
    </row>
    <row r="149" spans="1:9" ht="15" x14ac:dyDescent="0.25">
      <c r="A149" s="132" t="s">
        <v>1962</v>
      </c>
      <c r="C149" s="135">
        <v>43550</v>
      </c>
      <c r="D149" s="132">
        <v>5</v>
      </c>
      <c r="E149" s="138" t="s">
        <v>1964</v>
      </c>
      <c r="F149" s="134">
        <v>7661.34</v>
      </c>
      <c r="H149" s="132"/>
      <c r="I149" s="134">
        <f t="shared" si="0"/>
        <v>1532.268</v>
      </c>
    </row>
    <row r="150" spans="1:9" ht="15" x14ac:dyDescent="0.25">
      <c r="A150" s="132" t="s">
        <v>1965</v>
      </c>
      <c r="C150" s="135">
        <v>43586</v>
      </c>
      <c r="D150" s="132">
        <v>4</v>
      </c>
      <c r="E150" s="138" t="s">
        <v>1966</v>
      </c>
      <c r="F150" s="134">
        <f>2764.14+2764.14</f>
        <v>5528.28</v>
      </c>
      <c r="H150" s="132"/>
      <c r="I150" s="134">
        <f t="shared" si="0"/>
        <v>1382.07</v>
      </c>
    </row>
    <row r="151" spans="1:9" ht="15" x14ac:dyDescent="0.25">
      <c r="A151" s="132" t="s">
        <v>1965</v>
      </c>
      <c r="C151" s="135">
        <v>43586</v>
      </c>
      <c r="D151" s="132">
        <v>16</v>
      </c>
      <c r="E151" s="138" t="s">
        <v>1967</v>
      </c>
      <c r="F151" s="134">
        <f>12601.15+3150.29+15744.44-1607.29-4725.43</f>
        <v>25163.159999999996</v>
      </c>
      <c r="H151" s="132"/>
      <c r="I151" s="134">
        <f t="shared" si="0"/>
        <v>1572.6974999999998</v>
      </c>
    </row>
    <row r="152" spans="1:9" ht="15" x14ac:dyDescent="0.25">
      <c r="A152" s="132" t="s">
        <v>1965</v>
      </c>
      <c r="C152" s="135">
        <v>43586</v>
      </c>
      <c r="D152" s="132">
        <v>1</v>
      </c>
      <c r="E152" s="138" t="s">
        <v>1968</v>
      </c>
      <c r="F152" s="134">
        <v>1546.18</v>
      </c>
      <c r="H152" s="132"/>
      <c r="I152" s="134">
        <f t="shared" si="0"/>
        <v>1546.18</v>
      </c>
    </row>
    <row r="153" spans="1:9" ht="15" x14ac:dyDescent="0.25">
      <c r="C153" s="135"/>
      <c r="D153" s="132">
        <f>SUM(D140:D152)</f>
        <v>48</v>
      </c>
      <c r="E153" s="138"/>
      <c r="F153" s="148"/>
      <c r="G153" s="134">
        <f>SUM(F140:F152)</f>
        <v>75509.049999999988</v>
      </c>
      <c r="H153" s="132"/>
      <c r="I153" s="134"/>
    </row>
    <row r="154" spans="1:9" ht="15" x14ac:dyDescent="0.25">
      <c r="C154" s="135"/>
      <c r="E154" s="138"/>
      <c r="H154" s="132"/>
      <c r="I154" s="134"/>
    </row>
    <row r="155" spans="1:9" ht="15" x14ac:dyDescent="0.25">
      <c r="C155" s="135"/>
      <c r="E155" s="137" t="s">
        <v>1969</v>
      </c>
      <c r="H155" s="132"/>
      <c r="I155" s="134"/>
    </row>
    <row r="156" spans="1:9" ht="15" x14ac:dyDescent="0.25">
      <c r="A156" s="132" t="s">
        <v>1970</v>
      </c>
      <c r="C156" s="135">
        <v>43507</v>
      </c>
      <c r="D156" s="132">
        <v>18</v>
      </c>
      <c r="E156" s="138" t="s">
        <v>1971</v>
      </c>
      <c r="F156" s="134">
        <f>30632.18-1612.22</f>
        <v>29019.96</v>
      </c>
      <c r="H156" s="132"/>
      <c r="I156" s="134">
        <f t="shared" ref="I156:I171" si="1">F156/D156</f>
        <v>1612.22</v>
      </c>
    </row>
    <row r="157" spans="1:9" ht="15" x14ac:dyDescent="0.25">
      <c r="A157" s="132" t="s">
        <v>1958</v>
      </c>
      <c r="C157" s="135">
        <v>43514</v>
      </c>
      <c r="D157" s="132">
        <v>5</v>
      </c>
      <c r="E157" s="138" t="s">
        <v>1959</v>
      </c>
      <c r="F157" s="134">
        <v>8945</v>
      </c>
      <c r="H157" s="132"/>
      <c r="I157" s="134">
        <f t="shared" si="1"/>
        <v>1789</v>
      </c>
    </row>
    <row r="158" spans="1:9" ht="15" x14ac:dyDescent="0.25">
      <c r="A158" s="132" t="s">
        <v>1958</v>
      </c>
      <c r="C158" s="135">
        <v>43514</v>
      </c>
      <c r="D158" s="132">
        <v>4</v>
      </c>
      <c r="E158" s="138" t="s">
        <v>1972</v>
      </c>
      <c r="F158" s="134">
        <f>9255-1851</f>
        <v>7404</v>
      </c>
      <c r="H158" s="132"/>
      <c r="I158" s="134">
        <f t="shared" si="1"/>
        <v>1851</v>
      </c>
    </row>
    <row r="159" spans="1:9" ht="15" x14ac:dyDescent="0.25">
      <c r="A159" s="132" t="s">
        <v>1973</v>
      </c>
      <c r="C159" s="135">
        <v>43518</v>
      </c>
      <c r="D159" s="132">
        <v>10</v>
      </c>
      <c r="E159" s="138" t="s">
        <v>1974</v>
      </c>
      <c r="F159" s="134">
        <v>16640</v>
      </c>
      <c r="H159" s="132"/>
      <c r="I159" s="134">
        <f t="shared" si="1"/>
        <v>1664</v>
      </c>
    </row>
    <row r="160" spans="1:9" ht="15" x14ac:dyDescent="0.25">
      <c r="A160" s="132" t="s">
        <v>1973</v>
      </c>
      <c r="C160" s="135">
        <v>43518</v>
      </c>
      <c r="D160" s="132">
        <v>2</v>
      </c>
      <c r="E160" s="138" t="s">
        <v>1974</v>
      </c>
      <c r="F160" s="134">
        <v>3570</v>
      </c>
      <c r="H160" s="132"/>
      <c r="I160" s="134">
        <f t="shared" si="1"/>
        <v>1785</v>
      </c>
    </row>
    <row r="161" spans="1:9" ht="15" x14ac:dyDescent="0.25">
      <c r="A161" s="132" t="s">
        <v>1975</v>
      </c>
      <c r="C161" s="135">
        <v>43521</v>
      </c>
      <c r="D161" s="132">
        <v>2</v>
      </c>
      <c r="E161" s="138" t="s">
        <v>1974</v>
      </c>
      <c r="F161" s="134">
        <v>2840</v>
      </c>
      <c r="H161" s="132"/>
      <c r="I161" s="134">
        <f t="shared" si="1"/>
        <v>1420</v>
      </c>
    </row>
    <row r="162" spans="1:9" ht="15" x14ac:dyDescent="0.25">
      <c r="A162" s="132" t="s">
        <v>1958</v>
      </c>
      <c r="C162" s="135">
        <v>43525</v>
      </c>
      <c r="D162" s="132">
        <v>5</v>
      </c>
      <c r="E162" s="138" t="s">
        <v>1976</v>
      </c>
      <c r="F162" s="134">
        <v>9255</v>
      </c>
      <c r="H162" s="132"/>
      <c r="I162" s="134">
        <f t="shared" si="1"/>
        <v>1851</v>
      </c>
    </row>
    <row r="163" spans="1:9" ht="15" x14ac:dyDescent="0.25">
      <c r="A163" s="132" t="s">
        <v>1977</v>
      </c>
      <c r="C163" s="135">
        <v>43554</v>
      </c>
      <c r="D163" s="132">
        <v>12</v>
      </c>
      <c r="E163" s="138" t="s">
        <v>1978</v>
      </c>
      <c r="F163" s="134">
        <f>21561.02-1658.54</f>
        <v>19902.48</v>
      </c>
      <c r="H163" s="132"/>
      <c r="I163" s="134">
        <f t="shared" si="1"/>
        <v>1658.54</v>
      </c>
    </row>
    <row r="164" spans="1:9" ht="15" x14ac:dyDescent="0.25">
      <c r="A164" s="132" t="s">
        <v>1977</v>
      </c>
      <c r="C164" s="135">
        <v>43554</v>
      </c>
      <c r="D164" s="132">
        <v>2</v>
      </c>
      <c r="E164" s="138" t="s">
        <v>1979</v>
      </c>
      <c r="F164" s="134">
        <v>3284.56</v>
      </c>
      <c r="H164" s="132"/>
      <c r="I164" s="134">
        <f t="shared" si="1"/>
        <v>1642.28</v>
      </c>
    </row>
    <row r="165" spans="1:9" ht="15" x14ac:dyDescent="0.25">
      <c r="A165" s="132" t="s">
        <v>1955</v>
      </c>
      <c r="C165" s="135">
        <v>43556</v>
      </c>
      <c r="D165" s="132">
        <v>4</v>
      </c>
      <c r="E165" s="138" t="s">
        <v>1980</v>
      </c>
      <c r="F165" s="134">
        <v>6200</v>
      </c>
      <c r="H165" s="132"/>
      <c r="I165" s="134">
        <f t="shared" si="1"/>
        <v>1550</v>
      </c>
    </row>
    <row r="166" spans="1:9" ht="15" x14ac:dyDescent="0.25">
      <c r="A166" s="132" t="s">
        <v>1955</v>
      </c>
      <c r="C166" s="135">
        <v>43556</v>
      </c>
      <c r="D166" s="132">
        <v>2</v>
      </c>
      <c r="E166" s="138" t="s">
        <v>1981</v>
      </c>
      <c r="F166" s="134">
        <f>5100-1700</f>
        <v>3400</v>
      </c>
      <c r="H166" s="132"/>
      <c r="I166" s="134">
        <f t="shared" si="1"/>
        <v>1700</v>
      </c>
    </row>
    <row r="167" spans="1:9" ht="15" x14ac:dyDescent="0.25">
      <c r="A167" s="132" t="s">
        <v>1955</v>
      </c>
      <c r="C167" s="135">
        <v>43557</v>
      </c>
      <c r="D167" s="132">
        <v>12</v>
      </c>
      <c r="E167" s="138" t="s">
        <v>1982</v>
      </c>
      <c r="F167" s="134">
        <v>20400</v>
      </c>
      <c r="H167" s="132"/>
      <c r="I167" s="134">
        <f t="shared" si="1"/>
        <v>1700</v>
      </c>
    </row>
    <row r="168" spans="1:9" ht="15" x14ac:dyDescent="0.25">
      <c r="A168" s="132" t="s">
        <v>1962</v>
      </c>
      <c r="C168" s="135">
        <v>43550</v>
      </c>
      <c r="D168" s="132">
        <v>11</v>
      </c>
      <c r="E168" s="138" t="s">
        <v>1976</v>
      </c>
      <c r="F168" s="134">
        <f>18838.12+168.25</f>
        <v>19006.37</v>
      </c>
      <c r="H168" s="132"/>
      <c r="I168" s="134">
        <f t="shared" si="1"/>
        <v>1727.8518181818181</v>
      </c>
    </row>
    <row r="169" spans="1:9" ht="15" x14ac:dyDescent="0.25">
      <c r="A169" s="132" t="s">
        <v>1962</v>
      </c>
      <c r="C169" s="135">
        <v>43550</v>
      </c>
      <c r="D169" s="132">
        <v>12</v>
      </c>
      <c r="E169" s="138" t="s">
        <v>1976</v>
      </c>
      <c r="F169" s="134">
        <f>23754.55+198.84-1827.27</f>
        <v>22126.12</v>
      </c>
      <c r="H169" s="132"/>
      <c r="I169" s="134">
        <f t="shared" si="1"/>
        <v>1843.8433333333332</v>
      </c>
    </row>
    <row r="170" spans="1:9" ht="15" x14ac:dyDescent="0.25">
      <c r="A170" s="132" t="s">
        <v>1983</v>
      </c>
      <c r="C170" s="135">
        <v>43586</v>
      </c>
      <c r="D170" s="132">
        <v>35</v>
      </c>
      <c r="E170" s="138" t="s">
        <v>1984</v>
      </c>
      <c r="F170" s="134">
        <f>66659.57-3604.01</f>
        <v>63055.560000000005</v>
      </c>
      <c r="H170" s="132"/>
      <c r="I170" s="134">
        <f t="shared" si="1"/>
        <v>1801.5874285714287</v>
      </c>
    </row>
    <row r="171" spans="1:9" ht="15" x14ac:dyDescent="0.25">
      <c r="A171" s="132" t="s">
        <v>1983</v>
      </c>
      <c r="C171" s="135">
        <v>43586</v>
      </c>
      <c r="D171" s="132">
        <v>7</v>
      </c>
      <c r="E171" s="138" t="s">
        <v>1985</v>
      </c>
      <c r="F171" s="134">
        <v>11246.26</v>
      </c>
      <c r="H171" s="132"/>
      <c r="I171" s="134">
        <f t="shared" si="1"/>
        <v>1606.6085714285714</v>
      </c>
    </row>
    <row r="172" spans="1:9" ht="15" x14ac:dyDescent="0.25">
      <c r="C172" s="135"/>
      <c r="D172" s="132">
        <f>SUM(D156:D171)</f>
        <v>143</v>
      </c>
      <c r="E172" s="138"/>
      <c r="F172" s="148"/>
      <c r="G172" s="134">
        <f>SUM(F156:F172)</f>
        <v>246295.31</v>
      </c>
      <c r="H172" s="132"/>
      <c r="I172" s="134"/>
    </row>
    <row r="173" spans="1:9" ht="15" x14ac:dyDescent="0.25">
      <c r="C173" s="135"/>
      <c r="E173" s="137" t="s">
        <v>1986</v>
      </c>
      <c r="F173" s="132"/>
      <c r="G173" s="141"/>
      <c r="H173" s="139"/>
    </row>
    <row r="174" spans="1:9" x14ac:dyDescent="0.2">
      <c r="A174" s="132" t="s">
        <v>1987</v>
      </c>
      <c r="C174" s="135"/>
      <c r="D174" s="132">
        <v>2</v>
      </c>
      <c r="E174" s="132" t="s">
        <v>1988</v>
      </c>
      <c r="F174" s="132">
        <v>4625.4399999999996</v>
      </c>
      <c r="G174" s="141"/>
      <c r="H174" s="132"/>
      <c r="I174" s="134">
        <f>F174/D174</f>
        <v>2312.7199999999998</v>
      </c>
    </row>
    <row r="175" spans="1:9" ht="15" x14ac:dyDescent="0.25">
      <c r="A175" s="132" t="s">
        <v>1977</v>
      </c>
      <c r="C175" s="135">
        <v>43554</v>
      </c>
      <c r="D175" s="132">
        <v>2</v>
      </c>
      <c r="E175" s="138" t="s">
        <v>1989</v>
      </c>
      <c r="F175" s="134">
        <f>6975.6-2325.2</f>
        <v>4650.4000000000005</v>
      </c>
      <c r="H175" s="132"/>
      <c r="I175" s="134">
        <f>F175/D175</f>
        <v>2325.2000000000003</v>
      </c>
    </row>
    <row r="176" spans="1:9" ht="15" x14ac:dyDescent="0.25">
      <c r="A176" s="132" t="s">
        <v>1983</v>
      </c>
      <c r="C176" s="135">
        <v>43586</v>
      </c>
      <c r="D176" s="132">
        <v>3</v>
      </c>
      <c r="E176" s="138" t="s">
        <v>1990</v>
      </c>
      <c r="F176" s="134">
        <v>7278.8</v>
      </c>
      <c r="H176" s="132"/>
      <c r="I176" s="134">
        <f>F176/D176</f>
        <v>2426.2666666666669</v>
      </c>
    </row>
    <row r="177" spans="1:9" ht="15" x14ac:dyDescent="0.25">
      <c r="A177" s="132" t="s">
        <v>1983</v>
      </c>
      <c r="C177" s="135">
        <v>43586</v>
      </c>
      <c r="D177" s="132">
        <v>2</v>
      </c>
      <c r="E177" s="138" t="s">
        <v>1990</v>
      </c>
      <c r="F177" s="134">
        <f>9700.07-4852.54</f>
        <v>4847.53</v>
      </c>
      <c r="H177" s="132"/>
      <c r="I177" s="134">
        <f>F177/D177</f>
        <v>2423.7649999999999</v>
      </c>
    </row>
    <row r="178" spans="1:9" ht="15" x14ac:dyDescent="0.25">
      <c r="A178" s="132" t="s">
        <v>1991</v>
      </c>
      <c r="C178" s="135">
        <v>43595</v>
      </c>
      <c r="D178" s="132">
        <v>2</v>
      </c>
      <c r="E178" s="138" t="s">
        <v>1992</v>
      </c>
      <c r="F178" s="134">
        <v>4731.18</v>
      </c>
      <c r="H178" s="132"/>
      <c r="I178" s="134">
        <f>F178/D178</f>
        <v>2365.59</v>
      </c>
    </row>
    <row r="179" spans="1:9" ht="15" x14ac:dyDescent="0.25">
      <c r="C179" s="135"/>
      <c r="D179" s="132">
        <f>SUM(D174:D178)</f>
        <v>11</v>
      </c>
      <c r="E179" s="138"/>
      <c r="F179" s="148"/>
      <c r="G179" s="134">
        <f>SUM(F174:F179)</f>
        <v>26133.35</v>
      </c>
      <c r="H179" s="132"/>
      <c r="I179" s="134"/>
    </row>
    <row r="180" spans="1:9" ht="15" x14ac:dyDescent="0.25">
      <c r="C180" s="135"/>
      <c r="E180" s="138"/>
      <c r="H180" s="132"/>
      <c r="I180" s="134"/>
    </row>
    <row r="181" spans="1:9" ht="15" x14ac:dyDescent="0.25">
      <c r="A181" s="132" t="s">
        <v>1927</v>
      </c>
      <c r="C181" s="135">
        <v>43446</v>
      </c>
      <c r="D181" s="132">
        <v>200</v>
      </c>
      <c r="E181" s="138" t="s">
        <v>1993</v>
      </c>
      <c r="G181" s="134">
        <v>13000</v>
      </c>
      <c r="H181" s="132"/>
    </row>
    <row r="182" spans="1:9" ht="15" x14ac:dyDescent="0.25">
      <c r="A182" s="132" t="s">
        <v>1927</v>
      </c>
      <c r="C182" s="135">
        <v>43509</v>
      </c>
      <c r="D182" s="132">
        <v>200</v>
      </c>
      <c r="E182" s="138" t="s">
        <v>1993</v>
      </c>
      <c r="G182" s="134">
        <v>13000</v>
      </c>
      <c r="H182" s="132"/>
    </row>
    <row r="183" spans="1:9" ht="15" x14ac:dyDescent="0.25">
      <c r="C183" s="135"/>
      <c r="E183" s="137"/>
      <c r="F183" s="132"/>
      <c r="G183" s="141"/>
      <c r="H183" s="132"/>
    </row>
    <row r="184" spans="1:9" x14ac:dyDescent="0.2">
      <c r="C184" s="135"/>
      <c r="F184" s="132"/>
      <c r="G184" s="141"/>
      <c r="H184" s="132"/>
    </row>
    <row r="185" spans="1:9" ht="15" x14ac:dyDescent="0.25">
      <c r="C185" s="135">
        <v>43434</v>
      </c>
      <c r="D185" s="135"/>
      <c r="E185" s="133" t="s">
        <v>1949</v>
      </c>
      <c r="G185" s="136">
        <f>SUM(G133:G184)</f>
        <v>1853544.6</v>
      </c>
      <c r="I185" s="134"/>
    </row>
    <row r="186" spans="1:9" x14ac:dyDescent="0.2">
      <c r="I186" s="134"/>
    </row>
    <row r="188" spans="1:9" ht="15" x14ac:dyDescent="0.25">
      <c r="B188" s="133" t="s">
        <v>1577</v>
      </c>
    </row>
    <row r="189" spans="1:9" ht="15" x14ac:dyDescent="0.25">
      <c r="C189" s="135">
        <v>43282</v>
      </c>
      <c r="E189" s="133" t="s">
        <v>1827</v>
      </c>
      <c r="G189" s="136">
        <v>51964.86</v>
      </c>
    </row>
    <row r="190" spans="1:9" x14ac:dyDescent="0.2">
      <c r="A190" s="132" t="s">
        <v>1995</v>
      </c>
      <c r="C190" s="135">
        <v>43536</v>
      </c>
      <c r="E190" s="132" t="s">
        <v>1996</v>
      </c>
      <c r="F190" s="132"/>
      <c r="G190" s="141">
        <v>2025.45</v>
      </c>
      <c r="H190" s="141"/>
    </row>
    <row r="191" spans="1:9" ht="15" x14ac:dyDescent="0.25">
      <c r="C191" s="135">
        <v>43434</v>
      </c>
      <c r="D191" s="135"/>
      <c r="E191" s="133" t="s">
        <v>1949</v>
      </c>
      <c r="G191" s="136">
        <f>SUM(G189:G190)</f>
        <v>53990.31</v>
      </c>
    </row>
    <row r="194" spans="1:8" ht="15" x14ac:dyDescent="0.25">
      <c r="B194" s="133" t="s">
        <v>1997</v>
      </c>
    </row>
    <row r="195" spans="1:8" ht="15" x14ac:dyDescent="0.25">
      <c r="C195" s="135">
        <v>43435</v>
      </c>
      <c r="E195" s="133" t="s">
        <v>1827</v>
      </c>
      <c r="G195" s="158">
        <v>16084.17</v>
      </c>
    </row>
    <row r="196" spans="1:8" x14ac:dyDescent="0.2">
      <c r="A196" s="132" t="s">
        <v>1998</v>
      </c>
      <c r="C196" s="135">
        <v>43481</v>
      </c>
      <c r="E196" s="132" t="s">
        <v>1999</v>
      </c>
      <c r="F196" s="132"/>
      <c r="G196" s="139">
        <v>1923.18</v>
      </c>
      <c r="H196" s="132"/>
    </row>
    <row r="197" spans="1:8" x14ac:dyDescent="0.2">
      <c r="A197" s="132" t="s">
        <v>1841</v>
      </c>
      <c r="C197" s="135">
        <v>43524</v>
      </c>
      <c r="E197" s="132" t="s">
        <v>1938</v>
      </c>
      <c r="F197" s="132"/>
      <c r="G197" s="139">
        <v>455</v>
      </c>
      <c r="H197" s="132"/>
    </row>
    <row r="198" spans="1:8" x14ac:dyDescent="0.2">
      <c r="A198" s="132" t="s">
        <v>2000</v>
      </c>
      <c r="C198" s="135">
        <v>43525</v>
      </c>
      <c r="E198" s="132" t="s">
        <v>2001</v>
      </c>
      <c r="F198" s="132"/>
      <c r="G198" s="139">
        <v>333</v>
      </c>
      <c r="H198" s="132"/>
    </row>
    <row r="199" spans="1:8" x14ac:dyDescent="0.2">
      <c r="A199" s="132" t="s">
        <v>2000</v>
      </c>
      <c r="C199" s="135">
        <v>43525</v>
      </c>
      <c r="E199" s="132" t="s">
        <v>2002</v>
      </c>
      <c r="F199" s="132"/>
      <c r="G199" s="139">
        <v>189</v>
      </c>
      <c r="H199" s="132"/>
    </row>
    <row r="200" spans="1:8" x14ac:dyDescent="0.2">
      <c r="A200" s="132" t="s">
        <v>2000</v>
      </c>
      <c r="C200" s="135">
        <v>43525</v>
      </c>
      <c r="E200" s="132" t="s">
        <v>2003</v>
      </c>
      <c r="F200" s="132"/>
      <c r="G200" s="139">
        <v>673</v>
      </c>
      <c r="H200" s="132"/>
    </row>
    <row r="201" spans="1:8" x14ac:dyDescent="0.2">
      <c r="A201" s="132" t="s">
        <v>2000</v>
      </c>
      <c r="C201" s="135">
        <v>43525</v>
      </c>
      <c r="E201" s="132" t="s">
        <v>2004</v>
      </c>
      <c r="F201" s="132"/>
      <c r="G201" s="139">
        <v>599</v>
      </c>
      <c r="H201" s="132"/>
    </row>
    <row r="202" spans="1:8" x14ac:dyDescent="0.2">
      <c r="A202" s="132" t="s">
        <v>2000</v>
      </c>
      <c r="C202" s="135">
        <v>43525</v>
      </c>
      <c r="E202" s="132" t="s">
        <v>2005</v>
      </c>
      <c r="F202" s="132"/>
      <c r="G202" s="139">
        <v>234</v>
      </c>
      <c r="H202" s="132"/>
    </row>
    <row r="203" spans="1:8" x14ac:dyDescent="0.2">
      <c r="A203" s="132" t="s">
        <v>2000</v>
      </c>
      <c r="C203" s="135">
        <v>43525</v>
      </c>
      <c r="E203" s="132" t="s">
        <v>2006</v>
      </c>
      <c r="F203" s="132"/>
      <c r="G203" s="139">
        <v>639</v>
      </c>
      <c r="H203" s="132"/>
    </row>
    <row r="204" spans="1:8" x14ac:dyDescent="0.2">
      <c r="A204" s="132" t="s">
        <v>2000</v>
      </c>
      <c r="C204" s="135">
        <v>43525</v>
      </c>
      <c r="E204" s="132" t="s">
        <v>2007</v>
      </c>
      <c r="F204" s="132"/>
      <c r="G204" s="139">
        <v>600</v>
      </c>
      <c r="H204" s="132"/>
    </row>
    <row r="205" spans="1:8" x14ac:dyDescent="0.2">
      <c r="A205" s="132" t="s">
        <v>1936</v>
      </c>
      <c r="C205" s="135">
        <v>43500</v>
      </c>
      <c r="E205" s="132" t="s">
        <v>1937</v>
      </c>
      <c r="F205" s="132"/>
      <c r="G205" s="139">
        <v>631.82000000000005</v>
      </c>
      <c r="H205" s="132"/>
    </row>
    <row r="206" spans="1:8" x14ac:dyDescent="0.2">
      <c r="A206" s="132" t="s">
        <v>1940</v>
      </c>
      <c r="C206" s="135">
        <v>43556</v>
      </c>
      <c r="E206" s="132" t="s">
        <v>1941</v>
      </c>
      <c r="F206" s="132"/>
      <c r="G206" s="139">
        <f>289+345</f>
        <v>634</v>
      </c>
      <c r="H206" s="132"/>
    </row>
    <row r="207" spans="1:8" x14ac:dyDescent="0.2">
      <c r="A207" s="132" t="s">
        <v>1942</v>
      </c>
      <c r="C207" s="135">
        <v>43572</v>
      </c>
      <c r="E207" s="132" t="s">
        <v>1943</v>
      </c>
      <c r="F207" s="132"/>
      <c r="G207" s="139">
        <v>790</v>
      </c>
      <c r="H207" s="132"/>
    </row>
    <row r="208" spans="1:8" x14ac:dyDescent="0.2">
      <c r="A208" s="132" t="s">
        <v>2008</v>
      </c>
      <c r="C208" s="135">
        <v>43616</v>
      </c>
      <c r="E208" s="132" t="s">
        <v>2009</v>
      </c>
      <c r="F208" s="132"/>
      <c r="G208" s="139">
        <v>199.91</v>
      </c>
      <c r="H208" s="132"/>
    </row>
    <row r="209" spans="1:8" x14ac:dyDescent="0.2">
      <c r="A209" s="132" t="s">
        <v>1841</v>
      </c>
      <c r="C209" s="135">
        <v>43555</v>
      </c>
      <c r="E209" s="132" t="s">
        <v>1885</v>
      </c>
      <c r="F209" s="132"/>
      <c r="G209" s="141">
        <v>520</v>
      </c>
      <c r="H209" s="132"/>
    </row>
    <row r="210" spans="1:8" x14ac:dyDescent="0.2">
      <c r="C210" s="135"/>
      <c r="F210" s="132"/>
      <c r="G210" s="141"/>
      <c r="H210" s="132"/>
    </row>
    <row r="211" spans="1:8" x14ac:dyDescent="0.2">
      <c r="C211" s="135"/>
      <c r="E211" s="132" t="s">
        <v>2010</v>
      </c>
      <c r="F211" s="132"/>
      <c r="G211" s="141">
        <f>-1190-595-595-595-595</f>
        <v>-3570</v>
      </c>
      <c r="H211" s="132"/>
    </row>
    <row r="212" spans="1:8" ht="15" x14ac:dyDescent="0.25">
      <c r="C212" s="135">
        <v>43635</v>
      </c>
      <c r="E212" s="133" t="s">
        <v>1949</v>
      </c>
      <c r="G212" s="136">
        <f>SUM(G195:G211)</f>
        <v>20935.079999999998</v>
      </c>
    </row>
    <row r="213" spans="1:8" ht="15" x14ac:dyDescent="0.25">
      <c r="C213" s="135"/>
      <c r="E213" s="133"/>
      <c r="G213" s="136"/>
    </row>
    <row r="215" spans="1:8" ht="15.75" x14ac:dyDescent="0.25">
      <c r="A215" s="149" t="s">
        <v>2011</v>
      </c>
    </row>
    <row r="217" spans="1:8" ht="15" x14ac:dyDescent="0.25">
      <c r="B217" s="133" t="s">
        <v>1674</v>
      </c>
    </row>
    <row r="218" spans="1:8" ht="15" x14ac:dyDescent="0.25">
      <c r="C218" s="135">
        <v>43435</v>
      </c>
      <c r="E218" s="133" t="s">
        <v>1827</v>
      </c>
      <c r="G218" s="136">
        <v>1556065.09</v>
      </c>
    </row>
    <row r="219" spans="1:8" ht="15" x14ac:dyDescent="0.25">
      <c r="E219" s="137" t="s">
        <v>1828</v>
      </c>
    </row>
    <row r="220" spans="1:8" ht="15" x14ac:dyDescent="0.25">
      <c r="A220" s="132" t="s">
        <v>2012</v>
      </c>
      <c r="C220" s="135">
        <v>43438</v>
      </c>
      <c r="E220" s="138" t="s">
        <v>2013</v>
      </c>
      <c r="F220" s="134">
        <v>941.2</v>
      </c>
    </row>
    <row r="221" spans="1:8" ht="15" x14ac:dyDescent="0.25">
      <c r="A221" s="132" t="s">
        <v>2014</v>
      </c>
      <c r="C221" s="135">
        <v>43451</v>
      </c>
      <c r="E221" s="138" t="s">
        <v>2015</v>
      </c>
      <c r="F221" s="134">
        <v>1415.32</v>
      </c>
    </row>
    <row r="222" spans="1:8" ht="15" x14ac:dyDescent="0.25">
      <c r="A222" s="132" t="s">
        <v>2014</v>
      </c>
      <c r="C222" s="135">
        <v>43451</v>
      </c>
      <c r="E222" s="138" t="s">
        <v>2016</v>
      </c>
      <c r="F222" s="134">
        <v>5010.75</v>
      </c>
    </row>
    <row r="223" spans="1:8" ht="15" x14ac:dyDescent="0.25">
      <c r="A223" s="132" t="s">
        <v>2014</v>
      </c>
      <c r="C223" s="135">
        <v>43451</v>
      </c>
      <c r="E223" s="138" t="s">
        <v>2017</v>
      </c>
      <c r="F223" s="134">
        <v>4974.8999999999996</v>
      </c>
    </row>
    <row r="224" spans="1:8" ht="15" x14ac:dyDescent="0.25">
      <c r="A224" s="132" t="s">
        <v>2018</v>
      </c>
      <c r="C224" s="135">
        <v>43466</v>
      </c>
      <c r="E224" s="138" t="s">
        <v>2019</v>
      </c>
      <c r="F224" s="134">
        <v>48721</v>
      </c>
    </row>
    <row r="225" spans="1:7" ht="15" x14ac:dyDescent="0.25">
      <c r="A225" s="132" t="s">
        <v>2020</v>
      </c>
      <c r="C225" s="135">
        <v>43488</v>
      </c>
      <c r="E225" s="138" t="s">
        <v>2021</v>
      </c>
      <c r="F225" s="134">
        <f>489110-181818.18</f>
        <v>307291.82</v>
      </c>
      <c r="G225" s="132"/>
    </row>
    <row r="226" spans="1:7" x14ac:dyDescent="0.2">
      <c r="A226" s="132" t="s">
        <v>2014</v>
      </c>
      <c r="C226" s="135">
        <v>43451</v>
      </c>
      <c r="E226" s="132" t="s">
        <v>2032</v>
      </c>
      <c r="F226" s="134">
        <v>389.6</v>
      </c>
    </row>
    <row r="227" spans="1:7" ht="15" x14ac:dyDescent="0.25">
      <c r="A227" s="132" t="s">
        <v>2014</v>
      </c>
      <c r="C227" s="135">
        <v>43500</v>
      </c>
      <c r="E227" s="138" t="s">
        <v>2022</v>
      </c>
      <c r="F227" s="134">
        <v>250.3</v>
      </c>
      <c r="G227" s="132"/>
    </row>
    <row r="228" spans="1:7" ht="15" x14ac:dyDescent="0.25">
      <c r="A228" s="132" t="s">
        <v>2018</v>
      </c>
      <c r="C228" s="135">
        <v>43556</v>
      </c>
      <c r="E228" s="138" t="s">
        <v>2023</v>
      </c>
      <c r="F228" s="134">
        <v>7800</v>
      </c>
      <c r="G228" s="148">
        <f>SUM(F220:F228)</f>
        <v>376794.88999999996</v>
      </c>
    </row>
    <row r="229" spans="1:7" ht="15" x14ac:dyDescent="0.25">
      <c r="E229" s="137" t="s">
        <v>1838</v>
      </c>
    </row>
    <row r="230" spans="1:7" ht="15" x14ac:dyDescent="0.25">
      <c r="A230" s="132" t="s">
        <v>2024</v>
      </c>
      <c r="C230" s="135">
        <v>43448</v>
      </c>
      <c r="E230" s="138" t="s">
        <v>2025</v>
      </c>
      <c r="F230" s="134">
        <v>28188.48</v>
      </c>
    </row>
    <row r="231" spans="1:7" ht="15" x14ac:dyDescent="0.25">
      <c r="A231" s="132" t="s">
        <v>2014</v>
      </c>
      <c r="C231" s="135">
        <v>43451</v>
      </c>
      <c r="E231" s="138" t="s">
        <v>2026</v>
      </c>
      <c r="F231" s="134">
        <v>4013.35</v>
      </c>
    </row>
    <row r="232" spans="1:7" ht="15" x14ac:dyDescent="0.25">
      <c r="A232" s="132" t="s">
        <v>2014</v>
      </c>
      <c r="C232" s="135">
        <v>43451</v>
      </c>
      <c r="E232" s="138" t="s">
        <v>2027</v>
      </c>
      <c r="F232" s="134">
        <v>10550.6</v>
      </c>
    </row>
    <row r="233" spans="1:7" ht="15" x14ac:dyDescent="0.25">
      <c r="A233" s="132" t="s">
        <v>2024</v>
      </c>
      <c r="C233" s="135">
        <v>43473</v>
      </c>
      <c r="E233" s="138" t="s">
        <v>2028</v>
      </c>
      <c r="F233" s="134">
        <v>37131.56</v>
      </c>
    </row>
    <row r="234" spans="1:7" ht="15" x14ac:dyDescent="0.25">
      <c r="A234" s="132" t="s">
        <v>2024</v>
      </c>
      <c r="C234" s="135">
        <v>43509</v>
      </c>
      <c r="E234" s="138" t="s">
        <v>2029</v>
      </c>
      <c r="F234" s="134">
        <v>46561.84</v>
      </c>
    </row>
    <row r="235" spans="1:7" ht="15" x14ac:dyDescent="0.25">
      <c r="A235" s="132" t="s">
        <v>2024</v>
      </c>
      <c r="C235" s="135">
        <v>43558</v>
      </c>
      <c r="E235" s="138" t="s">
        <v>2030</v>
      </c>
      <c r="F235" s="134">
        <v>4814.93</v>
      </c>
      <c r="G235" s="148">
        <f>SUM(F230:F235)</f>
        <v>131260.75999999998</v>
      </c>
    </row>
    <row r="236" spans="1:7" ht="15" x14ac:dyDescent="0.25">
      <c r="C236" s="135"/>
      <c r="E236" s="138"/>
    </row>
    <row r="237" spans="1:7" x14ac:dyDescent="0.2">
      <c r="A237" s="132" t="s">
        <v>2014</v>
      </c>
      <c r="C237" s="135">
        <v>43451</v>
      </c>
      <c r="E237" s="132" t="s">
        <v>2031</v>
      </c>
      <c r="F237" s="132"/>
      <c r="G237" s="134">
        <v>12814.55</v>
      </c>
    </row>
    <row r="238" spans="1:7" x14ac:dyDescent="0.2">
      <c r="A238" s="132" t="s">
        <v>2033</v>
      </c>
      <c r="C238" s="135">
        <v>43523</v>
      </c>
      <c r="E238" s="132" t="s">
        <v>2034</v>
      </c>
      <c r="F238" s="132"/>
      <c r="G238" s="134">
        <v>19139.400000000001</v>
      </c>
    </row>
    <row r="239" spans="1:7" x14ac:dyDescent="0.2">
      <c r="A239" s="132" t="s">
        <v>2033</v>
      </c>
      <c r="C239" s="135">
        <v>43646</v>
      </c>
      <c r="E239" s="132" t="s">
        <v>2034</v>
      </c>
      <c r="F239" s="132"/>
      <c r="G239" s="134">
        <v>114836.4</v>
      </c>
    </row>
    <row r="241" spans="3:7" ht="15" x14ac:dyDescent="0.25">
      <c r="C241" s="135">
        <v>43635</v>
      </c>
      <c r="E241" s="133" t="s">
        <v>2035</v>
      </c>
      <c r="G241" s="136">
        <f>+SUM(G218:G239)</f>
        <v>2210911.09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autoPageBreaks="0"/>
  </sheetPr>
  <dimension ref="A1:AD1820"/>
  <sheetViews>
    <sheetView showOutlineSymbols="0" topLeftCell="A1749" workbookViewId="0">
      <selection activeCell="T1821" sqref="T1821"/>
    </sheetView>
  </sheetViews>
  <sheetFormatPr defaultColWidth="6.85546875" defaultRowHeight="12.75" customHeight="1" x14ac:dyDescent="0.2"/>
  <sheetData>
    <row r="1" spans="1:30" ht="13.5" customHeight="1" x14ac:dyDescent="0.2">
      <c r="B1" s="526" t="s">
        <v>0</v>
      </c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</row>
    <row r="2" spans="1:30" x14ac:dyDescent="0.2">
      <c r="T2" s="527"/>
      <c r="U2" s="527"/>
      <c r="V2" s="527"/>
    </row>
    <row r="3" spans="1:30" ht="12.75" hidden="1" customHeight="1" x14ac:dyDescent="0.2"/>
    <row r="4" spans="1:30" ht="15.75" customHeight="1" x14ac:dyDescent="0.2">
      <c r="B4" s="523" t="s">
        <v>1</v>
      </c>
      <c r="C4" s="523"/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3"/>
      <c r="O4" s="523"/>
      <c r="P4" s="523"/>
      <c r="Q4" s="523"/>
      <c r="R4" s="523"/>
      <c r="S4" s="523"/>
      <c r="T4" s="523"/>
      <c r="U4" s="523"/>
      <c r="V4" s="523"/>
    </row>
    <row r="5" spans="1:30" ht="13.5" customHeight="1" x14ac:dyDescent="0.2">
      <c r="B5" s="528" t="s">
        <v>2</v>
      </c>
      <c r="C5" s="528"/>
      <c r="D5" s="528"/>
      <c r="E5" s="528"/>
      <c r="F5" s="528"/>
      <c r="G5" s="528"/>
      <c r="H5" s="528"/>
      <c r="I5" s="528"/>
      <c r="J5" s="528"/>
      <c r="K5" s="528"/>
      <c r="L5" s="528"/>
      <c r="M5" s="528"/>
      <c r="N5" s="528"/>
      <c r="O5" s="528"/>
      <c r="P5" s="528"/>
      <c r="Q5" s="528"/>
      <c r="R5" s="528"/>
      <c r="S5" s="528"/>
      <c r="T5" s="528"/>
      <c r="U5" s="528"/>
      <c r="V5" s="528"/>
    </row>
    <row r="6" spans="1:30" ht="3" customHeight="1" x14ac:dyDescent="0.2"/>
    <row r="7" spans="1:30" ht="12" customHeight="1" x14ac:dyDescent="0.2">
      <c r="H7" s="523" t="s">
        <v>3</v>
      </c>
      <c r="I7" s="523" t="s">
        <v>4</v>
      </c>
      <c r="J7" s="523"/>
      <c r="K7" s="523" t="s">
        <v>5</v>
      </c>
      <c r="M7" s="523" t="s">
        <v>6</v>
      </c>
      <c r="N7" s="523"/>
      <c r="O7" s="523" t="s">
        <v>7</v>
      </c>
      <c r="P7" s="523"/>
      <c r="Q7" s="523" t="s">
        <v>8</v>
      </c>
      <c r="R7" s="523"/>
      <c r="S7" s="529" t="s">
        <v>1635</v>
      </c>
      <c r="T7" s="4" t="s">
        <v>1634</v>
      </c>
      <c r="U7" s="3"/>
      <c r="V7" s="523" t="s">
        <v>9</v>
      </c>
      <c r="X7" s="523" t="s">
        <v>10</v>
      </c>
    </row>
    <row r="8" spans="1:30" ht="0.75" customHeight="1" x14ac:dyDescent="0.2">
      <c r="B8" s="5" t="s">
        <v>11</v>
      </c>
      <c r="C8" s="5"/>
      <c r="D8" s="5"/>
      <c r="E8" s="525" t="s">
        <v>12</v>
      </c>
      <c r="F8" s="525"/>
      <c r="G8" s="525"/>
      <c r="H8" s="523"/>
      <c r="I8" s="523"/>
      <c r="J8" s="523"/>
      <c r="K8" s="523"/>
      <c r="M8" s="523"/>
      <c r="N8" s="523"/>
      <c r="O8" s="523"/>
      <c r="P8" s="523"/>
      <c r="Q8" s="523"/>
      <c r="R8" s="523"/>
      <c r="S8" s="523"/>
      <c r="T8" s="3"/>
      <c r="U8" s="3"/>
      <c r="V8" s="523"/>
      <c r="X8" s="523"/>
    </row>
    <row r="9" spans="1:30" ht="15" customHeight="1" x14ac:dyDescent="0.2">
      <c r="A9" s="524" t="s">
        <v>1636</v>
      </c>
      <c r="B9" s="525"/>
      <c r="C9" s="525"/>
      <c r="D9" s="5"/>
      <c r="E9" s="525"/>
      <c r="F9" s="525"/>
      <c r="G9" s="525"/>
      <c r="H9" s="523"/>
      <c r="I9" s="523"/>
      <c r="J9" s="523"/>
      <c r="K9" s="523"/>
      <c r="M9" s="523"/>
      <c r="N9" s="523"/>
      <c r="O9" s="523"/>
      <c r="P9" s="523"/>
      <c r="Q9" s="523"/>
      <c r="R9" s="523"/>
      <c r="S9" s="523"/>
      <c r="T9" s="4" t="s">
        <v>1633</v>
      </c>
      <c r="U9" s="3"/>
      <c r="V9" s="523"/>
      <c r="X9" s="523"/>
    </row>
    <row r="10" spans="1:30" ht="15" customHeight="1" x14ac:dyDescent="0.2">
      <c r="A10" s="525"/>
      <c r="B10" s="525"/>
      <c r="C10" s="525"/>
      <c r="D10" s="7" t="s">
        <v>14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30" ht="0.75" customHeight="1" x14ac:dyDescent="0.2"/>
    <row r="12" spans="1:30" ht="13.5" customHeight="1" x14ac:dyDescent="0.2">
      <c r="A12" s="530" t="s">
        <v>15</v>
      </c>
      <c r="B12" s="530"/>
      <c r="C12" s="531" t="s">
        <v>16</v>
      </c>
      <c r="D12" s="531"/>
      <c r="E12" s="531"/>
      <c r="F12" s="531"/>
      <c r="G12" s="531"/>
      <c r="I12" s="532">
        <v>41878</v>
      </c>
      <c r="J12" s="532"/>
      <c r="K12" s="533">
        <v>1000</v>
      </c>
      <c r="L12" s="533"/>
      <c r="M12" s="533">
        <v>904</v>
      </c>
      <c r="N12" s="533"/>
      <c r="O12" s="533">
        <v>0</v>
      </c>
      <c r="P12" s="533"/>
      <c r="Q12" s="533">
        <v>0</v>
      </c>
      <c r="R12" s="533"/>
      <c r="S12" s="1">
        <v>2.5</v>
      </c>
      <c r="T12" s="2" t="s">
        <v>17</v>
      </c>
      <c r="U12" s="533">
        <v>10</v>
      </c>
      <c r="V12" s="533"/>
      <c r="W12" s="533">
        <v>894</v>
      </c>
      <c r="X12" s="533"/>
    </row>
    <row r="13" spans="1:30" ht="0.75" customHeight="1" x14ac:dyDescent="0.2"/>
    <row r="14" spans="1:30" ht="13.5" customHeight="1" x14ac:dyDescent="0.2">
      <c r="A14" s="530" t="s">
        <v>18</v>
      </c>
      <c r="B14" s="530"/>
      <c r="C14" s="525" t="s">
        <v>19</v>
      </c>
      <c r="D14" s="525"/>
      <c r="E14" s="525"/>
      <c r="F14" s="525"/>
      <c r="G14" s="525"/>
      <c r="I14" s="532">
        <v>41831</v>
      </c>
      <c r="J14" s="532"/>
      <c r="K14" s="533">
        <v>2660</v>
      </c>
      <c r="L14" s="533"/>
      <c r="M14" s="533">
        <v>2394</v>
      </c>
      <c r="N14" s="533"/>
      <c r="O14" s="533">
        <v>0</v>
      </c>
      <c r="P14" s="533"/>
      <c r="Q14" s="533">
        <v>0</v>
      </c>
      <c r="R14" s="533"/>
      <c r="S14" s="1">
        <v>2.5</v>
      </c>
      <c r="T14" s="2" t="s">
        <v>17</v>
      </c>
      <c r="U14" s="533">
        <v>28</v>
      </c>
      <c r="V14" s="533"/>
      <c r="W14" s="533">
        <v>2366</v>
      </c>
      <c r="X14" s="533"/>
      <c r="AA14" s="13">
        <f>+M14-U14</f>
        <v>2366</v>
      </c>
      <c r="AC14">
        <f>+K14*0.025</f>
        <v>66.5</v>
      </c>
      <c r="AD14">
        <f>+AC14/12*5</f>
        <v>27.708333333333336</v>
      </c>
    </row>
    <row r="15" spans="1:30" ht="12" customHeight="1" x14ac:dyDescent="0.2">
      <c r="C15" s="525"/>
      <c r="D15" s="525"/>
      <c r="E15" s="525"/>
      <c r="F15" s="525"/>
      <c r="G15" s="525"/>
    </row>
    <row r="16" spans="1:30" ht="13.5" customHeight="1" x14ac:dyDescent="0.2">
      <c r="A16" s="530" t="s">
        <v>20</v>
      </c>
      <c r="B16" s="530"/>
      <c r="C16" s="525" t="s">
        <v>21</v>
      </c>
      <c r="D16" s="525"/>
      <c r="E16" s="525"/>
      <c r="F16" s="525"/>
      <c r="G16" s="525"/>
      <c r="I16" s="532">
        <v>41850</v>
      </c>
      <c r="J16" s="532"/>
      <c r="K16" s="533">
        <v>2584</v>
      </c>
      <c r="L16" s="533"/>
      <c r="M16" s="533">
        <v>2330</v>
      </c>
      <c r="N16" s="533"/>
      <c r="O16" s="533">
        <v>0</v>
      </c>
      <c r="P16" s="533"/>
      <c r="Q16" s="533">
        <v>0</v>
      </c>
      <c r="R16" s="533"/>
      <c r="S16" s="1">
        <v>2.5</v>
      </c>
      <c r="T16" s="2" t="s">
        <v>17</v>
      </c>
      <c r="U16" s="533">
        <v>27</v>
      </c>
      <c r="V16" s="533"/>
      <c r="W16" s="533">
        <v>2303</v>
      </c>
      <c r="X16" s="533"/>
    </row>
    <row r="17" spans="1:24" ht="12" customHeight="1" x14ac:dyDescent="0.2">
      <c r="C17" s="525"/>
      <c r="D17" s="525"/>
      <c r="E17" s="525"/>
      <c r="F17" s="525"/>
      <c r="G17" s="525"/>
    </row>
    <row r="18" spans="1:24" ht="13.5" customHeight="1" x14ac:dyDescent="0.2">
      <c r="A18" s="530" t="s">
        <v>22</v>
      </c>
      <c r="B18" s="530"/>
      <c r="C18" s="525" t="s">
        <v>23</v>
      </c>
      <c r="D18" s="525"/>
      <c r="E18" s="525"/>
      <c r="F18" s="525"/>
      <c r="G18" s="525"/>
      <c r="I18" s="532">
        <v>42033</v>
      </c>
      <c r="J18" s="532"/>
      <c r="K18" s="533">
        <v>3332</v>
      </c>
      <c r="L18" s="533"/>
      <c r="M18" s="533">
        <v>3047</v>
      </c>
      <c r="N18" s="533"/>
      <c r="O18" s="533">
        <v>0</v>
      </c>
      <c r="P18" s="533"/>
      <c r="Q18" s="533">
        <v>0</v>
      </c>
      <c r="R18" s="533"/>
      <c r="S18" s="1">
        <v>2.5</v>
      </c>
      <c r="T18" s="2" t="s">
        <v>17</v>
      </c>
      <c r="U18" s="533">
        <v>35</v>
      </c>
      <c r="V18" s="533"/>
      <c r="W18" s="533">
        <v>3012</v>
      </c>
      <c r="X18" s="533"/>
    </row>
    <row r="19" spans="1:24" ht="12" customHeight="1" x14ac:dyDescent="0.2">
      <c r="C19" s="525"/>
      <c r="D19" s="525"/>
      <c r="E19" s="525"/>
      <c r="F19" s="525"/>
      <c r="G19" s="525"/>
    </row>
    <row r="20" spans="1:24" ht="13.5" customHeight="1" x14ac:dyDescent="0.2">
      <c r="A20" s="530" t="s">
        <v>24</v>
      </c>
      <c r="B20" s="530"/>
      <c r="C20" s="525" t="s">
        <v>25</v>
      </c>
      <c r="D20" s="525"/>
      <c r="E20" s="525"/>
      <c r="F20" s="525"/>
      <c r="G20" s="525"/>
      <c r="I20" s="532">
        <v>42067</v>
      </c>
      <c r="J20" s="532"/>
      <c r="K20" s="533">
        <v>3036</v>
      </c>
      <c r="L20" s="533"/>
      <c r="M20" s="533">
        <v>2783</v>
      </c>
      <c r="N20" s="533"/>
      <c r="O20" s="533">
        <v>0</v>
      </c>
      <c r="P20" s="533"/>
      <c r="Q20" s="533">
        <v>0</v>
      </c>
      <c r="R20" s="533"/>
      <c r="S20" s="1">
        <v>2.5</v>
      </c>
      <c r="T20" s="2" t="s">
        <v>17</v>
      </c>
      <c r="U20" s="533">
        <v>32</v>
      </c>
      <c r="V20" s="533"/>
      <c r="W20" s="533">
        <v>2751</v>
      </c>
      <c r="X20" s="533"/>
    </row>
    <row r="21" spans="1:24" ht="12" customHeight="1" x14ac:dyDescent="0.2">
      <c r="C21" s="525"/>
      <c r="D21" s="525"/>
      <c r="E21" s="525"/>
      <c r="F21" s="525"/>
      <c r="G21" s="525"/>
    </row>
    <row r="22" spans="1:24" ht="13.5" customHeight="1" x14ac:dyDescent="0.2">
      <c r="A22" s="530" t="s">
        <v>26</v>
      </c>
      <c r="B22" s="530"/>
      <c r="C22" s="531" t="s">
        <v>27</v>
      </c>
      <c r="D22" s="531"/>
      <c r="E22" s="531"/>
      <c r="F22" s="531"/>
      <c r="G22" s="531"/>
      <c r="I22" s="532">
        <v>42475</v>
      </c>
      <c r="J22" s="532"/>
      <c r="K22" s="533">
        <v>67371.570000000007</v>
      </c>
      <c r="L22" s="533"/>
      <c r="M22" s="533">
        <v>63648.57</v>
      </c>
      <c r="N22" s="533"/>
      <c r="O22" s="533">
        <v>0</v>
      </c>
      <c r="P22" s="533"/>
      <c r="Q22" s="533">
        <v>0</v>
      </c>
      <c r="R22" s="533"/>
      <c r="S22" s="1">
        <v>2.5</v>
      </c>
      <c r="T22" s="2" t="s">
        <v>17</v>
      </c>
      <c r="U22" s="533">
        <v>706</v>
      </c>
      <c r="V22" s="533"/>
      <c r="W22" s="533">
        <v>62942.57</v>
      </c>
      <c r="X22" s="533"/>
    </row>
    <row r="23" spans="1:24" ht="0.75" customHeight="1" x14ac:dyDescent="0.2"/>
    <row r="24" spans="1:24" ht="13.5" customHeight="1" x14ac:dyDescent="0.2">
      <c r="A24" s="530" t="s">
        <v>28</v>
      </c>
      <c r="B24" s="530"/>
      <c r="C24" s="531" t="s">
        <v>29</v>
      </c>
      <c r="D24" s="531"/>
      <c r="E24" s="531"/>
      <c r="F24" s="531"/>
      <c r="G24" s="531"/>
      <c r="I24" s="532">
        <v>42429</v>
      </c>
      <c r="J24" s="532"/>
      <c r="K24" s="533">
        <v>4933.6400000000003</v>
      </c>
      <c r="L24" s="533"/>
      <c r="M24" s="533">
        <v>4645.6400000000003</v>
      </c>
      <c r="N24" s="533"/>
      <c r="O24" s="533">
        <v>0</v>
      </c>
      <c r="P24" s="533"/>
      <c r="Q24" s="533">
        <v>0</v>
      </c>
      <c r="R24" s="533"/>
      <c r="S24" s="1">
        <v>2.5</v>
      </c>
      <c r="T24" s="2" t="s">
        <v>17</v>
      </c>
      <c r="U24" s="533">
        <v>52</v>
      </c>
      <c r="V24" s="533"/>
      <c r="W24" s="533">
        <v>4593.6400000000003</v>
      </c>
      <c r="X24" s="533"/>
    </row>
    <row r="25" spans="1:24" ht="0.75" customHeight="1" x14ac:dyDescent="0.2"/>
    <row r="26" spans="1:24" ht="13.5" customHeight="1" x14ac:dyDescent="0.2">
      <c r="A26" s="530" t="s">
        <v>30</v>
      </c>
      <c r="B26" s="530"/>
      <c r="C26" s="531" t="s">
        <v>31</v>
      </c>
      <c r="D26" s="531"/>
      <c r="E26" s="531"/>
      <c r="F26" s="531"/>
      <c r="G26" s="531"/>
      <c r="I26" s="532">
        <v>42551</v>
      </c>
      <c r="J26" s="532"/>
      <c r="K26" s="533">
        <v>96714.930000000008</v>
      </c>
      <c r="L26" s="533"/>
      <c r="M26" s="533">
        <v>91871.930000000008</v>
      </c>
      <c r="N26" s="533"/>
      <c r="O26" s="533">
        <v>0</v>
      </c>
      <c r="P26" s="533"/>
      <c r="Q26" s="533">
        <v>0</v>
      </c>
      <c r="R26" s="533"/>
      <c r="S26" s="1">
        <v>2.5</v>
      </c>
      <c r="T26" s="2" t="s">
        <v>17</v>
      </c>
      <c r="U26" s="533">
        <v>1014</v>
      </c>
      <c r="V26" s="533"/>
      <c r="W26" s="533">
        <v>90857.930000000008</v>
      </c>
      <c r="X26" s="533"/>
    </row>
    <row r="27" spans="1:24" ht="0.75" customHeight="1" x14ac:dyDescent="0.2"/>
    <row r="28" spans="1:24" ht="13.5" customHeight="1" x14ac:dyDescent="0.2">
      <c r="A28" s="530" t="s">
        <v>32</v>
      </c>
      <c r="B28" s="530"/>
      <c r="C28" s="525" t="s">
        <v>33</v>
      </c>
      <c r="D28" s="525"/>
      <c r="E28" s="525"/>
      <c r="F28" s="525"/>
      <c r="G28" s="525"/>
      <c r="I28" s="532">
        <v>42377</v>
      </c>
      <c r="J28" s="532"/>
      <c r="K28" s="533">
        <v>2975</v>
      </c>
      <c r="L28" s="533"/>
      <c r="M28" s="533">
        <v>2791</v>
      </c>
      <c r="N28" s="533"/>
      <c r="O28" s="533">
        <v>0</v>
      </c>
      <c r="P28" s="533"/>
      <c r="Q28" s="533">
        <v>0</v>
      </c>
      <c r="R28" s="533"/>
      <c r="S28" s="1">
        <v>2.5</v>
      </c>
      <c r="T28" s="2" t="s">
        <v>17</v>
      </c>
      <c r="U28" s="533">
        <v>31</v>
      </c>
      <c r="V28" s="533"/>
      <c r="W28" s="533">
        <v>2760</v>
      </c>
      <c r="X28" s="533"/>
    </row>
    <row r="29" spans="1:24" ht="12" customHeight="1" x14ac:dyDescent="0.2">
      <c r="C29" s="525"/>
      <c r="D29" s="525"/>
      <c r="E29" s="525"/>
      <c r="F29" s="525"/>
      <c r="G29" s="525"/>
    </row>
    <row r="30" spans="1:24" ht="13.5" customHeight="1" x14ac:dyDescent="0.2">
      <c r="A30" s="530" t="s">
        <v>34</v>
      </c>
      <c r="B30" s="530"/>
      <c r="C30" s="531" t="s">
        <v>35</v>
      </c>
      <c r="D30" s="531"/>
      <c r="E30" s="531"/>
      <c r="F30" s="531"/>
      <c r="G30" s="531"/>
      <c r="I30" s="532">
        <v>42385</v>
      </c>
      <c r="J30" s="532"/>
      <c r="K30" s="533">
        <v>51063.4</v>
      </c>
      <c r="L30" s="533"/>
      <c r="M30" s="533">
        <v>47925.4</v>
      </c>
      <c r="N30" s="533"/>
      <c r="O30" s="533">
        <v>0</v>
      </c>
      <c r="P30" s="533"/>
      <c r="Q30" s="533">
        <v>0</v>
      </c>
      <c r="R30" s="533"/>
      <c r="S30" s="1">
        <v>2.5</v>
      </c>
      <c r="T30" s="2" t="s">
        <v>17</v>
      </c>
      <c r="U30" s="533">
        <v>535</v>
      </c>
      <c r="V30" s="533"/>
      <c r="W30" s="533">
        <v>47390.400000000001</v>
      </c>
      <c r="X30" s="533"/>
    </row>
    <row r="31" spans="1:24" ht="0.75" customHeight="1" x14ac:dyDescent="0.2"/>
    <row r="32" spans="1:24" ht="13.5" customHeight="1" x14ac:dyDescent="0.2">
      <c r="A32" s="530" t="s">
        <v>36</v>
      </c>
      <c r="B32" s="530"/>
      <c r="C32" s="525" t="s">
        <v>37</v>
      </c>
      <c r="D32" s="525"/>
      <c r="E32" s="525"/>
      <c r="F32" s="525"/>
      <c r="G32" s="525"/>
      <c r="I32" s="532">
        <v>42428</v>
      </c>
      <c r="J32" s="532"/>
      <c r="K32" s="533">
        <v>25219.350000000002</v>
      </c>
      <c r="L32" s="533"/>
      <c r="M32" s="533">
        <v>23745.350000000002</v>
      </c>
      <c r="N32" s="533"/>
      <c r="O32" s="533">
        <v>0</v>
      </c>
      <c r="P32" s="533"/>
      <c r="Q32" s="533">
        <v>0</v>
      </c>
      <c r="R32" s="533"/>
      <c r="S32" s="1">
        <v>2.5</v>
      </c>
      <c r="T32" s="2" t="s">
        <v>17</v>
      </c>
      <c r="U32" s="533">
        <v>264</v>
      </c>
      <c r="V32" s="533"/>
      <c r="W32" s="533">
        <v>23481.350000000002</v>
      </c>
      <c r="X32" s="533"/>
    </row>
    <row r="33" spans="1:24" ht="12" customHeight="1" x14ac:dyDescent="0.2">
      <c r="C33" s="525"/>
      <c r="D33" s="525"/>
      <c r="E33" s="525"/>
      <c r="F33" s="525"/>
      <c r="G33" s="525"/>
    </row>
    <row r="34" spans="1:24" ht="13.5" customHeight="1" x14ac:dyDescent="0.2">
      <c r="A34" s="530" t="s">
        <v>38</v>
      </c>
      <c r="B34" s="530"/>
      <c r="C34" s="525" t="s">
        <v>39</v>
      </c>
      <c r="D34" s="525"/>
      <c r="E34" s="525"/>
      <c r="F34" s="525"/>
      <c r="G34" s="525"/>
      <c r="I34" s="532">
        <v>42428</v>
      </c>
      <c r="J34" s="532"/>
      <c r="K34" s="533">
        <v>499182.86</v>
      </c>
      <c r="L34" s="533"/>
      <c r="M34" s="533">
        <v>469982.86</v>
      </c>
      <c r="N34" s="533"/>
      <c r="O34" s="533">
        <v>0</v>
      </c>
      <c r="P34" s="533"/>
      <c r="Q34" s="533">
        <v>0</v>
      </c>
      <c r="R34" s="533"/>
      <c r="S34" s="1">
        <v>2.5</v>
      </c>
      <c r="T34" s="2" t="s">
        <v>17</v>
      </c>
      <c r="U34" s="533">
        <v>5231</v>
      </c>
      <c r="V34" s="533"/>
      <c r="W34" s="533">
        <v>464751.86</v>
      </c>
      <c r="X34" s="533"/>
    </row>
    <row r="35" spans="1:24" ht="12" customHeight="1" x14ac:dyDescent="0.2">
      <c r="C35" s="525"/>
      <c r="D35" s="525"/>
      <c r="E35" s="525"/>
      <c r="F35" s="525"/>
      <c r="G35" s="525"/>
    </row>
    <row r="36" spans="1:24" ht="13.5" customHeight="1" x14ac:dyDescent="0.2">
      <c r="A36" s="530" t="s">
        <v>40</v>
      </c>
      <c r="B36" s="530"/>
      <c r="C36" s="525" t="s">
        <v>41</v>
      </c>
      <c r="D36" s="525"/>
      <c r="E36" s="525"/>
      <c r="F36" s="525"/>
      <c r="G36" s="525"/>
      <c r="I36" s="532">
        <v>42274</v>
      </c>
      <c r="J36" s="532"/>
      <c r="K36" s="533">
        <v>76772.05</v>
      </c>
      <c r="L36" s="533"/>
      <c r="M36" s="533">
        <v>71472.05</v>
      </c>
      <c r="N36" s="533"/>
      <c r="O36" s="533">
        <v>0</v>
      </c>
      <c r="P36" s="533"/>
      <c r="Q36" s="533">
        <v>0</v>
      </c>
      <c r="R36" s="533"/>
      <c r="S36" s="1">
        <v>2.5</v>
      </c>
      <c r="T36" s="2" t="s">
        <v>17</v>
      </c>
      <c r="U36" s="533">
        <v>805</v>
      </c>
      <c r="V36" s="533"/>
      <c r="W36" s="533">
        <v>70667.05</v>
      </c>
      <c r="X36" s="533"/>
    </row>
    <row r="37" spans="1:24" ht="12" customHeight="1" x14ac:dyDescent="0.2">
      <c r="C37" s="525"/>
      <c r="D37" s="525"/>
      <c r="E37" s="525"/>
      <c r="F37" s="525"/>
      <c r="G37" s="525"/>
    </row>
    <row r="38" spans="1:24" ht="13.5" customHeight="1" x14ac:dyDescent="0.2">
      <c r="A38" s="530" t="s">
        <v>42</v>
      </c>
      <c r="B38" s="530"/>
      <c r="C38" s="531" t="s">
        <v>43</v>
      </c>
      <c r="D38" s="531"/>
      <c r="E38" s="531"/>
      <c r="F38" s="531"/>
      <c r="G38" s="531"/>
      <c r="I38" s="532">
        <v>42415</v>
      </c>
      <c r="J38" s="532"/>
      <c r="K38" s="533">
        <v>3300</v>
      </c>
      <c r="L38" s="533"/>
      <c r="M38" s="533">
        <v>3103</v>
      </c>
      <c r="N38" s="533"/>
      <c r="O38" s="533">
        <v>0</v>
      </c>
      <c r="P38" s="533"/>
      <c r="Q38" s="533">
        <v>0</v>
      </c>
      <c r="R38" s="533"/>
      <c r="S38" s="1">
        <v>2.5</v>
      </c>
      <c r="T38" s="2" t="s">
        <v>17</v>
      </c>
      <c r="U38" s="533">
        <v>35</v>
      </c>
      <c r="V38" s="533"/>
      <c r="W38" s="533">
        <v>3068</v>
      </c>
      <c r="X38" s="533"/>
    </row>
    <row r="39" spans="1:24" ht="0.75" customHeight="1" x14ac:dyDescent="0.2"/>
    <row r="40" spans="1:24" ht="13.5" customHeight="1" x14ac:dyDescent="0.2">
      <c r="A40" s="530" t="s">
        <v>44</v>
      </c>
      <c r="B40" s="530"/>
      <c r="C40" s="525" t="s">
        <v>45</v>
      </c>
      <c r="D40" s="525"/>
      <c r="E40" s="525"/>
      <c r="F40" s="525"/>
      <c r="G40" s="525"/>
      <c r="I40" s="532">
        <v>42319</v>
      </c>
      <c r="J40" s="532"/>
      <c r="K40" s="533">
        <v>80345.240000000005</v>
      </c>
      <c r="L40" s="533"/>
      <c r="M40" s="533">
        <v>75045.240000000005</v>
      </c>
      <c r="N40" s="533"/>
      <c r="O40" s="533">
        <v>0</v>
      </c>
      <c r="P40" s="533"/>
      <c r="Q40" s="533">
        <v>0</v>
      </c>
      <c r="R40" s="533"/>
      <c r="S40" s="1">
        <v>2.5</v>
      </c>
      <c r="T40" s="2" t="s">
        <v>17</v>
      </c>
      <c r="U40" s="533">
        <v>842</v>
      </c>
      <c r="V40" s="533"/>
      <c r="W40" s="533">
        <v>74203.240000000005</v>
      </c>
      <c r="X40" s="533"/>
    </row>
    <row r="41" spans="1:24" ht="12" customHeight="1" x14ac:dyDescent="0.2">
      <c r="C41" s="525"/>
      <c r="D41" s="525"/>
      <c r="E41" s="525"/>
      <c r="F41" s="525"/>
      <c r="G41" s="525"/>
    </row>
    <row r="42" spans="1:24" ht="13.5" customHeight="1" x14ac:dyDescent="0.2">
      <c r="A42" s="530" t="s">
        <v>46</v>
      </c>
      <c r="B42" s="530"/>
      <c r="C42" s="531" t="s">
        <v>47</v>
      </c>
      <c r="D42" s="531"/>
      <c r="E42" s="531"/>
      <c r="F42" s="531"/>
      <c r="G42" s="531"/>
      <c r="I42" s="532">
        <v>42556</v>
      </c>
      <c r="J42" s="532"/>
      <c r="K42" s="533">
        <v>876.25</v>
      </c>
      <c r="L42" s="533"/>
      <c r="M42" s="533">
        <v>832.25</v>
      </c>
      <c r="N42" s="533"/>
      <c r="O42" s="533">
        <v>0</v>
      </c>
      <c r="P42" s="533"/>
      <c r="Q42" s="533">
        <v>0</v>
      </c>
      <c r="R42" s="533"/>
      <c r="S42" s="1">
        <v>2.5</v>
      </c>
      <c r="T42" s="2" t="s">
        <v>17</v>
      </c>
      <c r="U42" s="533">
        <v>9</v>
      </c>
      <c r="V42" s="533"/>
      <c r="W42" s="533">
        <v>823.25</v>
      </c>
      <c r="X42" s="533"/>
    </row>
    <row r="43" spans="1:24" ht="0.75" customHeight="1" x14ac:dyDescent="0.2"/>
    <row r="44" spans="1:24" ht="13.5" customHeight="1" x14ac:dyDescent="0.2">
      <c r="A44" s="530" t="s">
        <v>48</v>
      </c>
      <c r="B44" s="530"/>
      <c r="C44" s="531" t="s">
        <v>49</v>
      </c>
      <c r="D44" s="531"/>
      <c r="E44" s="531"/>
      <c r="F44" s="531"/>
      <c r="G44" s="531"/>
      <c r="I44" s="532">
        <v>42704</v>
      </c>
      <c r="J44" s="532"/>
      <c r="K44" s="533">
        <v>1950</v>
      </c>
      <c r="L44" s="533"/>
      <c r="M44" s="533">
        <v>1873</v>
      </c>
      <c r="N44" s="533"/>
      <c r="O44" s="533">
        <v>0</v>
      </c>
      <c r="P44" s="533"/>
      <c r="Q44" s="533">
        <v>0</v>
      </c>
      <c r="R44" s="533"/>
      <c r="S44" s="1">
        <v>2.5</v>
      </c>
      <c r="T44" s="2" t="s">
        <v>17</v>
      </c>
      <c r="U44" s="533">
        <v>20</v>
      </c>
      <c r="V44" s="533"/>
      <c r="W44" s="533">
        <v>1853</v>
      </c>
      <c r="X44" s="533"/>
    </row>
    <row r="45" spans="1:24" ht="0.75" customHeight="1" x14ac:dyDescent="0.2"/>
    <row r="46" spans="1:24" ht="13.5" customHeight="1" x14ac:dyDescent="0.2">
      <c r="A46" s="530" t="s">
        <v>50</v>
      </c>
      <c r="B46" s="530"/>
      <c r="C46" s="531" t="s">
        <v>51</v>
      </c>
      <c r="D46" s="531"/>
      <c r="E46" s="531"/>
      <c r="F46" s="531"/>
      <c r="G46" s="531"/>
      <c r="I46" s="532">
        <v>42821</v>
      </c>
      <c r="J46" s="532"/>
      <c r="K46" s="533">
        <v>62109</v>
      </c>
      <c r="L46" s="533"/>
      <c r="M46" s="533">
        <v>60148</v>
      </c>
      <c r="N46" s="533"/>
      <c r="O46" s="533">
        <v>0</v>
      </c>
      <c r="P46" s="533"/>
      <c r="Q46" s="533">
        <v>0</v>
      </c>
      <c r="R46" s="533"/>
      <c r="S46" s="1">
        <v>2.5</v>
      </c>
      <c r="T46" s="2" t="s">
        <v>17</v>
      </c>
      <c r="U46" s="533">
        <v>651</v>
      </c>
      <c r="V46" s="533"/>
      <c r="W46" s="533">
        <v>59497</v>
      </c>
      <c r="X46" s="533"/>
    </row>
    <row r="47" spans="1:24" ht="0.75" customHeight="1" x14ac:dyDescent="0.2"/>
    <row r="48" spans="1:24" ht="13.5" customHeight="1" x14ac:dyDescent="0.2">
      <c r="A48" s="530" t="s">
        <v>52</v>
      </c>
      <c r="B48" s="530"/>
      <c r="C48" s="531" t="s">
        <v>53</v>
      </c>
      <c r="D48" s="531"/>
      <c r="E48" s="531"/>
      <c r="F48" s="531"/>
      <c r="G48" s="531"/>
      <c r="I48" s="532">
        <v>42916</v>
      </c>
      <c r="J48" s="532"/>
      <c r="K48" s="533">
        <v>69675.72</v>
      </c>
      <c r="L48" s="533"/>
      <c r="M48" s="533">
        <v>67928.72</v>
      </c>
      <c r="N48" s="533"/>
      <c r="O48" s="533">
        <v>0</v>
      </c>
      <c r="P48" s="533"/>
      <c r="Q48" s="533">
        <v>0</v>
      </c>
      <c r="R48" s="533"/>
      <c r="S48" s="1">
        <v>2.5</v>
      </c>
      <c r="T48" s="2" t="s">
        <v>17</v>
      </c>
      <c r="U48" s="533">
        <v>730</v>
      </c>
      <c r="V48" s="533"/>
      <c r="W48" s="533">
        <v>67198.720000000001</v>
      </c>
      <c r="X48" s="533"/>
    </row>
    <row r="49" spans="1:24" ht="0.75" customHeight="1" x14ac:dyDescent="0.2"/>
    <row r="50" spans="1:24" ht="13.5" customHeight="1" x14ac:dyDescent="0.2">
      <c r="A50" s="530" t="s">
        <v>54</v>
      </c>
      <c r="B50" s="530"/>
      <c r="C50" s="531" t="s">
        <v>55</v>
      </c>
      <c r="D50" s="531"/>
      <c r="E50" s="531"/>
      <c r="F50" s="531"/>
      <c r="G50" s="531"/>
      <c r="I50" s="532">
        <v>42664</v>
      </c>
      <c r="J50" s="532"/>
      <c r="K50" s="533">
        <v>28247.11</v>
      </c>
      <c r="L50" s="533"/>
      <c r="M50" s="533">
        <v>27052.11</v>
      </c>
      <c r="N50" s="533"/>
      <c r="O50" s="533">
        <v>0</v>
      </c>
      <c r="P50" s="533"/>
      <c r="Q50" s="533">
        <v>0</v>
      </c>
      <c r="R50" s="533"/>
      <c r="S50" s="1">
        <v>2.5</v>
      </c>
      <c r="T50" s="2" t="s">
        <v>17</v>
      </c>
      <c r="U50" s="533">
        <v>296</v>
      </c>
      <c r="V50" s="533"/>
      <c r="W50" s="533">
        <v>26756.11</v>
      </c>
      <c r="X50" s="533"/>
    </row>
    <row r="51" spans="1:24" ht="0.75" customHeight="1" x14ac:dyDescent="0.2"/>
    <row r="52" spans="1:24" ht="13.5" customHeight="1" x14ac:dyDescent="0.2">
      <c r="A52" s="530" t="s">
        <v>56</v>
      </c>
      <c r="B52" s="530"/>
      <c r="C52" s="531" t="s">
        <v>57</v>
      </c>
      <c r="D52" s="531"/>
      <c r="E52" s="531"/>
      <c r="F52" s="531"/>
      <c r="G52" s="531"/>
      <c r="I52" s="532">
        <v>42916</v>
      </c>
      <c r="J52" s="532"/>
      <c r="K52" s="533">
        <v>37437.360000000001</v>
      </c>
      <c r="L52" s="533"/>
      <c r="M52" s="533">
        <v>36498.36</v>
      </c>
      <c r="N52" s="533"/>
      <c r="O52" s="533">
        <v>0</v>
      </c>
      <c r="P52" s="533"/>
      <c r="Q52" s="533">
        <v>0</v>
      </c>
      <c r="R52" s="533"/>
      <c r="S52" s="1">
        <v>2.5</v>
      </c>
      <c r="T52" s="2" t="s">
        <v>17</v>
      </c>
      <c r="U52" s="533">
        <v>392</v>
      </c>
      <c r="V52" s="533"/>
      <c r="W52" s="533">
        <v>36106.36</v>
      </c>
      <c r="X52" s="533"/>
    </row>
    <row r="53" spans="1:24" ht="0.75" customHeight="1" x14ac:dyDescent="0.2"/>
    <row r="54" spans="1:24" ht="13.5" customHeight="1" x14ac:dyDescent="0.2">
      <c r="A54" s="530" t="s">
        <v>58</v>
      </c>
      <c r="B54" s="530"/>
      <c r="C54" s="531" t="s">
        <v>59</v>
      </c>
      <c r="D54" s="531"/>
      <c r="E54" s="531"/>
      <c r="F54" s="531"/>
      <c r="G54" s="531"/>
      <c r="I54" s="532">
        <v>42759</v>
      </c>
      <c r="J54" s="532"/>
      <c r="K54" s="533">
        <v>1391</v>
      </c>
      <c r="L54" s="533"/>
      <c r="M54" s="533">
        <v>1341</v>
      </c>
      <c r="N54" s="533"/>
      <c r="O54" s="533">
        <v>0</v>
      </c>
      <c r="P54" s="533"/>
      <c r="Q54" s="533">
        <v>0</v>
      </c>
      <c r="R54" s="533"/>
      <c r="S54" s="1">
        <v>2.5</v>
      </c>
      <c r="T54" s="2" t="s">
        <v>17</v>
      </c>
      <c r="U54" s="533">
        <v>15</v>
      </c>
      <c r="V54" s="533"/>
      <c r="W54" s="533">
        <v>1326</v>
      </c>
      <c r="X54" s="533"/>
    </row>
    <row r="55" spans="1:24" ht="0.75" customHeight="1" x14ac:dyDescent="0.2"/>
    <row r="56" spans="1:24" ht="13.5" customHeight="1" x14ac:dyDescent="0.2">
      <c r="A56" s="530" t="s">
        <v>60</v>
      </c>
      <c r="B56" s="530"/>
      <c r="C56" s="531" t="s">
        <v>61</v>
      </c>
      <c r="D56" s="531"/>
      <c r="E56" s="531"/>
      <c r="F56" s="531"/>
      <c r="G56" s="531"/>
      <c r="I56" s="532">
        <v>42916</v>
      </c>
      <c r="J56" s="532"/>
      <c r="K56" s="533">
        <v>4441.5</v>
      </c>
      <c r="L56" s="533"/>
      <c r="M56" s="533">
        <v>4329.5</v>
      </c>
      <c r="N56" s="533"/>
      <c r="O56" s="533">
        <v>0</v>
      </c>
      <c r="P56" s="533"/>
      <c r="Q56" s="533">
        <v>0</v>
      </c>
      <c r="R56" s="533"/>
      <c r="S56" s="1">
        <v>2.5</v>
      </c>
      <c r="T56" s="2" t="s">
        <v>17</v>
      </c>
      <c r="U56" s="533">
        <v>47</v>
      </c>
      <c r="V56" s="533"/>
      <c r="W56" s="533">
        <v>4282.5</v>
      </c>
      <c r="X56" s="533"/>
    </row>
    <row r="57" spans="1:24" ht="0.75" customHeight="1" x14ac:dyDescent="0.2"/>
    <row r="58" spans="1:24" ht="13.5" customHeight="1" x14ac:dyDescent="0.2">
      <c r="A58" s="530" t="s">
        <v>62</v>
      </c>
      <c r="B58" s="530"/>
      <c r="C58" s="525" t="s">
        <v>63</v>
      </c>
      <c r="D58" s="525"/>
      <c r="E58" s="525"/>
      <c r="F58" s="525"/>
      <c r="G58" s="525"/>
      <c r="I58" s="532">
        <v>42552</v>
      </c>
      <c r="J58" s="532"/>
      <c r="K58" s="533">
        <v>1728.33</v>
      </c>
      <c r="L58" s="533"/>
      <c r="M58" s="533">
        <v>1642.33</v>
      </c>
      <c r="N58" s="533"/>
      <c r="O58" s="533">
        <v>0</v>
      </c>
      <c r="P58" s="533"/>
      <c r="Q58" s="533">
        <v>0</v>
      </c>
      <c r="R58" s="533"/>
      <c r="S58" s="1">
        <v>2.5</v>
      </c>
      <c r="T58" s="2" t="s">
        <v>17</v>
      </c>
      <c r="U58" s="533">
        <v>18</v>
      </c>
      <c r="V58" s="533"/>
      <c r="W58" s="533">
        <v>1624.33</v>
      </c>
      <c r="X58" s="533"/>
    </row>
    <row r="59" spans="1:24" ht="12" customHeight="1" x14ac:dyDescent="0.2">
      <c r="C59" s="525"/>
      <c r="D59" s="525"/>
      <c r="E59" s="525"/>
      <c r="F59" s="525"/>
      <c r="G59" s="525"/>
    </row>
    <row r="60" spans="1:24" ht="13.5" customHeight="1" x14ac:dyDescent="0.2">
      <c r="A60" s="530" t="s">
        <v>64</v>
      </c>
      <c r="B60" s="530"/>
      <c r="C60" s="531" t="s">
        <v>65</v>
      </c>
      <c r="D60" s="531"/>
      <c r="E60" s="531"/>
      <c r="F60" s="531"/>
      <c r="G60" s="531"/>
      <c r="I60" s="532">
        <v>42552</v>
      </c>
      <c r="J60" s="532"/>
      <c r="K60" s="533">
        <v>1939.3700000000001</v>
      </c>
      <c r="L60" s="533"/>
      <c r="M60" s="533">
        <v>1843.3700000000001</v>
      </c>
      <c r="N60" s="533"/>
      <c r="O60" s="533">
        <v>0</v>
      </c>
      <c r="P60" s="533"/>
      <c r="Q60" s="533">
        <v>0</v>
      </c>
      <c r="R60" s="533"/>
      <c r="S60" s="1">
        <v>2.5</v>
      </c>
      <c r="T60" s="2" t="s">
        <v>17</v>
      </c>
      <c r="U60" s="533">
        <v>20</v>
      </c>
      <c r="V60" s="533"/>
      <c r="W60" s="533">
        <v>1823.3700000000001</v>
      </c>
      <c r="X60" s="533"/>
    </row>
    <row r="61" spans="1:24" ht="0.75" customHeight="1" x14ac:dyDescent="0.2"/>
    <row r="62" spans="1:24" ht="13.5" customHeight="1" x14ac:dyDescent="0.2">
      <c r="A62" s="530" t="s">
        <v>66</v>
      </c>
      <c r="B62" s="530"/>
      <c r="C62" s="525" t="s">
        <v>67</v>
      </c>
      <c r="D62" s="525"/>
      <c r="E62" s="525"/>
      <c r="F62" s="525"/>
      <c r="G62" s="525"/>
      <c r="I62" s="532">
        <v>42552</v>
      </c>
      <c r="J62" s="532"/>
      <c r="K62" s="533">
        <v>4654.43</v>
      </c>
      <c r="L62" s="533"/>
      <c r="M62" s="533">
        <v>4422.43</v>
      </c>
      <c r="N62" s="533"/>
      <c r="O62" s="533">
        <v>0</v>
      </c>
      <c r="P62" s="533"/>
      <c r="Q62" s="533">
        <v>0</v>
      </c>
      <c r="R62" s="533"/>
      <c r="S62" s="1">
        <v>2.5</v>
      </c>
      <c r="T62" s="2" t="s">
        <v>17</v>
      </c>
      <c r="U62" s="533">
        <v>49</v>
      </c>
      <c r="V62" s="533"/>
      <c r="W62" s="533">
        <v>4373.43</v>
      </c>
      <c r="X62" s="533"/>
    </row>
    <row r="63" spans="1:24" ht="12" customHeight="1" x14ac:dyDescent="0.2">
      <c r="C63" s="525"/>
      <c r="D63" s="525"/>
      <c r="E63" s="525"/>
      <c r="F63" s="525"/>
      <c r="G63" s="525"/>
    </row>
    <row r="64" spans="1:24" ht="13.5" customHeight="1" x14ac:dyDescent="0.2">
      <c r="A64" s="530" t="s">
        <v>68</v>
      </c>
      <c r="B64" s="530"/>
      <c r="C64" s="525" t="s">
        <v>69</v>
      </c>
      <c r="D64" s="525"/>
      <c r="E64" s="525"/>
      <c r="F64" s="525"/>
      <c r="G64" s="525"/>
      <c r="I64" s="532">
        <v>42552</v>
      </c>
      <c r="J64" s="532"/>
      <c r="K64" s="533">
        <v>8058.1</v>
      </c>
      <c r="L64" s="533"/>
      <c r="M64" s="533">
        <v>7656.1</v>
      </c>
      <c r="N64" s="533"/>
      <c r="O64" s="533">
        <v>0</v>
      </c>
      <c r="P64" s="533"/>
      <c r="Q64" s="533">
        <v>0</v>
      </c>
      <c r="R64" s="533"/>
      <c r="S64" s="1">
        <v>2.5</v>
      </c>
      <c r="T64" s="2" t="s">
        <v>17</v>
      </c>
      <c r="U64" s="533">
        <v>84</v>
      </c>
      <c r="V64" s="533"/>
      <c r="W64" s="533">
        <v>7572.1</v>
      </c>
      <c r="X64" s="533"/>
    </row>
    <row r="65" spans="1:24" ht="12" customHeight="1" x14ac:dyDescent="0.2">
      <c r="C65" s="525"/>
      <c r="D65" s="525"/>
      <c r="E65" s="525"/>
      <c r="F65" s="525"/>
      <c r="G65" s="525"/>
    </row>
    <row r="66" spans="1:24" ht="13.5" customHeight="1" x14ac:dyDescent="0.2">
      <c r="A66" s="530" t="s">
        <v>70</v>
      </c>
      <c r="B66" s="530"/>
      <c r="C66" s="531" t="s">
        <v>71</v>
      </c>
      <c r="D66" s="531"/>
      <c r="E66" s="531"/>
      <c r="F66" s="531"/>
      <c r="G66" s="531"/>
      <c r="I66" s="532">
        <v>42821</v>
      </c>
      <c r="J66" s="532"/>
      <c r="K66" s="533">
        <v>17489.650000000001</v>
      </c>
      <c r="L66" s="533"/>
      <c r="M66" s="533">
        <v>16937.650000000001</v>
      </c>
      <c r="N66" s="533"/>
      <c r="O66" s="533">
        <v>0</v>
      </c>
      <c r="P66" s="533"/>
      <c r="Q66" s="533">
        <v>0</v>
      </c>
      <c r="R66" s="533"/>
      <c r="S66" s="1">
        <v>2.5</v>
      </c>
      <c r="T66" s="2" t="s">
        <v>17</v>
      </c>
      <c r="U66" s="533">
        <v>183</v>
      </c>
      <c r="V66" s="533"/>
      <c r="W66" s="533">
        <v>16754.650000000001</v>
      </c>
      <c r="X66" s="533"/>
    </row>
    <row r="67" spans="1:24" ht="15" customHeight="1" x14ac:dyDescent="0.2">
      <c r="A67" s="534" t="s">
        <v>13</v>
      </c>
      <c r="B67" s="534"/>
      <c r="D67" s="534" t="s">
        <v>14</v>
      </c>
      <c r="E67" s="534"/>
      <c r="F67" s="534"/>
      <c r="G67" s="534"/>
      <c r="H67" s="534"/>
      <c r="I67" s="534"/>
      <c r="J67" s="534"/>
      <c r="K67" s="534"/>
      <c r="L67" s="534"/>
      <c r="M67" s="534"/>
      <c r="N67" s="534"/>
      <c r="O67" s="534"/>
      <c r="P67" s="534"/>
      <c r="Q67" s="534"/>
      <c r="R67" s="534"/>
      <c r="S67" s="534"/>
      <c r="T67" s="534"/>
      <c r="U67" s="534"/>
      <c r="V67" s="534"/>
    </row>
    <row r="68" spans="1:24" ht="0.75" customHeight="1" x14ac:dyDescent="0.2"/>
    <row r="69" spans="1:24" ht="13.5" customHeight="1" x14ac:dyDescent="0.2">
      <c r="A69" s="530" t="s">
        <v>72</v>
      </c>
      <c r="B69" s="530"/>
      <c r="C69" s="525" t="s">
        <v>73</v>
      </c>
      <c r="D69" s="525"/>
      <c r="E69" s="525"/>
      <c r="F69" s="525"/>
      <c r="G69" s="525"/>
      <c r="I69" s="532">
        <v>42821</v>
      </c>
      <c r="J69" s="532"/>
      <c r="K69" s="533">
        <v>5347.05</v>
      </c>
      <c r="L69" s="533"/>
      <c r="M69" s="533">
        <v>5178.05</v>
      </c>
      <c r="N69" s="533"/>
      <c r="O69" s="533">
        <v>0</v>
      </c>
      <c r="P69" s="533"/>
      <c r="Q69" s="533">
        <v>0</v>
      </c>
      <c r="R69" s="533"/>
      <c r="S69" s="1">
        <v>2.5</v>
      </c>
      <c r="T69" s="2" t="s">
        <v>17</v>
      </c>
      <c r="U69" s="533">
        <v>56</v>
      </c>
      <c r="V69" s="533"/>
      <c r="W69" s="533">
        <v>5122.05</v>
      </c>
      <c r="X69" s="533"/>
    </row>
    <row r="70" spans="1:24" ht="12" customHeight="1" x14ac:dyDescent="0.2">
      <c r="C70" s="525"/>
      <c r="D70" s="525"/>
      <c r="E70" s="525"/>
      <c r="F70" s="525"/>
      <c r="G70" s="525"/>
    </row>
    <row r="71" spans="1:24" ht="13.5" customHeight="1" x14ac:dyDescent="0.2">
      <c r="A71" s="530" t="s">
        <v>74</v>
      </c>
      <c r="B71" s="530"/>
      <c r="C71" s="525" t="s">
        <v>75</v>
      </c>
      <c r="D71" s="525"/>
      <c r="E71" s="525"/>
      <c r="F71" s="525"/>
      <c r="G71" s="525"/>
      <c r="I71" s="532">
        <v>42822</v>
      </c>
      <c r="J71" s="532"/>
      <c r="K71" s="533">
        <v>2312.66</v>
      </c>
      <c r="L71" s="533"/>
      <c r="M71" s="533">
        <v>2239.66</v>
      </c>
      <c r="N71" s="533"/>
      <c r="O71" s="533">
        <v>0</v>
      </c>
      <c r="P71" s="533"/>
      <c r="Q71" s="533">
        <v>0</v>
      </c>
      <c r="R71" s="533"/>
      <c r="S71" s="1">
        <v>2.5</v>
      </c>
      <c r="T71" s="2" t="s">
        <v>17</v>
      </c>
      <c r="U71" s="533">
        <v>24</v>
      </c>
      <c r="V71" s="533"/>
      <c r="W71" s="533">
        <v>2215.66</v>
      </c>
      <c r="X71" s="533"/>
    </row>
    <row r="72" spans="1:24" ht="12" customHeight="1" x14ac:dyDescent="0.2">
      <c r="C72" s="525"/>
      <c r="D72" s="525"/>
      <c r="E72" s="525"/>
      <c r="F72" s="525"/>
      <c r="G72" s="525"/>
    </row>
    <row r="73" spans="1:24" ht="13.5" customHeight="1" x14ac:dyDescent="0.2">
      <c r="A73" s="530" t="s">
        <v>76</v>
      </c>
      <c r="B73" s="530"/>
      <c r="C73" s="525" t="s">
        <v>77</v>
      </c>
      <c r="D73" s="525"/>
      <c r="E73" s="525"/>
      <c r="F73" s="525"/>
      <c r="G73" s="525"/>
      <c r="I73" s="532">
        <v>42618</v>
      </c>
      <c r="J73" s="532"/>
      <c r="K73" s="533">
        <v>1354.5</v>
      </c>
      <c r="L73" s="533"/>
      <c r="M73" s="533">
        <v>1292.5</v>
      </c>
      <c r="N73" s="533"/>
      <c r="O73" s="533">
        <v>0</v>
      </c>
      <c r="P73" s="533"/>
      <c r="Q73" s="533">
        <v>0</v>
      </c>
      <c r="R73" s="533"/>
      <c r="S73" s="1">
        <v>2.5</v>
      </c>
      <c r="T73" s="2" t="s">
        <v>17</v>
      </c>
      <c r="U73" s="533">
        <v>14</v>
      </c>
      <c r="V73" s="533"/>
      <c r="W73" s="533">
        <v>1278.5</v>
      </c>
      <c r="X73" s="533"/>
    </row>
    <row r="74" spans="1:24" ht="12" customHeight="1" x14ac:dyDescent="0.2">
      <c r="C74" s="525"/>
      <c r="D74" s="525"/>
      <c r="E74" s="525"/>
      <c r="F74" s="525"/>
      <c r="G74" s="525"/>
    </row>
    <row r="75" spans="1:24" ht="13.5" customHeight="1" x14ac:dyDescent="0.2">
      <c r="A75" s="530" t="s">
        <v>78</v>
      </c>
      <c r="B75" s="530"/>
      <c r="C75" s="531" t="s">
        <v>79</v>
      </c>
      <c r="D75" s="531"/>
      <c r="E75" s="531"/>
      <c r="F75" s="531"/>
      <c r="G75" s="531"/>
      <c r="I75" s="532">
        <v>42715</v>
      </c>
      <c r="J75" s="532"/>
      <c r="K75" s="533">
        <v>708</v>
      </c>
      <c r="L75" s="533"/>
      <c r="M75" s="533">
        <v>680</v>
      </c>
      <c r="N75" s="533"/>
      <c r="O75" s="533">
        <v>0</v>
      </c>
      <c r="P75" s="533"/>
      <c r="Q75" s="533">
        <v>0</v>
      </c>
      <c r="R75" s="533"/>
      <c r="S75" s="1">
        <v>2.5</v>
      </c>
      <c r="T75" s="2" t="s">
        <v>17</v>
      </c>
      <c r="U75" s="533">
        <v>7</v>
      </c>
      <c r="V75" s="533"/>
      <c r="W75" s="533">
        <v>673</v>
      </c>
      <c r="X75" s="533"/>
    </row>
    <row r="76" spans="1:24" ht="0.75" customHeight="1" x14ac:dyDescent="0.2"/>
    <row r="77" spans="1:24" ht="13.5" customHeight="1" x14ac:dyDescent="0.2">
      <c r="A77" s="530" t="s">
        <v>80</v>
      </c>
      <c r="B77" s="530"/>
      <c r="C77" s="531" t="s">
        <v>81</v>
      </c>
      <c r="D77" s="531"/>
      <c r="E77" s="531"/>
      <c r="F77" s="531"/>
      <c r="G77" s="531"/>
      <c r="I77" s="532">
        <v>42715</v>
      </c>
      <c r="J77" s="532"/>
      <c r="K77" s="533">
        <v>1638</v>
      </c>
      <c r="L77" s="533"/>
      <c r="M77" s="533">
        <v>1574</v>
      </c>
      <c r="N77" s="533"/>
      <c r="O77" s="533">
        <v>0</v>
      </c>
      <c r="P77" s="533"/>
      <c r="Q77" s="533">
        <v>0</v>
      </c>
      <c r="R77" s="533"/>
      <c r="S77" s="1">
        <v>2.5</v>
      </c>
      <c r="T77" s="2" t="s">
        <v>17</v>
      </c>
      <c r="U77" s="533">
        <v>17</v>
      </c>
      <c r="V77" s="533"/>
      <c r="W77" s="533">
        <v>1557</v>
      </c>
      <c r="X77" s="533"/>
    </row>
    <row r="78" spans="1:24" ht="0.75" customHeight="1" x14ac:dyDescent="0.2"/>
    <row r="79" spans="1:24" ht="13.5" customHeight="1" x14ac:dyDescent="0.2">
      <c r="A79" s="530" t="s">
        <v>82</v>
      </c>
      <c r="B79" s="530"/>
      <c r="C79" s="531" t="s">
        <v>83</v>
      </c>
      <c r="D79" s="531"/>
      <c r="E79" s="531"/>
      <c r="F79" s="531"/>
      <c r="G79" s="531"/>
      <c r="I79" s="532">
        <v>42978</v>
      </c>
      <c r="J79" s="532"/>
      <c r="K79" s="533">
        <v>1606.5</v>
      </c>
      <c r="L79" s="533"/>
      <c r="M79" s="533">
        <v>1573.5</v>
      </c>
      <c r="N79" s="533"/>
      <c r="O79" s="533">
        <v>0</v>
      </c>
      <c r="P79" s="533"/>
      <c r="Q79" s="533">
        <v>0</v>
      </c>
      <c r="R79" s="533"/>
      <c r="S79" s="1">
        <v>2.5</v>
      </c>
      <c r="T79" s="2" t="s">
        <v>17</v>
      </c>
      <c r="U79" s="533">
        <v>17</v>
      </c>
      <c r="V79" s="533"/>
      <c r="W79" s="533">
        <v>1556.5</v>
      </c>
      <c r="X79" s="533"/>
    </row>
    <row r="80" spans="1:24" ht="0.75" customHeight="1" x14ac:dyDescent="0.2"/>
    <row r="81" spans="1:24" ht="13.5" customHeight="1" x14ac:dyDescent="0.2">
      <c r="A81" s="530" t="s">
        <v>84</v>
      </c>
      <c r="B81" s="530"/>
      <c r="C81" s="531" t="s">
        <v>85</v>
      </c>
      <c r="D81" s="531"/>
      <c r="E81" s="531"/>
      <c r="F81" s="531"/>
      <c r="G81" s="531"/>
      <c r="I81" s="532">
        <v>43052</v>
      </c>
      <c r="J81" s="532"/>
      <c r="K81" s="533">
        <v>4693.5</v>
      </c>
      <c r="L81" s="533"/>
      <c r="M81" s="533">
        <v>4619.5</v>
      </c>
      <c r="N81" s="533"/>
      <c r="O81" s="533">
        <v>0</v>
      </c>
      <c r="P81" s="533"/>
      <c r="Q81" s="533">
        <v>0</v>
      </c>
      <c r="R81" s="533"/>
      <c r="S81" s="1">
        <v>2.5</v>
      </c>
      <c r="T81" s="2" t="s">
        <v>17</v>
      </c>
      <c r="U81" s="533">
        <v>49</v>
      </c>
      <c r="V81" s="533"/>
      <c r="W81" s="533">
        <v>4570.5</v>
      </c>
      <c r="X81" s="533"/>
    </row>
    <row r="82" spans="1:24" ht="0.75" customHeight="1" x14ac:dyDescent="0.2"/>
    <row r="83" spans="1:24" ht="13.5" customHeight="1" x14ac:dyDescent="0.2">
      <c r="A83" s="530" t="s">
        <v>86</v>
      </c>
      <c r="B83" s="530"/>
      <c r="C83" s="531" t="s">
        <v>87</v>
      </c>
      <c r="D83" s="531"/>
      <c r="E83" s="531"/>
      <c r="F83" s="531"/>
      <c r="G83" s="531"/>
      <c r="I83" s="532">
        <v>43221</v>
      </c>
      <c r="J83" s="532"/>
      <c r="K83" s="533">
        <v>5525</v>
      </c>
      <c r="L83" s="533"/>
      <c r="M83" s="533">
        <v>5502</v>
      </c>
      <c r="N83" s="533"/>
      <c r="O83" s="533">
        <v>0</v>
      </c>
      <c r="P83" s="533"/>
      <c r="Q83" s="533">
        <v>0</v>
      </c>
      <c r="R83" s="533"/>
      <c r="S83" s="1">
        <v>2.5</v>
      </c>
      <c r="T83" s="2" t="s">
        <v>17</v>
      </c>
      <c r="U83" s="533">
        <v>58</v>
      </c>
      <c r="V83" s="533"/>
      <c r="W83" s="533">
        <v>5444</v>
      </c>
      <c r="X83" s="533"/>
    </row>
    <row r="84" spans="1:24" ht="0.75" customHeight="1" x14ac:dyDescent="0.2"/>
    <row r="85" spans="1:24" ht="13.5" customHeight="1" x14ac:dyDescent="0.2">
      <c r="A85" s="530" t="s">
        <v>88</v>
      </c>
      <c r="B85" s="530"/>
      <c r="C85" s="531" t="s">
        <v>89</v>
      </c>
      <c r="D85" s="531"/>
      <c r="E85" s="531"/>
      <c r="F85" s="531"/>
      <c r="G85" s="531"/>
      <c r="I85" s="532">
        <v>43281</v>
      </c>
      <c r="J85" s="532"/>
      <c r="K85" s="533">
        <v>1798</v>
      </c>
      <c r="L85" s="533"/>
      <c r="M85" s="533">
        <v>1797</v>
      </c>
      <c r="N85" s="533"/>
      <c r="O85" s="533">
        <v>0</v>
      </c>
      <c r="P85" s="533"/>
      <c r="Q85" s="533">
        <v>0</v>
      </c>
      <c r="R85" s="533"/>
      <c r="S85" s="1">
        <v>2.5</v>
      </c>
      <c r="T85" s="2" t="s">
        <v>17</v>
      </c>
      <c r="U85" s="533">
        <v>19</v>
      </c>
      <c r="V85" s="533"/>
      <c r="W85" s="533">
        <v>1778</v>
      </c>
      <c r="X85" s="533"/>
    </row>
    <row r="86" spans="1:24" ht="0.75" customHeight="1" x14ac:dyDescent="0.2"/>
    <row r="87" spans="1:24" ht="13.5" customHeight="1" x14ac:dyDescent="0.2">
      <c r="A87" s="530" t="s">
        <v>90</v>
      </c>
      <c r="B87" s="530"/>
      <c r="C87" s="531" t="s">
        <v>91</v>
      </c>
      <c r="D87" s="531"/>
      <c r="E87" s="531"/>
      <c r="F87" s="531"/>
      <c r="G87" s="531"/>
      <c r="I87" s="532">
        <v>43248</v>
      </c>
      <c r="J87" s="532"/>
      <c r="K87" s="533">
        <v>1153.18</v>
      </c>
      <c r="L87" s="533"/>
      <c r="M87" s="533">
        <v>1150.18</v>
      </c>
      <c r="N87" s="533"/>
      <c r="O87" s="533">
        <v>0</v>
      </c>
      <c r="P87" s="533"/>
      <c r="Q87" s="533">
        <v>0</v>
      </c>
      <c r="R87" s="533"/>
      <c r="S87" s="1">
        <v>2.5</v>
      </c>
      <c r="T87" s="2" t="s">
        <v>17</v>
      </c>
      <c r="U87" s="533">
        <v>12</v>
      </c>
      <c r="V87" s="533"/>
      <c r="W87" s="533">
        <v>1138.18</v>
      </c>
      <c r="X87" s="533"/>
    </row>
    <row r="88" spans="1:24" ht="0.75" customHeight="1" x14ac:dyDescent="0.2"/>
    <row r="89" spans="1:24" ht="13.5" customHeight="1" x14ac:dyDescent="0.2">
      <c r="A89" s="530" t="s">
        <v>92</v>
      </c>
      <c r="B89" s="530"/>
      <c r="C89" s="531" t="s">
        <v>93</v>
      </c>
      <c r="D89" s="531"/>
      <c r="E89" s="531"/>
      <c r="F89" s="531"/>
      <c r="G89" s="531"/>
      <c r="I89" s="532">
        <v>43236</v>
      </c>
      <c r="J89" s="532"/>
      <c r="K89" s="533">
        <v>1855</v>
      </c>
      <c r="L89" s="533"/>
      <c r="M89" s="533">
        <v>1849</v>
      </c>
      <c r="N89" s="533"/>
      <c r="O89" s="533">
        <v>0</v>
      </c>
      <c r="P89" s="533"/>
      <c r="Q89" s="533">
        <v>0</v>
      </c>
      <c r="R89" s="533"/>
      <c r="S89" s="1">
        <v>2.5</v>
      </c>
      <c r="T89" s="2" t="s">
        <v>17</v>
      </c>
      <c r="U89" s="533">
        <v>19</v>
      </c>
      <c r="V89" s="533"/>
      <c r="W89" s="533">
        <v>1830</v>
      </c>
      <c r="X89" s="533"/>
    </row>
    <row r="90" spans="1:24" ht="0.75" customHeight="1" x14ac:dyDescent="0.2"/>
    <row r="91" spans="1:24" ht="13.5" customHeight="1" x14ac:dyDescent="0.2">
      <c r="A91" s="530" t="s">
        <v>94</v>
      </c>
      <c r="B91" s="530"/>
      <c r="C91" s="525" t="s">
        <v>95</v>
      </c>
      <c r="D91" s="525"/>
      <c r="E91" s="525"/>
      <c r="F91" s="525"/>
      <c r="G91" s="525"/>
      <c r="I91" s="532">
        <v>42978</v>
      </c>
      <c r="J91" s="532"/>
      <c r="K91" s="533">
        <v>6331.5</v>
      </c>
      <c r="L91" s="533"/>
      <c r="M91" s="533">
        <v>6199.5</v>
      </c>
      <c r="N91" s="533"/>
      <c r="O91" s="533">
        <v>0</v>
      </c>
      <c r="P91" s="533"/>
      <c r="Q91" s="533">
        <v>0</v>
      </c>
      <c r="R91" s="533"/>
      <c r="S91" s="1">
        <v>2.5</v>
      </c>
      <c r="T91" s="2" t="s">
        <v>17</v>
      </c>
      <c r="U91" s="533">
        <v>66</v>
      </c>
      <c r="V91" s="533"/>
      <c r="W91" s="533">
        <v>6133.5</v>
      </c>
      <c r="X91" s="533"/>
    </row>
    <row r="92" spans="1:24" ht="12" customHeight="1" x14ac:dyDescent="0.2">
      <c r="C92" s="525"/>
      <c r="D92" s="525"/>
      <c r="E92" s="525"/>
      <c r="F92" s="525"/>
      <c r="G92" s="525"/>
    </row>
    <row r="93" spans="1:24" ht="13.5" customHeight="1" x14ac:dyDescent="0.2">
      <c r="A93" s="530" t="s">
        <v>96</v>
      </c>
      <c r="B93" s="530"/>
      <c r="C93" s="531" t="s">
        <v>97</v>
      </c>
      <c r="D93" s="531"/>
      <c r="E93" s="531"/>
      <c r="F93" s="531"/>
      <c r="G93" s="531"/>
      <c r="I93" s="532">
        <v>42999</v>
      </c>
      <c r="J93" s="532"/>
      <c r="K93" s="533">
        <v>2335.2000000000003</v>
      </c>
      <c r="L93" s="533"/>
      <c r="M93" s="533">
        <v>2290.2000000000003</v>
      </c>
      <c r="N93" s="533"/>
      <c r="O93" s="533">
        <v>0</v>
      </c>
      <c r="P93" s="533"/>
      <c r="Q93" s="533">
        <v>0</v>
      </c>
      <c r="R93" s="533"/>
      <c r="S93" s="1">
        <v>2.5</v>
      </c>
      <c r="T93" s="2" t="s">
        <v>17</v>
      </c>
      <c r="U93" s="533">
        <v>24</v>
      </c>
      <c r="V93" s="533"/>
      <c r="W93" s="533">
        <v>2266.2000000000003</v>
      </c>
      <c r="X93" s="533"/>
    </row>
    <row r="94" spans="1:24" ht="0.75" customHeight="1" x14ac:dyDescent="0.2"/>
    <row r="95" spans="1:24" ht="13.5" customHeight="1" x14ac:dyDescent="0.2">
      <c r="A95" s="530" t="s">
        <v>98</v>
      </c>
      <c r="B95" s="530"/>
      <c r="C95" s="531" t="s">
        <v>99</v>
      </c>
      <c r="D95" s="531"/>
      <c r="E95" s="531"/>
      <c r="F95" s="531"/>
      <c r="G95" s="531"/>
      <c r="I95" s="532">
        <v>43008</v>
      </c>
      <c r="J95" s="532"/>
      <c r="K95" s="533">
        <v>5544</v>
      </c>
      <c r="L95" s="533"/>
      <c r="M95" s="533">
        <v>5440</v>
      </c>
      <c r="N95" s="533"/>
      <c r="O95" s="533">
        <v>0</v>
      </c>
      <c r="P95" s="533"/>
      <c r="Q95" s="533">
        <v>0</v>
      </c>
      <c r="R95" s="533"/>
      <c r="S95" s="1">
        <v>2.5</v>
      </c>
      <c r="T95" s="2" t="s">
        <v>17</v>
      </c>
      <c r="U95" s="533">
        <v>58</v>
      </c>
      <c r="V95" s="533"/>
      <c r="W95" s="533">
        <v>5382</v>
      </c>
      <c r="X95" s="533"/>
    </row>
    <row r="96" spans="1:24" ht="0.75" customHeight="1" x14ac:dyDescent="0.2"/>
    <row r="97" spans="1:24" ht="13.5" customHeight="1" x14ac:dyDescent="0.2">
      <c r="A97" s="530" t="s">
        <v>100</v>
      </c>
      <c r="B97" s="530"/>
      <c r="C97" s="531" t="s">
        <v>101</v>
      </c>
      <c r="D97" s="531"/>
      <c r="E97" s="531"/>
      <c r="F97" s="531"/>
      <c r="G97" s="531"/>
      <c r="I97" s="532">
        <v>43013</v>
      </c>
      <c r="J97" s="532"/>
      <c r="K97" s="533">
        <v>2712.9700000000003</v>
      </c>
      <c r="L97" s="533"/>
      <c r="M97" s="533">
        <v>2662.9700000000003</v>
      </c>
      <c r="N97" s="533"/>
      <c r="O97" s="533">
        <v>0</v>
      </c>
      <c r="P97" s="533"/>
      <c r="Q97" s="533">
        <v>0</v>
      </c>
      <c r="R97" s="533"/>
      <c r="S97" s="1">
        <v>2.5</v>
      </c>
      <c r="T97" s="2" t="s">
        <v>17</v>
      </c>
      <c r="U97" s="533">
        <v>28</v>
      </c>
      <c r="V97" s="533"/>
      <c r="W97" s="533">
        <v>2634.9700000000003</v>
      </c>
      <c r="X97" s="533"/>
    </row>
    <row r="98" spans="1:24" ht="0.75" customHeight="1" x14ac:dyDescent="0.2"/>
    <row r="99" spans="1:24" ht="13.5" customHeight="1" x14ac:dyDescent="0.2">
      <c r="A99" s="530" t="s">
        <v>102</v>
      </c>
      <c r="B99" s="530"/>
      <c r="C99" s="531" t="s">
        <v>103</v>
      </c>
      <c r="D99" s="531"/>
      <c r="E99" s="531"/>
      <c r="F99" s="531"/>
      <c r="G99" s="531"/>
      <c r="I99" s="532">
        <v>43122</v>
      </c>
      <c r="J99" s="532"/>
      <c r="K99" s="533">
        <v>1562.96</v>
      </c>
      <c r="L99" s="533"/>
      <c r="M99" s="533">
        <v>1545.96</v>
      </c>
      <c r="N99" s="533"/>
      <c r="O99" s="533">
        <v>0</v>
      </c>
      <c r="P99" s="533"/>
      <c r="Q99" s="533">
        <v>0</v>
      </c>
      <c r="R99" s="533"/>
      <c r="S99" s="1">
        <v>2.5</v>
      </c>
      <c r="T99" s="2" t="s">
        <v>17</v>
      </c>
      <c r="U99" s="533">
        <v>16</v>
      </c>
      <c r="V99" s="533"/>
      <c r="W99" s="533">
        <v>1529.96</v>
      </c>
      <c r="X99" s="533"/>
    </row>
    <row r="100" spans="1:24" ht="0.75" customHeight="1" x14ac:dyDescent="0.2"/>
    <row r="101" spans="1:24" ht="13.5" customHeight="1" x14ac:dyDescent="0.2">
      <c r="A101" s="530" t="s">
        <v>104</v>
      </c>
      <c r="B101" s="530"/>
      <c r="C101" s="531" t="s">
        <v>105</v>
      </c>
      <c r="D101" s="531"/>
      <c r="E101" s="531"/>
      <c r="F101" s="531"/>
      <c r="G101" s="531"/>
      <c r="I101" s="532">
        <v>43122</v>
      </c>
      <c r="J101" s="532"/>
      <c r="K101" s="533">
        <v>2460</v>
      </c>
      <c r="L101" s="533"/>
      <c r="M101" s="533">
        <v>2433</v>
      </c>
      <c r="N101" s="533"/>
      <c r="O101" s="533">
        <v>0</v>
      </c>
      <c r="P101" s="533"/>
      <c r="Q101" s="533">
        <v>0</v>
      </c>
      <c r="R101" s="533"/>
      <c r="S101" s="1">
        <v>2.5</v>
      </c>
      <c r="T101" s="2" t="s">
        <v>17</v>
      </c>
      <c r="U101" s="533">
        <v>26</v>
      </c>
      <c r="V101" s="533"/>
      <c r="W101" s="533">
        <v>2407</v>
      </c>
      <c r="X101" s="533"/>
    </row>
    <row r="102" spans="1:24" ht="0.75" customHeight="1" x14ac:dyDescent="0.2"/>
    <row r="103" spans="1:24" ht="13.5" customHeight="1" x14ac:dyDescent="0.2">
      <c r="A103" s="530" t="s">
        <v>106</v>
      </c>
      <c r="B103" s="530"/>
      <c r="C103" s="531" t="s">
        <v>107</v>
      </c>
      <c r="D103" s="531"/>
      <c r="E103" s="531"/>
      <c r="F103" s="531"/>
      <c r="G103" s="531"/>
      <c r="I103" s="532">
        <v>43131</v>
      </c>
      <c r="J103" s="532"/>
      <c r="K103" s="533">
        <v>3969</v>
      </c>
      <c r="L103" s="533"/>
      <c r="M103" s="533">
        <v>3928</v>
      </c>
      <c r="N103" s="533"/>
      <c r="O103" s="533">
        <v>0</v>
      </c>
      <c r="P103" s="533"/>
      <c r="Q103" s="533">
        <v>0</v>
      </c>
      <c r="R103" s="533"/>
      <c r="S103" s="1">
        <v>2.5</v>
      </c>
      <c r="T103" s="2" t="s">
        <v>17</v>
      </c>
      <c r="U103" s="533">
        <v>42</v>
      </c>
      <c r="V103" s="533"/>
      <c r="W103" s="533">
        <v>3886</v>
      </c>
      <c r="X103" s="533"/>
    </row>
    <row r="104" spans="1:24" ht="0.75" customHeight="1" x14ac:dyDescent="0.2"/>
    <row r="105" spans="1:24" ht="13.5" customHeight="1" x14ac:dyDescent="0.2">
      <c r="A105" s="530" t="s">
        <v>108</v>
      </c>
      <c r="B105" s="530"/>
      <c r="C105" s="531" t="s">
        <v>109</v>
      </c>
      <c r="D105" s="531"/>
      <c r="E105" s="531"/>
      <c r="F105" s="531"/>
      <c r="G105" s="531"/>
      <c r="I105" s="532">
        <v>43159</v>
      </c>
      <c r="J105" s="532"/>
      <c r="K105" s="533">
        <v>3720</v>
      </c>
      <c r="L105" s="533"/>
      <c r="M105" s="533">
        <v>3689</v>
      </c>
      <c r="N105" s="533"/>
      <c r="O105" s="533">
        <v>0</v>
      </c>
      <c r="P105" s="533"/>
      <c r="Q105" s="533">
        <v>0</v>
      </c>
      <c r="R105" s="533"/>
      <c r="S105" s="1">
        <v>2.5</v>
      </c>
      <c r="T105" s="2" t="s">
        <v>17</v>
      </c>
      <c r="U105" s="533">
        <v>39</v>
      </c>
      <c r="V105" s="533"/>
      <c r="W105" s="533">
        <v>3650</v>
      </c>
      <c r="X105" s="533"/>
    </row>
    <row r="106" spans="1:24" ht="0.75" customHeight="1" x14ac:dyDescent="0.2"/>
    <row r="107" spans="1:24" ht="13.5" customHeight="1" x14ac:dyDescent="0.2">
      <c r="A107" s="530" t="s">
        <v>110</v>
      </c>
      <c r="B107" s="530"/>
      <c r="C107" s="531" t="s">
        <v>111</v>
      </c>
      <c r="D107" s="531"/>
      <c r="E107" s="531"/>
      <c r="F107" s="531"/>
      <c r="G107" s="531"/>
      <c r="I107" s="532">
        <v>43009</v>
      </c>
      <c r="J107" s="532"/>
      <c r="K107" s="533">
        <v>6250</v>
      </c>
      <c r="L107" s="533"/>
      <c r="M107" s="533">
        <v>6133</v>
      </c>
      <c r="N107" s="533"/>
      <c r="O107" s="533">
        <v>0</v>
      </c>
      <c r="P107" s="533"/>
      <c r="Q107" s="533">
        <v>0</v>
      </c>
      <c r="R107" s="533"/>
      <c r="S107" s="1">
        <v>2.5</v>
      </c>
      <c r="T107" s="2" t="s">
        <v>17</v>
      </c>
      <c r="U107" s="533">
        <v>65</v>
      </c>
      <c r="V107" s="533"/>
      <c r="W107" s="533">
        <v>6068</v>
      </c>
      <c r="X107" s="533"/>
    </row>
    <row r="108" spans="1:24" ht="0.75" customHeight="1" x14ac:dyDescent="0.2"/>
    <row r="109" spans="1:24" ht="13.5" customHeight="1" x14ac:dyDescent="0.2">
      <c r="A109" s="530" t="s">
        <v>112</v>
      </c>
      <c r="B109" s="530"/>
      <c r="C109" s="531" t="s">
        <v>113</v>
      </c>
      <c r="D109" s="531"/>
      <c r="E109" s="531"/>
      <c r="F109" s="531"/>
      <c r="G109" s="531"/>
      <c r="I109" s="532">
        <v>43009</v>
      </c>
      <c r="J109" s="532"/>
      <c r="K109" s="533">
        <v>1702.31</v>
      </c>
      <c r="L109" s="533"/>
      <c r="M109" s="533">
        <v>1670.31</v>
      </c>
      <c r="N109" s="533"/>
      <c r="O109" s="533">
        <v>0</v>
      </c>
      <c r="P109" s="533"/>
      <c r="Q109" s="533">
        <v>0</v>
      </c>
      <c r="R109" s="533"/>
      <c r="S109" s="1">
        <v>2.5</v>
      </c>
      <c r="T109" s="2" t="s">
        <v>17</v>
      </c>
      <c r="U109" s="533">
        <v>18</v>
      </c>
      <c r="V109" s="533"/>
      <c r="W109" s="533">
        <v>1652.31</v>
      </c>
      <c r="X109" s="533"/>
    </row>
    <row r="110" spans="1:24" ht="0.75" customHeight="1" x14ac:dyDescent="0.2"/>
    <row r="111" spans="1:24" ht="13.5" customHeight="1" x14ac:dyDescent="0.2">
      <c r="A111" s="530" t="s">
        <v>114</v>
      </c>
      <c r="B111" s="530"/>
      <c r="C111" s="531" t="s">
        <v>115</v>
      </c>
      <c r="D111" s="531"/>
      <c r="E111" s="531"/>
      <c r="F111" s="531"/>
      <c r="G111" s="531"/>
      <c r="I111" s="532">
        <v>43109</v>
      </c>
      <c r="J111" s="532"/>
      <c r="K111" s="533">
        <v>1108</v>
      </c>
      <c r="L111" s="533"/>
      <c r="M111" s="533">
        <v>1095</v>
      </c>
      <c r="N111" s="533"/>
      <c r="O111" s="533">
        <v>0</v>
      </c>
      <c r="P111" s="533"/>
      <c r="Q111" s="533">
        <v>0</v>
      </c>
      <c r="R111" s="533"/>
      <c r="S111" s="1">
        <v>2.5</v>
      </c>
      <c r="T111" s="2" t="s">
        <v>17</v>
      </c>
      <c r="U111" s="533">
        <v>12</v>
      </c>
      <c r="V111" s="533"/>
      <c r="W111" s="533">
        <v>1083</v>
      </c>
      <c r="X111" s="533"/>
    </row>
    <row r="112" spans="1:24" ht="0.75" customHeight="1" x14ac:dyDescent="0.2"/>
    <row r="113" spans="1:24" ht="13.5" customHeight="1" x14ac:dyDescent="0.2">
      <c r="A113" s="530" t="s">
        <v>116</v>
      </c>
      <c r="B113" s="530"/>
      <c r="C113" s="531" t="s">
        <v>117</v>
      </c>
      <c r="D113" s="531"/>
      <c r="E113" s="531"/>
      <c r="F113" s="531"/>
      <c r="G113" s="531"/>
      <c r="I113" s="532">
        <v>43112</v>
      </c>
      <c r="J113" s="532"/>
      <c r="K113" s="533">
        <v>2399.88</v>
      </c>
      <c r="L113" s="533"/>
      <c r="M113" s="533">
        <v>2371.88</v>
      </c>
      <c r="N113" s="533"/>
      <c r="O113" s="533">
        <v>0</v>
      </c>
      <c r="P113" s="533"/>
      <c r="Q113" s="533">
        <v>0</v>
      </c>
      <c r="R113" s="533"/>
      <c r="S113" s="1">
        <v>2.5</v>
      </c>
      <c r="T113" s="2" t="s">
        <v>17</v>
      </c>
      <c r="U113" s="533">
        <v>25</v>
      </c>
      <c r="V113" s="533"/>
      <c r="W113" s="533">
        <v>2346.88</v>
      </c>
      <c r="X113" s="533"/>
    </row>
    <row r="114" spans="1:24" ht="0.75" customHeight="1" x14ac:dyDescent="0.2"/>
    <row r="115" spans="1:24" ht="13.5" customHeight="1" x14ac:dyDescent="0.2">
      <c r="A115" s="530" t="s">
        <v>118</v>
      </c>
      <c r="B115" s="530"/>
      <c r="C115" s="531" t="s">
        <v>119</v>
      </c>
      <c r="D115" s="531"/>
      <c r="E115" s="531"/>
      <c r="F115" s="531"/>
      <c r="G115" s="531"/>
      <c r="I115" s="532">
        <v>43116</v>
      </c>
      <c r="J115" s="532"/>
      <c r="K115" s="533">
        <v>15330</v>
      </c>
      <c r="L115" s="533"/>
      <c r="M115" s="533">
        <v>15156</v>
      </c>
      <c r="N115" s="533"/>
      <c r="O115" s="533">
        <v>0</v>
      </c>
      <c r="P115" s="533"/>
      <c r="Q115" s="533">
        <v>0</v>
      </c>
      <c r="R115" s="533"/>
      <c r="S115" s="1">
        <v>2.5</v>
      </c>
      <c r="T115" s="2" t="s">
        <v>17</v>
      </c>
      <c r="U115" s="533">
        <v>161</v>
      </c>
      <c r="V115" s="533"/>
      <c r="W115" s="533">
        <v>14995</v>
      </c>
      <c r="X115" s="533"/>
    </row>
    <row r="116" spans="1:24" ht="0.75" customHeight="1" x14ac:dyDescent="0.2"/>
    <row r="117" spans="1:24" ht="13.5" customHeight="1" x14ac:dyDescent="0.2">
      <c r="A117" s="530" t="s">
        <v>120</v>
      </c>
      <c r="B117" s="530"/>
      <c r="C117" s="525" t="s">
        <v>121</v>
      </c>
      <c r="D117" s="525"/>
      <c r="E117" s="525"/>
      <c r="F117" s="525"/>
      <c r="G117" s="525"/>
      <c r="I117" s="532">
        <v>43117</v>
      </c>
      <c r="J117" s="532"/>
      <c r="K117" s="533">
        <v>45454.55</v>
      </c>
      <c r="L117" s="533"/>
      <c r="M117" s="533">
        <v>44940.55</v>
      </c>
      <c r="N117" s="533"/>
      <c r="O117" s="533">
        <v>0</v>
      </c>
      <c r="P117" s="533"/>
      <c r="Q117" s="533">
        <v>0</v>
      </c>
      <c r="R117" s="533"/>
      <c r="S117" s="1">
        <v>2.5</v>
      </c>
      <c r="T117" s="2" t="s">
        <v>17</v>
      </c>
      <c r="U117" s="533">
        <v>476</v>
      </c>
      <c r="V117" s="533"/>
      <c r="W117" s="533">
        <v>44464.55</v>
      </c>
      <c r="X117" s="533"/>
    </row>
    <row r="118" spans="1:24" ht="12" customHeight="1" x14ac:dyDescent="0.2">
      <c r="C118" s="525"/>
      <c r="D118" s="525"/>
      <c r="E118" s="525"/>
      <c r="F118" s="525"/>
      <c r="G118" s="525"/>
    </row>
    <row r="119" spans="1:24" ht="13.5" customHeight="1" x14ac:dyDescent="0.2">
      <c r="A119" s="530" t="s">
        <v>122</v>
      </c>
      <c r="B119" s="530"/>
      <c r="C119" s="531" t="s">
        <v>123</v>
      </c>
      <c r="D119" s="531"/>
      <c r="E119" s="531"/>
      <c r="F119" s="531"/>
      <c r="G119" s="531"/>
      <c r="I119" s="532">
        <v>43131</v>
      </c>
      <c r="J119" s="532"/>
      <c r="K119" s="533">
        <v>1953</v>
      </c>
      <c r="L119" s="533"/>
      <c r="M119" s="533">
        <v>1933</v>
      </c>
      <c r="N119" s="533"/>
      <c r="O119" s="533">
        <v>0</v>
      </c>
      <c r="P119" s="533"/>
      <c r="Q119" s="533">
        <v>0</v>
      </c>
      <c r="R119" s="533"/>
      <c r="S119" s="1">
        <v>2.5</v>
      </c>
      <c r="T119" s="2" t="s">
        <v>17</v>
      </c>
      <c r="U119" s="533">
        <v>20</v>
      </c>
      <c r="V119" s="533"/>
      <c r="W119" s="533">
        <v>1913</v>
      </c>
      <c r="X119" s="533"/>
    </row>
    <row r="120" spans="1:24" ht="0.75" customHeight="1" x14ac:dyDescent="0.2"/>
    <row r="121" spans="1:24" ht="13.5" customHeight="1" x14ac:dyDescent="0.2">
      <c r="A121" s="530" t="s">
        <v>124</v>
      </c>
      <c r="B121" s="530"/>
      <c r="C121" s="525" t="s">
        <v>125</v>
      </c>
      <c r="D121" s="525"/>
      <c r="E121" s="525"/>
      <c r="F121" s="525"/>
      <c r="G121" s="525"/>
      <c r="I121" s="532">
        <v>42917</v>
      </c>
      <c r="J121" s="532"/>
      <c r="K121" s="533">
        <v>16448.25</v>
      </c>
      <c r="L121" s="533"/>
      <c r="M121" s="533">
        <v>16037.25</v>
      </c>
      <c r="N121" s="533"/>
      <c r="O121" s="533">
        <v>0</v>
      </c>
      <c r="P121" s="533"/>
      <c r="Q121" s="533">
        <v>0</v>
      </c>
      <c r="R121" s="533"/>
      <c r="S121" s="1">
        <v>2.5</v>
      </c>
      <c r="T121" s="2" t="s">
        <v>17</v>
      </c>
      <c r="U121" s="533">
        <v>172</v>
      </c>
      <c r="V121" s="533"/>
      <c r="W121" s="533">
        <v>15865.25</v>
      </c>
      <c r="X121" s="533"/>
    </row>
    <row r="122" spans="1:24" ht="12" customHeight="1" x14ac:dyDescent="0.2">
      <c r="C122" s="525"/>
      <c r="D122" s="525"/>
      <c r="E122" s="525"/>
      <c r="F122" s="525"/>
      <c r="G122" s="525"/>
    </row>
    <row r="123" spans="1:24" ht="13.5" customHeight="1" x14ac:dyDescent="0.2">
      <c r="A123" s="530" t="s">
        <v>126</v>
      </c>
      <c r="B123" s="530"/>
      <c r="C123" s="531" t="s">
        <v>127</v>
      </c>
      <c r="D123" s="531"/>
      <c r="E123" s="531"/>
      <c r="F123" s="531"/>
      <c r="G123" s="531"/>
      <c r="I123" s="532">
        <v>43153</v>
      </c>
      <c r="J123" s="532"/>
      <c r="K123" s="533">
        <v>1829.8400000000001</v>
      </c>
      <c r="L123" s="533"/>
      <c r="M123" s="533">
        <v>1813.8400000000001</v>
      </c>
      <c r="N123" s="533"/>
      <c r="O123" s="533">
        <v>0</v>
      </c>
      <c r="P123" s="533"/>
      <c r="Q123" s="533">
        <v>0</v>
      </c>
      <c r="R123" s="533"/>
      <c r="S123" s="1">
        <v>2.5</v>
      </c>
      <c r="T123" s="2" t="s">
        <v>17</v>
      </c>
      <c r="U123" s="533">
        <v>19</v>
      </c>
      <c r="V123" s="533"/>
      <c r="W123" s="533">
        <v>1794.8400000000001</v>
      </c>
      <c r="X123" s="533"/>
    </row>
    <row r="124" spans="1:24" ht="0.75" customHeight="1" x14ac:dyDescent="0.2"/>
    <row r="125" spans="1:24" ht="13.5" customHeight="1" x14ac:dyDescent="0.2">
      <c r="A125" s="530" t="s">
        <v>128</v>
      </c>
      <c r="B125" s="530"/>
      <c r="C125" s="531" t="s">
        <v>129</v>
      </c>
      <c r="D125" s="531"/>
      <c r="E125" s="531"/>
      <c r="F125" s="531"/>
      <c r="G125" s="531"/>
      <c r="I125" s="532">
        <v>43165</v>
      </c>
      <c r="J125" s="532"/>
      <c r="K125" s="533">
        <v>104545.45</v>
      </c>
      <c r="L125" s="533"/>
      <c r="M125" s="533">
        <v>103707.45</v>
      </c>
      <c r="N125" s="533"/>
      <c r="O125" s="533">
        <v>0</v>
      </c>
      <c r="P125" s="533"/>
      <c r="Q125" s="533">
        <v>0</v>
      </c>
      <c r="R125" s="533"/>
      <c r="S125" s="1">
        <v>2.5</v>
      </c>
      <c r="T125" s="2" t="s">
        <v>17</v>
      </c>
      <c r="U125" s="533">
        <v>1096</v>
      </c>
      <c r="V125" s="533"/>
      <c r="W125" s="533">
        <v>102611.45</v>
      </c>
      <c r="X125" s="533"/>
    </row>
    <row r="126" spans="1:24" ht="0.75" customHeight="1" x14ac:dyDescent="0.2"/>
    <row r="127" spans="1:24" ht="13.5" customHeight="1" x14ac:dyDescent="0.2">
      <c r="A127" s="530" t="s">
        <v>130</v>
      </c>
      <c r="B127" s="530"/>
      <c r="C127" s="531" t="s">
        <v>131</v>
      </c>
      <c r="D127" s="531"/>
      <c r="E127" s="531"/>
      <c r="F127" s="531"/>
      <c r="G127" s="531"/>
      <c r="I127" s="532">
        <v>42975</v>
      </c>
      <c r="J127" s="532"/>
      <c r="K127" s="533">
        <v>4404.3</v>
      </c>
      <c r="L127" s="533"/>
      <c r="M127" s="533">
        <v>4311.3</v>
      </c>
      <c r="N127" s="533"/>
      <c r="O127" s="533">
        <v>0</v>
      </c>
      <c r="P127" s="533"/>
      <c r="Q127" s="533">
        <v>0</v>
      </c>
      <c r="R127" s="533"/>
      <c r="S127" s="1">
        <v>2.5</v>
      </c>
      <c r="T127" s="2" t="s">
        <v>17</v>
      </c>
      <c r="U127" s="533">
        <v>46</v>
      </c>
      <c r="V127" s="533"/>
      <c r="W127" s="533">
        <v>4265.3</v>
      </c>
      <c r="X127" s="533"/>
    </row>
    <row r="128" spans="1:24" ht="0.75" customHeight="1" x14ac:dyDescent="0.2"/>
    <row r="129" spans="1:24" ht="13.5" customHeight="1" x14ac:dyDescent="0.2">
      <c r="A129" s="530" t="s">
        <v>132</v>
      </c>
      <c r="B129" s="530"/>
      <c r="C129" s="531" t="s">
        <v>133</v>
      </c>
      <c r="D129" s="531"/>
      <c r="E129" s="531"/>
      <c r="F129" s="531"/>
      <c r="G129" s="531"/>
      <c r="I129" s="532">
        <v>43007</v>
      </c>
      <c r="J129" s="532"/>
      <c r="K129" s="533">
        <v>3528.4</v>
      </c>
      <c r="L129" s="533"/>
      <c r="M129" s="533">
        <v>3462.4</v>
      </c>
      <c r="N129" s="533"/>
      <c r="O129" s="533">
        <v>0</v>
      </c>
      <c r="P129" s="533"/>
      <c r="Q129" s="533">
        <v>0</v>
      </c>
      <c r="R129" s="533"/>
      <c r="S129" s="1">
        <v>2.5</v>
      </c>
      <c r="T129" s="2" t="s">
        <v>17</v>
      </c>
      <c r="U129" s="533">
        <v>37</v>
      </c>
      <c r="V129" s="533"/>
      <c r="W129" s="533">
        <v>3425.4</v>
      </c>
      <c r="X129" s="533"/>
    </row>
    <row r="130" spans="1:24" ht="0.75" customHeight="1" x14ac:dyDescent="0.2"/>
    <row r="131" spans="1:24" ht="13.5" customHeight="1" x14ac:dyDescent="0.2">
      <c r="A131" s="530" t="s">
        <v>134</v>
      </c>
      <c r="B131" s="530"/>
      <c r="C131" s="531" t="s">
        <v>135</v>
      </c>
      <c r="D131" s="531"/>
      <c r="E131" s="531"/>
      <c r="F131" s="531"/>
      <c r="G131" s="531"/>
      <c r="I131" s="532">
        <v>43008</v>
      </c>
      <c r="J131" s="532"/>
      <c r="K131" s="533">
        <v>1260</v>
      </c>
      <c r="L131" s="533"/>
      <c r="M131" s="533">
        <v>1236</v>
      </c>
      <c r="N131" s="533"/>
      <c r="O131" s="533">
        <v>0</v>
      </c>
      <c r="P131" s="533"/>
      <c r="Q131" s="533">
        <v>0</v>
      </c>
      <c r="R131" s="533"/>
      <c r="S131" s="1">
        <v>2.5</v>
      </c>
      <c r="T131" s="2" t="s">
        <v>17</v>
      </c>
      <c r="U131" s="533">
        <v>13</v>
      </c>
      <c r="V131" s="533"/>
      <c r="W131" s="533">
        <v>1223</v>
      </c>
      <c r="X131" s="533"/>
    </row>
    <row r="132" spans="1:24" ht="0.75" customHeight="1" x14ac:dyDescent="0.2"/>
    <row r="133" spans="1:24" ht="13.5" customHeight="1" x14ac:dyDescent="0.2">
      <c r="A133" s="530" t="s">
        <v>136</v>
      </c>
      <c r="B133" s="530"/>
      <c r="C133" s="531" t="s">
        <v>137</v>
      </c>
      <c r="D133" s="531"/>
      <c r="E133" s="531"/>
      <c r="F133" s="531"/>
      <c r="G133" s="531"/>
      <c r="I133" s="532">
        <v>43013</v>
      </c>
      <c r="J133" s="532"/>
      <c r="K133" s="533">
        <v>3521.9900000000002</v>
      </c>
      <c r="L133" s="533"/>
      <c r="M133" s="533">
        <v>3456.9900000000002</v>
      </c>
      <c r="N133" s="533"/>
      <c r="O133" s="533">
        <v>0</v>
      </c>
      <c r="P133" s="533"/>
      <c r="Q133" s="533">
        <v>0</v>
      </c>
      <c r="R133" s="533"/>
      <c r="S133" s="1">
        <v>2.5</v>
      </c>
      <c r="T133" s="2" t="s">
        <v>17</v>
      </c>
      <c r="U133" s="533">
        <v>37</v>
      </c>
      <c r="V133" s="533"/>
      <c r="W133" s="533">
        <v>3419.9900000000002</v>
      </c>
      <c r="X133" s="533"/>
    </row>
    <row r="134" spans="1:24" ht="15" customHeight="1" x14ac:dyDescent="0.2">
      <c r="A134" s="534" t="s">
        <v>13</v>
      </c>
      <c r="B134" s="534"/>
      <c r="D134" s="534" t="s">
        <v>14</v>
      </c>
      <c r="E134" s="534"/>
      <c r="F134" s="534"/>
      <c r="G134" s="534"/>
      <c r="H134" s="534"/>
      <c r="I134" s="534"/>
      <c r="J134" s="534"/>
      <c r="K134" s="534"/>
      <c r="L134" s="534"/>
      <c r="M134" s="534"/>
      <c r="N134" s="534"/>
      <c r="O134" s="534"/>
      <c r="P134" s="534"/>
      <c r="Q134" s="534"/>
      <c r="R134" s="534"/>
      <c r="S134" s="534"/>
      <c r="T134" s="534"/>
      <c r="U134" s="534"/>
      <c r="V134" s="534"/>
    </row>
    <row r="135" spans="1:24" ht="0.75" customHeight="1" x14ac:dyDescent="0.2"/>
    <row r="136" spans="1:24" ht="13.5" customHeight="1" x14ac:dyDescent="0.2">
      <c r="A136" s="530" t="s">
        <v>138</v>
      </c>
      <c r="B136" s="530"/>
      <c r="C136" s="531" t="s">
        <v>133</v>
      </c>
      <c r="D136" s="531"/>
      <c r="E136" s="531"/>
      <c r="F136" s="531"/>
      <c r="G136" s="531"/>
      <c r="I136" s="532">
        <v>43059</v>
      </c>
      <c r="J136" s="532"/>
      <c r="K136" s="533">
        <v>3019.37</v>
      </c>
      <c r="L136" s="533"/>
      <c r="M136" s="533">
        <v>2973.37</v>
      </c>
      <c r="N136" s="533"/>
      <c r="O136" s="533">
        <v>0</v>
      </c>
      <c r="P136" s="533"/>
      <c r="Q136" s="533">
        <v>0</v>
      </c>
      <c r="R136" s="533"/>
      <c r="S136" s="1">
        <v>2.5</v>
      </c>
      <c r="T136" s="2" t="s">
        <v>17</v>
      </c>
      <c r="U136" s="533">
        <v>32</v>
      </c>
      <c r="V136" s="533"/>
      <c r="W136" s="533">
        <v>2941.37</v>
      </c>
      <c r="X136" s="533"/>
    </row>
    <row r="137" spans="1:24" ht="0.75" customHeight="1" x14ac:dyDescent="0.2"/>
    <row r="138" spans="1:24" ht="13.5" customHeight="1" x14ac:dyDescent="0.2">
      <c r="A138" s="530" t="s">
        <v>139</v>
      </c>
      <c r="B138" s="530"/>
      <c r="C138" s="531" t="s">
        <v>133</v>
      </c>
      <c r="D138" s="531"/>
      <c r="E138" s="531"/>
      <c r="F138" s="531"/>
      <c r="G138" s="531"/>
      <c r="I138" s="532">
        <v>43059</v>
      </c>
      <c r="J138" s="532"/>
      <c r="K138" s="533">
        <v>5210.82</v>
      </c>
      <c r="L138" s="533"/>
      <c r="M138" s="533">
        <v>5130.82</v>
      </c>
      <c r="N138" s="533"/>
      <c r="O138" s="533">
        <v>0</v>
      </c>
      <c r="P138" s="533"/>
      <c r="Q138" s="533">
        <v>0</v>
      </c>
      <c r="R138" s="533"/>
      <c r="S138" s="1">
        <v>2.5</v>
      </c>
      <c r="T138" s="2" t="s">
        <v>17</v>
      </c>
      <c r="U138" s="533">
        <v>55</v>
      </c>
      <c r="V138" s="533"/>
      <c r="W138" s="533">
        <v>5075.82</v>
      </c>
      <c r="X138" s="533"/>
    </row>
    <row r="139" spans="1:24" ht="0.75" customHeight="1" x14ac:dyDescent="0.2"/>
    <row r="140" spans="1:24" ht="13.5" customHeight="1" x14ac:dyDescent="0.2">
      <c r="A140" s="530" t="s">
        <v>140</v>
      </c>
      <c r="B140" s="530"/>
      <c r="C140" s="525" t="s">
        <v>141</v>
      </c>
      <c r="D140" s="525"/>
      <c r="E140" s="525"/>
      <c r="F140" s="525"/>
      <c r="G140" s="525"/>
      <c r="I140" s="532">
        <v>43069</v>
      </c>
      <c r="J140" s="532"/>
      <c r="K140" s="533">
        <v>2679.5</v>
      </c>
      <c r="L140" s="533"/>
      <c r="M140" s="533">
        <v>2640.5</v>
      </c>
      <c r="N140" s="533"/>
      <c r="O140" s="533">
        <v>0</v>
      </c>
      <c r="P140" s="533"/>
      <c r="Q140" s="533">
        <v>0</v>
      </c>
      <c r="R140" s="533"/>
      <c r="S140" s="1">
        <v>2.5</v>
      </c>
      <c r="T140" s="2" t="s">
        <v>17</v>
      </c>
      <c r="U140" s="533">
        <v>28</v>
      </c>
      <c r="V140" s="533"/>
      <c r="W140" s="533">
        <v>2612.5</v>
      </c>
      <c r="X140" s="533"/>
    </row>
    <row r="141" spans="1:24" ht="12" customHeight="1" x14ac:dyDescent="0.2">
      <c r="C141" s="525"/>
      <c r="D141" s="525"/>
      <c r="E141" s="525"/>
      <c r="F141" s="525"/>
      <c r="G141" s="525"/>
    </row>
    <row r="142" spans="1:24" ht="13.5" customHeight="1" x14ac:dyDescent="0.2">
      <c r="A142" s="530" t="s">
        <v>142</v>
      </c>
      <c r="B142" s="530"/>
      <c r="C142" s="531" t="s">
        <v>143</v>
      </c>
      <c r="D142" s="531"/>
      <c r="E142" s="531"/>
      <c r="F142" s="531"/>
      <c r="G142" s="531"/>
      <c r="I142" s="532">
        <v>43100</v>
      </c>
      <c r="J142" s="532"/>
      <c r="K142" s="533">
        <v>4158</v>
      </c>
      <c r="L142" s="533"/>
      <c r="M142" s="533">
        <v>4106</v>
      </c>
      <c r="N142" s="533"/>
      <c r="O142" s="533">
        <v>0</v>
      </c>
      <c r="P142" s="533"/>
      <c r="Q142" s="533">
        <v>0</v>
      </c>
      <c r="R142" s="533"/>
      <c r="S142" s="1">
        <v>2.5</v>
      </c>
      <c r="T142" s="2" t="s">
        <v>17</v>
      </c>
      <c r="U142" s="533">
        <v>44</v>
      </c>
      <c r="V142" s="533"/>
      <c r="W142" s="533">
        <v>4062</v>
      </c>
      <c r="X142" s="533"/>
    </row>
    <row r="143" spans="1:24" ht="0.75" customHeight="1" x14ac:dyDescent="0.2"/>
    <row r="144" spans="1:24" ht="13.5" customHeight="1" x14ac:dyDescent="0.2">
      <c r="A144" s="530" t="s">
        <v>144</v>
      </c>
      <c r="B144" s="530"/>
      <c r="C144" s="531" t="s">
        <v>145</v>
      </c>
      <c r="D144" s="531"/>
      <c r="E144" s="531"/>
      <c r="F144" s="531"/>
      <c r="G144" s="531"/>
      <c r="I144" s="532">
        <v>43146</v>
      </c>
      <c r="J144" s="532"/>
      <c r="K144" s="533">
        <v>1217.99</v>
      </c>
      <c r="L144" s="533"/>
      <c r="M144" s="533">
        <v>1206.99</v>
      </c>
      <c r="N144" s="533"/>
      <c r="O144" s="533">
        <v>0</v>
      </c>
      <c r="P144" s="533"/>
      <c r="Q144" s="533">
        <v>0</v>
      </c>
      <c r="R144" s="533"/>
      <c r="S144" s="1">
        <v>2.5</v>
      </c>
      <c r="T144" s="2" t="s">
        <v>17</v>
      </c>
      <c r="U144" s="533">
        <v>13</v>
      </c>
      <c r="V144" s="533"/>
      <c r="W144" s="533">
        <v>1193.99</v>
      </c>
      <c r="X144" s="533"/>
    </row>
    <row r="145" spans="1:24" ht="0.75" customHeight="1" x14ac:dyDescent="0.2"/>
    <row r="146" spans="1:24" ht="13.5" customHeight="1" x14ac:dyDescent="0.2">
      <c r="A146" s="530" t="s">
        <v>146</v>
      </c>
      <c r="B146" s="530"/>
      <c r="C146" s="531" t="s">
        <v>147</v>
      </c>
      <c r="D146" s="531"/>
      <c r="E146" s="531"/>
      <c r="F146" s="531"/>
      <c r="G146" s="531"/>
      <c r="I146" s="532">
        <v>42917</v>
      </c>
      <c r="J146" s="532"/>
      <c r="K146" s="533">
        <v>4836</v>
      </c>
      <c r="L146" s="533"/>
      <c r="M146" s="533">
        <v>4715</v>
      </c>
      <c r="N146" s="533"/>
      <c r="O146" s="533">
        <v>0</v>
      </c>
      <c r="P146" s="533"/>
      <c r="Q146" s="533">
        <v>0</v>
      </c>
      <c r="R146" s="533"/>
      <c r="S146" s="1">
        <v>2.5</v>
      </c>
      <c r="T146" s="2" t="s">
        <v>17</v>
      </c>
      <c r="U146" s="533">
        <v>51</v>
      </c>
      <c r="V146" s="533"/>
      <c r="W146" s="533">
        <v>4664</v>
      </c>
      <c r="X146" s="533"/>
    </row>
    <row r="147" spans="1:24" ht="0.75" customHeight="1" x14ac:dyDescent="0.2"/>
    <row r="148" spans="1:24" ht="13.5" customHeight="1" x14ac:dyDescent="0.2">
      <c r="A148" s="530" t="s">
        <v>148</v>
      </c>
      <c r="B148" s="530"/>
      <c r="C148" s="525" t="s">
        <v>149</v>
      </c>
      <c r="D148" s="525"/>
      <c r="E148" s="525"/>
      <c r="F148" s="525"/>
      <c r="G148" s="525"/>
      <c r="I148" s="532">
        <v>43220</v>
      </c>
      <c r="J148" s="532"/>
      <c r="K148" s="533">
        <v>2542</v>
      </c>
      <c r="L148" s="533"/>
      <c r="M148" s="533">
        <v>2531</v>
      </c>
      <c r="N148" s="533"/>
      <c r="O148" s="533">
        <v>0</v>
      </c>
      <c r="P148" s="533"/>
      <c r="Q148" s="533">
        <v>0</v>
      </c>
      <c r="R148" s="533"/>
      <c r="S148" s="1">
        <v>2.5</v>
      </c>
      <c r="T148" s="2" t="s">
        <v>17</v>
      </c>
      <c r="U148" s="533">
        <v>27</v>
      </c>
      <c r="V148" s="533"/>
      <c r="W148" s="533">
        <v>2504</v>
      </c>
      <c r="X148" s="533"/>
    </row>
    <row r="149" spans="1:24" ht="12" customHeight="1" x14ac:dyDescent="0.2">
      <c r="C149" s="525"/>
      <c r="D149" s="525"/>
      <c r="E149" s="525"/>
      <c r="F149" s="525"/>
      <c r="G149" s="525"/>
    </row>
    <row r="150" spans="1:24" ht="13.5" customHeight="1" x14ac:dyDescent="0.2">
      <c r="A150" s="530" t="s">
        <v>150</v>
      </c>
      <c r="B150" s="530"/>
      <c r="C150" s="531" t="s">
        <v>151</v>
      </c>
      <c r="D150" s="531"/>
      <c r="E150" s="531"/>
      <c r="F150" s="531"/>
      <c r="G150" s="531"/>
      <c r="I150" s="532">
        <v>43220</v>
      </c>
      <c r="J150" s="532"/>
      <c r="K150" s="533">
        <v>1848</v>
      </c>
      <c r="L150" s="533"/>
      <c r="M150" s="533">
        <v>1840</v>
      </c>
      <c r="N150" s="533"/>
      <c r="O150" s="533">
        <v>0</v>
      </c>
      <c r="P150" s="533"/>
      <c r="Q150" s="533">
        <v>0</v>
      </c>
      <c r="R150" s="533"/>
      <c r="S150" s="1">
        <v>2.5</v>
      </c>
      <c r="T150" s="2" t="s">
        <v>17</v>
      </c>
      <c r="U150" s="533">
        <v>19</v>
      </c>
      <c r="V150" s="533"/>
      <c r="W150" s="533">
        <v>1821</v>
      </c>
      <c r="X150" s="533"/>
    </row>
    <row r="151" spans="1:24" ht="0.75" customHeight="1" x14ac:dyDescent="0.2"/>
    <row r="152" spans="1:24" ht="13.5" customHeight="1" x14ac:dyDescent="0.2">
      <c r="A152" s="530" t="s">
        <v>152</v>
      </c>
      <c r="B152" s="530"/>
      <c r="C152" s="531" t="s">
        <v>153</v>
      </c>
      <c r="D152" s="531"/>
      <c r="E152" s="531"/>
      <c r="F152" s="531"/>
      <c r="G152" s="531"/>
      <c r="I152" s="532">
        <v>43220</v>
      </c>
      <c r="J152" s="532"/>
      <c r="K152" s="533">
        <v>3342.07</v>
      </c>
      <c r="L152" s="533"/>
      <c r="M152" s="533">
        <v>3328.07</v>
      </c>
      <c r="N152" s="533"/>
      <c r="O152" s="533">
        <v>0</v>
      </c>
      <c r="P152" s="533"/>
      <c r="Q152" s="533">
        <v>0</v>
      </c>
      <c r="R152" s="533"/>
      <c r="S152" s="1">
        <v>2.5</v>
      </c>
      <c r="T152" s="2" t="s">
        <v>17</v>
      </c>
      <c r="U152" s="533">
        <v>35</v>
      </c>
      <c r="V152" s="533"/>
      <c r="W152" s="533">
        <v>3293.07</v>
      </c>
      <c r="X152" s="533"/>
    </row>
    <row r="153" spans="1:24" ht="0.75" customHeight="1" x14ac:dyDescent="0.2"/>
    <row r="154" spans="1:24" ht="13.5" customHeight="1" x14ac:dyDescent="0.2">
      <c r="A154" s="530" t="s">
        <v>154</v>
      </c>
      <c r="B154" s="530"/>
      <c r="C154" s="531" t="s">
        <v>155</v>
      </c>
      <c r="D154" s="531"/>
      <c r="E154" s="531"/>
      <c r="F154" s="531"/>
      <c r="G154" s="531"/>
      <c r="I154" s="532">
        <v>43251</v>
      </c>
      <c r="J154" s="532"/>
      <c r="K154" s="533">
        <v>2883</v>
      </c>
      <c r="L154" s="533"/>
      <c r="M154" s="533">
        <v>2877</v>
      </c>
      <c r="N154" s="533"/>
      <c r="O154" s="533">
        <v>0</v>
      </c>
      <c r="P154" s="533"/>
      <c r="Q154" s="533">
        <v>0</v>
      </c>
      <c r="R154" s="533"/>
      <c r="S154" s="1">
        <v>2.5</v>
      </c>
      <c r="T154" s="2" t="s">
        <v>17</v>
      </c>
      <c r="U154" s="533">
        <v>30</v>
      </c>
      <c r="V154" s="533"/>
      <c r="W154" s="533">
        <v>2847</v>
      </c>
      <c r="X154" s="533"/>
    </row>
    <row r="155" spans="1:24" ht="0.75" customHeight="1" x14ac:dyDescent="0.2"/>
    <row r="156" spans="1:24" ht="13.5" customHeight="1" x14ac:dyDescent="0.2">
      <c r="A156" s="530" t="s">
        <v>156</v>
      </c>
      <c r="B156" s="530"/>
      <c r="C156" s="531" t="s">
        <v>157</v>
      </c>
      <c r="D156" s="531"/>
      <c r="E156" s="531"/>
      <c r="F156" s="531"/>
      <c r="G156" s="531"/>
      <c r="I156" s="532">
        <v>43251</v>
      </c>
      <c r="J156" s="532"/>
      <c r="K156" s="533">
        <v>2108</v>
      </c>
      <c r="L156" s="533"/>
      <c r="M156" s="533">
        <v>2104</v>
      </c>
      <c r="N156" s="533"/>
      <c r="O156" s="533">
        <v>0</v>
      </c>
      <c r="P156" s="533"/>
      <c r="Q156" s="533">
        <v>0</v>
      </c>
      <c r="R156" s="533"/>
      <c r="S156" s="1">
        <v>2.5</v>
      </c>
      <c r="T156" s="2" t="s">
        <v>17</v>
      </c>
      <c r="U156" s="533">
        <v>22</v>
      </c>
      <c r="V156" s="533"/>
      <c r="W156" s="533">
        <v>2082</v>
      </c>
      <c r="X156" s="533"/>
    </row>
    <row r="157" spans="1:24" ht="0.75" customHeight="1" x14ac:dyDescent="0.2"/>
    <row r="158" spans="1:24" ht="13.5" customHeight="1" x14ac:dyDescent="0.2">
      <c r="A158" s="530" t="s">
        <v>158</v>
      </c>
      <c r="B158" s="530"/>
      <c r="C158" s="531" t="s">
        <v>53</v>
      </c>
      <c r="D158" s="531"/>
      <c r="E158" s="531"/>
      <c r="F158" s="531"/>
      <c r="G158" s="531"/>
      <c r="I158" s="532">
        <v>43281</v>
      </c>
      <c r="J158" s="532"/>
      <c r="K158" s="533">
        <v>2604</v>
      </c>
      <c r="L158" s="533"/>
      <c r="M158" s="533">
        <v>2603</v>
      </c>
      <c r="N158" s="533"/>
      <c r="O158" s="533">
        <v>0</v>
      </c>
      <c r="P158" s="533"/>
      <c r="Q158" s="533">
        <v>0</v>
      </c>
      <c r="R158" s="533"/>
      <c r="S158" s="1">
        <v>2.5</v>
      </c>
      <c r="T158" s="2" t="s">
        <v>17</v>
      </c>
      <c r="U158" s="533">
        <v>27</v>
      </c>
      <c r="V158" s="533"/>
      <c r="W158" s="533">
        <v>2576</v>
      </c>
      <c r="X158" s="533"/>
    </row>
    <row r="159" spans="1:24" ht="0.75" customHeight="1" x14ac:dyDescent="0.2"/>
    <row r="160" spans="1:24" ht="13.5" customHeight="1" x14ac:dyDescent="0.2">
      <c r="A160" s="530" t="s">
        <v>159</v>
      </c>
      <c r="B160" s="530"/>
      <c r="C160" s="531" t="s">
        <v>160</v>
      </c>
      <c r="D160" s="531"/>
      <c r="E160" s="531"/>
      <c r="F160" s="531"/>
      <c r="G160" s="531"/>
      <c r="I160" s="532">
        <v>43165</v>
      </c>
      <c r="J160" s="532"/>
      <c r="K160" s="533">
        <v>2315.2400000000002</v>
      </c>
      <c r="L160" s="533"/>
      <c r="M160" s="533">
        <v>2296.2400000000002</v>
      </c>
      <c r="N160" s="533"/>
      <c r="O160" s="533">
        <v>0</v>
      </c>
      <c r="P160" s="533"/>
      <c r="Q160" s="533">
        <v>0</v>
      </c>
      <c r="R160" s="533"/>
      <c r="S160" s="1">
        <v>2.5</v>
      </c>
      <c r="T160" s="2" t="s">
        <v>17</v>
      </c>
      <c r="U160" s="533">
        <v>24</v>
      </c>
      <c r="V160" s="533"/>
      <c r="W160" s="533">
        <v>2272.2400000000002</v>
      </c>
      <c r="X160" s="533"/>
    </row>
    <row r="161" spans="1:24" ht="0.75" customHeight="1" x14ac:dyDescent="0.2"/>
    <row r="162" spans="1:24" ht="13.5" customHeight="1" x14ac:dyDescent="0.2">
      <c r="A162" s="530" t="s">
        <v>161</v>
      </c>
      <c r="B162" s="530"/>
      <c r="C162" s="531" t="s">
        <v>162</v>
      </c>
      <c r="D162" s="531"/>
      <c r="E162" s="531"/>
      <c r="F162" s="531"/>
      <c r="G162" s="531"/>
      <c r="I162" s="532">
        <v>43186</v>
      </c>
      <c r="J162" s="532"/>
      <c r="K162" s="533">
        <v>6455.62</v>
      </c>
      <c r="L162" s="533"/>
      <c r="M162" s="533">
        <v>6413.62</v>
      </c>
      <c r="N162" s="533"/>
      <c r="O162" s="533">
        <v>0</v>
      </c>
      <c r="P162" s="533"/>
      <c r="Q162" s="533">
        <v>0</v>
      </c>
      <c r="R162" s="533"/>
      <c r="S162" s="1">
        <v>2.5</v>
      </c>
      <c r="T162" s="2" t="s">
        <v>17</v>
      </c>
      <c r="U162" s="533">
        <v>68</v>
      </c>
      <c r="V162" s="533"/>
      <c r="W162" s="533">
        <v>6345.62</v>
      </c>
      <c r="X162" s="533"/>
    </row>
    <row r="163" spans="1:24" ht="0.75" customHeight="1" x14ac:dyDescent="0.2"/>
    <row r="164" spans="1:24" ht="13.5" customHeight="1" x14ac:dyDescent="0.2">
      <c r="A164" s="530" t="s">
        <v>163</v>
      </c>
      <c r="B164" s="530"/>
      <c r="C164" s="531" t="s">
        <v>164</v>
      </c>
      <c r="D164" s="531"/>
      <c r="E164" s="531"/>
      <c r="F164" s="531"/>
      <c r="G164" s="531"/>
      <c r="I164" s="532">
        <v>43263</v>
      </c>
      <c r="J164" s="532"/>
      <c r="K164" s="533">
        <v>68376.94</v>
      </c>
      <c r="L164" s="533"/>
      <c r="M164" s="533">
        <v>68287.94</v>
      </c>
      <c r="N164" s="533"/>
      <c r="O164" s="533">
        <v>0</v>
      </c>
      <c r="P164" s="533"/>
      <c r="Q164" s="533">
        <v>0</v>
      </c>
      <c r="R164" s="533"/>
      <c r="S164" s="1">
        <v>2.5</v>
      </c>
      <c r="T164" s="2" t="s">
        <v>17</v>
      </c>
      <c r="U164" s="533">
        <v>717</v>
      </c>
      <c r="V164" s="533"/>
      <c r="W164" s="533">
        <v>67570.94</v>
      </c>
      <c r="X164" s="533"/>
    </row>
    <row r="165" spans="1:24" ht="0.75" customHeight="1" x14ac:dyDescent="0.2"/>
    <row r="166" spans="1:24" ht="13.5" customHeight="1" x14ac:dyDescent="0.2">
      <c r="A166" s="530" t="s">
        <v>165</v>
      </c>
      <c r="B166" s="530"/>
      <c r="C166" s="531" t="s">
        <v>166</v>
      </c>
      <c r="D166" s="531"/>
      <c r="E166" s="531"/>
      <c r="F166" s="531"/>
      <c r="G166" s="531"/>
      <c r="I166" s="532">
        <v>42989</v>
      </c>
      <c r="J166" s="532"/>
      <c r="K166" s="533">
        <v>805.6</v>
      </c>
      <c r="L166" s="533"/>
      <c r="M166" s="533">
        <v>789.6</v>
      </c>
      <c r="N166" s="533"/>
      <c r="O166" s="533">
        <v>0</v>
      </c>
      <c r="P166" s="533"/>
      <c r="Q166" s="533">
        <v>0</v>
      </c>
      <c r="R166" s="533"/>
      <c r="S166" s="1">
        <v>2.5</v>
      </c>
      <c r="T166" s="2" t="s">
        <v>17</v>
      </c>
      <c r="U166" s="533">
        <v>8</v>
      </c>
      <c r="V166" s="533"/>
      <c r="W166" s="533">
        <v>781.6</v>
      </c>
      <c r="X166" s="533"/>
    </row>
    <row r="167" spans="1:24" ht="0.75" customHeight="1" x14ac:dyDescent="0.2"/>
    <row r="168" spans="1:24" ht="13.5" customHeight="1" x14ac:dyDescent="0.2">
      <c r="A168" s="530" t="s">
        <v>167</v>
      </c>
      <c r="B168" s="530"/>
      <c r="C168" s="531" t="s">
        <v>168</v>
      </c>
      <c r="D168" s="531"/>
      <c r="E168" s="531"/>
      <c r="F168" s="531"/>
      <c r="G168" s="531"/>
      <c r="I168" s="532">
        <v>43019</v>
      </c>
      <c r="J168" s="532"/>
      <c r="K168" s="533">
        <v>636</v>
      </c>
      <c r="L168" s="533"/>
      <c r="M168" s="533">
        <v>625</v>
      </c>
      <c r="N168" s="533"/>
      <c r="O168" s="533">
        <v>0</v>
      </c>
      <c r="P168" s="533"/>
      <c r="Q168" s="533">
        <v>0</v>
      </c>
      <c r="R168" s="533"/>
      <c r="S168" s="1">
        <v>2.5</v>
      </c>
      <c r="T168" s="2" t="s">
        <v>17</v>
      </c>
      <c r="U168" s="533">
        <v>7</v>
      </c>
      <c r="V168" s="533"/>
      <c r="W168" s="533">
        <v>618</v>
      </c>
      <c r="X168" s="533"/>
    </row>
    <row r="169" spans="1:24" ht="0.75" customHeight="1" x14ac:dyDescent="0.2"/>
    <row r="170" spans="1:24" ht="13.5" customHeight="1" x14ac:dyDescent="0.2">
      <c r="A170" s="530" t="s">
        <v>169</v>
      </c>
      <c r="B170" s="530"/>
      <c r="C170" s="531" t="s">
        <v>170</v>
      </c>
      <c r="D170" s="531"/>
      <c r="E170" s="531"/>
      <c r="F170" s="531"/>
      <c r="G170" s="531"/>
      <c r="I170" s="532">
        <v>43069</v>
      </c>
      <c r="J170" s="532"/>
      <c r="K170" s="533">
        <v>472.5</v>
      </c>
      <c r="L170" s="533"/>
      <c r="M170" s="533">
        <v>465.5</v>
      </c>
      <c r="N170" s="533"/>
      <c r="O170" s="533">
        <v>0</v>
      </c>
      <c r="P170" s="533"/>
      <c r="Q170" s="533">
        <v>0</v>
      </c>
      <c r="R170" s="533"/>
      <c r="S170" s="1">
        <v>2.5</v>
      </c>
      <c r="T170" s="2" t="s">
        <v>17</v>
      </c>
      <c r="U170" s="533">
        <v>5</v>
      </c>
      <c r="V170" s="533"/>
      <c r="W170" s="533">
        <v>460.5</v>
      </c>
      <c r="X170" s="533"/>
    </row>
    <row r="171" spans="1:24" ht="0.75" customHeight="1" x14ac:dyDescent="0.2"/>
    <row r="172" spans="1:24" ht="13.5" customHeight="1" x14ac:dyDescent="0.2">
      <c r="A172" s="530" t="s">
        <v>171</v>
      </c>
      <c r="B172" s="530"/>
      <c r="C172" s="531" t="s">
        <v>172</v>
      </c>
      <c r="D172" s="531"/>
      <c r="E172" s="531"/>
      <c r="F172" s="531"/>
      <c r="G172" s="531"/>
      <c r="I172" s="532">
        <v>43008</v>
      </c>
      <c r="J172" s="532"/>
      <c r="K172" s="533">
        <v>945</v>
      </c>
      <c r="L172" s="533"/>
      <c r="M172" s="533">
        <v>927</v>
      </c>
      <c r="N172" s="533"/>
      <c r="O172" s="533">
        <v>0</v>
      </c>
      <c r="P172" s="533"/>
      <c r="Q172" s="533">
        <v>0</v>
      </c>
      <c r="R172" s="533"/>
      <c r="S172" s="1">
        <v>2.5</v>
      </c>
      <c r="T172" s="2" t="s">
        <v>17</v>
      </c>
      <c r="U172" s="533">
        <v>10</v>
      </c>
      <c r="V172" s="533"/>
      <c r="W172" s="533">
        <v>917</v>
      </c>
      <c r="X172" s="533"/>
    </row>
    <row r="173" spans="1:24" ht="0.75" customHeight="1" x14ac:dyDescent="0.2"/>
    <row r="174" spans="1:24" ht="13.5" customHeight="1" x14ac:dyDescent="0.2">
      <c r="A174" s="530" t="s">
        <v>173</v>
      </c>
      <c r="B174" s="530"/>
      <c r="C174" s="531" t="s">
        <v>174</v>
      </c>
      <c r="D174" s="531"/>
      <c r="E174" s="531"/>
      <c r="F174" s="531"/>
      <c r="G174" s="531"/>
      <c r="I174" s="532">
        <v>43077</v>
      </c>
      <c r="J174" s="532"/>
      <c r="K174" s="533">
        <v>650</v>
      </c>
      <c r="L174" s="533"/>
      <c r="M174" s="533">
        <v>641</v>
      </c>
      <c r="N174" s="533"/>
      <c r="O174" s="533">
        <v>0</v>
      </c>
      <c r="P174" s="533"/>
      <c r="Q174" s="533">
        <v>0</v>
      </c>
      <c r="R174" s="533"/>
      <c r="S174" s="1">
        <v>2.5</v>
      </c>
      <c r="T174" s="2" t="s">
        <v>17</v>
      </c>
      <c r="U174" s="533">
        <v>7</v>
      </c>
      <c r="V174" s="533"/>
      <c r="W174" s="533">
        <v>634</v>
      </c>
      <c r="X174" s="533"/>
    </row>
    <row r="175" spans="1:24" ht="0.75" customHeight="1" x14ac:dyDescent="0.2"/>
    <row r="176" spans="1:24" ht="13.5" customHeight="1" x14ac:dyDescent="0.2">
      <c r="A176" s="530" t="s">
        <v>175</v>
      </c>
      <c r="B176" s="530"/>
      <c r="C176" s="525" t="s">
        <v>176</v>
      </c>
      <c r="D176" s="525"/>
      <c r="E176" s="525"/>
      <c r="F176" s="525"/>
      <c r="G176" s="525"/>
      <c r="I176" s="532">
        <v>43116</v>
      </c>
      <c r="J176" s="532"/>
      <c r="K176" s="533">
        <v>420</v>
      </c>
      <c r="L176" s="533"/>
      <c r="M176" s="533">
        <v>415</v>
      </c>
      <c r="N176" s="533"/>
      <c r="O176" s="533">
        <v>0</v>
      </c>
      <c r="P176" s="533"/>
      <c r="Q176" s="533">
        <v>0</v>
      </c>
      <c r="R176" s="533"/>
      <c r="S176" s="1">
        <v>2.5</v>
      </c>
      <c r="T176" s="2" t="s">
        <v>17</v>
      </c>
      <c r="U176" s="533">
        <v>4</v>
      </c>
      <c r="V176" s="533"/>
      <c r="W176" s="533">
        <v>411</v>
      </c>
      <c r="X176" s="533"/>
    </row>
    <row r="177" spans="1:24" ht="12" customHeight="1" x14ac:dyDescent="0.2">
      <c r="C177" s="525"/>
      <c r="D177" s="525"/>
      <c r="E177" s="525"/>
      <c r="F177" s="525"/>
      <c r="G177" s="525"/>
    </row>
    <row r="178" spans="1:24" ht="13.5" customHeight="1" x14ac:dyDescent="0.2">
      <c r="A178" s="530" t="s">
        <v>177</v>
      </c>
      <c r="B178" s="530"/>
      <c r="C178" s="531" t="s">
        <v>178</v>
      </c>
      <c r="D178" s="531"/>
      <c r="E178" s="531"/>
      <c r="F178" s="531"/>
      <c r="G178" s="531"/>
      <c r="I178" s="532">
        <v>43182</v>
      </c>
      <c r="J178" s="532"/>
      <c r="K178" s="533">
        <v>740</v>
      </c>
      <c r="L178" s="533"/>
      <c r="M178" s="533">
        <v>735</v>
      </c>
      <c r="N178" s="533"/>
      <c r="O178" s="533">
        <v>0</v>
      </c>
      <c r="P178" s="533"/>
      <c r="Q178" s="533">
        <v>0</v>
      </c>
      <c r="R178" s="533"/>
      <c r="S178" s="1">
        <v>2.5</v>
      </c>
      <c r="T178" s="2" t="s">
        <v>17</v>
      </c>
      <c r="U178" s="533">
        <v>8</v>
      </c>
      <c r="V178" s="533"/>
      <c r="W178" s="533">
        <v>727</v>
      </c>
      <c r="X178" s="533"/>
    </row>
    <row r="179" spans="1:24" ht="0.75" customHeight="1" x14ac:dyDescent="0.2"/>
    <row r="180" spans="1:24" ht="13.5" customHeight="1" x14ac:dyDescent="0.2">
      <c r="A180" s="530" t="s">
        <v>179</v>
      </c>
      <c r="B180" s="530"/>
      <c r="C180" s="525" t="s">
        <v>180</v>
      </c>
      <c r="D180" s="525"/>
      <c r="E180" s="525"/>
      <c r="F180" s="525"/>
      <c r="G180" s="525"/>
      <c r="I180" s="532">
        <v>43034</v>
      </c>
      <c r="J180" s="532"/>
      <c r="K180" s="533">
        <v>910</v>
      </c>
      <c r="L180" s="533"/>
      <c r="M180" s="533">
        <v>895</v>
      </c>
      <c r="N180" s="533"/>
      <c r="O180" s="533">
        <v>0</v>
      </c>
      <c r="P180" s="533"/>
      <c r="Q180" s="533">
        <v>0</v>
      </c>
      <c r="R180" s="533"/>
      <c r="S180" s="1">
        <v>2.5</v>
      </c>
      <c r="T180" s="2" t="s">
        <v>17</v>
      </c>
      <c r="U180" s="533">
        <v>10</v>
      </c>
      <c r="V180" s="533"/>
      <c r="W180" s="533">
        <v>885</v>
      </c>
      <c r="X180" s="533"/>
    </row>
    <row r="181" spans="1:24" ht="12" customHeight="1" x14ac:dyDescent="0.2">
      <c r="C181" s="525"/>
      <c r="D181" s="525"/>
      <c r="E181" s="525"/>
      <c r="F181" s="525"/>
      <c r="G181" s="525"/>
    </row>
    <row r="182" spans="1:24" ht="13.5" customHeight="1" x14ac:dyDescent="0.2">
      <c r="A182" s="530" t="s">
        <v>181</v>
      </c>
      <c r="B182" s="530"/>
      <c r="C182" s="531" t="s">
        <v>145</v>
      </c>
      <c r="D182" s="531"/>
      <c r="E182" s="531"/>
      <c r="F182" s="531"/>
      <c r="G182" s="531"/>
      <c r="I182" s="532">
        <v>43068</v>
      </c>
      <c r="J182" s="532"/>
      <c r="K182" s="533">
        <v>499.40000000000003</v>
      </c>
      <c r="L182" s="533"/>
      <c r="M182" s="533">
        <v>492.40000000000003</v>
      </c>
      <c r="N182" s="533"/>
      <c r="O182" s="533">
        <v>0</v>
      </c>
      <c r="P182" s="533"/>
      <c r="Q182" s="533">
        <v>0</v>
      </c>
      <c r="R182" s="533"/>
      <c r="S182" s="1">
        <v>2.5</v>
      </c>
      <c r="T182" s="2" t="s">
        <v>17</v>
      </c>
      <c r="U182" s="533">
        <v>5</v>
      </c>
      <c r="V182" s="533"/>
      <c r="W182" s="533">
        <v>487.40000000000003</v>
      </c>
      <c r="X182" s="533"/>
    </row>
    <row r="183" spans="1:24" ht="0.75" customHeight="1" x14ac:dyDescent="0.2"/>
    <row r="184" spans="1:24" ht="13.5" customHeight="1" x14ac:dyDescent="0.2">
      <c r="A184" s="530" t="s">
        <v>182</v>
      </c>
      <c r="B184" s="530"/>
      <c r="C184" s="531" t="s">
        <v>183</v>
      </c>
      <c r="D184" s="531"/>
      <c r="E184" s="531"/>
      <c r="F184" s="531"/>
      <c r="G184" s="531"/>
      <c r="I184" s="532">
        <v>43152</v>
      </c>
      <c r="J184" s="532"/>
      <c r="K184" s="533">
        <v>810</v>
      </c>
      <c r="L184" s="533"/>
      <c r="M184" s="533">
        <v>803</v>
      </c>
      <c r="N184" s="533"/>
      <c r="O184" s="533">
        <v>0</v>
      </c>
      <c r="P184" s="533"/>
      <c r="Q184" s="533">
        <v>0</v>
      </c>
      <c r="R184" s="533"/>
      <c r="S184" s="1">
        <v>2.5</v>
      </c>
      <c r="T184" s="2" t="s">
        <v>17</v>
      </c>
      <c r="U184" s="533">
        <v>8</v>
      </c>
      <c r="V184" s="533"/>
      <c r="W184" s="533">
        <v>795</v>
      </c>
      <c r="X184" s="533"/>
    </row>
    <row r="185" spans="1:24" ht="0.75" customHeight="1" x14ac:dyDescent="0.2"/>
    <row r="186" spans="1:24" ht="13.5" customHeight="1" x14ac:dyDescent="0.2">
      <c r="A186" s="530" t="s">
        <v>184</v>
      </c>
      <c r="B186" s="530"/>
      <c r="C186" s="531" t="s">
        <v>185</v>
      </c>
      <c r="D186" s="531"/>
      <c r="E186" s="531"/>
      <c r="F186" s="531"/>
      <c r="G186" s="531"/>
      <c r="I186" s="532">
        <v>43249</v>
      </c>
      <c r="J186" s="532"/>
      <c r="K186" s="533">
        <v>722.39</v>
      </c>
      <c r="L186" s="533"/>
      <c r="M186" s="533">
        <v>720.39</v>
      </c>
      <c r="N186" s="533"/>
      <c r="O186" s="533">
        <v>0</v>
      </c>
      <c r="P186" s="533"/>
      <c r="Q186" s="533">
        <v>0</v>
      </c>
      <c r="R186" s="533"/>
      <c r="S186" s="1">
        <v>2.5</v>
      </c>
      <c r="T186" s="2" t="s">
        <v>17</v>
      </c>
      <c r="U186" s="533">
        <v>8</v>
      </c>
      <c r="V186" s="533"/>
      <c r="W186" s="533">
        <v>712.39</v>
      </c>
      <c r="X186" s="533"/>
    </row>
    <row r="187" spans="1:24" ht="0.75" customHeight="1" x14ac:dyDescent="0.2"/>
    <row r="188" spans="1:24" ht="13.5" customHeight="1" x14ac:dyDescent="0.2">
      <c r="A188" s="530" t="s">
        <v>186</v>
      </c>
      <c r="B188" s="530"/>
      <c r="C188" s="531" t="s">
        <v>187</v>
      </c>
      <c r="D188" s="531"/>
      <c r="E188" s="531"/>
      <c r="F188" s="531"/>
      <c r="G188" s="531"/>
      <c r="I188" s="532">
        <v>43264</v>
      </c>
      <c r="J188" s="532"/>
      <c r="K188" s="533">
        <v>310</v>
      </c>
      <c r="L188" s="533"/>
      <c r="M188" s="533">
        <v>309</v>
      </c>
      <c r="N188" s="533"/>
      <c r="O188" s="533">
        <v>0</v>
      </c>
      <c r="P188" s="533"/>
      <c r="Q188" s="533">
        <v>0</v>
      </c>
      <c r="R188" s="533"/>
      <c r="S188" s="1">
        <v>2.5</v>
      </c>
      <c r="T188" s="2" t="s">
        <v>17</v>
      </c>
      <c r="U188" s="533">
        <v>3</v>
      </c>
      <c r="V188" s="533"/>
      <c r="W188" s="533">
        <v>306</v>
      </c>
      <c r="X188" s="533"/>
    </row>
    <row r="189" spans="1:24" ht="0.75" customHeight="1" x14ac:dyDescent="0.2"/>
    <row r="190" spans="1:24" ht="13.5" customHeight="1" x14ac:dyDescent="0.2">
      <c r="A190" s="530" t="s">
        <v>188</v>
      </c>
      <c r="B190" s="530"/>
      <c r="C190" s="531" t="s">
        <v>189</v>
      </c>
      <c r="D190" s="531"/>
      <c r="E190" s="531"/>
      <c r="F190" s="531"/>
      <c r="G190" s="531"/>
      <c r="I190" s="532">
        <v>43281</v>
      </c>
      <c r="J190" s="532"/>
      <c r="K190" s="533">
        <v>434</v>
      </c>
      <c r="L190" s="533"/>
      <c r="M190" s="533">
        <v>433</v>
      </c>
      <c r="N190" s="533"/>
      <c r="O190" s="533">
        <v>0</v>
      </c>
      <c r="P190" s="533"/>
      <c r="Q190" s="533">
        <v>0</v>
      </c>
      <c r="R190" s="533"/>
      <c r="S190" s="1">
        <v>2.5</v>
      </c>
      <c r="T190" s="2" t="s">
        <v>17</v>
      </c>
      <c r="U190" s="533">
        <v>5</v>
      </c>
      <c r="V190" s="533"/>
      <c r="W190" s="533">
        <v>428</v>
      </c>
      <c r="X190" s="533"/>
    </row>
    <row r="191" spans="1:24" ht="0.75" customHeight="1" x14ac:dyDescent="0.2"/>
    <row r="192" spans="1:24" ht="13.5" customHeight="1" x14ac:dyDescent="0.2">
      <c r="A192" s="530" t="s">
        <v>190</v>
      </c>
      <c r="B192" s="530"/>
      <c r="C192" s="525" t="s">
        <v>191</v>
      </c>
      <c r="D192" s="525"/>
      <c r="E192" s="525"/>
      <c r="F192" s="525"/>
      <c r="G192" s="525"/>
      <c r="I192" s="532">
        <v>42989</v>
      </c>
      <c r="J192" s="532"/>
      <c r="K192" s="533">
        <v>190</v>
      </c>
      <c r="L192" s="533"/>
      <c r="M192" s="533">
        <v>186</v>
      </c>
      <c r="N192" s="533"/>
      <c r="O192" s="533">
        <v>0</v>
      </c>
      <c r="P192" s="533"/>
      <c r="Q192" s="533">
        <v>0</v>
      </c>
      <c r="R192" s="533"/>
      <c r="S192" s="1">
        <v>2.5</v>
      </c>
      <c r="T192" s="2" t="s">
        <v>17</v>
      </c>
      <c r="U192" s="533">
        <v>2</v>
      </c>
      <c r="V192" s="533"/>
      <c r="W192" s="533">
        <v>184</v>
      </c>
      <c r="X192" s="533"/>
    </row>
    <row r="193" spans="1:24" ht="12" customHeight="1" x14ac:dyDescent="0.2">
      <c r="C193" s="525"/>
      <c r="D193" s="525"/>
      <c r="E193" s="525"/>
      <c r="F193" s="525"/>
      <c r="G193" s="525"/>
    </row>
    <row r="194" spans="1:24" ht="13.5" customHeight="1" x14ac:dyDescent="0.2">
      <c r="A194" s="530" t="s">
        <v>192</v>
      </c>
      <c r="B194" s="530"/>
      <c r="C194" s="525" t="s">
        <v>193</v>
      </c>
      <c r="D194" s="525"/>
      <c r="E194" s="525"/>
      <c r="F194" s="525"/>
      <c r="G194" s="525"/>
      <c r="I194" s="532">
        <v>42992</v>
      </c>
      <c r="J194" s="532"/>
      <c r="K194" s="533">
        <v>42.4</v>
      </c>
      <c r="L194" s="533"/>
      <c r="M194" s="533">
        <v>41.4</v>
      </c>
      <c r="N194" s="533"/>
      <c r="O194" s="533">
        <v>0</v>
      </c>
      <c r="P194" s="533"/>
      <c r="Q194" s="533">
        <v>0</v>
      </c>
      <c r="R194" s="533"/>
      <c r="S194" s="1">
        <v>2.5</v>
      </c>
      <c r="T194" s="2" t="s">
        <v>17</v>
      </c>
      <c r="U194" s="533">
        <v>1</v>
      </c>
      <c r="V194" s="533"/>
      <c r="W194" s="533">
        <v>40.4</v>
      </c>
      <c r="X194" s="533"/>
    </row>
    <row r="195" spans="1:24" ht="12" customHeight="1" x14ac:dyDescent="0.2">
      <c r="C195" s="525"/>
      <c r="D195" s="525"/>
      <c r="E195" s="525"/>
      <c r="F195" s="525"/>
      <c r="G195" s="525"/>
    </row>
    <row r="196" spans="1:24" ht="13.5" customHeight="1" x14ac:dyDescent="0.2">
      <c r="A196" s="530" t="s">
        <v>194</v>
      </c>
      <c r="B196" s="530"/>
      <c r="C196" s="525" t="s">
        <v>195</v>
      </c>
      <c r="D196" s="525"/>
      <c r="E196" s="525"/>
      <c r="F196" s="525"/>
      <c r="G196" s="525"/>
      <c r="I196" s="532">
        <v>42998</v>
      </c>
      <c r="J196" s="532"/>
      <c r="K196" s="533">
        <v>242</v>
      </c>
      <c r="L196" s="533"/>
      <c r="M196" s="533">
        <v>237</v>
      </c>
      <c r="N196" s="533"/>
      <c r="O196" s="533">
        <v>0</v>
      </c>
      <c r="P196" s="533"/>
      <c r="Q196" s="533">
        <v>0</v>
      </c>
      <c r="R196" s="533"/>
      <c r="S196" s="1">
        <v>2.5</v>
      </c>
      <c r="T196" s="2" t="s">
        <v>17</v>
      </c>
      <c r="U196" s="533">
        <v>3</v>
      </c>
      <c r="V196" s="533"/>
      <c r="W196" s="533">
        <v>234</v>
      </c>
      <c r="X196" s="533"/>
    </row>
    <row r="197" spans="1:24" ht="12" customHeight="1" x14ac:dyDescent="0.2">
      <c r="C197" s="525"/>
      <c r="D197" s="525"/>
      <c r="E197" s="525"/>
      <c r="F197" s="525"/>
      <c r="G197" s="525"/>
    </row>
    <row r="198" spans="1:24" ht="15" customHeight="1" x14ac:dyDescent="0.2">
      <c r="A198" s="534" t="s">
        <v>13</v>
      </c>
      <c r="B198" s="534"/>
      <c r="D198" s="534" t="s">
        <v>14</v>
      </c>
      <c r="E198" s="534"/>
      <c r="F198" s="534"/>
      <c r="G198" s="534"/>
      <c r="H198" s="534"/>
      <c r="I198" s="534"/>
      <c r="J198" s="534"/>
      <c r="K198" s="534"/>
      <c r="L198" s="534"/>
      <c r="M198" s="534"/>
      <c r="N198" s="534"/>
      <c r="O198" s="534"/>
      <c r="P198" s="534"/>
      <c r="Q198" s="534"/>
      <c r="R198" s="534"/>
      <c r="S198" s="534"/>
      <c r="T198" s="534"/>
      <c r="U198" s="534"/>
      <c r="V198" s="534"/>
    </row>
    <row r="199" spans="1:24" ht="0.75" customHeight="1" x14ac:dyDescent="0.2"/>
    <row r="200" spans="1:24" ht="13.5" customHeight="1" x14ac:dyDescent="0.2">
      <c r="A200" s="530" t="s">
        <v>196</v>
      </c>
      <c r="B200" s="530"/>
      <c r="C200" s="525" t="s">
        <v>197</v>
      </c>
      <c r="D200" s="525"/>
      <c r="E200" s="525"/>
      <c r="F200" s="525"/>
      <c r="G200" s="525"/>
      <c r="I200" s="532">
        <v>43257</v>
      </c>
      <c r="J200" s="532"/>
      <c r="K200" s="533">
        <v>259.2</v>
      </c>
      <c r="L200" s="533"/>
      <c r="M200" s="533">
        <v>258.2</v>
      </c>
      <c r="N200" s="533"/>
      <c r="O200" s="533">
        <v>0</v>
      </c>
      <c r="P200" s="533"/>
      <c r="Q200" s="533">
        <v>0</v>
      </c>
      <c r="R200" s="533"/>
      <c r="S200" s="1">
        <v>2.5</v>
      </c>
      <c r="T200" s="2" t="s">
        <v>17</v>
      </c>
      <c r="U200" s="533">
        <v>3</v>
      </c>
      <c r="V200" s="533"/>
      <c r="W200" s="533">
        <v>255.20000000000002</v>
      </c>
      <c r="X200" s="533"/>
    </row>
    <row r="201" spans="1:24" ht="12" customHeight="1" x14ac:dyDescent="0.2">
      <c r="C201" s="525"/>
      <c r="D201" s="525"/>
      <c r="E201" s="525"/>
      <c r="F201" s="525"/>
      <c r="G201" s="525"/>
    </row>
    <row r="202" spans="1:24" ht="13.5" customHeight="1" x14ac:dyDescent="0.2">
      <c r="A202" s="530" t="s">
        <v>198</v>
      </c>
      <c r="B202" s="530"/>
      <c r="C202" s="531" t="s">
        <v>199</v>
      </c>
      <c r="D202" s="531"/>
      <c r="E202" s="531"/>
      <c r="F202" s="531"/>
      <c r="G202" s="531"/>
      <c r="I202" s="532">
        <v>43020</v>
      </c>
      <c r="J202" s="532"/>
      <c r="K202" s="533">
        <v>160</v>
      </c>
      <c r="L202" s="533"/>
      <c r="M202" s="533">
        <v>157</v>
      </c>
      <c r="N202" s="533"/>
      <c r="O202" s="533">
        <v>0</v>
      </c>
      <c r="P202" s="533"/>
      <c r="Q202" s="533">
        <v>0</v>
      </c>
      <c r="R202" s="533"/>
      <c r="S202" s="1">
        <v>2.5</v>
      </c>
      <c r="T202" s="2" t="s">
        <v>17</v>
      </c>
      <c r="U202" s="533">
        <v>2</v>
      </c>
      <c r="V202" s="533"/>
      <c r="W202" s="533">
        <v>155</v>
      </c>
      <c r="X202" s="533"/>
    </row>
    <row r="203" spans="1:24" ht="0.75" customHeight="1" x14ac:dyDescent="0.2"/>
    <row r="204" spans="1:24" ht="13.5" customHeight="1" x14ac:dyDescent="0.2">
      <c r="A204" s="530" t="s">
        <v>200</v>
      </c>
      <c r="B204" s="530"/>
      <c r="C204" s="531" t="s">
        <v>201</v>
      </c>
      <c r="D204" s="531"/>
      <c r="E204" s="531"/>
      <c r="F204" s="531"/>
      <c r="G204" s="531"/>
      <c r="I204" s="532">
        <v>43045</v>
      </c>
      <c r="J204" s="532"/>
      <c r="K204" s="533">
        <v>72.11</v>
      </c>
      <c r="L204" s="533"/>
      <c r="M204" s="533">
        <v>71.11</v>
      </c>
      <c r="N204" s="533"/>
      <c r="O204" s="533">
        <v>0</v>
      </c>
      <c r="P204" s="533"/>
      <c r="Q204" s="533">
        <v>0</v>
      </c>
      <c r="R204" s="533"/>
      <c r="S204" s="1">
        <v>2.5</v>
      </c>
      <c r="T204" s="2" t="s">
        <v>17</v>
      </c>
      <c r="U204" s="533">
        <v>1</v>
      </c>
      <c r="V204" s="533"/>
      <c r="W204" s="533">
        <v>70.11</v>
      </c>
      <c r="X204" s="533"/>
    </row>
    <row r="205" spans="1:24" ht="0.75" customHeight="1" x14ac:dyDescent="0.2"/>
    <row r="206" spans="1:24" ht="13.5" customHeight="1" x14ac:dyDescent="0.2">
      <c r="A206" s="530" t="s">
        <v>202</v>
      </c>
      <c r="B206" s="530"/>
      <c r="C206" s="525" t="s">
        <v>203</v>
      </c>
      <c r="D206" s="525"/>
      <c r="E206" s="525"/>
      <c r="F206" s="525"/>
      <c r="G206" s="525"/>
      <c r="I206" s="532">
        <v>43045</v>
      </c>
      <c r="J206" s="532"/>
      <c r="K206" s="533">
        <v>4.84</v>
      </c>
      <c r="L206" s="533"/>
      <c r="M206" s="533">
        <v>3.84</v>
      </c>
      <c r="N206" s="533"/>
      <c r="O206" s="533">
        <v>0</v>
      </c>
      <c r="P206" s="533"/>
      <c r="Q206" s="533">
        <v>0</v>
      </c>
      <c r="R206" s="533"/>
      <c r="S206" s="1">
        <v>2.5</v>
      </c>
      <c r="T206" s="2" t="s">
        <v>17</v>
      </c>
      <c r="U206" s="533">
        <v>1</v>
      </c>
      <c r="V206" s="533"/>
      <c r="W206" s="533">
        <v>2.84</v>
      </c>
      <c r="X206" s="533"/>
    </row>
    <row r="207" spans="1:24" ht="12" customHeight="1" x14ac:dyDescent="0.2">
      <c r="C207" s="525"/>
      <c r="D207" s="525"/>
      <c r="E207" s="525"/>
      <c r="F207" s="525"/>
      <c r="G207" s="525"/>
    </row>
    <row r="208" spans="1:24" ht="13.5" customHeight="1" x14ac:dyDescent="0.2">
      <c r="A208" s="530" t="s">
        <v>204</v>
      </c>
      <c r="B208" s="530"/>
      <c r="C208" s="531" t="s">
        <v>205</v>
      </c>
      <c r="D208" s="531"/>
      <c r="E208" s="531"/>
      <c r="F208" s="531"/>
      <c r="G208" s="531"/>
      <c r="I208" s="532">
        <v>43077</v>
      </c>
      <c r="J208" s="532"/>
      <c r="K208" s="533">
        <v>255.3</v>
      </c>
      <c r="L208" s="533"/>
      <c r="M208" s="533">
        <v>251.3</v>
      </c>
      <c r="N208" s="533"/>
      <c r="O208" s="533">
        <v>0</v>
      </c>
      <c r="P208" s="533"/>
      <c r="Q208" s="533">
        <v>0</v>
      </c>
      <c r="R208" s="533"/>
      <c r="S208" s="1">
        <v>2.5</v>
      </c>
      <c r="T208" s="2" t="s">
        <v>17</v>
      </c>
      <c r="U208" s="533">
        <v>3</v>
      </c>
      <c r="V208" s="533"/>
      <c r="W208" s="533">
        <v>248.3</v>
      </c>
      <c r="X208" s="533"/>
    </row>
    <row r="209" spans="1:24" ht="0.75" customHeight="1" x14ac:dyDescent="0.2"/>
    <row r="210" spans="1:24" ht="13.5" customHeight="1" x14ac:dyDescent="0.2">
      <c r="A210" s="530" t="s">
        <v>206</v>
      </c>
      <c r="B210" s="530"/>
      <c r="C210" s="531" t="s">
        <v>207</v>
      </c>
      <c r="D210" s="531"/>
      <c r="E210" s="531"/>
      <c r="F210" s="531"/>
      <c r="G210" s="531"/>
      <c r="I210" s="532">
        <v>43271</v>
      </c>
      <c r="J210" s="532"/>
      <c r="K210" s="533">
        <v>109.18</v>
      </c>
      <c r="L210" s="533"/>
      <c r="M210" s="533">
        <v>108.18</v>
      </c>
      <c r="N210" s="533"/>
      <c r="O210" s="533">
        <v>0</v>
      </c>
      <c r="P210" s="533"/>
      <c r="Q210" s="533">
        <v>0</v>
      </c>
      <c r="R210" s="533"/>
      <c r="S210" s="1">
        <v>2.5</v>
      </c>
      <c r="T210" s="2" t="s">
        <v>17</v>
      </c>
      <c r="U210" s="533">
        <v>1</v>
      </c>
      <c r="V210" s="533"/>
      <c r="W210" s="533">
        <v>107.18</v>
      </c>
      <c r="X210" s="533"/>
    </row>
    <row r="211" spans="1:24" ht="0.75" customHeight="1" x14ac:dyDescent="0.2"/>
    <row r="212" spans="1:24" ht="13.5" customHeight="1" x14ac:dyDescent="0.2">
      <c r="A212" s="530" t="s">
        <v>208</v>
      </c>
      <c r="B212" s="530"/>
      <c r="C212" s="531" t="s">
        <v>209</v>
      </c>
      <c r="D212" s="531"/>
      <c r="E212" s="531"/>
      <c r="F212" s="531"/>
      <c r="G212" s="531"/>
      <c r="I212" s="532">
        <v>43269</v>
      </c>
      <c r="J212" s="532"/>
      <c r="K212" s="533">
        <v>163.05000000000001</v>
      </c>
      <c r="L212" s="533"/>
      <c r="M212" s="533">
        <v>162.05000000000001</v>
      </c>
      <c r="N212" s="533"/>
      <c r="O212" s="533">
        <v>0</v>
      </c>
      <c r="P212" s="533"/>
      <c r="Q212" s="533">
        <v>0</v>
      </c>
      <c r="R212" s="533"/>
      <c r="S212" s="1">
        <v>2.5</v>
      </c>
      <c r="T212" s="2" t="s">
        <v>17</v>
      </c>
      <c r="U212" s="533">
        <v>2</v>
      </c>
      <c r="V212" s="533"/>
      <c r="W212" s="533">
        <v>160.05000000000001</v>
      </c>
      <c r="X212" s="533"/>
    </row>
    <row r="213" spans="1:24" ht="0.75" customHeight="1" x14ac:dyDescent="0.2"/>
    <row r="214" spans="1:24" ht="13.5" customHeight="1" x14ac:dyDescent="0.2">
      <c r="A214" s="530" t="s">
        <v>210</v>
      </c>
      <c r="B214" s="530"/>
      <c r="C214" s="531" t="s">
        <v>211</v>
      </c>
      <c r="D214" s="531"/>
      <c r="E214" s="531"/>
      <c r="F214" s="531"/>
      <c r="G214" s="531"/>
      <c r="I214" s="532">
        <v>43312</v>
      </c>
      <c r="J214" s="532"/>
      <c r="K214" s="533">
        <v>868</v>
      </c>
      <c r="L214" s="533"/>
      <c r="M214" s="533">
        <v>0</v>
      </c>
      <c r="N214" s="533"/>
      <c r="O214" s="533">
        <v>868</v>
      </c>
      <c r="P214" s="533"/>
      <c r="Q214" s="533">
        <v>0</v>
      </c>
      <c r="R214" s="533"/>
      <c r="S214" s="1">
        <v>2.5</v>
      </c>
      <c r="T214" s="2" t="s">
        <v>17</v>
      </c>
      <c r="U214" s="533">
        <v>7</v>
      </c>
      <c r="V214" s="533"/>
      <c r="W214" s="533">
        <v>861</v>
      </c>
      <c r="X214" s="533"/>
    </row>
    <row r="215" spans="1:24" ht="0.75" customHeight="1" x14ac:dyDescent="0.2"/>
    <row r="216" spans="1:24" ht="13.5" customHeight="1" x14ac:dyDescent="0.2">
      <c r="A216" s="530" t="s">
        <v>212</v>
      </c>
      <c r="B216" s="530"/>
      <c r="C216" s="531" t="s">
        <v>213</v>
      </c>
      <c r="D216" s="531"/>
      <c r="E216" s="531"/>
      <c r="F216" s="531"/>
      <c r="G216" s="531"/>
      <c r="I216" s="532">
        <v>43365</v>
      </c>
      <c r="J216" s="532"/>
      <c r="K216" s="533">
        <v>10874.57</v>
      </c>
      <c r="L216" s="533"/>
      <c r="M216" s="533">
        <v>0</v>
      </c>
      <c r="N216" s="533"/>
      <c r="O216" s="533">
        <v>10874.57</v>
      </c>
      <c r="P216" s="533"/>
      <c r="Q216" s="533">
        <v>0</v>
      </c>
      <c r="R216" s="533"/>
      <c r="S216" s="1">
        <v>2.5</v>
      </c>
      <c r="T216" s="2" t="s">
        <v>17</v>
      </c>
      <c r="U216" s="533">
        <v>52</v>
      </c>
      <c r="V216" s="533"/>
      <c r="W216" s="533">
        <v>10822.57</v>
      </c>
      <c r="X216" s="533"/>
    </row>
    <row r="217" spans="1:24" ht="0.75" customHeight="1" x14ac:dyDescent="0.2"/>
    <row r="218" spans="1:24" ht="13.5" customHeight="1" x14ac:dyDescent="0.2">
      <c r="A218" s="530" t="s">
        <v>214</v>
      </c>
      <c r="B218" s="530"/>
      <c r="C218" s="531" t="s">
        <v>213</v>
      </c>
      <c r="D218" s="531"/>
      <c r="E218" s="531"/>
      <c r="F218" s="531"/>
      <c r="G218" s="531"/>
      <c r="I218" s="532">
        <v>43370</v>
      </c>
      <c r="J218" s="532"/>
      <c r="K218" s="533">
        <v>3681.65</v>
      </c>
      <c r="L218" s="533"/>
      <c r="M218" s="533">
        <v>0</v>
      </c>
      <c r="N218" s="533"/>
      <c r="O218" s="533">
        <v>3681.65</v>
      </c>
      <c r="P218" s="533"/>
      <c r="Q218" s="533">
        <v>0</v>
      </c>
      <c r="R218" s="533"/>
      <c r="S218" s="1">
        <v>2.5</v>
      </c>
      <c r="T218" s="2" t="s">
        <v>17</v>
      </c>
      <c r="U218" s="533">
        <v>16</v>
      </c>
      <c r="V218" s="533"/>
      <c r="W218" s="533">
        <v>3665.65</v>
      </c>
      <c r="X218" s="533"/>
    </row>
    <row r="219" spans="1:24" ht="0.75" customHeight="1" x14ac:dyDescent="0.2"/>
    <row r="220" spans="1:24" ht="13.5" customHeight="1" x14ac:dyDescent="0.2">
      <c r="A220" s="530" t="s">
        <v>215</v>
      </c>
      <c r="B220" s="530"/>
      <c r="C220" s="531" t="s">
        <v>83</v>
      </c>
      <c r="D220" s="531"/>
      <c r="E220" s="531"/>
      <c r="F220" s="531"/>
      <c r="G220" s="531"/>
      <c r="I220" s="532">
        <v>43375</v>
      </c>
      <c r="J220" s="532"/>
      <c r="K220" s="533">
        <v>2735.33</v>
      </c>
      <c r="L220" s="533"/>
      <c r="M220" s="533">
        <v>0</v>
      </c>
      <c r="N220" s="533"/>
      <c r="O220" s="533">
        <v>2735.33</v>
      </c>
      <c r="P220" s="533"/>
      <c r="Q220" s="533">
        <v>0</v>
      </c>
      <c r="R220" s="533"/>
      <c r="S220" s="1">
        <v>2.5</v>
      </c>
      <c r="T220" s="2" t="s">
        <v>17</v>
      </c>
      <c r="U220" s="533">
        <v>11</v>
      </c>
      <c r="V220" s="533"/>
      <c r="W220" s="533">
        <v>2724.33</v>
      </c>
      <c r="X220" s="533"/>
    </row>
    <row r="221" spans="1:24" ht="0.75" customHeight="1" x14ac:dyDescent="0.2"/>
    <row r="222" spans="1:24" ht="13.5" customHeight="1" x14ac:dyDescent="0.2">
      <c r="A222" s="530" t="s">
        <v>216</v>
      </c>
      <c r="B222" s="530"/>
      <c r="C222" s="531" t="s">
        <v>217</v>
      </c>
      <c r="D222" s="531"/>
      <c r="E222" s="531"/>
      <c r="F222" s="531"/>
      <c r="G222" s="531"/>
      <c r="I222" s="532">
        <v>43402</v>
      </c>
      <c r="J222" s="532"/>
      <c r="K222" s="533">
        <v>3001.53</v>
      </c>
      <c r="L222" s="533"/>
      <c r="M222" s="533">
        <v>0</v>
      </c>
      <c r="N222" s="533"/>
      <c r="O222" s="533">
        <v>3001.53</v>
      </c>
      <c r="P222" s="533"/>
      <c r="Q222" s="533">
        <v>0</v>
      </c>
      <c r="R222" s="533"/>
      <c r="S222" s="1">
        <v>2.5</v>
      </c>
      <c r="T222" s="2" t="s">
        <v>17</v>
      </c>
      <c r="U222" s="533">
        <v>7</v>
      </c>
      <c r="V222" s="533"/>
      <c r="W222" s="533">
        <v>2994.53</v>
      </c>
      <c r="X222" s="533"/>
    </row>
    <row r="223" spans="1:24" ht="0.75" customHeight="1" x14ac:dyDescent="0.2"/>
    <row r="224" spans="1:24" ht="13.5" customHeight="1" x14ac:dyDescent="0.2">
      <c r="A224" s="530" t="s">
        <v>218</v>
      </c>
      <c r="B224" s="530"/>
      <c r="C224" s="531" t="s">
        <v>219</v>
      </c>
      <c r="D224" s="531"/>
      <c r="E224" s="531"/>
      <c r="F224" s="531"/>
      <c r="G224" s="531"/>
      <c r="I224" s="532">
        <v>43403</v>
      </c>
      <c r="J224" s="532"/>
      <c r="K224" s="533">
        <v>650.4</v>
      </c>
      <c r="L224" s="533"/>
      <c r="M224" s="533">
        <v>0</v>
      </c>
      <c r="N224" s="533"/>
      <c r="O224" s="533">
        <v>650.4</v>
      </c>
      <c r="P224" s="533"/>
      <c r="Q224" s="533">
        <v>0</v>
      </c>
      <c r="R224" s="533"/>
      <c r="S224" s="1">
        <v>2.5</v>
      </c>
      <c r="T224" s="2" t="s">
        <v>17</v>
      </c>
      <c r="U224" s="533">
        <v>1</v>
      </c>
      <c r="V224" s="533"/>
      <c r="W224" s="533">
        <v>649.4</v>
      </c>
      <c r="X224" s="533"/>
    </row>
    <row r="225" spans="1:24" ht="0.75" customHeight="1" x14ac:dyDescent="0.2"/>
    <row r="226" spans="1:24" ht="13.5" customHeight="1" x14ac:dyDescent="0.2">
      <c r="A226" s="530" t="s">
        <v>220</v>
      </c>
      <c r="B226" s="530"/>
      <c r="C226" s="531" t="s">
        <v>221</v>
      </c>
      <c r="D226" s="531"/>
      <c r="E226" s="531"/>
      <c r="F226" s="531"/>
      <c r="G226" s="531"/>
      <c r="I226" s="532">
        <v>43405</v>
      </c>
      <c r="J226" s="532"/>
      <c r="K226" s="533">
        <v>9691.65</v>
      </c>
      <c r="L226" s="533"/>
      <c r="M226" s="533">
        <v>0</v>
      </c>
      <c r="N226" s="533"/>
      <c r="O226" s="533">
        <v>9691.65</v>
      </c>
      <c r="P226" s="533"/>
      <c r="Q226" s="533">
        <v>0</v>
      </c>
      <c r="R226" s="533"/>
      <c r="S226" s="1">
        <v>2.5</v>
      </c>
      <c r="T226" s="2" t="s">
        <v>17</v>
      </c>
      <c r="U226" s="533">
        <v>20</v>
      </c>
      <c r="V226" s="533"/>
      <c r="W226" s="533">
        <v>9671.65</v>
      </c>
      <c r="X226" s="533"/>
    </row>
    <row r="227" spans="1:24" ht="0.75" customHeight="1" x14ac:dyDescent="0.2"/>
    <row r="228" spans="1:24" ht="13.5" customHeight="1" x14ac:dyDescent="0.2">
      <c r="A228" s="530" t="s">
        <v>222</v>
      </c>
      <c r="B228" s="530"/>
      <c r="C228" s="531" t="s">
        <v>223</v>
      </c>
      <c r="D228" s="531"/>
      <c r="E228" s="531"/>
      <c r="F228" s="531"/>
      <c r="G228" s="531"/>
      <c r="I228" s="532">
        <v>43404</v>
      </c>
      <c r="J228" s="532"/>
      <c r="K228" s="533">
        <v>2015</v>
      </c>
      <c r="L228" s="533"/>
      <c r="M228" s="533">
        <v>0</v>
      </c>
      <c r="N228" s="533"/>
      <c r="O228" s="533">
        <v>2015</v>
      </c>
      <c r="P228" s="533"/>
      <c r="Q228" s="533">
        <v>0</v>
      </c>
      <c r="R228" s="533"/>
      <c r="S228" s="1">
        <v>2.5</v>
      </c>
      <c r="T228" s="2" t="s">
        <v>17</v>
      </c>
      <c r="U228" s="533">
        <v>4</v>
      </c>
      <c r="V228" s="533"/>
      <c r="W228" s="533">
        <v>2011</v>
      </c>
      <c r="X228" s="533"/>
    </row>
    <row r="229" spans="1:24" ht="0.75" customHeight="1" x14ac:dyDescent="0.2"/>
    <row r="230" spans="1:24" ht="13.5" customHeight="1" x14ac:dyDescent="0.2">
      <c r="A230" s="530" t="s">
        <v>224</v>
      </c>
      <c r="B230" s="530"/>
      <c r="C230" s="531" t="s">
        <v>225</v>
      </c>
      <c r="D230" s="531"/>
      <c r="E230" s="531"/>
      <c r="F230" s="531"/>
      <c r="G230" s="531"/>
      <c r="I230" s="532">
        <v>43431</v>
      </c>
      <c r="J230" s="532"/>
      <c r="K230" s="533">
        <v>941.84</v>
      </c>
      <c r="L230" s="533"/>
      <c r="M230" s="533">
        <v>0</v>
      </c>
      <c r="N230" s="533"/>
      <c r="O230" s="533">
        <v>941.84</v>
      </c>
      <c r="P230" s="533"/>
      <c r="Q230" s="533">
        <v>0</v>
      </c>
      <c r="R230" s="533"/>
      <c r="S230" s="1">
        <v>2.5</v>
      </c>
      <c r="T230" s="2" t="s">
        <v>17</v>
      </c>
      <c r="U230" s="533">
        <v>1</v>
      </c>
      <c r="V230" s="533"/>
      <c r="W230" s="533">
        <v>940.84</v>
      </c>
      <c r="X230" s="533"/>
    </row>
    <row r="231" spans="1:24" ht="0.75" customHeight="1" x14ac:dyDescent="0.2"/>
    <row r="232" spans="1:24" ht="13.5" customHeight="1" x14ac:dyDescent="0.2">
      <c r="A232" s="530" t="s">
        <v>226</v>
      </c>
      <c r="B232" s="530"/>
      <c r="C232" s="531" t="s">
        <v>227</v>
      </c>
      <c r="D232" s="531"/>
      <c r="E232" s="531"/>
      <c r="F232" s="531"/>
      <c r="G232" s="531"/>
      <c r="I232" s="532">
        <v>43431</v>
      </c>
      <c r="J232" s="532"/>
      <c r="K232" s="533">
        <v>490</v>
      </c>
      <c r="L232" s="533"/>
      <c r="M232" s="533">
        <v>0</v>
      </c>
      <c r="N232" s="533"/>
      <c r="O232" s="533">
        <v>490</v>
      </c>
      <c r="P232" s="533"/>
      <c r="Q232" s="533">
        <v>0</v>
      </c>
      <c r="R232" s="533"/>
      <c r="S232" s="1">
        <v>2.5</v>
      </c>
      <c r="T232" s="2" t="s">
        <v>17</v>
      </c>
      <c r="U232" s="533">
        <v>1</v>
      </c>
      <c r="V232" s="533"/>
      <c r="W232" s="533">
        <v>489</v>
      </c>
      <c r="X232" s="533"/>
    </row>
    <row r="233" spans="1:24" ht="0.75" customHeight="1" x14ac:dyDescent="0.2"/>
    <row r="234" spans="1:24" ht="13.5" customHeight="1" x14ac:dyDescent="0.2">
      <c r="A234" s="530" t="s">
        <v>228</v>
      </c>
      <c r="B234" s="530"/>
      <c r="C234" s="531" t="s">
        <v>229</v>
      </c>
      <c r="D234" s="531"/>
      <c r="E234" s="531"/>
      <c r="F234" s="531"/>
      <c r="G234" s="531"/>
      <c r="I234" s="532">
        <v>43413</v>
      </c>
      <c r="J234" s="532"/>
      <c r="K234" s="533">
        <v>238.67000000000002</v>
      </c>
      <c r="L234" s="533"/>
      <c r="M234" s="533">
        <v>0</v>
      </c>
      <c r="N234" s="533"/>
      <c r="O234" s="533">
        <v>238.67000000000002</v>
      </c>
      <c r="P234" s="533"/>
      <c r="Q234" s="533">
        <v>0</v>
      </c>
      <c r="R234" s="533"/>
      <c r="S234" s="1">
        <v>2.5</v>
      </c>
      <c r="T234" s="2" t="s">
        <v>17</v>
      </c>
      <c r="U234" s="533">
        <v>1</v>
      </c>
      <c r="V234" s="533"/>
      <c r="W234" s="533">
        <v>237.67000000000002</v>
      </c>
      <c r="X234" s="533"/>
    </row>
    <row r="235" spans="1:24" ht="0.75" customHeight="1" x14ac:dyDescent="0.2"/>
    <row r="236" spans="1:24" ht="13.5" customHeight="1" x14ac:dyDescent="0.2">
      <c r="A236" s="530" t="s">
        <v>230</v>
      </c>
      <c r="B236" s="530"/>
      <c r="C236" s="531" t="s">
        <v>231</v>
      </c>
      <c r="D236" s="531"/>
      <c r="E236" s="531"/>
      <c r="F236" s="531"/>
      <c r="G236" s="531"/>
      <c r="I236" s="532">
        <v>43402</v>
      </c>
      <c r="J236" s="532"/>
      <c r="K236" s="533">
        <v>8195.41</v>
      </c>
      <c r="L236" s="533"/>
      <c r="M236" s="533">
        <v>0</v>
      </c>
      <c r="N236" s="533"/>
      <c r="O236" s="533">
        <v>8195.41</v>
      </c>
      <c r="P236" s="533"/>
      <c r="Q236" s="533">
        <v>0</v>
      </c>
      <c r="R236" s="533"/>
      <c r="S236" s="1">
        <v>2.5</v>
      </c>
      <c r="T236" s="2" t="s">
        <v>17</v>
      </c>
      <c r="U236" s="533">
        <v>19</v>
      </c>
      <c r="V236" s="533"/>
      <c r="W236" s="533">
        <v>8176.41</v>
      </c>
      <c r="X236" s="533"/>
    </row>
    <row r="237" spans="1:24" ht="0.75" customHeight="1" x14ac:dyDescent="0.2"/>
    <row r="238" spans="1:24" ht="13.5" customHeight="1" x14ac:dyDescent="0.2">
      <c r="A238" s="530" t="s">
        <v>232</v>
      </c>
      <c r="B238" s="530"/>
      <c r="C238" s="531" t="s">
        <v>233</v>
      </c>
      <c r="D238" s="531"/>
      <c r="E238" s="531"/>
      <c r="F238" s="531"/>
      <c r="G238" s="531"/>
      <c r="I238" s="532">
        <v>43434</v>
      </c>
      <c r="J238" s="532"/>
      <c r="K238" s="533">
        <v>4697.72</v>
      </c>
      <c r="L238" s="533"/>
      <c r="M238" s="533">
        <v>0</v>
      </c>
      <c r="N238" s="533"/>
      <c r="O238" s="533">
        <v>4697.72</v>
      </c>
      <c r="P238" s="533"/>
      <c r="Q238" s="533">
        <v>0</v>
      </c>
      <c r="R238" s="533"/>
      <c r="S238" s="1">
        <v>2.5</v>
      </c>
      <c r="T238" s="2" t="s">
        <v>17</v>
      </c>
      <c r="U238" s="533">
        <v>1</v>
      </c>
      <c r="V238" s="533"/>
      <c r="W238" s="533">
        <v>4696.72</v>
      </c>
      <c r="X238" s="533"/>
    </row>
    <row r="239" spans="1:24" ht="0.75" customHeight="1" x14ac:dyDescent="0.2"/>
    <row r="240" spans="1:24" ht="13.5" customHeight="1" x14ac:dyDescent="0.2">
      <c r="A240" s="530" t="s">
        <v>234</v>
      </c>
      <c r="B240" s="530"/>
      <c r="C240" s="531" t="s">
        <v>133</v>
      </c>
      <c r="D240" s="531"/>
      <c r="E240" s="531"/>
      <c r="F240" s="531"/>
      <c r="G240" s="531"/>
      <c r="I240" s="532">
        <v>43291</v>
      </c>
      <c r="J240" s="532"/>
      <c r="K240" s="533">
        <v>689.24</v>
      </c>
      <c r="L240" s="533"/>
      <c r="M240" s="533">
        <v>0</v>
      </c>
      <c r="N240" s="533"/>
      <c r="O240" s="533">
        <v>689.24</v>
      </c>
      <c r="P240" s="533"/>
      <c r="Q240" s="533">
        <v>0</v>
      </c>
      <c r="R240" s="533"/>
      <c r="S240" s="1">
        <v>2.5</v>
      </c>
      <c r="T240" s="2" t="s">
        <v>17</v>
      </c>
      <c r="U240" s="533">
        <v>7</v>
      </c>
      <c r="V240" s="533"/>
      <c r="W240" s="533">
        <v>682.24</v>
      </c>
      <c r="X240" s="533"/>
    </row>
    <row r="241" spans="1:24" ht="0.75" customHeight="1" x14ac:dyDescent="0.2"/>
    <row r="242" spans="1:24" ht="13.5" customHeight="1" x14ac:dyDescent="0.2">
      <c r="A242" s="530" t="s">
        <v>235</v>
      </c>
      <c r="B242" s="530"/>
      <c r="C242" s="531" t="s">
        <v>133</v>
      </c>
      <c r="D242" s="531"/>
      <c r="E242" s="531"/>
      <c r="F242" s="531"/>
      <c r="G242" s="531"/>
      <c r="I242" s="532">
        <v>43307</v>
      </c>
      <c r="J242" s="532"/>
      <c r="K242" s="533">
        <v>1145.6400000000001</v>
      </c>
      <c r="L242" s="533"/>
      <c r="M242" s="533">
        <v>0</v>
      </c>
      <c r="N242" s="533"/>
      <c r="O242" s="533">
        <v>1145.6400000000001</v>
      </c>
      <c r="P242" s="533"/>
      <c r="Q242" s="533">
        <v>0</v>
      </c>
      <c r="R242" s="533"/>
      <c r="S242" s="1">
        <v>2.5</v>
      </c>
      <c r="T242" s="2" t="s">
        <v>17</v>
      </c>
      <c r="U242" s="533">
        <v>10</v>
      </c>
      <c r="V242" s="533"/>
      <c r="W242" s="533">
        <v>1135.6400000000001</v>
      </c>
      <c r="X242" s="533"/>
    </row>
    <row r="243" spans="1:24" ht="0.75" customHeight="1" x14ac:dyDescent="0.2"/>
    <row r="244" spans="1:24" ht="13.5" customHeight="1" x14ac:dyDescent="0.2">
      <c r="A244" s="530" t="s">
        <v>236</v>
      </c>
      <c r="B244" s="530"/>
      <c r="C244" s="531" t="s">
        <v>53</v>
      </c>
      <c r="D244" s="531"/>
      <c r="E244" s="531"/>
      <c r="F244" s="531"/>
      <c r="G244" s="531"/>
      <c r="I244" s="532">
        <v>43312</v>
      </c>
      <c r="J244" s="532"/>
      <c r="K244" s="533">
        <v>1798</v>
      </c>
      <c r="L244" s="533"/>
      <c r="M244" s="533">
        <v>0</v>
      </c>
      <c r="N244" s="533"/>
      <c r="O244" s="533">
        <v>1798</v>
      </c>
      <c r="P244" s="533"/>
      <c r="Q244" s="533">
        <v>0</v>
      </c>
      <c r="R244" s="533"/>
      <c r="S244" s="1">
        <v>2.5</v>
      </c>
      <c r="T244" s="2" t="s">
        <v>17</v>
      </c>
      <c r="U244" s="533">
        <v>15</v>
      </c>
      <c r="V244" s="533"/>
      <c r="W244" s="533">
        <v>1783</v>
      </c>
      <c r="X244" s="533"/>
    </row>
    <row r="245" spans="1:24" ht="0.75" customHeight="1" x14ac:dyDescent="0.2"/>
    <row r="246" spans="1:24" ht="13.5" customHeight="1" x14ac:dyDescent="0.2">
      <c r="A246" s="530" t="s">
        <v>237</v>
      </c>
      <c r="B246" s="530"/>
      <c r="C246" s="531" t="s">
        <v>238</v>
      </c>
      <c r="D246" s="531"/>
      <c r="E246" s="531"/>
      <c r="F246" s="531"/>
      <c r="G246" s="531"/>
      <c r="I246" s="532">
        <v>43315</v>
      </c>
      <c r="J246" s="532"/>
      <c r="K246" s="533">
        <v>475</v>
      </c>
      <c r="L246" s="533"/>
      <c r="M246" s="533">
        <v>0</v>
      </c>
      <c r="N246" s="533"/>
      <c r="O246" s="533">
        <v>475</v>
      </c>
      <c r="P246" s="533"/>
      <c r="Q246" s="533">
        <v>0</v>
      </c>
      <c r="R246" s="533"/>
      <c r="S246" s="1">
        <v>2.5</v>
      </c>
      <c r="T246" s="2" t="s">
        <v>17</v>
      </c>
      <c r="U246" s="533">
        <v>4</v>
      </c>
      <c r="V246" s="533"/>
      <c r="W246" s="533">
        <v>471</v>
      </c>
      <c r="X246" s="533"/>
    </row>
    <row r="247" spans="1:24" ht="0.75" customHeight="1" x14ac:dyDescent="0.2"/>
    <row r="248" spans="1:24" ht="13.5" customHeight="1" x14ac:dyDescent="0.2">
      <c r="A248" s="530" t="s">
        <v>239</v>
      </c>
      <c r="B248" s="530"/>
      <c r="C248" s="531" t="s">
        <v>145</v>
      </c>
      <c r="D248" s="531"/>
      <c r="E248" s="531"/>
      <c r="F248" s="531"/>
      <c r="G248" s="531"/>
      <c r="I248" s="532">
        <v>43322</v>
      </c>
      <c r="J248" s="532"/>
      <c r="K248" s="533">
        <v>1140</v>
      </c>
      <c r="L248" s="533"/>
      <c r="M248" s="533">
        <v>0</v>
      </c>
      <c r="N248" s="533"/>
      <c r="O248" s="533">
        <v>1140</v>
      </c>
      <c r="P248" s="533"/>
      <c r="Q248" s="533">
        <v>0</v>
      </c>
      <c r="R248" s="533"/>
      <c r="S248" s="1">
        <v>2.5</v>
      </c>
      <c r="T248" s="2" t="s">
        <v>17</v>
      </c>
      <c r="U248" s="533">
        <v>9</v>
      </c>
      <c r="V248" s="533"/>
      <c r="W248" s="533">
        <v>1131</v>
      </c>
      <c r="X248" s="533"/>
    </row>
    <row r="249" spans="1:24" ht="0.75" customHeight="1" x14ac:dyDescent="0.2"/>
    <row r="250" spans="1:24" ht="13.5" customHeight="1" x14ac:dyDescent="0.2">
      <c r="A250" s="530" t="s">
        <v>240</v>
      </c>
      <c r="B250" s="530"/>
      <c r="C250" s="531" t="s">
        <v>241</v>
      </c>
      <c r="D250" s="531"/>
      <c r="E250" s="531"/>
      <c r="F250" s="531"/>
      <c r="G250" s="531"/>
      <c r="I250" s="532">
        <v>43327</v>
      </c>
      <c r="J250" s="532"/>
      <c r="K250" s="533">
        <v>910</v>
      </c>
      <c r="L250" s="533"/>
      <c r="M250" s="533">
        <v>0</v>
      </c>
      <c r="N250" s="533"/>
      <c r="O250" s="533">
        <v>910</v>
      </c>
      <c r="P250" s="533"/>
      <c r="Q250" s="533">
        <v>0</v>
      </c>
      <c r="R250" s="533"/>
      <c r="S250" s="1">
        <v>2.5</v>
      </c>
      <c r="T250" s="2" t="s">
        <v>17</v>
      </c>
      <c r="U250" s="533">
        <v>7</v>
      </c>
      <c r="V250" s="533"/>
      <c r="W250" s="533">
        <v>903</v>
      </c>
      <c r="X250" s="533"/>
    </row>
    <row r="251" spans="1:24" ht="0.75" customHeight="1" x14ac:dyDescent="0.2"/>
    <row r="252" spans="1:24" ht="13.5" customHeight="1" x14ac:dyDescent="0.2">
      <c r="A252" s="530" t="s">
        <v>242</v>
      </c>
      <c r="B252" s="530"/>
      <c r="C252" s="531" t="s">
        <v>243</v>
      </c>
      <c r="D252" s="531"/>
      <c r="E252" s="531"/>
      <c r="F252" s="531"/>
      <c r="G252" s="531"/>
      <c r="I252" s="532">
        <v>43336</v>
      </c>
      <c r="J252" s="532"/>
      <c r="K252" s="533">
        <v>590</v>
      </c>
      <c r="L252" s="533"/>
      <c r="M252" s="533">
        <v>0</v>
      </c>
      <c r="N252" s="533"/>
      <c r="O252" s="533">
        <v>590</v>
      </c>
      <c r="P252" s="533"/>
      <c r="Q252" s="533">
        <v>0</v>
      </c>
      <c r="R252" s="533"/>
      <c r="S252" s="1">
        <v>2.5</v>
      </c>
      <c r="T252" s="2" t="s">
        <v>17</v>
      </c>
      <c r="U252" s="533">
        <v>4</v>
      </c>
      <c r="V252" s="533"/>
      <c r="W252" s="533">
        <v>586</v>
      </c>
      <c r="X252" s="533"/>
    </row>
    <row r="253" spans="1:24" ht="0.75" customHeight="1" x14ac:dyDescent="0.2"/>
    <row r="254" spans="1:24" ht="13.5" customHeight="1" x14ac:dyDescent="0.2">
      <c r="A254" s="530" t="s">
        <v>244</v>
      </c>
      <c r="B254" s="530"/>
      <c r="C254" s="531" t="s">
        <v>53</v>
      </c>
      <c r="D254" s="531"/>
      <c r="E254" s="531"/>
      <c r="F254" s="531"/>
      <c r="G254" s="531"/>
      <c r="I254" s="532">
        <v>43343</v>
      </c>
      <c r="J254" s="532"/>
      <c r="K254" s="533">
        <v>2356</v>
      </c>
      <c r="L254" s="533"/>
      <c r="M254" s="533">
        <v>0</v>
      </c>
      <c r="N254" s="533"/>
      <c r="O254" s="533">
        <v>2356</v>
      </c>
      <c r="P254" s="533"/>
      <c r="Q254" s="533">
        <v>0</v>
      </c>
      <c r="R254" s="533"/>
      <c r="S254" s="1">
        <v>2.5</v>
      </c>
      <c r="T254" s="2" t="s">
        <v>17</v>
      </c>
      <c r="U254" s="533">
        <v>15</v>
      </c>
      <c r="V254" s="533"/>
      <c r="W254" s="533">
        <v>2341</v>
      </c>
      <c r="X254" s="533"/>
    </row>
    <row r="255" spans="1:24" ht="0.75" customHeight="1" x14ac:dyDescent="0.2"/>
    <row r="256" spans="1:24" ht="13.5" customHeight="1" x14ac:dyDescent="0.2">
      <c r="A256" s="530" t="s">
        <v>245</v>
      </c>
      <c r="B256" s="530"/>
      <c r="C256" s="531" t="s">
        <v>133</v>
      </c>
      <c r="D256" s="531"/>
      <c r="E256" s="531"/>
      <c r="F256" s="531"/>
      <c r="G256" s="531"/>
      <c r="I256" s="532">
        <v>43356</v>
      </c>
      <c r="J256" s="532"/>
      <c r="K256" s="533">
        <v>6444.64</v>
      </c>
      <c r="L256" s="533"/>
      <c r="M256" s="533">
        <v>0</v>
      </c>
      <c r="N256" s="533"/>
      <c r="O256" s="533">
        <v>6444.64</v>
      </c>
      <c r="P256" s="533"/>
      <c r="Q256" s="533">
        <v>0</v>
      </c>
      <c r="R256" s="533"/>
      <c r="S256" s="1">
        <v>2.5</v>
      </c>
      <c r="T256" s="2" t="s">
        <v>17</v>
      </c>
      <c r="U256" s="533">
        <v>35</v>
      </c>
      <c r="V256" s="533"/>
      <c r="W256" s="533">
        <v>6409.64</v>
      </c>
      <c r="X256" s="533"/>
    </row>
    <row r="257" spans="1:24" ht="0.75" customHeight="1" x14ac:dyDescent="0.2"/>
    <row r="258" spans="1:24" ht="13.5" customHeight="1" x14ac:dyDescent="0.2">
      <c r="A258" s="530" t="s">
        <v>246</v>
      </c>
      <c r="B258" s="530"/>
      <c r="C258" s="531" t="s">
        <v>133</v>
      </c>
      <c r="D258" s="531"/>
      <c r="E258" s="531"/>
      <c r="F258" s="531"/>
      <c r="G258" s="531"/>
      <c r="I258" s="532">
        <v>43361</v>
      </c>
      <c r="J258" s="532"/>
      <c r="K258" s="533">
        <v>2047.9</v>
      </c>
      <c r="L258" s="533"/>
      <c r="M258" s="533">
        <v>0</v>
      </c>
      <c r="N258" s="533"/>
      <c r="O258" s="533">
        <v>2047.9</v>
      </c>
      <c r="P258" s="533"/>
      <c r="Q258" s="533">
        <v>0</v>
      </c>
      <c r="R258" s="533"/>
      <c r="S258" s="1">
        <v>2.5</v>
      </c>
      <c r="T258" s="2" t="s">
        <v>17</v>
      </c>
      <c r="U258" s="533">
        <v>10</v>
      </c>
      <c r="V258" s="533"/>
      <c r="W258" s="533">
        <v>2037.9</v>
      </c>
      <c r="X258" s="533"/>
    </row>
    <row r="259" spans="1:24" ht="0.75" customHeight="1" x14ac:dyDescent="0.2"/>
    <row r="260" spans="1:24" ht="13.5" customHeight="1" x14ac:dyDescent="0.2">
      <c r="A260" s="530" t="s">
        <v>247</v>
      </c>
      <c r="B260" s="530"/>
      <c r="C260" s="531" t="s">
        <v>145</v>
      </c>
      <c r="D260" s="531"/>
      <c r="E260" s="531"/>
      <c r="F260" s="531"/>
      <c r="G260" s="531"/>
      <c r="I260" s="532">
        <v>43378</v>
      </c>
      <c r="J260" s="532"/>
      <c r="K260" s="533">
        <v>5334</v>
      </c>
      <c r="L260" s="533"/>
      <c r="M260" s="533">
        <v>0</v>
      </c>
      <c r="N260" s="533"/>
      <c r="O260" s="533">
        <v>5334</v>
      </c>
      <c r="P260" s="533"/>
      <c r="Q260" s="533">
        <v>0</v>
      </c>
      <c r="R260" s="533"/>
      <c r="S260" s="1">
        <v>2.5</v>
      </c>
      <c r="T260" s="2" t="s">
        <v>17</v>
      </c>
      <c r="U260" s="533">
        <v>21</v>
      </c>
      <c r="V260" s="533"/>
      <c r="W260" s="533">
        <v>5313</v>
      </c>
      <c r="X260" s="533"/>
    </row>
    <row r="261" spans="1:24" ht="0.75" customHeight="1" x14ac:dyDescent="0.2"/>
    <row r="262" spans="1:24" ht="13.5" customHeight="1" x14ac:dyDescent="0.2">
      <c r="A262" s="530" t="s">
        <v>248</v>
      </c>
      <c r="B262" s="530"/>
      <c r="C262" s="531" t="s">
        <v>133</v>
      </c>
      <c r="D262" s="531"/>
      <c r="E262" s="531"/>
      <c r="F262" s="531"/>
      <c r="G262" s="531"/>
      <c r="I262" s="532">
        <v>43391</v>
      </c>
      <c r="J262" s="532"/>
      <c r="K262" s="533">
        <v>497.97</v>
      </c>
      <c r="L262" s="533"/>
      <c r="M262" s="533">
        <v>0</v>
      </c>
      <c r="N262" s="533"/>
      <c r="O262" s="533">
        <v>497.97</v>
      </c>
      <c r="P262" s="533"/>
      <c r="Q262" s="533">
        <v>0</v>
      </c>
      <c r="R262" s="533"/>
      <c r="S262" s="1">
        <v>2.5</v>
      </c>
      <c r="T262" s="2" t="s">
        <v>17</v>
      </c>
      <c r="U262" s="533">
        <v>2</v>
      </c>
      <c r="V262" s="533"/>
      <c r="W262" s="533">
        <v>495.97</v>
      </c>
      <c r="X262" s="533"/>
    </row>
    <row r="263" spans="1:24" ht="0.75" customHeight="1" x14ac:dyDescent="0.2"/>
    <row r="264" spans="1:24" ht="13.5" customHeight="1" x14ac:dyDescent="0.2">
      <c r="A264" s="530" t="s">
        <v>249</v>
      </c>
      <c r="B264" s="530"/>
      <c r="C264" s="531" t="s">
        <v>250</v>
      </c>
      <c r="D264" s="531"/>
      <c r="E264" s="531"/>
      <c r="F264" s="531"/>
      <c r="G264" s="531"/>
      <c r="I264" s="532">
        <v>43399</v>
      </c>
      <c r="J264" s="532"/>
      <c r="K264" s="533">
        <v>910</v>
      </c>
      <c r="L264" s="533"/>
      <c r="M264" s="533">
        <v>0</v>
      </c>
      <c r="N264" s="533"/>
      <c r="O264" s="533">
        <v>910</v>
      </c>
      <c r="P264" s="533"/>
      <c r="Q264" s="533">
        <v>0</v>
      </c>
      <c r="R264" s="533"/>
      <c r="S264" s="1">
        <v>2.5</v>
      </c>
      <c r="T264" s="2" t="s">
        <v>17</v>
      </c>
      <c r="U264" s="533">
        <v>2</v>
      </c>
      <c r="V264" s="533"/>
      <c r="W264" s="533">
        <v>908</v>
      </c>
      <c r="X264" s="533"/>
    </row>
    <row r="265" spans="1:24" ht="0.75" customHeight="1" x14ac:dyDescent="0.2"/>
    <row r="266" spans="1:24" ht="13.5" customHeight="1" x14ac:dyDescent="0.2">
      <c r="A266" s="530" t="s">
        <v>251</v>
      </c>
      <c r="B266" s="530"/>
      <c r="C266" s="531" t="s">
        <v>145</v>
      </c>
      <c r="D266" s="531"/>
      <c r="E266" s="531"/>
      <c r="F266" s="531"/>
      <c r="G266" s="531"/>
      <c r="I266" s="532">
        <v>43403</v>
      </c>
      <c r="J266" s="532"/>
      <c r="K266" s="533">
        <v>224</v>
      </c>
      <c r="L266" s="533"/>
      <c r="M266" s="533">
        <v>0</v>
      </c>
      <c r="N266" s="533"/>
      <c r="O266" s="533">
        <v>224</v>
      </c>
      <c r="P266" s="533"/>
      <c r="Q266" s="533">
        <v>0</v>
      </c>
      <c r="R266" s="533"/>
      <c r="S266" s="1">
        <v>2.5</v>
      </c>
      <c r="T266" s="2" t="s">
        <v>17</v>
      </c>
      <c r="U266" s="533">
        <v>1</v>
      </c>
      <c r="V266" s="533"/>
      <c r="W266" s="533">
        <v>223</v>
      </c>
      <c r="X266" s="533"/>
    </row>
    <row r="267" spans="1:24" ht="0.75" customHeight="1" x14ac:dyDescent="0.2"/>
    <row r="268" spans="1:24" ht="13.5" customHeight="1" x14ac:dyDescent="0.2">
      <c r="A268" s="530" t="s">
        <v>252</v>
      </c>
      <c r="B268" s="530"/>
      <c r="C268" s="531" t="s">
        <v>250</v>
      </c>
      <c r="D268" s="531"/>
      <c r="E268" s="531"/>
      <c r="F268" s="531"/>
      <c r="G268" s="531"/>
      <c r="I268" s="532">
        <v>43409</v>
      </c>
      <c r="J268" s="532"/>
      <c r="K268" s="533">
        <v>70</v>
      </c>
      <c r="L268" s="533"/>
      <c r="M268" s="533">
        <v>0</v>
      </c>
      <c r="N268" s="533"/>
      <c r="O268" s="533">
        <v>70</v>
      </c>
      <c r="P268" s="533"/>
      <c r="Q268" s="533">
        <v>0</v>
      </c>
      <c r="R268" s="533"/>
      <c r="S268" s="1">
        <v>2.5</v>
      </c>
      <c r="T268" s="2" t="s">
        <v>17</v>
      </c>
      <c r="U268" s="533">
        <v>1</v>
      </c>
      <c r="V268" s="533"/>
      <c r="W268" s="533">
        <v>69</v>
      </c>
      <c r="X268" s="533"/>
    </row>
    <row r="269" spans="1:24" ht="0.75" customHeight="1" x14ac:dyDescent="0.2"/>
    <row r="270" spans="1:24" ht="13.5" customHeight="1" x14ac:dyDescent="0.2">
      <c r="A270" s="530" t="s">
        <v>253</v>
      </c>
      <c r="B270" s="530"/>
      <c r="C270" s="531" t="s">
        <v>145</v>
      </c>
      <c r="D270" s="531"/>
      <c r="E270" s="531"/>
      <c r="F270" s="531"/>
      <c r="G270" s="531"/>
      <c r="I270" s="532">
        <v>43411</v>
      </c>
      <c r="J270" s="532"/>
      <c r="K270" s="533">
        <v>1926.6000000000001</v>
      </c>
      <c r="L270" s="533"/>
      <c r="M270" s="533">
        <v>0</v>
      </c>
      <c r="N270" s="533"/>
      <c r="O270" s="533">
        <v>1926.6000000000001</v>
      </c>
      <c r="P270" s="533"/>
      <c r="Q270" s="533">
        <v>0</v>
      </c>
      <c r="R270" s="533"/>
      <c r="S270" s="1">
        <v>2.5</v>
      </c>
      <c r="T270" s="2" t="s">
        <v>17</v>
      </c>
      <c r="U270" s="533">
        <v>3</v>
      </c>
      <c r="V270" s="533"/>
      <c r="W270" s="533">
        <v>1923.6000000000001</v>
      </c>
      <c r="X270" s="533"/>
    </row>
    <row r="271" spans="1:24" ht="15" customHeight="1" x14ac:dyDescent="0.2">
      <c r="A271" s="534" t="s">
        <v>13</v>
      </c>
      <c r="B271" s="534"/>
      <c r="D271" s="534" t="s">
        <v>14</v>
      </c>
      <c r="E271" s="534"/>
      <c r="F271" s="534"/>
      <c r="G271" s="534"/>
      <c r="H271" s="534"/>
      <c r="I271" s="534"/>
      <c r="J271" s="534"/>
      <c r="K271" s="534"/>
      <c r="L271" s="534"/>
      <c r="M271" s="534"/>
      <c r="N271" s="534"/>
      <c r="O271" s="534"/>
      <c r="P271" s="534"/>
      <c r="Q271" s="534"/>
      <c r="R271" s="534"/>
      <c r="S271" s="534"/>
      <c r="T271" s="534"/>
      <c r="U271" s="534"/>
      <c r="V271" s="534"/>
    </row>
    <row r="272" spans="1:24" ht="0.75" customHeight="1" x14ac:dyDescent="0.2"/>
    <row r="273" spans="1:24" ht="13.5" customHeight="1" x14ac:dyDescent="0.2">
      <c r="A273" s="530" t="s">
        <v>254</v>
      </c>
      <c r="B273" s="530"/>
      <c r="C273" s="531" t="s">
        <v>255</v>
      </c>
      <c r="D273" s="531"/>
      <c r="E273" s="531"/>
      <c r="F273" s="531"/>
      <c r="G273" s="531"/>
      <c r="I273" s="532">
        <v>43404</v>
      </c>
      <c r="J273" s="532"/>
      <c r="K273" s="533">
        <v>8255</v>
      </c>
      <c r="L273" s="533"/>
      <c r="M273" s="533">
        <v>0</v>
      </c>
      <c r="N273" s="533"/>
      <c r="O273" s="533">
        <v>8255</v>
      </c>
      <c r="P273" s="533"/>
      <c r="Q273" s="533">
        <v>0</v>
      </c>
      <c r="R273" s="533"/>
      <c r="S273" s="1">
        <v>2.5</v>
      </c>
      <c r="T273" s="2" t="s">
        <v>17</v>
      </c>
      <c r="U273" s="533">
        <v>18</v>
      </c>
      <c r="V273" s="533"/>
      <c r="W273" s="533">
        <v>8237</v>
      </c>
      <c r="X273" s="533"/>
    </row>
    <row r="274" spans="1:24" ht="0.75" customHeight="1" x14ac:dyDescent="0.2"/>
    <row r="275" spans="1:24" ht="13.5" customHeight="1" x14ac:dyDescent="0.2">
      <c r="A275" s="530" t="s">
        <v>256</v>
      </c>
      <c r="B275" s="530"/>
      <c r="C275" s="531" t="s">
        <v>255</v>
      </c>
      <c r="D275" s="531"/>
      <c r="E275" s="531"/>
      <c r="F275" s="531"/>
      <c r="G275" s="531"/>
      <c r="I275" s="532">
        <v>43434</v>
      </c>
      <c r="J275" s="532"/>
      <c r="K275" s="533">
        <v>2304.5500000000002</v>
      </c>
      <c r="L275" s="533"/>
      <c r="M275" s="533">
        <v>0</v>
      </c>
      <c r="N275" s="533"/>
      <c r="O275" s="533">
        <v>2304.5500000000002</v>
      </c>
      <c r="P275" s="533"/>
      <c r="Q275" s="533">
        <v>0</v>
      </c>
      <c r="R275" s="533"/>
      <c r="S275" s="1">
        <v>2.5</v>
      </c>
      <c r="T275" s="2" t="s">
        <v>17</v>
      </c>
      <c r="U275" s="533">
        <v>1</v>
      </c>
      <c r="V275" s="533"/>
      <c r="W275" s="533">
        <v>2303.5500000000002</v>
      </c>
      <c r="X275" s="533"/>
    </row>
    <row r="276" spans="1:24" ht="0.75" customHeight="1" x14ac:dyDescent="0.2"/>
    <row r="277" spans="1:24" ht="13.5" customHeight="1" x14ac:dyDescent="0.2">
      <c r="A277" s="530" t="s">
        <v>257</v>
      </c>
      <c r="B277" s="530"/>
      <c r="C277" s="531" t="s">
        <v>258</v>
      </c>
      <c r="D277" s="531"/>
      <c r="E277" s="531"/>
      <c r="F277" s="531"/>
      <c r="G277" s="531"/>
      <c r="I277" s="532">
        <v>43291</v>
      </c>
      <c r="J277" s="532"/>
      <c r="K277" s="533">
        <v>62510.55</v>
      </c>
      <c r="L277" s="533"/>
      <c r="M277" s="533">
        <v>0</v>
      </c>
      <c r="N277" s="533"/>
      <c r="O277" s="533">
        <v>62510.55</v>
      </c>
      <c r="P277" s="533"/>
      <c r="Q277" s="533">
        <v>0</v>
      </c>
      <c r="R277" s="533"/>
      <c r="S277" s="1">
        <v>2.5</v>
      </c>
      <c r="T277" s="2" t="s">
        <v>17</v>
      </c>
      <c r="U277" s="533">
        <v>617</v>
      </c>
      <c r="V277" s="533"/>
      <c r="W277" s="533">
        <v>61893.55</v>
      </c>
      <c r="X277" s="533"/>
    </row>
    <row r="278" spans="1:24" ht="0.75" customHeight="1" x14ac:dyDescent="0.2"/>
    <row r="279" spans="1:24" ht="13.5" customHeight="1" x14ac:dyDescent="0.2">
      <c r="A279" s="530" t="s">
        <v>259</v>
      </c>
      <c r="B279" s="530"/>
      <c r="C279" s="531" t="s">
        <v>260</v>
      </c>
      <c r="D279" s="531"/>
      <c r="E279" s="531"/>
      <c r="F279" s="531"/>
      <c r="G279" s="531"/>
      <c r="I279" s="532">
        <v>43293</v>
      </c>
      <c r="J279" s="532"/>
      <c r="K279" s="533">
        <v>5625</v>
      </c>
      <c r="L279" s="533"/>
      <c r="M279" s="533">
        <v>0</v>
      </c>
      <c r="N279" s="533"/>
      <c r="O279" s="533">
        <v>5625</v>
      </c>
      <c r="P279" s="533"/>
      <c r="Q279" s="533">
        <v>0</v>
      </c>
      <c r="R279" s="533"/>
      <c r="S279" s="1">
        <v>2.5</v>
      </c>
      <c r="T279" s="2" t="s">
        <v>17</v>
      </c>
      <c r="U279" s="533">
        <v>55</v>
      </c>
      <c r="V279" s="533"/>
      <c r="W279" s="533">
        <v>5570</v>
      </c>
      <c r="X279" s="533"/>
    </row>
    <row r="280" spans="1:24" ht="0.75" customHeight="1" x14ac:dyDescent="0.2"/>
    <row r="281" spans="1:24" ht="13.5" customHeight="1" x14ac:dyDescent="0.2">
      <c r="A281" s="530" t="s">
        <v>261</v>
      </c>
      <c r="B281" s="530"/>
      <c r="C281" s="531" t="s">
        <v>262</v>
      </c>
      <c r="D281" s="531"/>
      <c r="E281" s="531"/>
      <c r="F281" s="531"/>
      <c r="G281" s="531"/>
      <c r="I281" s="532">
        <v>43297</v>
      </c>
      <c r="J281" s="532"/>
      <c r="K281" s="533">
        <v>5274.55</v>
      </c>
      <c r="L281" s="533"/>
      <c r="M281" s="533">
        <v>0</v>
      </c>
      <c r="N281" s="533"/>
      <c r="O281" s="533">
        <v>5274.55</v>
      </c>
      <c r="P281" s="533"/>
      <c r="Q281" s="533">
        <v>0</v>
      </c>
      <c r="R281" s="533"/>
      <c r="S281" s="1">
        <v>2.5</v>
      </c>
      <c r="T281" s="2" t="s">
        <v>17</v>
      </c>
      <c r="U281" s="533">
        <v>50</v>
      </c>
      <c r="V281" s="533"/>
      <c r="W281" s="533">
        <v>5224.55</v>
      </c>
      <c r="X281" s="533"/>
    </row>
    <row r="282" spans="1:24" ht="0.75" customHeight="1" x14ac:dyDescent="0.2"/>
    <row r="283" spans="1:24" ht="13.5" customHeight="1" x14ac:dyDescent="0.2">
      <c r="A283" s="530" t="s">
        <v>263</v>
      </c>
      <c r="B283" s="530"/>
      <c r="C283" s="531" t="s">
        <v>264</v>
      </c>
      <c r="D283" s="531"/>
      <c r="E283" s="531"/>
      <c r="F283" s="531"/>
      <c r="G283" s="531"/>
      <c r="I283" s="532">
        <v>43312</v>
      </c>
      <c r="J283" s="532"/>
      <c r="K283" s="533">
        <v>163.13</v>
      </c>
      <c r="L283" s="533"/>
      <c r="M283" s="533">
        <v>0</v>
      </c>
      <c r="N283" s="533"/>
      <c r="O283" s="533">
        <v>163.13</v>
      </c>
      <c r="P283" s="533"/>
      <c r="Q283" s="533">
        <v>0</v>
      </c>
      <c r="R283" s="533"/>
      <c r="S283" s="1">
        <v>2.5</v>
      </c>
      <c r="T283" s="2" t="s">
        <v>17</v>
      </c>
      <c r="U283" s="533">
        <v>1</v>
      </c>
      <c r="V283" s="533"/>
      <c r="W283" s="533">
        <v>162.13</v>
      </c>
      <c r="X283" s="533"/>
    </row>
    <row r="284" spans="1:24" ht="0.75" customHeight="1" x14ac:dyDescent="0.2"/>
    <row r="285" spans="1:24" ht="13.5" customHeight="1" x14ac:dyDescent="0.2">
      <c r="A285" s="530" t="s">
        <v>265</v>
      </c>
      <c r="B285" s="530"/>
      <c r="C285" s="531" t="s">
        <v>266</v>
      </c>
      <c r="D285" s="531"/>
      <c r="E285" s="531"/>
      <c r="F285" s="531"/>
      <c r="G285" s="531"/>
      <c r="I285" s="532">
        <v>43312</v>
      </c>
      <c r="J285" s="532"/>
      <c r="K285" s="533">
        <v>3542.3</v>
      </c>
      <c r="L285" s="533"/>
      <c r="M285" s="533">
        <v>0</v>
      </c>
      <c r="N285" s="533"/>
      <c r="O285" s="533">
        <v>3542.3</v>
      </c>
      <c r="P285" s="533"/>
      <c r="Q285" s="533">
        <v>0</v>
      </c>
      <c r="R285" s="533"/>
      <c r="S285" s="1">
        <v>2.5</v>
      </c>
      <c r="T285" s="2" t="s">
        <v>17</v>
      </c>
      <c r="U285" s="533">
        <v>30</v>
      </c>
      <c r="V285" s="533"/>
      <c r="W285" s="533">
        <v>3512.3</v>
      </c>
      <c r="X285" s="533"/>
    </row>
    <row r="286" spans="1:24" ht="0.75" customHeight="1" x14ac:dyDescent="0.2"/>
    <row r="287" spans="1:24" ht="13.5" customHeight="1" x14ac:dyDescent="0.2">
      <c r="A287" s="530" t="s">
        <v>267</v>
      </c>
      <c r="B287" s="530"/>
      <c r="C287" s="531" t="s">
        <v>268</v>
      </c>
      <c r="D287" s="531"/>
      <c r="E287" s="531"/>
      <c r="F287" s="531"/>
      <c r="G287" s="531"/>
      <c r="I287" s="532">
        <v>43312</v>
      </c>
      <c r="J287" s="532"/>
      <c r="K287" s="533">
        <v>1674</v>
      </c>
      <c r="L287" s="533"/>
      <c r="M287" s="533">
        <v>0</v>
      </c>
      <c r="N287" s="533"/>
      <c r="O287" s="533">
        <v>1674</v>
      </c>
      <c r="P287" s="533"/>
      <c r="Q287" s="533">
        <v>0</v>
      </c>
      <c r="R287" s="533"/>
      <c r="S287" s="1">
        <v>2.5</v>
      </c>
      <c r="T287" s="2" t="s">
        <v>17</v>
      </c>
      <c r="U287" s="533">
        <v>14</v>
      </c>
      <c r="V287" s="533"/>
      <c r="W287" s="533">
        <v>1660</v>
      </c>
      <c r="X287" s="533"/>
    </row>
    <row r="288" spans="1:24" ht="0.75" customHeight="1" x14ac:dyDescent="0.2"/>
    <row r="289" spans="1:24" ht="13.5" customHeight="1" x14ac:dyDescent="0.2">
      <c r="A289" s="530" t="s">
        <v>269</v>
      </c>
      <c r="B289" s="530"/>
      <c r="C289" s="531" t="s">
        <v>270</v>
      </c>
      <c r="D289" s="531"/>
      <c r="E289" s="531"/>
      <c r="F289" s="531"/>
      <c r="G289" s="531"/>
      <c r="I289" s="532">
        <v>43315</v>
      </c>
      <c r="J289" s="532"/>
      <c r="K289" s="533">
        <v>531.25</v>
      </c>
      <c r="L289" s="533"/>
      <c r="M289" s="533">
        <v>0</v>
      </c>
      <c r="N289" s="533"/>
      <c r="O289" s="533">
        <v>531.25</v>
      </c>
      <c r="P289" s="533"/>
      <c r="Q289" s="533">
        <v>0</v>
      </c>
      <c r="R289" s="533"/>
      <c r="S289" s="1">
        <v>2.5</v>
      </c>
      <c r="T289" s="2" t="s">
        <v>17</v>
      </c>
      <c r="U289" s="533">
        <v>4</v>
      </c>
      <c r="V289" s="533"/>
      <c r="W289" s="533">
        <v>527.25</v>
      </c>
      <c r="X289" s="533"/>
    </row>
    <row r="290" spans="1:24" ht="0.75" customHeight="1" x14ac:dyDescent="0.2"/>
    <row r="291" spans="1:24" ht="13.5" customHeight="1" x14ac:dyDescent="0.2">
      <c r="A291" s="530" t="s">
        <v>271</v>
      </c>
      <c r="B291" s="530"/>
      <c r="C291" s="531" t="s">
        <v>258</v>
      </c>
      <c r="D291" s="531"/>
      <c r="E291" s="531"/>
      <c r="F291" s="531"/>
      <c r="G291" s="531"/>
      <c r="I291" s="532">
        <v>43319</v>
      </c>
      <c r="J291" s="532"/>
      <c r="K291" s="533">
        <v>53941.08</v>
      </c>
      <c r="L291" s="533"/>
      <c r="M291" s="533">
        <v>0</v>
      </c>
      <c r="N291" s="533"/>
      <c r="O291" s="533">
        <v>53941.08</v>
      </c>
      <c r="P291" s="533"/>
      <c r="Q291" s="533">
        <v>0</v>
      </c>
      <c r="R291" s="533"/>
      <c r="S291" s="1">
        <v>2.5</v>
      </c>
      <c r="T291" s="2" t="s">
        <v>17</v>
      </c>
      <c r="U291" s="533">
        <v>429</v>
      </c>
      <c r="V291" s="533"/>
      <c r="W291" s="533">
        <v>53512.08</v>
      </c>
      <c r="X291" s="533"/>
    </row>
    <row r="292" spans="1:24" ht="0.75" customHeight="1" x14ac:dyDescent="0.2"/>
    <row r="293" spans="1:24" ht="13.5" customHeight="1" x14ac:dyDescent="0.2">
      <c r="A293" s="530" t="s">
        <v>272</v>
      </c>
      <c r="B293" s="530"/>
      <c r="C293" s="531" t="s">
        <v>273</v>
      </c>
      <c r="D293" s="531"/>
      <c r="E293" s="531"/>
      <c r="F293" s="531"/>
      <c r="G293" s="531"/>
      <c r="I293" s="532">
        <v>43340</v>
      </c>
      <c r="J293" s="532"/>
      <c r="K293" s="533">
        <v>2565</v>
      </c>
      <c r="L293" s="533"/>
      <c r="M293" s="533">
        <v>0</v>
      </c>
      <c r="N293" s="533"/>
      <c r="O293" s="533">
        <v>2565</v>
      </c>
      <c r="P293" s="533"/>
      <c r="Q293" s="533">
        <v>0</v>
      </c>
      <c r="R293" s="533"/>
      <c r="S293" s="1">
        <v>2.5</v>
      </c>
      <c r="T293" s="2" t="s">
        <v>17</v>
      </c>
      <c r="U293" s="533">
        <v>17</v>
      </c>
      <c r="V293" s="533"/>
      <c r="W293" s="533">
        <v>2548</v>
      </c>
      <c r="X293" s="533"/>
    </row>
    <row r="294" spans="1:24" ht="0.75" customHeight="1" x14ac:dyDescent="0.2"/>
    <row r="295" spans="1:24" ht="13.5" customHeight="1" x14ac:dyDescent="0.2">
      <c r="A295" s="530" t="s">
        <v>274</v>
      </c>
      <c r="B295" s="530"/>
      <c r="C295" s="531" t="s">
        <v>268</v>
      </c>
      <c r="D295" s="531"/>
      <c r="E295" s="531"/>
      <c r="F295" s="531"/>
      <c r="G295" s="531"/>
      <c r="I295" s="532">
        <v>43343</v>
      </c>
      <c r="J295" s="532"/>
      <c r="K295" s="533">
        <v>1798</v>
      </c>
      <c r="L295" s="533"/>
      <c r="M295" s="533">
        <v>0</v>
      </c>
      <c r="N295" s="533"/>
      <c r="O295" s="533">
        <v>1798</v>
      </c>
      <c r="P295" s="533"/>
      <c r="Q295" s="533">
        <v>0</v>
      </c>
      <c r="R295" s="533"/>
      <c r="S295" s="1">
        <v>2.5</v>
      </c>
      <c r="T295" s="2" t="s">
        <v>17</v>
      </c>
      <c r="U295" s="533">
        <v>11</v>
      </c>
      <c r="V295" s="533"/>
      <c r="W295" s="533">
        <v>1787</v>
      </c>
      <c r="X295" s="533"/>
    </row>
    <row r="296" spans="1:24" ht="0.75" customHeight="1" x14ac:dyDescent="0.2"/>
    <row r="297" spans="1:24" ht="13.5" customHeight="1" x14ac:dyDescent="0.2">
      <c r="A297" s="530" t="s">
        <v>275</v>
      </c>
      <c r="B297" s="530"/>
      <c r="C297" s="531" t="s">
        <v>258</v>
      </c>
      <c r="D297" s="531"/>
      <c r="E297" s="531"/>
      <c r="F297" s="531"/>
      <c r="G297" s="531"/>
      <c r="I297" s="532">
        <v>43350</v>
      </c>
      <c r="J297" s="532"/>
      <c r="K297" s="533">
        <v>64500.33</v>
      </c>
      <c r="L297" s="533"/>
      <c r="M297" s="533">
        <v>0</v>
      </c>
      <c r="N297" s="533"/>
      <c r="O297" s="533">
        <v>64500.33</v>
      </c>
      <c r="P297" s="533"/>
      <c r="Q297" s="533">
        <v>0</v>
      </c>
      <c r="R297" s="533"/>
      <c r="S297" s="1">
        <v>2.5</v>
      </c>
      <c r="T297" s="2" t="s">
        <v>17</v>
      </c>
      <c r="U297" s="533">
        <v>376</v>
      </c>
      <c r="V297" s="533"/>
      <c r="W297" s="533">
        <v>64124.33</v>
      </c>
      <c r="X297" s="533"/>
    </row>
    <row r="298" spans="1:24" ht="0.75" customHeight="1" x14ac:dyDescent="0.2"/>
    <row r="299" spans="1:24" ht="13.5" customHeight="1" x14ac:dyDescent="0.2">
      <c r="A299" s="530" t="s">
        <v>276</v>
      </c>
      <c r="B299" s="530"/>
      <c r="C299" s="531" t="s">
        <v>277</v>
      </c>
      <c r="D299" s="531"/>
      <c r="E299" s="531"/>
      <c r="F299" s="531"/>
      <c r="G299" s="531"/>
      <c r="I299" s="532">
        <v>43356</v>
      </c>
      <c r="J299" s="532"/>
      <c r="K299" s="533">
        <v>4874.1500000000005</v>
      </c>
      <c r="L299" s="533"/>
      <c r="M299" s="533">
        <v>0</v>
      </c>
      <c r="N299" s="533"/>
      <c r="O299" s="533">
        <v>4874.1500000000005</v>
      </c>
      <c r="P299" s="533"/>
      <c r="Q299" s="533">
        <v>0</v>
      </c>
      <c r="R299" s="533"/>
      <c r="S299" s="1">
        <v>2.5</v>
      </c>
      <c r="T299" s="2" t="s">
        <v>17</v>
      </c>
      <c r="U299" s="533">
        <v>26</v>
      </c>
      <c r="V299" s="533"/>
      <c r="W299" s="533">
        <v>4848.1500000000005</v>
      </c>
      <c r="X299" s="533"/>
    </row>
    <row r="300" spans="1:24" ht="0.75" customHeight="1" x14ac:dyDescent="0.2"/>
    <row r="301" spans="1:24" ht="13.5" customHeight="1" x14ac:dyDescent="0.2">
      <c r="A301" s="530" t="s">
        <v>278</v>
      </c>
      <c r="B301" s="530"/>
      <c r="C301" s="531" t="s">
        <v>258</v>
      </c>
      <c r="D301" s="531"/>
      <c r="E301" s="531"/>
      <c r="F301" s="531"/>
      <c r="G301" s="531"/>
      <c r="I301" s="532">
        <v>43375</v>
      </c>
      <c r="J301" s="532"/>
      <c r="K301" s="533">
        <v>42752.950000000004</v>
      </c>
      <c r="L301" s="533"/>
      <c r="M301" s="533">
        <v>0</v>
      </c>
      <c r="N301" s="533"/>
      <c r="O301" s="533">
        <v>42752.950000000004</v>
      </c>
      <c r="P301" s="533"/>
      <c r="Q301" s="533">
        <v>0</v>
      </c>
      <c r="R301" s="533"/>
      <c r="S301" s="1">
        <v>2.5</v>
      </c>
      <c r="T301" s="2" t="s">
        <v>17</v>
      </c>
      <c r="U301" s="533">
        <v>176</v>
      </c>
      <c r="V301" s="533"/>
      <c r="W301" s="533">
        <v>42576.950000000004</v>
      </c>
      <c r="X301" s="533"/>
    </row>
    <row r="302" spans="1:24" ht="0.75" customHeight="1" x14ac:dyDescent="0.2"/>
    <row r="303" spans="1:24" ht="13.5" customHeight="1" x14ac:dyDescent="0.2">
      <c r="A303" s="530" t="s">
        <v>279</v>
      </c>
      <c r="B303" s="530"/>
      <c r="C303" s="525" t="s">
        <v>280</v>
      </c>
      <c r="D303" s="525"/>
      <c r="E303" s="525"/>
      <c r="F303" s="525"/>
      <c r="G303" s="525"/>
      <c r="I303" s="532">
        <v>43334</v>
      </c>
      <c r="J303" s="532"/>
      <c r="K303" s="533">
        <v>31700</v>
      </c>
      <c r="L303" s="533"/>
      <c r="M303" s="533">
        <v>0</v>
      </c>
      <c r="N303" s="533"/>
      <c r="O303" s="533">
        <v>31700</v>
      </c>
      <c r="P303" s="533"/>
      <c r="Q303" s="533">
        <v>0</v>
      </c>
      <c r="R303" s="533"/>
      <c r="S303" s="1">
        <v>2.5</v>
      </c>
      <c r="T303" s="2" t="s">
        <v>17</v>
      </c>
      <c r="U303" s="533">
        <v>219</v>
      </c>
      <c r="V303" s="533"/>
      <c r="W303" s="533">
        <v>31481</v>
      </c>
      <c r="X303" s="533"/>
    </row>
    <row r="304" spans="1:24" ht="12" customHeight="1" x14ac:dyDescent="0.2">
      <c r="C304" s="525"/>
      <c r="D304" s="525"/>
      <c r="E304" s="525"/>
      <c r="F304" s="525"/>
      <c r="G304" s="525"/>
    </row>
    <row r="305" spans="1:24" ht="13.5" customHeight="1" x14ac:dyDescent="0.2">
      <c r="A305" s="530" t="s">
        <v>281</v>
      </c>
      <c r="B305" s="530"/>
      <c r="C305" s="525" t="s">
        <v>282</v>
      </c>
      <c r="D305" s="525"/>
      <c r="E305" s="525"/>
      <c r="F305" s="525"/>
      <c r="G305" s="525"/>
      <c r="I305" s="532">
        <v>43374</v>
      </c>
      <c r="J305" s="532"/>
      <c r="K305" s="533">
        <v>9587.5</v>
      </c>
      <c r="L305" s="533"/>
      <c r="M305" s="533">
        <v>0</v>
      </c>
      <c r="N305" s="533"/>
      <c r="O305" s="533">
        <v>9587.5</v>
      </c>
      <c r="P305" s="533"/>
      <c r="Q305" s="533">
        <v>0</v>
      </c>
      <c r="R305" s="533"/>
      <c r="S305" s="1">
        <v>2.5</v>
      </c>
      <c r="T305" s="2" t="s">
        <v>17</v>
      </c>
      <c r="U305" s="533">
        <v>40</v>
      </c>
      <c r="V305" s="533"/>
      <c r="W305" s="533">
        <v>9547.5</v>
      </c>
      <c r="X305" s="533"/>
    </row>
    <row r="306" spans="1:24" ht="12" customHeight="1" x14ac:dyDescent="0.2">
      <c r="C306" s="525"/>
      <c r="D306" s="525"/>
      <c r="E306" s="525"/>
      <c r="F306" s="525"/>
      <c r="G306" s="525"/>
    </row>
    <row r="307" spans="1:24" ht="13.5" customHeight="1" x14ac:dyDescent="0.2">
      <c r="A307" s="530" t="s">
        <v>283</v>
      </c>
      <c r="B307" s="530"/>
      <c r="C307" s="531" t="s">
        <v>284</v>
      </c>
      <c r="D307" s="531"/>
      <c r="E307" s="531"/>
      <c r="F307" s="531"/>
      <c r="G307" s="531"/>
      <c r="I307" s="532">
        <v>43404</v>
      </c>
      <c r="J307" s="532"/>
      <c r="K307" s="533">
        <v>1040</v>
      </c>
      <c r="L307" s="533"/>
      <c r="M307" s="533">
        <v>0</v>
      </c>
      <c r="N307" s="533"/>
      <c r="O307" s="533">
        <v>1040</v>
      </c>
      <c r="P307" s="533"/>
      <c r="Q307" s="533">
        <v>0</v>
      </c>
      <c r="R307" s="533"/>
      <c r="S307" s="1">
        <v>2.5</v>
      </c>
      <c r="T307" s="2" t="s">
        <v>17</v>
      </c>
      <c r="U307" s="533">
        <v>2</v>
      </c>
      <c r="V307" s="533"/>
      <c r="W307" s="533">
        <v>1038</v>
      </c>
      <c r="X307" s="533"/>
    </row>
    <row r="308" spans="1:24" ht="0.75" customHeight="1" x14ac:dyDescent="0.2"/>
    <row r="309" spans="1:24" ht="13.5" customHeight="1" x14ac:dyDescent="0.2">
      <c r="J309" s="535">
        <v>1927580.47</v>
      </c>
      <c r="K309" s="535"/>
      <c r="L309" s="535"/>
      <c r="M309" s="536">
        <v>1483943.37</v>
      </c>
      <c r="N309" s="536"/>
      <c r="O309" s="535">
        <v>377280.10000000003</v>
      </c>
      <c r="P309" s="535"/>
      <c r="Q309" s="536">
        <v>0</v>
      </c>
      <c r="R309" s="536"/>
      <c r="S309" s="536">
        <v>18621</v>
      </c>
      <c r="T309" s="536"/>
      <c r="U309" s="536">
        <v>1842602.47</v>
      </c>
      <c r="V309" s="536"/>
    </row>
    <row r="310" spans="1:24" ht="15" customHeight="1" x14ac:dyDescent="0.2">
      <c r="A310" s="534" t="s">
        <v>285</v>
      </c>
      <c r="B310" s="534"/>
      <c r="D310" s="534" t="s">
        <v>286</v>
      </c>
      <c r="E310" s="534"/>
      <c r="F310" s="534"/>
      <c r="G310" s="534"/>
      <c r="H310" s="534"/>
      <c r="I310" s="534"/>
      <c r="J310" s="534"/>
      <c r="K310" s="534"/>
      <c r="L310" s="534"/>
      <c r="M310" s="534"/>
      <c r="N310" s="534"/>
      <c r="O310" s="534"/>
      <c r="P310" s="534"/>
      <c r="Q310" s="534"/>
      <c r="R310" s="534"/>
      <c r="S310" s="534"/>
      <c r="T310" s="534"/>
      <c r="U310" s="534"/>
      <c r="V310" s="534"/>
    </row>
    <row r="311" spans="1:24" ht="0.75" customHeight="1" x14ac:dyDescent="0.2"/>
    <row r="312" spans="1:24" ht="13.5" customHeight="1" x14ac:dyDescent="0.2">
      <c r="A312" s="530" t="s">
        <v>287</v>
      </c>
      <c r="B312" s="530"/>
      <c r="C312" s="531" t="s">
        <v>288</v>
      </c>
      <c r="D312" s="531"/>
      <c r="E312" s="531"/>
      <c r="F312" s="531"/>
      <c r="G312" s="531"/>
      <c r="I312" s="532">
        <v>37778</v>
      </c>
      <c r="J312" s="532"/>
      <c r="K312" s="533">
        <v>6000</v>
      </c>
      <c r="L312" s="533"/>
      <c r="M312" s="533">
        <v>2768</v>
      </c>
      <c r="N312" s="533"/>
      <c r="O312" s="533">
        <v>0</v>
      </c>
      <c r="P312" s="533"/>
      <c r="Q312" s="533">
        <v>0</v>
      </c>
      <c r="R312" s="533"/>
      <c r="S312" s="1">
        <v>5</v>
      </c>
      <c r="T312" s="2" t="s">
        <v>289</v>
      </c>
      <c r="U312" s="533">
        <v>58</v>
      </c>
      <c r="V312" s="533"/>
      <c r="W312" s="533">
        <v>2710</v>
      </c>
      <c r="X312" s="533"/>
    </row>
    <row r="313" spans="1:24" ht="0.75" customHeight="1" x14ac:dyDescent="0.2"/>
    <row r="314" spans="1:24" ht="13.5" customHeight="1" x14ac:dyDescent="0.2">
      <c r="A314" s="530" t="s">
        <v>290</v>
      </c>
      <c r="B314" s="530"/>
      <c r="C314" s="531" t="s">
        <v>291</v>
      </c>
      <c r="D314" s="531"/>
      <c r="E314" s="531"/>
      <c r="F314" s="531"/>
      <c r="G314" s="531"/>
      <c r="I314" s="532">
        <v>37778</v>
      </c>
      <c r="J314" s="532"/>
      <c r="K314" s="533">
        <v>3500</v>
      </c>
      <c r="L314" s="533"/>
      <c r="M314" s="533">
        <v>1615</v>
      </c>
      <c r="N314" s="533"/>
      <c r="O314" s="533">
        <v>0</v>
      </c>
      <c r="P314" s="533"/>
      <c r="Q314" s="533">
        <v>0</v>
      </c>
      <c r="R314" s="533"/>
      <c r="S314" s="1">
        <v>5</v>
      </c>
      <c r="T314" s="2" t="s">
        <v>289</v>
      </c>
      <c r="U314" s="533">
        <v>34</v>
      </c>
      <c r="V314" s="533"/>
      <c r="W314" s="533">
        <v>1581</v>
      </c>
      <c r="X314" s="533"/>
    </row>
    <row r="315" spans="1:24" ht="0.75" customHeight="1" x14ac:dyDescent="0.2"/>
    <row r="316" spans="1:24" ht="13.5" customHeight="1" x14ac:dyDescent="0.2">
      <c r="A316" s="530" t="s">
        <v>292</v>
      </c>
      <c r="B316" s="530"/>
      <c r="C316" s="531" t="s">
        <v>293</v>
      </c>
      <c r="D316" s="531"/>
      <c r="E316" s="531"/>
      <c r="F316" s="531"/>
      <c r="G316" s="531"/>
      <c r="I316" s="532">
        <v>37771</v>
      </c>
      <c r="J316" s="532"/>
      <c r="K316" s="533">
        <v>1000</v>
      </c>
      <c r="L316" s="533"/>
      <c r="M316" s="533">
        <v>0</v>
      </c>
      <c r="N316" s="533"/>
      <c r="O316" s="533">
        <v>0</v>
      </c>
      <c r="P316" s="533"/>
      <c r="Q316" s="533">
        <v>0</v>
      </c>
      <c r="R316" s="533"/>
      <c r="S316" s="1">
        <v>5</v>
      </c>
      <c r="T316" s="2" t="s">
        <v>289</v>
      </c>
      <c r="U316" s="533">
        <v>0</v>
      </c>
      <c r="V316" s="533"/>
      <c r="W316" s="533">
        <v>0</v>
      </c>
      <c r="X316" s="533"/>
    </row>
    <row r="317" spans="1:24" ht="0.75" customHeight="1" x14ac:dyDescent="0.2"/>
    <row r="318" spans="1:24" ht="13.5" customHeight="1" x14ac:dyDescent="0.2">
      <c r="A318" s="530" t="s">
        <v>294</v>
      </c>
      <c r="B318" s="530"/>
      <c r="C318" s="531" t="s">
        <v>295</v>
      </c>
      <c r="D318" s="531"/>
      <c r="E318" s="531"/>
      <c r="F318" s="531"/>
      <c r="G318" s="531"/>
      <c r="I318" s="532">
        <v>37802</v>
      </c>
      <c r="J318" s="532"/>
      <c r="K318" s="533">
        <v>135.81</v>
      </c>
      <c r="L318" s="533"/>
      <c r="M318" s="533">
        <v>0</v>
      </c>
      <c r="N318" s="533"/>
      <c r="O318" s="533">
        <v>0</v>
      </c>
      <c r="P318" s="533"/>
      <c r="Q318" s="533">
        <v>0</v>
      </c>
      <c r="R318" s="533"/>
      <c r="S318" s="1">
        <v>20</v>
      </c>
      <c r="T318" s="2" t="s">
        <v>289</v>
      </c>
      <c r="U318" s="533">
        <v>0</v>
      </c>
      <c r="V318" s="533"/>
      <c r="W318" s="533">
        <v>0</v>
      </c>
      <c r="X318" s="533"/>
    </row>
    <row r="319" spans="1:24" ht="0.75" customHeight="1" x14ac:dyDescent="0.2"/>
    <row r="320" spans="1:24" ht="13.5" customHeight="1" x14ac:dyDescent="0.2">
      <c r="A320" s="530" t="s">
        <v>296</v>
      </c>
      <c r="B320" s="530"/>
      <c r="C320" s="531" t="s">
        <v>286</v>
      </c>
      <c r="D320" s="531"/>
      <c r="E320" s="531"/>
      <c r="F320" s="531"/>
      <c r="G320" s="531"/>
      <c r="I320" s="532">
        <v>40360</v>
      </c>
      <c r="J320" s="532"/>
      <c r="K320" s="533">
        <v>1583</v>
      </c>
      <c r="L320" s="533"/>
      <c r="M320" s="533">
        <v>0</v>
      </c>
      <c r="N320" s="533"/>
      <c r="O320" s="533">
        <v>0</v>
      </c>
      <c r="P320" s="533"/>
      <c r="Q320" s="533">
        <v>0</v>
      </c>
      <c r="R320" s="533"/>
      <c r="S320" s="1">
        <v>100</v>
      </c>
      <c r="T320" s="2" t="s">
        <v>289</v>
      </c>
      <c r="U320" s="533">
        <v>0</v>
      </c>
      <c r="V320" s="533"/>
      <c r="W320" s="533">
        <v>0</v>
      </c>
      <c r="X320" s="533"/>
    </row>
    <row r="321" spans="1:24" ht="0.75" customHeight="1" x14ac:dyDescent="0.2"/>
    <row r="322" spans="1:24" ht="13.5" customHeight="1" x14ac:dyDescent="0.2">
      <c r="A322" s="530" t="s">
        <v>297</v>
      </c>
      <c r="B322" s="530"/>
      <c r="C322" s="531" t="s">
        <v>298</v>
      </c>
      <c r="D322" s="531"/>
      <c r="E322" s="531"/>
      <c r="F322" s="531"/>
      <c r="G322" s="531"/>
      <c r="I322" s="532">
        <v>39198</v>
      </c>
      <c r="J322" s="532"/>
      <c r="K322" s="533">
        <v>222.21</v>
      </c>
      <c r="L322" s="533"/>
      <c r="M322" s="533">
        <v>0</v>
      </c>
      <c r="N322" s="533"/>
      <c r="O322" s="533">
        <v>0</v>
      </c>
      <c r="P322" s="533"/>
      <c r="Q322" s="533">
        <v>0</v>
      </c>
      <c r="R322" s="533"/>
      <c r="S322" s="1">
        <v>40</v>
      </c>
      <c r="T322" s="2" t="s">
        <v>289</v>
      </c>
      <c r="U322" s="533">
        <v>0</v>
      </c>
      <c r="V322" s="533"/>
      <c r="W322" s="533">
        <v>0</v>
      </c>
      <c r="X322" s="533"/>
    </row>
    <row r="323" spans="1:24" ht="0.75" customHeight="1" x14ac:dyDescent="0.2"/>
    <row r="324" spans="1:24" ht="13.5" customHeight="1" x14ac:dyDescent="0.2">
      <c r="A324" s="530" t="s">
        <v>299</v>
      </c>
      <c r="B324" s="530"/>
      <c r="C324" s="531" t="s">
        <v>300</v>
      </c>
      <c r="D324" s="531"/>
      <c r="E324" s="531"/>
      <c r="F324" s="531"/>
      <c r="G324" s="531"/>
      <c r="I324" s="532">
        <v>40749</v>
      </c>
      <c r="J324" s="532"/>
      <c r="K324" s="533">
        <v>800</v>
      </c>
      <c r="L324" s="533"/>
      <c r="M324" s="533">
        <v>0</v>
      </c>
      <c r="N324" s="533"/>
      <c r="O324" s="533">
        <v>0</v>
      </c>
      <c r="P324" s="533"/>
      <c r="Q324" s="533">
        <v>0</v>
      </c>
      <c r="R324" s="533"/>
      <c r="S324" s="1">
        <v>20</v>
      </c>
      <c r="T324" s="2" t="s">
        <v>289</v>
      </c>
      <c r="U324" s="533">
        <v>0</v>
      </c>
      <c r="V324" s="533"/>
      <c r="W324" s="533">
        <v>0</v>
      </c>
      <c r="X324" s="533"/>
    </row>
    <row r="325" spans="1:24" ht="0.75" customHeight="1" x14ac:dyDescent="0.2"/>
    <row r="326" spans="1:24" ht="13.5" customHeight="1" x14ac:dyDescent="0.2">
      <c r="A326" s="530" t="s">
        <v>301</v>
      </c>
      <c r="B326" s="530"/>
      <c r="C326" s="531" t="s">
        <v>302</v>
      </c>
      <c r="D326" s="531"/>
      <c r="E326" s="531"/>
      <c r="F326" s="531"/>
      <c r="G326" s="531"/>
      <c r="I326" s="532">
        <v>40757</v>
      </c>
      <c r="J326" s="532"/>
      <c r="K326" s="533">
        <v>499</v>
      </c>
      <c r="L326" s="533"/>
      <c r="M326" s="533">
        <v>0</v>
      </c>
      <c r="N326" s="533"/>
      <c r="O326" s="533">
        <v>0</v>
      </c>
      <c r="P326" s="533"/>
      <c r="Q326" s="533">
        <v>0</v>
      </c>
      <c r="R326" s="533"/>
      <c r="S326" s="1">
        <v>20</v>
      </c>
      <c r="T326" s="2" t="s">
        <v>289</v>
      </c>
      <c r="U326" s="533">
        <v>0</v>
      </c>
      <c r="V326" s="533"/>
      <c r="W326" s="533">
        <v>0</v>
      </c>
      <c r="X326" s="533"/>
    </row>
    <row r="327" spans="1:24" ht="0.75" customHeight="1" x14ac:dyDescent="0.2"/>
    <row r="328" spans="1:24" ht="13.5" customHeight="1" x14ac:dyDescent="0.2">
      <c r="A328" s="530" t="s">
        <v>303</v>
      </c>
      <c r="B328" s="530"/>
      <c r="C328" s="525" t="s">
        <v>304</v>
      </c>
      <c r="D328" s="525"/>
      <c r="E328" s="525"/>
      <c r="F328" s="525"/>
      <c r="G328" s="525"/>
      <c r="I328" s="532">
        <v>40813</v>
      </c>
      <c r="J328" s="532"/>
      <c r="K328" s="533">
        <v>19595</v>
      </c>
      <c r="L328" s="533"/>
      <c r="M328" s="533">
        <v>4351</v>
      </c>
      <c r="N328" s="533"/>
      <c r="O328" s="533">
        <v>0</v>
      </c>
      <c r="P328" s="533"/>
      <c r="Q328" s="533">
        <v>0</v>
      </c>
      <c r="R328" s="533"/>
      <c r="S328" s="1">
        <v>20</v>
      </c>
      <c r="T328" s="2" t="s">
        <v>289</v>
      </c>
      <c r="U328" s="533">
        <v>365</v>
      </c>
      <c r="V328" s="533"/>
      <c r="W328" s="533">
        <v>3986</v>
      </c>
      <c r="X328" s="533"/>
    </row>
    <row r="329" spans="1:24" ht="12" customHeight="1" x14ac:dyDescent="0.2">
      <c r="C329" s="525"/>
      <c r="D329" s="525"/>
      <c r="E329" s="525"/>
      <c r="F329" s="525"/>
      <c r="G329" s="525"/>
    </row>
    <row r="330" spans="1:24" ht="13.5" customHeight="1" x14ac:dyDescent="0.2">
      <c r="A330" s="530" t="s">
        <v>305</v>
      </c>
      <c r="B330" s="530"/>
      <c r="C330" s="525" t="s">
        <v>306</v>
      </c>
      <c r="D330" s="525"/>
      <c r="E330" s="525"/>
      <c r="F330" s="525"/>
      <c r="G330" s="525"/>
      <c r="I330" s="532">
        <v>40883</v>
      </c>
      <c r="J330" s="532"/>
      <c r="K330" s="533">
        <v>1058.97</v>
      </c>
      <c r="L330" s="533"/>
      <c r="M330" s="533">
        <v>0</v>
      </c>
      <c r="N330" s="533"/>
      <c r="O330" s="533">
        <v>0</v>
      </c>
      <c r="P330" s="533"/>
      <c r="Q330" s="533">
        <v>0</v>
      </c>
      <c r="R330" s="533"/>
      <c r="S330" s="1">
        <v>20</v>
      </c>
      <c r="T330" s="2" t="s">
        <v>289</v>
      </c>
      <c r="U330" s="533">
        <v>0</v>
      </c>
      <c r="V330" s="533"/>
      <c r="W330" s="533">
        <v>0</v>
      </c>
      <c r="X330" s="533"/>
    </row>
    <row r="331" spans="1:24" ht="12" customHeight="1" x14ac:dyDescent="0.2">
      <c r="C331" s="525"/>
      <c r="D331" s="525"/>
      <c r="E331" s="525"/>
      <c r="F331" s="525"/>
      <c r="G331" s="525"/>
    </row>
    <row r="332" spans="1:24" ht="13.5" customHeight="1" x14ac:dyDescent="0.2">
      <c r="A332" s="530" t="s">
        <v>307</v>
      </c>
      <c r="B332" s="530"/>
      <c r="C332" s="531" t="s">
        <v>308</v>
      </c>
      <c r="D332" s="531"/>
      <c r="E332" s="531"/>
      <c r="F332" s="531"/>
      <c r="G332" s="531"/>
      <c r="I332" s="532">
        <v>39003</v>
      </c>
      <c r="J332" s="532"/>
      <c r="K332" s="533">
        <v>453.64</v>
      </c>
      <c r="L332" s="533"/>
      <c r="M332" s="533">
        <v>0</v>
      </c>
      <c r="N332" s="533"/>
      <c r="O332" s="533">
        <v>0</v>
      </c>
      <c r="P332" s="533"/>
      <c r="Q332" s="533">
        <v>0</v>
      </c>
      <c r="R332" s="533"/>
      <c r="S332" s="1">
        <v>50</v>
      </c>
      <c r="T332" s="2" t="s">
        <v>289</v>
      </c>
      <c r="U332" s="533">
        <v>0</v>
      </c>
      <c r="V332" s="533"/>
      <c r="W332" s="533">
        <v>0</v>
      </c>
      <c r="X332" s="533"/>
    </row>
    <row r="333" spans="1:24" ht="0.75" customHeight="1" x14ac:dyDescent="0.2"/>
    <row r="334" spans="1:24" ht="13.5" customHeight="1" x14ac:dyDescent="0.2">
      <c r="A334" s="530" t="s">
        <v>309</v>
      </c>
      <c r="B334" s="530"/>
      <c r="C334" s="531" t="s">
        <v>310</v>
      </c>
      <c r="D334" s="531"/>
      <c r="E334" s="531"/>
      <c r="F334" s="531"/>
      <c r="G334" s="531"/>
      <c r="I334" s="532">
        <v>40956</v>
      </c>
      <c r="J334" s="532"/>
      <c r="K334" s="533">
        <v>2050</v>
      </c>
      <c r="L334" s="533"/>
      <c r="M334" s="533">
        <v>498</v>
      </c>
      <c r="N334" s="533"/>
      <c r="O334" s="533">
        <v>0</v>
      </c>
      <c r="P334" s="533"/>
      <c r="Q334" s="533">
        <v>0</v>
      </c>
      <c r="R334" s="533"/>
      <c r="S334" s="1">
        <v>20</v>
      </c>
      <c r="T334" s="2" t="s">
        <v>289</v>
      </c>
      <c r="U334" s="533">
        <v>42</v>
      </c>
      <c r="V334" s="533"/>
      <c r="W334" s="533">
        <v>456</v>
      </c>
      <c r="X334" s="533"/>
    </row>
    <row r="335" spans="1:24" ht="0.75" customHeight="1" x14ac:dyDescent="0.2"/>
    <row r="336" spans="1:24" ht="13.5" customHeight="1" x14ac:dyDescent="0.2">
      <c r="A336" s="530" t="s">
        <v>311</v>
      </c>
      <c r="B336" s="530"/>
      <c r="C336" s="531" t="s">
        <v>312</v>
      </c>
      <c r="D336" s="531"/>
      <c r="E336" s="531"/>
      <c r="F336" s="531"/>
      <c r="G336" s="531"/>
      <c r="I336" s="532">
        <v>40966</v>
      </c>
      <c r="J336" s="532"/>
      <c r="K336" s="533">
        <v>5000</v>
      </c>
      <c r="L336" s="533"/>
      <c r="M336" s="533">
        <v>1221</v>
      </c>
      <c r="N336" s="533"/>
      <c r="O336" s="533">
        <v>0</v>
      </c>
      <c r="P336" s="533"/>
      <c r="Q336" s="533">
        <v>0</v>
      </c>
      <c r="R336" s="533"/>
      <c r="S336" s="1">
        <v>20</v>
      </c>
      <c r="T336" s="2" t="s">
        <v>289</v>
      </c>
      <c r="U336" s="533">
        <v>102</v>
      </c>
      <c r="V336" s="533"/>
      <c r="W336" s="533">
        <v>1119</v>
      </c>
      <c r="X336" s="533"/>
    </row>
    <row r="337" spans="1:24" ht="0.75" customHeight="1" x14ac:dyDescent="0.2"/>
    <row r="338" spans="1:24" ht="13.5" customHeight="1" x14ac:dyDescent="0.2">
      <c r="A338" s="530" t="s">
        <v>313</v>
      </c>
      <c r="B338" s="530"/>
      <c r="C338" s="531" t="s">
        <v>314</v>
      </c>
      <c r="D338" s="531"/>
      <c r="E338" s="531"/>
      <c r="F338" s="531"/>
      <c r="G338" s="531"/>
      <c r="I338" s="532">
        <v>40972</v>
      </c>
      <c r="J338" s="532"/>
      <c r="K338" s="533">
        <v>2045.25</v>
      </c>
      <c r="L338" s="533"/>
      <c r="M338" s="533">
        <v>501.25</v>
      </c>
      <c r="N338" s="533"/>
      <c r="O338" s="533">
        <v>0</v>
      </c>
      <c r="P338" s="533"/>
      <c r="Q338" s="533">
        <v>0</v>
      </c>
      <c r="R338" s="533"/>
      <c r="S338" s="1">
        <v>20</v>
      </c>
      <c r="T338" s="2" t="s">
        <v>289</v>
      </c>
      <c r="U338" s="533">
        <v>42</v>
      </c>
      <c r="V338" s="533"/>
      <c r="W338" s="533">
        <v>459.25</v>
      </c>
      <c r="X338" s="533"/>
    </row>
    <row r="339" spans="1:24" ht="15" customHeight="1" x14ac:dyDescent="0.2">
      <c r="A339" s="534" t="s">
        <v>285</v>
      </c>
      <c r="B339" s="534"/>
      <c r="D339" s="534" t="s">
        <v>286</v>
      </c>
      <c r="E339" s="534"/>
      <c r="F339" s="534"/>
      <c r="G339" s="534"/>
      <c r="H339" s="534"/>
      <c r="I339" s="534"/>
      <c r="J339" s="534"/>
      <c r="K339" s="534"/>
      <c r="L339" s="534"/>
      <c r="M339" s="534"/>
      <c r="N339" s="534"/>
      <c r="O339" s="534"/>
      <c r="P339" s="534"/>
      <c r="Q339" s="534"/>
      <c r="R339" s="534"/>
      <c r="S339" s="534"/>
      <c r="T339" s="534"/>
      <c r="U339" s="534"/>
      <c r="V339" s="534"/>
    </row>
    <row r="340" spans="1:24" ht="0.75" customHeight="1" x14ac:dyDescent="0.2"/>
    <row r="341" spans="1:24" ht="13.5" customHeight="1" x14ac:dyDescent="0.2">
      <c r="A341" s="530" t="s">
        <v>315</v>
      </c>
      <c r="B341" s="530"/>
      <c r="C341" s="531" t="s">
        <v>316</v>
      </c>
      <c r="D341" s="531"/>
      <c r="E341" s="531"/>
      <c r="F341" s="531"/>
      <c r="G341" s="531"/>
      <c r="I341" s="532">
        <v>39185</v>
      </c>
      <c r="J341" s="532"/>
      <c r="K341" s="533">
        <v>122.16</v>
      </c>
      <c r="L341" s="533"/>
      <c r="M341" s="533">
        <v>0</v>
      </c>
      <c r="N341" s="533"/>
      <c r="O341" s="533">
        <v>0</v>
      </c>
      <c r="P341" s="533"/>
      <c r="Q341" s="533">
        <v>0</v>
      </c>
      <c r="R341" s="533"/>
      <c r="S341" s="1">
        <v>20</v>
      </c>
      <c r="T341" s="2" t="s">
        <v>289</v>
      </c>
      <c r="U341" s="533">
        <v>0</v>
      </c>
      <c r="V341" s="533"/>
      <c r="W341" s="533">
        <v>0</v>
      </c>
      <c r="X341" s="533"/>
    </row>
    <row r="342" spans="1:24" ht="0.75" customHeight="1" x14ac:dyDescent="0.2"/>
    <row r="343" spans="1:24" ht="13.5" customHeight="1" x14ac:dyDescent="0.2">
      <c r="A343" s="530" t="s">
        <v>317</v>
      </c>
      <c r="B343" s="530"/>
      <c r="C343" s="531" t="s">
        <v>295</v>
      </c>
      <c r="D343" s="531"/>
      <c r="E343" s="531"/>
      <c r="F343" s="531"/>
      <c r="G343" s="531"/>
      <c r="I343" s="532">
        <v>37789</v>
      </c>
      <c r="J343" s="532"/>
      <c r="K343" s="533">
        <v>263.82</v>
      </c>
      <c r="L343" s="533"/>
      <c r="M343" s="533">
        <v>0</v>
      </c>
      <c r="N343" s="533"/>
      <c r="O343" s="533">
        <v>0</v>
      </c>
      <c r="P343" s="533"/>
      <c r="Q343" s="533">
        <v>0</v>
      </c>
      <c r="R343" s="533"/>
      <c r="S343" s="1">
        <v>20</v>
      </c>
      <c r="T343" s="2" t="s">
        <v>289</v>
      </c>
      <c r="U343" s="533">
        <v>0</v>
      </c>
      <c r="V343" s="533"/>
      <c r="W343" s="533">
        <v>0</v>
      </c>
      <c r="X343" s="533"/>
    </row>
    <row r="344" spans="1:24" ht="0.75" customHeight="1" x14ac:dyDescent="0.2"/>
    <row r="345" spans="1:24" ht="13.5" customHeight="1" x14ac:dyDescent="0.2">
      <c r="A345" s="530" t="s">
        <v>318</v>
      </c>
      <c r="B345" s="530"/>
      <c r="C345" s="531" t="s">
        <v>319</v>
      </c>
      <c r="D345" s="531"/>
      <c r="E345" s="531"/>
      <c r="F345" s="531"/>
      <c r="G345" s="531"/>
      <c r="I345" s="532">
        <v>37753</v>
      </c>
      <c r="J345" s="532"/>
      <c r="K345" s="533">
        <v>860.79</v>
      </c>
      <c r="L345" s="533"/>
      <c r="M345" s="533">
        <v>0</v>
      </c>
      <c r="N345" s="533"/>
      <c r="O345" s="533">
        <v>0</v>
      </c>
      <c r="P345" s="533"/>
      <c r="Q345" s="533">
        <v>0</v>
      </c>
      <c r="R345" s="533"/>
      <c r="S345" s="1">
        <v>20</v>
      </c>
      <c r="T345" s="2" t="s">
        <v>289</v>
      </c>
      <c r="U345" s="533">
        <v>0</v>
      </c>
      <c r="V345" s="533"/>
      <c r="W345" s="533">
        <v>0</v>
      </c>
      <c r="X345" s="533"/>
    </row>
    <row r="346" spans="1:24" ht="0.75" customHeight="1" x14ac:dyDescent="0.2"/>
    <row r="347" spans="1:24" ht="13.5" customHeight="1" x14ac:dyDescent="0.2">
      <c r="A347" s="530" t="s">
        <v>320</v>
      </c>
      <c r="B347" s="530"/>
      <c r="C347" s="531" t="s">
        <v>321</v>
      </c>
      <c r="D347" s="531"/>
      <c r="E347" s="531"/>
      <c r="F347" s="531"/>
      <c r="G347" s="531"/>
      <c r="I347" s="532">
        <v>41320</v>
      </c>
      <c r="J347" s="532"/>
      <c r="K347" s="533">
        <v>8200</v>
      </c>
      <c r="L347" s="533"/>
      <c r="M347" s="533">
        <v>3817</v>
      </c>
      <c r="N347" s="533"/>
      <c r="O347" s="533">
        <v>0</v>
      </c>
      <c r="P347" s="533"/>
      <c r="Q347" s="533">
        <v>0</v>
      </c>
      <c r="R347" s="533"/>
      <c r="S347" s="1">
        <v>13.3</v>
      </c>
      <c r="T347" s="2" t="s">
        <v>289</v>
      </c>
      <c r="U347" s="533">
        <v>213</v>
      </c>
      <c r="V347" s="533"/>
      <c r="W347" s="533">
        <v>3604</v>
      </c>
      <c r="X347" s="533"/>
    </row>
    <row r="348" spans="1:24" ht="0.75" customHeight="1" x14ac:dyDescent="0.2"/>
    <row r="349" spans="1:24" ht="13.5" customHeight="1" x14ac:dyDescent="0.2">
      <c r="A349" s="530" t="s">
        <v>322</v>
      </c>
      <c r="B349" s="530"/>
      <c r="C349" s="531" t="s">
        <v>323</v>
      </c>
      <c r="D349" s="531"/>
      <c r="E349" s="531"/>
      <c r="F349" s="531"/>
      <c r="G349" s="531"/>
      <c r="I349" s="532">
        <v>39056</v>
      </c>
      <c r="J349" s="532"/>
      <c r="K349" s="533">
        <v>3791.09</v>
      </c>
      <c r="L349" s="533"/>
      <c r="M349" s="533">
        <v>0</v>
      </c>
      <c r="N349" s="533"/>
      <c r="O349" s="533">
        <v>0</v>
      </c>
      <c r="P349" s="533"/>
      <c r="Q349" s="533">
        <v>0</v>
      </c>
      <c r="R349" s="533"/>
      <c r="S349" s="1">
        <v>66.67</v>
      </c>
      <c r="T349" s="2" t="s">
        <v>289</v>
      </c>
      <c r="U349" s="533">
        <v>0</v>
      </c>
      <c r="V349" s="533"/>
      <c r="W349" s="533">
        <v>0</v>
      </c>
      <c r="X349" s="533"/>
    </row>
    <row r="350" spans="1:24" ht="0.75" customHeight="1" x14ac:dyDescent="0.2"/>
    <row r="351" spans="1:24" ht="13.5" customHeight="1" x14ac:dyDescent="0.2">
      <c r="A351" s="530" t="s">
        <v>324</v>
      </c>
      <c r="B351" s="530"/>
      <c r="C351" s="531" t="s">
        <v>325</v>
      </c>
      <c r="D351" s="531"/>
      <c r="E351" s="531"/>
      <c r="F351" s="531"/>
      <c r="G351" s="531"/>
      <c r="I351" s="532">
        <v>41052</v>
      </c>
      <c r="J351" s="532"/>
      <c r="K351" s="533">
        <v>142000</v>
      </c>
      <c r="L351" s="533"/>
      <c r="M351" s="533">
        <v>36404</v>
      </c>
      <c r="N351" s="533"/>
      <c r="O351" s="533">
        <v>0</v>
      </c>
      <c r="P351" s="533"/>
      <c r="Q351" s="533">
        <v>0</v>
      </c>
      <c r="R351" s="533"/>
      <c r="S351" s="1">
        <v>20</v>
      </c>
      <c r="T351" s="2" t="s">
        <v>289</v>
      </c>
      <c r="U351" s="533">
        <v>3052</v>
      </c>
      <c r="V351" s="533"/>
      <c r="W351" s="533">
        <v>33352</v>
      </c>
      <c r="X351" s="533"/>
    </row>
    <row r="352" spans="1:24" ht="0.75" customHeight="1" x14ac:dyDescent="0.2"/>
    <row r="353" spans="1:24" ht="13.5" customHeight="1" x14ac:dyDescent="0.2">
      <c r="A353" s="530" t="s">
        <v>326</v>
      </c>
      <c r="B353" s="530"/>
      <c r="C353" s="525" t="s">
        <v>327</v>
      </c>
      <c r="D353" s="525"/>
      <c r="E353" s="525"/>
      <c r="F353" s="525"/>
      <c r="G353" s="525"/>
      <c r="I353" s="532">
        <v>41018</v>
      </c>
      <c r="J353" s="532"/>
      <c r="K353" s="533">
        <v>4900</v>
      </c>
      <c r="L353" s="533"/>
      <c r="M353" s="533">
        <v>1233</v>
      </c>
      <c r="N353" s="533"/>
      <c r="O353" s="533">
        <v>0</v>
      </c>
      <c r="P353" s="533"/>
      <c r="Q353" s="533">
        <v>2842</v>
      </c>
      <c r="R353" s="533"/>
      <c r="S353" s="1">
        <v>20</v>
      </c>
      <c r="T353" s="2" t="s">
        <v>289</v>
      </c>
      <c r="U353" s="533">
        <v>75</v>
      </c>
      <c r="V353" s="533"/>
      <c r="W353" s="533">
        <v>0</v>
      </c>
      <c r="X353" s="533"/>
    </row>
    <row r="354" spans="1:24" ht="11.25" customHeight="1" x14ac:dyDescent="0.2">
      <c r="C354" s="525"/>
      <c r="D354" s="525"/>
      <c r="E354" s="525"/>
      <c r="F354" s="525"/>
      <c r="G354" s="525"/>
    </row>
    <row r="355" spans="1:24" ht="0.75" customHeight="1" x14ac:dyDescent="0.2">
      <c r="C355" s="525"/>
      <c r="D355" s="525"/>
      <c r="E355" s="525"/>
      <c r="F355" s="525"/>
      <c r="G355" s="525"/>
      <c r="I355" s="537">
        <v>43392</v>
      </c>
      <c r="J355" s="537"/>
      <c r="N355" s="533">
        <v>-4000</v>
      </c>
      <c r="O355" s="533"/>
    </row>
    <row r="356" spans="1:24" x14ac:dyDescent="0.2">
      <c r="I356" s="537"/>
      <c r="J356" s="537"/>
      <c r="N356" s="533"/>
      <c r="O356" s="533"/>
    </row>
    <row r="357" spans="1:24" ht="0.75" customHeight="1" x14ac:dyDescent="0.2"/>
    <row r="358" spans="1:24" ht="13.5" customHeight="1" x14ac:dyDescent="0.2">
      <c r="A358" s="530" t="s">
        <v>328</v>
      </c>
      <c r="B358" s="530"/>
      <c r="C358" s="531" t="s">
        <v>329</v>
      </c>
      <c r="D358" s="531"/>
      <c r="E358" s="531"/>
      <c r="F358" s="531"/>
      <c r="G358" s="531"/>
      <c r="I358" s="532">
        <v>41000</v>
      </c>
      <c r="J358" s="532"/>
      <c r="K358" s="533">
        <v>1386.3600000000001</v>
      </c>
      <c r="L358" s="533"/>
      <c r="M358" s="533">
        <v>345.36</v>
      </c>
      <c r="N358" s="533"/>
      <c r="O358" s="533">
        <v>0</v>
      </c>
      <c r="P358" s="533"/>
      <c r="Q358" s="533">
        <v>0</v>
      </c>
      <c r="R358" s="533"/>
      <c r="S358" s="1">
        <v>20</v>
      </c>
      <c r="T358" s="2" t="s">
        <v>289</v>
      </c>
      <c r="U358" s="533">
        <v>29</v>
      </c>
      <c r="V358" s="533"/>
      <c r="W358" s="533">
        <v>316.36</v>
      </c>
      <c r="X358" s="533"/>
    </row>
    <row r="359" spans="1:24" ht="0.75" customHeight="1" x14ac:dyDescent="0.2"/>
    <row r="360" spans="1:24" ht="13.5" customHeight="1" x14ac:dyDescent="0.2">
      <c r="A360" s="530" t="s">
        <v>330</v>
      </c>
      <c r="B360" s="530"/>
      <c r="C360" s="531" t="s">
        <v>331</v>
      </c>
      <c r="D360" s="531"/>
      <c r="E360" s="531"/>
      <c r="F360" s="531"/>
      <c r="G360" s="531"/>
      <c r="I360" s="532">
        <v>39024</v>
      </c>
      <c r="J360" s="532"/>
      <c r="K360" s="533">
        <v>536</v>
      </c>
      <c r="L360" s="533"/>
      <c r="M360" s="533">
        <v>0</v>
      </c>
      <c r="N360" s="533"/>
      <c r="O360" s="533">
        <v>0</v>
      </c>
      <c r="P360" s="533"/>
      <c r="Q360" s="533">
        <v>0</v>
      </c>
      <c r="R360" s="533"/>
      <c r="S360" s="1">
        <v>30</v>
      </c>
      <c r="T360" s="2" t="s">
        <v>289</v>
      </c>
      <c r="U360" s="533">
        <v>0</v>
      </c>
      <c r="V360" s="533"/>
      <c r="W360" s="533">
        <v>0</v>
      </c>
      <c r="X360" s="533"/>
    </row>
    <row r="361" spans="1:24" ht="0.75" customHeight="1" x14ac:dyDescent="0.2"/>
    <row r="362" spans="1:24" ht="13.5" customHeight="1" x14ac:dyDescent="0.2">
      <c r="A362" s="530" t="s">
        <v>332</v>
      </c>
      <c r="B362" s="530"/>
      <c r="C362" s="531" t="s">
        <v>333</v>
      </c>
      <c r="D362" s="531"/>
      <c r="E362" s="531"/>
      <c r="F362" s="531"/>
      <c r="G362" s="531"/>
      <c r="I362" s="532">
        <v>39264</v>
      </c>
      <c r="J362" s="532"/>
      <c r="K362" s="533">
        <v>209.45000000000002</v>
      </c>
      <c r="L362" s="533"/>
      <c r="M362" s="533">
        <v>0</v>
      </c>
      <c r="N362" s="533"/>
      <c r="O362" s="533">
        <v>0</v>
      </c>
      <c r="P362" s="533"/>
      <c r="Q362" s="533">
        <v>0</v>
      </c>
      <c r="R362" s="533"/>
      <c r="S362" s="1">
        <v>37.5</v>
      </c>
      <c r="T362" s="2" t="s">
        <v>289</v>
      </c>
      <c r="U362" s="533">
        <v>0</v>
      </c>
      <c r="V362" s="533"/>
      <c r="W362" s="533">
        <v>0</v>
      </c>
      <c r="X362" s="533"/>
    </row>
    <row r="363" spans="1:24" ht="0.75" customHeight="1" x14ac:dyDescent="0.2"/>
    <row r="364" spans="1:24" ht="13.5" customHeight="1" x14ac:dyDescent="0.2">
      <c r="A364" s="530" t="s">
        <v>334</v>
      </c>
      <c r="B364" s="530"/>
      <c r="C364" s="531" t="s">
        <v>335</v>
      </c>
      <c r="D364" s="531"/>
      <c r="E364" s="531"/>
      <c r="F364" s="531"/>
      <c r="G364" s="531"/>
      <c r="I364" s="532">
        <v>39273</v>
      </c>
      <c r="J364" s="532"/>
      <c r="K364" s="533">
        <v>681.64</v>
      </c>
      <c r="L364" s="533"/>
      <c r="M364" s="533">
        <v>0</v>
      </c>
      <c r="N364" s="533"/>
      <c r="O364" s="533">
        <v>0</v>
      </c>
      <c r="P364" s="533"/>
      <c r="Q364" s="533">
        <v>0</v>
      </c>
      <c r="R364" s="533"/>
      <c r="S364" s="1">
        <v>37.5</v>
      </c>
      <c r="T364" s="2" t="s">
        <v>289</v>
      </c>
      <c r="U364" s="533">
        <v>0</v>
      </c>
      <c r="V364" s="533"/>
      <c r="W364" s="533">
        <v>0</v>
      </c>
      <c r="X364" s="533"/>
    </row>
    <row r="365" spans="1:24" ht="0.75" customHeight="1" x14ac:dyDescent="0.2"/>
    <row r="366" spans="1:24" ht="13.5" customHeight="1" x14ac:dyDescent="0.2">
      <c r="A366" s="530" t="s">
        <v>336</v>
      </c>
      <c r="B366" s="530"/>
      <c r="C366" s="531" t="s">
        <v>337</v>
      </c>
      <c r="D366" s="531"/>
      <c r="E366" s="531"/>
      <c r="F366" s="531"/>
      <c r="G366" s="531"/>
      <c r="I366" s="532">
        <v>39423</v>
      </c>
      <c r="J366" s="532"/>
      <c r="K366" s="533">
        <v>733.66</v>
      </c>
      <c r="L366" s="533"/>
      <c r="M366" s="533">
        <v>0</v>
      </c>
      <c r="N366" s="533"/>
      <c r="O366" s="533">
        <v>0</v>
      </c>
      <c r="P366" s="533"/>
      <c r="Q366" s="533">
        <v>0</v>
      </c>
      <c r="R366" s="533"/>
      <c r="S366" s="1">
        <v>37.5</v>
      </c>
      <c r="T366" s="2" t="s">
        <v>289</v>
      </c>
      <c r="U366" s="533">
        <v>0</v>
      </c>
      <c r="V366" s="533"/>
      <c r="W366" s="533">
        <v>0</v>
      </c>
      <c r="X366" s="533"/>
    </row>
    <row r="367" spans="1:24" ht="0.75" customHeight="1" x14ac:dyDescent="0.2"/>
    <row r="368" spans="1:24" ht="13.5" customHeight="1" x14ac:dyDescent="0.2">
      <c r="A368" s="530" t="s">
        <v>338</v>
      </c>
      <c r="B368" s="530"/>
      <c r="C368" s="531" t="s">
        <v>339</v>
      </c>
      <c r="D368" s="531"/>
      <c r="E368" s="531"/>
      <c r="F368" s="531"/>
      <c r="G368" s="531"/>
      <c r="I368" s="532">
        <v>39264</v>
      </c>
      <c r="J368" s="532"/>
      <c r="K368" s="533">
        <v>240</v>
      </c>
      <c r="L368" s="533"/>
      <c r="M368" s="533">
        <v>0</v>
      </c>
      <c r="N368" s="533"/>
      <c r="O368" s="533">
        <v>0</v>
      </c>
      <c r="P368" s="533"/>
      <c r="Q368" s="533">
        <v>0</v>
      </c>
      <c r="R368" s="533"/>
      <c r="S368" s="1">
        <v>37.5</v>
      </c>
      <c r="T368" s="2" t="s">
        <v>289</v>
      </c>
      <c r="U368" s="533">
        <v>0</v>
      </c>
      <c r="V368" s="533"/>
      <c r="W368" s="533">
        <v>0</v>
      </c>
      <c r="X368" s="533"/>
    </row>
    <row r="369" spans="1:24" ht="0.75" customHeight="1" x14ac:dyDescent="0.2"/>
    <row r="370" spans="1:24" ht="13.5" customHeight="1" x14ac:dyDescent="0.2">
      <c r="A370" s="530" t="s">
        <v>340</v>
      </c>
      <c r="B370" s="530"/>
      <c r="C370" s="531" t="s">
        <v>341</v>
      </c>
      <c r="D370" s="531"/>
      <c r="E370" s="531"/>
      <c r="F370" s="531"/>
      <c r="G370" s="531"/>
      <c r="I370" s="532">
        <v>39508</v>
      </c>
      <c r="J370" s="532"/>
      <c r="K370" s="533">
        <v>108.36</v>
      </c>
      <c r="L370" s="533"/>
      <c r="M370" s="533">
        <v>0</v>
      </c>
      <c r="N370" s="533"/>
      <c r="O370" s="533">
        <v>0</v>
      </c>
      <c r="P370" s="533"/>
      <c r="Q370" s="533">
        <v>0</v>
      </c>
      <c r="R370" s="533"/>
      <c r="S370" s="1">
        <v>37.5</v>
      </c>
      <c r="T370" s="2" t="s">
        <v>289</v>
      </c>
      <c r="U370" s="533">
        <v>0</v>
      </c>
      <c r="V370" s="533"/>
      <c r="W370" s="533">
        <v>0</v>
      </c>
      <c r="X370" s="533"/>
    </row>
    <row r="371" spans="1:24" ht="0.75" customHeight="1" x14ac:dyDescent="0.2"/>
    <row r="372" spans="1:24" ht="13.5" customHeight="1" x14ac:dyDescent="0.2">
      <c r="A372" s="530" t="s">
        <v>342</v>
      </c>
      <c r="B372" s="530"/>
      <c r="C372" s="531" t="s">
        <v>343</v>
      </c>
      <c r="D372" s="531"/>
      <c r="E372" s="531"/>
      <c r="F372" s="531"/>
      <c r="G372" s="531"/>
      <c r="I372" s="532">
        <v>37658</v>
      </c>
      <c r="J372" s="532"/>
      <c r="K372" s="533">
        <v>320</v>
      </c>
      <c r="L372" s="533"/>
      <c r="M372" s="533">
        <v>0</v>
      </c>
      <c r="N372" s="533"/>
      <c r="O372" s="533">
        <v>0</v>
      </c>
      <c r="P372" s="533"/>
      <c r="Q372" s="533">
        <v>0</v>
      </c>
      <c r="R372" s="533"/>
      <c r="S372" s="1">
        <v>20</v>
      </c>
      <c r="T372" s="2" t="s">
        <v>289</v>
      </c>
      <c r="U372" s="533">
        <v>0</v>
      </c>
      <c r="V372" s="533"/>
      <c r="W372" s="533">
        <v>0</v>
      </c>
      <c r="X372" s="533"/>
    </row>
    <row r="373" spans="1:24" ht="0.75" customHeight="1" x14ac:dyDescent="0.2"/>
    <row r="374" spans="1:24" ht="13.5" customHeight="1" x14ac:dyDescent="0.2">
      <c r="A374" s="530" t="s">
        <v>344</v>
      </c>
      <c r="B374" s="530"/>
      <c r="C374" s="531" t="s">
        <v>345</v>
      </c>
      <c r="D374" s="531"/>
      <c r="E374" s="531"/>
      <c r="F374" s="531"/>
      <c r="G374" s="531"/>
      <c r="I374" s="532">
        <v>39611</v>
      </c>
      <c r="J374" s="532"/>
      <c r="K374" s="533">
        <v>140</v>
      </c>
      <c r="L374" s="533"/>
      <c r="M374" s="533">
        <v>0</v>
      </c>
      <c r="N374" s="533"/>
      <c r="O374" s="533">
        <v>0</v>
      </c>
      <c r="P374" s="533"/>
      <c r="Q374" s="533">
        <v>0</v>
      </c>
      <c r="R374" s="533"/>
      <c r="S374" s="1">
        <v>37.5</v>
      </c>
      <c r="T374" s="2" t="s">
        <v>289</v>
      </c>
      <c r="U374" s="533">
        <v>0</v>
      </c>
      <c r="V374" s="533"/>
      <c r="W374" s="533">
        <v>0</v>
      </c>
      <c r="X374" s="533"/>
    </row>
    <row r="375" spans="1:24" ht="0.75" customHeight="1" x14ac:dyDescent="0.2"/>
    <row r="376" spans="1:24" ht="13.5" customHeight="1" x14ac:dyDescent="0.2">
      <c r="A376" s="530" t="s">
        <v>346</v>
      </c>
      <c r="B376" s="530"/>
      <c r="C376" s="531" t="s">
        <v>347</v>
      </c>
      <c r="D376" s="531"/>
      <c r="E376" s="531"/>
      <c r="F376" s="531"/>
      <c r="G376" s="531"/>
      <c r="I376" s="532">
        <v>39617</v>
      </c>
      <c r="J376" s="532"/>
      <c r="K376" s="533">
        <v>535.04999999999995</v>
      </c>
      <c r="L376" s="533"/>
      <c r="M376" s="533">
        <v>0</v>
      </c>
      <c r="N376" s="533"/>
      <c r="O376" s="533">
        <v>0</v>
      </c>
      <c r="P376" s="533"/>
      <c r="Q376" s="533">
        <v>0</v>
      </c>
      <c r="R376" s="533"/>
      <c r="S376" s="1">
        <v>37.5</v>
      </c>
      <c r="T376" s="2" t="s">
        <v>289</v>
      </c>
      <c r="U376" s="533">
        <v>0</v>
      </c>
      <c r="V376" s="533"/>
      <c r="W376" s="533">
        <v>0</v>
      </c>
      <c r="X376" s="533"/>
    </row>
    <row r="377" spans="1:24" ht="0.75" customHeight="1" x14ac:dyDescent="0.2"/>
    <row r="378" spans="1:24" ht="13.5" customHeight="1" x14ac:dyDescent="0.2">
      <c r="A378" s="530" t="s">
        <v>348</v>
      </c>
      <c r="B378" s="530"/>
      <c r="C378" s="531" t="s">
        <v>349</v>
      </c>
      <c r="D378" s="531"/>
      <c r="E378" s="531"/>
      <c r="F378" s="531"/>
      <c r="G378" s="531"/>
      <c r="I378" s="532">
        <v>39625</v>
      </c>
      <c r="J378" s="532"/>
      <c r="K378" s="533">
        <v>108.18</v>
      </c>
      <c r="L378" s="533"/>
      <c r="M378" s="533">
        <v>0</v>
      </c>
      <c r="N378" s="533"/>
      <c r="O378" s="533">
        <v>0</v>
      </c>
      <c r="P378" s="533"/>
      <c r="Q378" s="533">
        <v>0</v>
      </c>
      <c r="R378" s="533"/>
      <c r="S378" s="1">
        <v>37.5</v>
      </c>
      <c r="T378" s="2" t="s">
        <v>289</v>
      </c>
      <c r="U378" s="533">
        <v>0</v>
      </c>
      <c r="V378" s="533"/>
      <c r="W378" s="533">
        <v>0</v>
      </c>
      <c r="X378" s="533"/>
    </row>
    <row r="379" spans="1:24" ht="0.75" customHeight="1" x14ac:dyDescent="0.2"/>
    <row r="380" spans="1:24" ht="13.5" customHeight="1" x14ac:dyDescent="0.2">
      <c r="A380" s="530" t="s">
        <v>350</v>
      </c>
      <c r="B380" s="530"/>
      <c r="C380" s="531" t="s">
        <v>351</v>
      </c>
      <c r="D380" s="531"/>
      <c r="E380" s="531"/>
      <c r="F380" s="531"/>
      <c r="G380" s="531"/>
      <c r="I380" s="532">
        <v>39304</v>
      </c>
      <c r="J380" s="532"/>
      <c r="K380" s="533">
        <v>314</v>
      </c>
      <c r="L380" s="533"/>
      <c r="M380" s="533">
        <v>0</v>
      </c>
      <c r="N380" s="533"/>
      <c r="O380" s="533">
        <v>0</v>
      </c>
      <c r="P380" s="533"/>
      <c r="Q380" s="533">
        <v>0</v>
      </c>
      <c r="R380" s="533"/>
      <c r="S380" s="1">
        <v>37.5</v>
      </c>
      <c r="T380" s="2" t="s">
        <v>289</v>
      </c>
      <c r="U380" s="533">
        <v>0</v>
      </c>
      <c r="V380" s="533"/>
      <c r="W380" s="533">
        <v>0</v>
      </c>
      <c r="X380" s="533"/>
    </row>
    <row r="381" spans="1:24" ht="0.75" customHeight="1" x14ac:dyDescent="0.2"/>
    <row r="382" spans="1:24" ht="13.5" customHeight="1" x14ac:dyDescent="0.2">
      <c r="A382" s="530" t="s">
        <v>352</v>
      </c>
      <c r="B382" s="530"/>
      <c r="C382" s="531" t="s">
        <v>353</v>
      </c>
      <c r="D382" s="531"/>
      <c r="E382" s="531"/>
      <c r="F382" s="531"/>
      <c r="G382" s="531"/>
      <c r="I382" s="532">
        <v>39423</v>
      </c>
      <c r="J382" s="532"/>
      <c r="K382" s="533">
        <v>384.54</v>
      </c>
      <c r="L382" s="533"/>
      <c r="M382" s="533">
        <v>0</v>
      </c>
      <c r="N382" s="533"/>
      <c r="O382" s="533">
        <v>0</v>
      </c>
      <c r="P382" s="533"/>
      <c r="Q382" s="533">
        <v>0</v>
      </c>
      <c r="R382" s="533"/>
      <c r="S382" s="1">
        <v>37.5</v>
      </c>
      <c r="T382" s="2" t="s">
        <v>289</v>
      </c>
      <c r="U382" s="533">
        <v>0</v>
      </c>
      <c r="V382" s="533"/>
      <c r="W382" s="533">
        <v>0</v>
      </c>
      <c r="X382" s="533"/>
    </row>
    <row r="383" spans="1:24" ht="0.75" customHeight="1" x14ac:dyDescent="0.2"/>
    <row r="384" spans="1:24" ht="13.5" customHeight="1" x14ac:dyDescent="0.2">
      <c r="A384" s="530" t="s">
        <v>354</v>
      </c>
      <c r="B384" s="530"/>
      <c r="C384" s="531" t="s">
        <v>355</v>
      </c>
      <c r="D384" s="531"/>
      <c r="E384" s="531"/>
      <c r="F384" s="531"/>
      <c r="G384" s="531"/>
      <c r="I384" s="532">
        <v>39418</v>
      </c>
      <c r="J384" s="532"/>
      <c r="K384" s="533">
        <v>1090</v>
      </c>
      <c r="L384" s="533"/>
      <c r="M384" s="533">
        <v>0</v>
      </c>
      <c r="N384" s="533"/>
      <c r="O384" s="533">
        <v>0</v>
      </c>
      <c r="P384" s="533"/>
      <c r="Q384" s="533">
        <v>0</v>
      </c>
      <c r="R384" s="533"/>
      <c r="S384" s="1">
        <v>13.33</v>
      </c>
      <c r="T384" s="2" t="s">
        <v>289</v>
      </c>
      <c r="U384" s="533">
        <v>0</v>
      </c>
      <c r="V384" s="533"/>
      <c r="W384" s="533">
        <v>0</v>
      </c>
      <c r="X384" s="533"/>
    </row>
    <row r="385" spans="1:24" ht="0.75" customHeight="1" x14ac:dyDescent="0.2"/>
    <row r="386" spans="1:24" ht="13.5" customHeight="1" x14ac:dyDescent="0.2">
      <c r="A386" s="530" t="s">
        <v>356</v>
      </c>
      <c r="B386" s="530"/>
      <c r="C386" s="531" t="s">
        <v>347</v>
      </c>
      <c r="D386" s="531"/>
      <c r="E386" s="531"/>
      <c r="F386" s="531"/>
      <c r="G386" s="531"/>
      <c r="I386" s="532">
        <v>39388</v>
      </c>
      <c r="J386" s="532"/>
      <c r="K386" s="533">
        <v>1690</v>
      </c>
      <c r="L386" s="533"/>
      <c r="M386" s="533">
        <v>550</v>
      </c>
      <c r="N386" s="533"/>
      <c r="O386" s="533">
        <v>0</v>
      </c>
      <c r="P386" s="533"/>
      <c r="Q386" s="533">
        <v>0</v>
      </c>
      <c r="R386" s="533"/>
      <c r="S386" s="1">
        <v>10</v>
      </c>
      <c r="T386" s="2" t="s">
        <v>289</v>
      </c>
      <c r="U386" s="533">
        <v>23</v>
      </c>
      <c r="V386" s="533"/>
      <c r="W386" s="533">
        <v>527</v>
      </c>
      <c r="X386" s="533"/>
    </row>
    <row r="387" spans="1:24" ht="0.75" customHeight="1" x14ac:dyDescent="0.2"/>
    <row r="388" spans="1:24" ht="13.5" customHeight="1" x14ac:dyDescent="0.2">
      <c r="A388" s="530" t="s">
        <v>357</v>
      </c>
      <c r="B388" s="530"/>
      <c r="C388" s="531" t="s">
        <v>358</v>
      </c>
      <c r="D388" s="531"/>
      <c r="E388" s="531"/>
      <c r="F388" s="531"/>
      <c r="G388" s="531"/>
      <c r="I388" s="532">
        <v>39539</v>
      </c>
      <c r="J388" s="532"/>
      <c r="K388" s="533">
        <v>1280</v>
      </c>
      <c r="L388" s="533"/>
      <c r="M388" s="533">
        <v>0</v>
      </c>
      <c r="N388" s="533"/>
      <c r="O388" s="533">
        <v>0</v>
      </c>
      <c r="P388" s="533"/>
      <c r="Q388" s="533">
        <v>0</v>
      </c>
      <c r="R388" s="533"/>
      <c r="S388" s="1">
        <v>20</v>
      </c>
      <c r="T388" s="2" t="s">
        <v>289</v>
      </c>
      <c r="U388" s="533">
        <v>0</v>
      </c>
      <c r="V388" s="533"/>
      <c r="W388" s="533">
        <v>0</v>
      </c>
      <c r="X388" s="533"/>
    </row>
    <row r="389" spans="1:24" ht="0.75" customHeight="1" x14ac:dyDescent="0.2"/>
    <row r="390" spans="1:24" ht="13.5" customHeight="1" x14ac:dyDescent="0.2">
      <c r="A390" s="530" t="s">
        <v>359</v>
      </c>
      <c r="B390" s="530"/>
      <c r="C390" s="531" t="s">
        <v>360</v>
      </c>
      <c r="D390" s="531"/>
      <c r="E390" s="531"/>
      <c r="F390" s="531"/>
      <c r="G390" s="531"/>
      <c r="I390" s="532">
        <v>39379</v>
      </c>
      <c r="J390" s="532"/>
      <c r="K390" s="533">
        <v>2727.27</v>
      </c>
      <c r="L390" s="533"/>
      <c r="M390" s="533">
        <v>885.27</v>
      </c>
      <c r="N390" s="533"/>
      <c r="O390" s="533">
        <v>0</v>
      </c>
      <c r="P390" s="533"/>
      <c r="Q390" s="533">
        <v>0</v>
      </c>
      <c r="R390" s="533"/>
      <c r="S390" s="1">
        <v>10</v>
      </c>
      <c r="T390" s="2" t="s">
        <v>289</v>
      </c>
      <c r="U390" s="533">
        <v>37</v>
      </c>
      <c r="V390" s="533"/>
      <c r="W390" s="533">
        <v>848.27</v>
      </c>
      <c r="X390" s="533"/>
    </row>
    <row r="391" spans="1:24" ht="0.75" customHeight="1" x14ac:dyDescent="0.2"/>
    <row r="392" spans="1:24" ht="13.5" customHeight="1" x14ac:dyDescent="0.2">
      <c r="A392" s="530" t="s">
        <v>361</v>
      </c>
      <c r="B392" s="530"/>
      <c r="C392" s="531" t="s">
        <v>362</v>
      </c>
      <c r="D392" s="531"/>
      <c r="E392" s="531"/>
      <c r="F392" s="531"/>
      <c r="G392" s="531"/>
      <c r="I392" s="532">
        <v>37669</v>
      </c>
      <c r="J392" s="532"/>
      <c r="K392" s="533">
        <v>600</v>
      </c>
      <c r="L392" s="533"/>
      <c r="M392" s="533">
        <v>0</v>
      </c>
      <c r="N392" s="533"/>
      <c r="O392" s="533">
        <v>0</v>
      </c>
      <c r="P392" s="533"/>
      <c r="Q392" s="533">
        <v>0</v>
      </c>
      <c r="R392" s="533"/>
      <c r="S392" s="1">
        <v>20</v>
      </c>
      <c r="T392" s="2" t="s">
        <v>289</v>
      </c>
      <c r="U392" s="533">
        <v>0</v>
      </c>
      <c r="V392" s="533"/>
      <c r="W392" s="533">
        <v>0</v>
      </c>
      <c r="X392" s="533"/>
    </row>
    <row r="393" spans="1:24" ht="0.75" customHeight="1" x14ac:dyDescent="0.2"/>
    <row r="394" spans="1:24" ht="13.5" customHeight="1" x14ac:dyDescent="0.2">
      <c r="A394" s="530" t="s">
        <v>363</v>
      </c>
      <c r="B394" s="530"/>
      <c r="C394" s="531" t="s">
        <v>364</v>
      </c>
      <c r="D394" s="531"/>
      <c r="E394" s="531"/>
      <c r="F394" s="531"/>
      <c r="G394" s="531"/>
      <c r="I394" s="532">
        <v>39386</v>
      </c>
      <c r="J394" s="532"/>
      <c r="K394" s="533">
        <v>22704.55</v>
      </c>
      <c r="L394" s="533"/>
      <c r="M394" s="533">
        <v>13139.550000000001</v>
      </c>
      <c r="N394" s="533"/>
      <c r="O394" s="533">
        <v>0</v>
      </c>
      <c r="P394" s="533"/>
      <c r="Q394" s="533">
        <v>0</v>
      </c>
      <c r="R394" s="533"/>
      <c r="S394" s="1">
        <v>5</v>
      </c>
      <c r="T394" s="2" t="s">
        <v>289</v>
      </c>
      <c r="U394" s="533">
        <v>275</v>
      </c>
      <c r="V394" s="533"/>
      <c r="W394" s="533">
        <v>12864.550000000001</v>
      </c>
      <c r="X394" s="533"/>
    </row>
    <row r="395" spans="1:24" ht="0.75" customHeight="1" x14ac:dyDescent="0.2"/>
    <row r="396" spans="1:24" ht="13.5" customHeight="1" x14ac:dyDescent="0.2">
      <c r="A396" s="530" t="s">
        <v>365</v>
      </c>
      <c r="B396" s="530"/>
      <c r="C396" s="531" t="s">
        <v>366</v>
      </c>
      <c r="D396" s="531"/>
      <c r="E396" s="531"/>
      <c r="F396" s="531"/>
      <c r="G396" s="531"/>
      <c r="I396" s="532">
        <v>39465</v>
      </c>
      <c r="J396" s="532"/>
      <c r="K396" s="533">
        <v>3640</v>
      </c>
      <c r="L396" s="533"/>
      <c r="M396" s="533">
        <v>355</v>
      </c>
      <c r="N396" s="533"/>
      <c r="O396" s="533">
        <v>0</v>
      </c>
      <c r="P396" s="533"/>
      <c r="Q396" s="533">
        <v>0</v>
      </c>
      <c r="R396" s="533"/>
      <c r="S396" s="1">
        <v>20</v>
      </c>
      <c r="T396" s="2" t="s">
        <v>289</v>
      </c>
      <c r="U396" s="533">
        <v>30</v>
      </c>
      <c r="V396" s="533"/>
      <c r="W396" s="533">
        <v>325</v>
      </c>
      <c r="X396" s="533"/>
    </row>
    <row r="397" spans="1:24" ht="0.75" customHeight="1" x14ac:dyDescent="0.2"/>
    <row r="398" spans="1:24" ht="13.5" customHeight="1" x14ac:dyDescent="0.2">
      <c r="A398" s="530" t="s">
        <v>367</v>
      </c>
      <c r="B398" s="530"/>
      <c r="C398" s="531" t="s">
        <v>368</v>
      </c>
      <c r="D398" s="531"/>
      <c r="E398" s="531"/>
      <c r="F398" s="531"/>
      <c r="G398" s="531"/>
      <c r="I398" s="532">
        <v>39470</v>
      </c>
      <c r="J398" s="532"/>
      <c r="K398" s="533">
        <v>4495</v>
      </c>
      <c r="L398" s="533"/>
      <c r="M398" s="533">
        <v>440</v>
      </c>
      <c r="N398" s="533"/>
      <c r="O398" s="533">
        <v>0</v>
      </c>
      <c r="P398" s="533"/>
      <c r="Q398" s="533">
        <v>0</v>
      </c>
      <c r="R398" s="533"/>
      <c r="S398" s="1">
        <v>20</v>
      </c>
      <c r="T398" s="2" t="s">
        <v>289</v>
      </c>
      <c r="U398" s="533">
        <v>37</v>
      </c>
      <c r="V398" s="533"/>
      <c r="W398" s="533">
        <v>403</v>
      </c>
      <c r="X398" s="533"/>
    </row>
    <row r="399" spans="1:24" ht="0.75" customHeight="1" x14ac:dyDescent="0.2"/>
    <row r="400" spans="1:24" ht="13.5" customHeight="1" x14ac:dyDescent="0.2">
      <c r="A400" s="530" t="s">
        <v>369</v>
      </c>
      <c r="B400" s="530"/>
      <c r="C400" s="531" t="s">
        <v>370</v>
      </c>
      <c r="D400" s="531"/>
      <c r="E400" s="531"/>
      <c r="F400" s="531"/>
      <c r="G400" s="531"/>
      <c r="I400" s="532">
        <v>39498</v>
      </c>
      <c r="J400" s="532"/>
      <c r="K400" s="533">
        <v>10468.09</v>
      </c>
      <c r="L400" s="533"/>
      <c r="M400" s="533">
        <v>3517.09</v>
      </c>
      <c r="N400" s="533"/>
      <c r="O400" s="533">
        <v>0</v>
      </c>
      <c r="P400" s="533"/>
      <c r="Q400" s="533">
        <v>0</v>
      </c>
      <c r="R400" s="533"/>
      <c r="S400" s="1">
        <v>10</v>
      </c>
      <c r="T400" s="2" t="s">
        <v>289</v>
      </c>
      <c r="U400" s="533">
        <v>147</v>
      </c>
      <c r="V400" s="533"/>
      <c r="W400" s="533">
        <v>3370.09</v>
      </c>
      <c r="X400" s="533"/>
    </row>
    <row r="401" spans="1:24" ht="0.75" customHeight="1" x14ac:dyDescent="0.2"/>
    <row r="402" spans="1:24" ht="13.5" customHeight="1" x14ac:dyDescent="0.2">
      <c r="A402" s="530" t="s">
        <v>371</v>
      </c>
      <c r="B402" s="530"/>
      <c r="C402" s="525" t="s">
        <v>372</v>
      </c>
      <c r="D402" s="525"/>
      <c r="E402" s="525"/>
      <c r="F402" s="525"/>
      <c r="G402" s="525"/>
      <c r="I402" s="532">
        <v>39499</v>
      </c>
      <c r="J402" s="532"/>
      <c r="K402" s="533">
        <v>13392.5</v>
      </c>
      <c r="L402" s="533"/>
      <c r="M402" s="533">
        <v>5976.5</v>
      </c>
      <c r="N402" s="533"/>
      <c r="O402" s="533">
        <v>0</v>
      </c>
      <c r="P402" s="533"/>
      <c r="Q402" s="533">
        <v>0</v>
      </c>
      <c r="R402" s="533"/>
      <c r="S402" s="1">
        <v>7.5</v>
      </c>
      <c r="T402" s="2" t="s">
        <v>289</v>
      </c>
      <c r="U402" s="533">
        <v>188</v>
      </c>
      <c r="V402" s="533"/>
      <c r="W402" s="533">
        <v>5788.5</v>
      </c>
      <c r="X402" s="533"/>
    </row>
    <row r="403" spans="1:24" ht="12" customHeight="1" x14ac:dyDescent="0.2">
      <c r="C403" s="525"/>
      <c r="D403" s="525"/>
      <c r="E403" s="525"/>
      <c r="F403" s="525"/>
      <c r="G403" s="525"/>
    </row>
    <row r="404" spans="1:24" ht="13.5" customHeight="1" x14ac:dyDescent="0.2">
      <c r="A404" s="530" t="s">
        <v>373</v>
      </c>
      <c r="B404" s="530"/>
      <c r="C404" s="531" t="s">
        <v>374</v>
      </c>
      <c r="D404" s="531"/>
      <c r="E404" s="531"/>
      <c r="F404" s="531"/>
      <c r="G404" s="531"/>
      <c r="I404" s="532">
        <v>39540</v>
      </c>
      <c r="J404" s="532"/>
      <c r="K404" s="533">
        <v>2372</v>
      </c>
      <c r="L404" s="533"/>
      <c r="M404" s="533">
        <v>805</v>
      </c>
      <c r="N404" s="533"/>
      <c r="O404" s="533">
        <v>0</v>
      </c>
      <c r="P404" s="533"/>
      <c r="Q404" s="533">
        <v>0</v>
      </c>
      <c r="R404" s="533"/>
      <c r="S404" s="1">
        <v>10</v>
      </c>
      <c r="T404" s="2" t="s">
        <v>289</v>
      </c>
      <c r="U404" s="533">
        <v>34</v>
      </c>
      <c r="V404" s="533"/>
      <c r="W404" s="533">
        <v>771</v>
      </c>
      <c r="X404" s="533"/>
    </row>
    <row r="405" spans="1:24" ht="0.75" customHeight="1" x14ac:dyDescent="0.2"/>
    <row r="406" spans="1:24" ht="13.5" customHeight="1" x14ac:dyDescent="0.2">
      <c r="A406" s="530" t="s">
        <v>375</v>
      </c>
      <c r="B406" s="530"/>
      <c r="C406" s="531" t="s">
        <v>376</v>
      </c>
      <c r="D406" s="531"/>
      <c r="E406" s="531"/>
      <c r="F406" s="531"/>
      <c r="G406" s="531"/>
      <c r="I406" s="532">
        <v>39448</v>
      </c>
      <c r="J406" s="532"/>
      <c r="K406" s="533">
        <v>226</v>
      </c>
      <c r="L406" s="533"/>
      <c r="M406" s="533">
        <v>0</v>
      </c>
      <c r="N406" s="533"/>
      <c r="O406" s="533">
        <v>0</v>
      </c>
      <c r="P406" s="533"/>
      <c r="Q406" s="533">
        <v>0</v>
      </c>
      <c r="R406" s="533"/>
      <c r="S406" s="1">
        <v>37.5</v>
      </c>
      <c r="T406" s="2" t="s">
        <v>289</v>
      </c>
      <c r="U406" s="533">
        <v>0</v>
      </c>
      <c r="V406" s="533"/>
      <c r="W406" s="533">
        <v>0</v>
      </c>
      <c r="X406" s="533"/>
    </row>
    <row r="407" spans="1:24" ht="0.75" customHeight="1" x14ac:dyDescent="0.2"/>
    <row r="408" spans="1:24" ht="13.5" customHeight="1" x14ac:dyDescent="0.2">
      <c r="A408" s="530" t="s">
        <v>377</v>
      </c>
      <c r="B408" s="530"/>
      <c r="C408" s="531" t="s">
        <v>378</v>
      </c>
      <c r="D408" s="531"/>
      <c r="E408" s="531"/>
      <c r="F408" s="531"/>
      <c r="G408" s="531"/>
      <c r="I408" s="532">
        <v>39507</v>
      </c>
      <c r="J408" s="532"/>
      <c r="K408" s="533">
        <v>950</v>
      </c>
      <c r="L408" s="533"/>
      <c r="M408" s="533">
        <v>0</v>
      </c>
      <c r="N408" s="533"/>
      <c r="O408" s="533">
        <v>0</v>
      </c>
      <c r="P408" s="533"/>
      <c r="Q408" s="533">
        <v>0</v>
      </c>
      <c r="R408" s="533"/>
      <c r="S408" s="1">
        <v>37.5</v>
      </c>
      <c r="T408" s="2" t="s">
        <v>289</v>
      </c>
      <c r="U408" s="533">
        <v>0</v>
      </c>
      <c r="V408" s="533"/>
      <c r="W408" s="533">
        <v>0</v>
      </c>
      <c r="X408" s="533"/>
    </row>
    <row r="409" spans="1:24" ht="0.75" customHeight="1" x14ac:dyDescent="0.2"/>
    <row r="410" spans="1:24" ht="13.5" customHeight="1" x14ac:dyDescent="0.2">
      <c r="A410" s="530" t="s">
        <v>379</v>
      </c>
      <c r="B410" s="530"/>
      <c r="C410" s="531" t="s">
        <v>380</v>
      </c>
      <c r="D410" s="531"/>
      <c r="E410" s="531"/>
      <c r="F410" s="531"/>
      <c r="G410" s="531"/>
      <c r="I410" s="532">
        <v>37677</v>
      </c>
      <c r="J410" s="532"/>
      <c r="K410" s="533">
        <v>106</v>
      </c>
      <c r="L410" s="533"/>
      <c r="M410" s="533">
        <v>0</v>
      </c>
      <c r="N410" s="533"/>
      <c r="O410" s="533">
        <v>0</v>
      </c>
      <c r="P410" s="533"/>
      <c r="Q410" s="533">
        <v>0</v>
      </c>
      <c r="R410" s="533"/>
      <c r="S410" s="1">
        <v>20</v>
      </c>
      <c r="T410" s="2" t="s">
        <v>289</v>
      </c>
      <c r="U410" s="533">
        <v>0</v>
      </c>
      <c r="V410" s="533"/>
      <c r="W410" s="533">
        <v>0</v>
      </c>
      <c r="X410" s="533"/>
    </row>
    <row r="411" spans="1:24" ht="0.75" customHeight="1" x14ac:dyDescent="0.2"/>
    <row r="412" spans="1:24" ht="13.5" customHeight="1" x14ac:dyDescent="0.2">
      <c r="A412" s="530" t="s">
        <v>381</v>
      </c>
      <c r="B412" s="530"/>
      <c r="C412" s="531" t="s">
        <v>382</v>
      </c>
      <c r="D412" s="531"/>
      <c r="E412" s="531"/>
      <c r="F412" s="531"/>
      <c r="G412" s="531"/>
      <c r="I412" s="532">
        <v>39555</v>
      </c>
      <c r="J412" s="532"/>
      <c r="K412" s="533">
        <v>700</v>
      </c>
      <c r="L412" s="533"/>
      <c r="M412" s="533">
        <v>0</v>
      </c>
      <c r="N412" s="533"/>
      <c r="O412" s="533">
        <v>0</v>
      </c>
      <c r="P412" s="533"/>
      <c r="Q412" s="533">
        <v>0</v>
      </c>
      <c r="R412" s="533"/>
      <c r="S412" s="1">
        <v>37.5</v>
      </c>
      <c r="T412" s="2" t="s">
        <v>289</v>
      </c>
      <c r="U412" s="533">
        <v>0</v>
      </c>
      <c r="V412" s="533"/>
      <c r="W412" s="533">
        <v>0</v>
      </c>
      <c r="X412" s="533"/>
    </row>
    <row r="413" spans="1:24" ht="15" customHeight="1" x14ac:dyDescent="0.2">
      <c r="A413" s="534" t="s">
        <v>285</v>
      </c>
      <c r="B413" s="534"/>
      <c r="D413" s="534" t="s">
        <v>286</v>
      </c>
      <c r="E413" s="534"/>
      <c r="F413" s="534"/>
      <c r="G413" s="534"/>
      <c r="H413" s="534"/>
      <c r="I413" s="534"/>
      <c r="J413" s="534"/>
      <c r="K413" s="534"/>
      <c r="L413" s="534"/>
      <c r="M413" s="534"/>
      <c r="N413" s="534"/>
      <c r="O413" s="534"/>
      <c r="P413" s="534"/>
      <c r="Q413" s="534"/>
      <c r="R413" s="534"/>
      <c r="S413" s="534"/>
      <c r="T413" s="534"/>
      <c r="U413" s="534"/>
      <c r="V413" s="534"/>
    </row>
    <row r="414" spans="1:24" ht="0.75" customHeight="1" x14ac:dyDescent="0.2"/>
    <row r="415" spans="1:24" ht="13.5" customHeight="1" x14ac:dyDescent="0.2">
      <c r="A415" s="530" t="s">
        <v>383</v>
      </c>
      <c r="B415" s="530"/>
      <c r="C415" s="531" t="s">
        <v>382</v>
      </c>
      <c r="D415" s="531"/>
      <c r="E415" s="531"/>
      <c r="F415" s="531"/>
      <c r="G415" s="531"/>
      <c r="I415" s="532">
        <v>39559</v>
      </c>
      <c r="J415" s="532"/>
      <c r="K415" s="533">
        <v>950</v>
      </c>
      <c r="L415" s="533"/>
      <c r="M415" s="533">
        <v>0</v>
      </c>
      <c r="N415" s="533"/>
      <c r="O415" s="533">
        <v>0</v>
      </c>
      <c r="P415" s="533"/>
      <c r="Q415" s="533">
        <v>0</v>
      </c>
      <c r="R415" s="533"/>
      <c r="S415" s="1">
        <v>37.5</v>
      </c>
      <c r="T415" s="2" t="s">
        <v>289</v>
      </c>
      <c r="U415" s="533">
        <v>0</v>
      </c>
      <c r="V415" s="533"/>
      <c r="W415" s="533">
        <v>0</v>
      </c>
      <c r="X415" s="533"/>
    </row>
    <row r="416" spans="1:24" ht="0.75" customHeight="1" x14ac:dyDescent="0.2"/>
    <row r="417" spans="1:24" ht="13.5" customHeight="1" x14ac:dyDescent="0.2">
      <c r="A417" s="530" t="s">
        <v>384</v>
      </c>
      <c r="B417" s="530"/>
      <c r="C417" s="531" t="s">
        <v>385</v>
      </c>
      <c r="D417" s="531"/>
      <c r="E417" s="531"/>
      <c r="F417" s="531"/>
      <c r="G417" s="531"/>
      <c r="I417" s="532">
        <v>39479</v>
      </c>
      <c r="J417" s="532"/>
      <c r="K417" s="533">
        <v>950</v>
      </c>
      <c r="L417" s="533"/>
      <c r="M417" s="533">
        <v>0</v>
      </c>
      <c r="N417" s="533"/>
      <c r="O417" s="533">
        <v>0</v>
      </c>
      <c r="P417" s="533"/>
      <c r="Q417" s="533">
        <v>0</v>
      </c>
      <c r="R417" s="533"/>
      <c r="S417" s="1">
        <v>37.5</v>
      </c>
      <c r="T417" s="2" t="s">
        <v>289</v>
      </c>
      <c r="U417" s="533">
        <v>0</v>
      </c>
      <c r="V417" s="533"/>
      <c r="W417" s="533">
        <v>0</v>
      </c>
      <c r="X417" s="533"/>
    </row>
    <row r="418" spans="1:24" ht="0.75" customHeight="1" x14ac:dyDescent="0.2"/>
    <row r="419" spans="1:24" ht="13.5" customHeight="1" x14ac:dyDescent="0.2">
      <c r="A419" s="530" t="s">
        <v>386</v>
      </c>
      <c r="B419" s="530"/>
      <c r="C419" s="531" t="s">
        <v>380</v>
      </c>
      <c r="D419" s="531"/>
      <c r="E419" s="531"/>
      <c r="F419" s="531"/>
      <c r="G419" s="531"/>
      <c r="I419" s="532">
        <v>37678</v>
      </c>
      <c r="J419" s="532"/>
      <c r="K419" s="533">
        <v>16.34</v>
      </c>
      <c r="L419" s="533"/>
      <c r="M419" s="533">
        <v>0</v>
      </c>
      <c r="N419" s="533"/>
      <c r="O419" s="533">
        <v>0</v>
      </c>
      <c r="P419" s="533"/>
      <c r="Q419" s="533">
        <v>0</v>
      </c>
      <c r="R419" s="533"/>
      <c r="S419" s="1">
        <v>20</v>
      </c>
      <c r="T419" s="2" t="s">
        <v>289</v>
      </c>
      <c r="U419" s="533">
        <v>0</v>
      </c>
      <c r="V419" s="533"/>
      <c r="W419" s="533">
        <v>0</v>
      </c>
      <c r="X419" s="533"/>
    </row>
    <row r="420" spans="1:24" ht="0.75" customHeight="1" x14ac:dyDescent="0.2"/>
    <row r="421" spans="1:24" ht="13.5" customHeight="1" x14ac:dyDescent="0.2">
      <c r="A421" s="530" t="s">
        <v>387</v>
      </c>
      <c r="B421" s="530"/>
      <c r="C421" s="525" t="s">
        <v>388</v>
      </c>
      <c r="D421" s="525"/>
      <c r="E421" s="525"/>
      <c r="F421" s="525"/>
      <c r="G421" s="525"/>
      <c r="I421" s="532">
        <v>39679</v>
      </c>
      <c r="J421" s="532"/>
      <c r="K421" s="533">
        <v>59090.91</v>
      </c>
      <c r="L421" s="533"/>
      <c r="M421" s="533">
        <v>20898.91</v>
      </c>
      <c r="N421" s="533"/>
      <c r="O421" s="533">
        <v>0</v>
      </c>
      <c r="P421" s="533"/>
      <c r="Q421" s="533">
        <v>0</v>
      </c>
      <c r="R421" s="533"/>
      <c r="S421" s="1">
        <v>10</v>
      </c>
      <c r="T421" s="2" t="s">
        <v>289</v>
      </c>
      <c r="U421" s="533">
        <v>876</v>
      </c>
      <c r="V421" s="533"/>
      <c r="W421" s="533">
        <v>20022.91</v>
      </c>
      <c r="X421" s="533"/>
    </row>
    <row r="422" spans="1:24" ht="12" customHeight="1" x14ac:dyDescent="0.2">
      <c r="C422" s="525"/>
      <c r="D422" s="525"/>
      <c r="E422" s="525"/>
      <c r="F422" s="525"/>
      <c r="G422" s="525"/>
    </row>
    <row r="423" spans="1:24" ht="13.5" customHeight="1" x14ac:dyDescent="0.2">
      <c r="A423" s="530" t="s">
        <v>389</v>
      </c>
      <c r="B423" s="530"/>
      <c r="C423" s="531" t="s">
        <v>390</v>
      </c>
      <c r="D423" s="531"/>
      <c r="E423" s="531"/>
      <c r="F423" s="531"/>
      <c r="G423" s="531"/>
      <c r="I423" s="532">
        <v>39679</v>
      </c>
      <c r="J423" s="532"/>
      <c r="K423" s="533">
        <v>91279.2</v>
      </c>
      <c r="L423" s="533"/>
      <c r="M423" s="533">
        <v>32281.200000000001</v>
      </c>
      <c r="N423" s="533"/>
      <c r="O423" s="533">
        <v>0</v>
      </c>
      <c r="P423" s="533"/>
      <c r="Q423" s="533">
        <v>0</v>
      </c>
      <c r="R423" s="533"/>
      <c r="S423" s="1">
        <v>10</v>
      </c>
      <c r="T423" s="2" t="s">
        <v>289</v>
      </c>
      <c r="U423" s="533">
        <v>1353</v>
      </c>
      <c r="V423" s="533"/>
      <c r="W423" s="533">
        <v>30928.2</v>
      </c>
      <c r="X423" s="533"/>
    </row>
    <row r="424" spans="1:24" ht="0.75" customHeight="1" x14ac:dyDescent="0.2"/>
    <row r="425" spans="1:24" ht="13.5" customHeight="1" x14ac:dyDescent="0.2">
      <c r="A425" s="530" t="s">
        <v>391</v>
      </c>
      <c r="B425" s="530"/>
      <c r="C425" s="531" t="s">
        <v>392</v>
      </c>
      <c r="D425" s="531"/>
      <c r="E425" s="531"/>
      <c r="F425" s="531"/>
      <c r="G425" s="531"/>
      <c r="I425" s="532">
        <v>39707</v>
      </c>
      <c r="J425" s="532"/>
      <c r="K425" s="533">
        <v>19690</v>
      </c>
      <c r="L425" s="533"/>
      <c r="M425" s="533">
        <v>7026</v>
      </c>
      <c r="N425" s="533"/>
      <c r="O425" s="533">
        <v>0</v>
      </c>
      <c r="P425" s="533"/>
      <c r="Q425" s="533">
        <v>0</v>
      </c>
      <c r="R425" s="533"/>
      <c r="S425" s="1">
        <v>10</v>
      </c>
      <c r="T425" s="2" t="s">
        <v>289</v>
      </c>
      <c r="U425" s="533">
        <v>295</v>
      </c>
      <c r="V425" s="533"/>
      <c r="W425" s="533">
        <v>6731</v>
      </c>
      <c r="X425" s="533"/>
    </row>
    <row r="426" spans="1:24" ht="0.75" customHeight="1" x14ac:dyDescent="0.2"/>
    <row r="427" spans="1:24" ht="13.5" customHeight="1" x14ac:dyDescent="0.2">
      <c r="A427" s="530" t="s">
        <v>393</v>
      </c>
      <c r="B427" s="530"/>
      <c r="C427" s="531" t="s">
        <v>394</v>
      </c>
      <c r="D427" s="531"/>
      <c r="E427" s="531"/>
      <c r="F427" s="531"/>
      <c r="G427" s="531"/>
      <c r="I427" s="532">
        <v>39720</v>
      </c>
      <c r="J427" s="532"/>
      <c r="K427" s="533">
        <v>575.45000000000005</v>
      </c>
      <c r="L427" s="533"/>
      <c r="M427" s="533">
        <v>0</v>
      </c>
      <c r="N427" s="533"/>
      <c r="O427" s="533">
        <v>0</v>
      </c>
      <c r="P427" s="533"/>
      <c r="Q427" s="533">
        <v>0</v>
      </c>
      <c r="R427" s="533"/>
      <c r="S427" s="1">
        <v>18.75</v>
      </c>
      <c r="T427" s="2" t="s">
        <v>289</v>
      </c>
      <c r="U427" s="533">
        <v>0</v>
      </c>
      <c r="V427" s="533"/>
      <c r="W427" s="533">
        <v>0</v>
      </c>
      <c r="X427" s="533"/>
    </row>
    <row r="428" spans="1:24" ht="0.75" customHeight="1" x14ac:dyDescent="0.2"/>
    <row r="429" spans="1:24" ht="13.5" customHeight="1" x14ac:dyDescent="0.2">
      <c r="A429" s="530" t="s">
        <v>395</v>
      </c>
      <c r="B429" s="530"/>
      <c r="C429" s="531" t="s">
        <v>396</v>
      </c>
      <c r="D429" s="531"/>
      <c r="E429" s="531"/>
      <c r="F429" s="531"/>
      <c r="G429" s="531"/>
      <c r="I429" s="532">
        <v>39720</v>
      </c>
      <c r="J429" s="532"/>
      <c r="K429" s="533">
        <v>1055</v>
      </c>
      <c r="L429" s="533"/>
      <c r="M429" s="533">
        <v>0</v>
      </c>
      <c r="N429" s="533"/>
      <c r="O429" s="533">
        <v>0</v>
      </c>
      <c r="P429" s="533"/>
      <c r="Q429" s="533">
        <v>0</v>
      </c>
      <c r="R429" s="533"/>
      <c r="S429" s="1">
        <v>10</v>
      </c>
      <c r="T429" s="2" t="s">
        <v>289</v>
      </c>
      <c r="U429" s="533">
        <v>0</v>
      </c>
      <c r="V429" s="533"/>
      <c r="W429" s="533">
        <v>0</v>
      </c>
      <c r="X429" s="533"/>
    </row>
    <row r="430" spans="1:24" ht="0.75" customHeight="1" x14ac:dyDescent="0.2"/>
    <row r="431" spans="1:24" ht="13.5" customHeight="1" x14ac:dyDescent="0.2">
      <c r="A431" s="530" t="s">
        <v>397</v>
      </c>
      <c r="B431" s="530"/>
      <c r="C431" s="531" t="s">
        <v>398</v>
      </c>
      <c r="D431" s="531"/>
      <c r="E431" s="531"/>
      <c r="F431" s="531"/>
      <c r="G431" s="531"/>
      <c r="I431" s="532">
        <v>39720</v>
      </c>
      <c r="J431" s="532"/>
      <c r="K431" s="533">
        <v>1150.9100000000001</v>
      </c>
      <c r="L431" s="533"/>
      <c r="M431" s="533">
        <v>0</v>
      </c>
      <c r="N431" s="533"/>
      <c r="O431" s="533">
        <v>0</v>
      </c>
      <c r="P431" s="533"/>
      <c r="Q431" s="533">
        <v>0</v>
      </c>
      <c r="R431" s="533"/>
      <c r="S431" s="1">
        <v>10</v>
      </c>
      <c r="T431" s="2" t="s">
        <v>289</v>
      </c>
      <c r="U431" s="533">
        <v>0</v>
      </c>
      <c r="V431" s="533"/>
      <c r="W431" s="533">
        <v>0</v>
      </c>
      <c r="X431" s="533"/>
    </row>
    <row r="432" spans="1:24" ht="0.75" customHeight="1" x14ac:dyDescent="0.2"/>
    <row r="433" spans="1:24" ht="13.5" customHeight="1" x14ac:dyDescent="0.2">
      <c r="A433" s="530" t="s">
        <v>399</v>
      </c>
      <c r="B433" s="530"/>
      <c r="C433" s="531" t="s">
        <v>400</v>
      </c>
      <c r="D433" s="531"/>
      <c r="E433" s="531"/>
      <c r="F433" s="531"/>
      <c r="G433" s="531"/>
      <c r="I433" s="532">
        <v>39720</v>
      </c>
      <c r="J433" s="532"/>
      <c r="K433" s="533">
        <v>3644.55</v>
      </c>
      <c r="L433" s="533"/>
      <c r="M433" s="533">
        <v>1305.55</v>
      </c>
      <c r="N433" s="533"/>
      <c r="O433" s="533">
        <v>0</v>
      </c>
      <c r="P433" s="533"/>
      <c r="Q433" s="533">
        <v>0</v>
      </c>
      <c r="R433" s="533"/>
      <c r="S433" s="1">
        <v>10</v>
      </c>
      <c r="T433" s="2" t="s">
        <v>289</v>
      </c>
      <c r="U433" s="533">
        <v>55</v>
      </c>
      <c r="V433" s="533"/>
      <c r="W433" s="533">
        <v>1250.55</v>
      </c>
      <c r="X433" s="533"/>
    </row>
    <row r="434" spans="1:24" ht="0.75" customHeight="1" x14ac:dyDescent="0.2"/>
    <row r="435" spans="1:24" ht="13.5" customHeight="1" x14ac:dyDescent="0.2">
      <c r="A435" s="530" t="s">
        <v>401</v>
      </c>
      <c r="B435" s="530"/>
      <c r="C435" s="531" t="s">
        <v>380</v>
      </c>
      <c r="D435" s="531"/>
      <c r="E435" s="531"/>
      <c r="F435" s="531"/>
      <c r="G435" s="531"/>
      <c r="I435" s="532">
        <v>37711</v>
      </c>
      <c r="J435" s="532"/>
      <c r="K435" s="533">
        <v>218.55</v>
      </c>
      <c r="L435" s="533"/>
      <c r="M435" s="533">
        <v>0</v>
      </c>
      <c r="N435" s="533"/>
      <c r="O435" s="533">
        <v>0</v>
      </c>
      <c r="P435" s="533"/>
      <c r="Q435" s="533">
        <v>0</v>
      </c>
      <c r="R435" s="533"/>
      <c r="S435" s="1">
        <v>20</v>
      </c>
      <c r="T435" s="2" t="s">
        <v>289</v>
      </c>
      <c r="U435" s="533">
        <v>0</v>
      </c>
      <c r="V435" s="533"/>
      <c r="W435" s="533">
        <v>0</v>
      </c>
      <c r="X435" s="533"/>
    </row>
    <row r="436" spans="1:24" ht="0.75" customHeight="1" x14ac:dyDescent="0.2"/>
    <row r="437" spans="1:24" ht="13.5" customHeight="1" x14ac:dyDescent="0.2">
      <c r="A437" s="530" t="s">
        <v>402</v>
      </c>
      <c r="B437" s="530"/>
      <c r="C437" s="531" t="s">
        <v>403</v>
      </c>
      <c r="D437" s="531"/>
      <c r="E437" s="531"/>
      <c r="F437" s="531"/>
      <c r="G437" s="531"/>
      <c r="I437" s="532">
        <v>39720</v>
      </c>
      <c r="J437" s="532"/>
      <c r="K437" s="533">
        <v>13331.36</v>
      </c>
      <c r="L437" s="533"/>
      <c r="M437" s="533">
        <v>4774.3599999999997</v>
      </c>
      <c r="N437" s="533"/>
      <c r="O437" s="533">
        <v>0</v>
      </c>
      <c r="P437" s="533"/>
      <c r="Q437" s="533">
        <v>0</v>
      </c>
      <c r="R437" s="533"/>
      <c r="S437" s="1">
        <v>10</v>
      </c>
      <c r="T437" s="2" t="s">
        <v>289</v>
      </c>
      <c r="U437" s="533">
        <v>200</v>
      </c>
      <c r="V437" s="533"/>
      <c r="W437" s="533">
        <v>4574.3599999999997</v>
      </c>
      <c r="X437" s="533"/>
    </row>
    <row r="438" spans="1:24" ht="0.75" customHeight="1" x14ac:dyDescent="0.2"/>
    <row r="439" spans="1:24" ht="13.5" customHeight="1" x14ac:dyDescent="0.2">
      <c r="A439" s="530" t="s">
        <v>404</v>
      </c>
      <c r="B439" s="530"/>
      <c r="C439" s="531" t="s">
        <v>405</v>
      </c>
      <c r="D439" s="531"/>
      <c r="E439" s="531"/>
      <c r="F439" s="531"/>
      <c r="G439" s="531"/>
      <c r="I439" s="532">
        <v>39720</v>
      </c>
      <c r="J439" s="532"/>
      <c r="K439" s="533">
        <v>633</v>
      </c>
      <c r="L439" s="533"/>
      <c r="M439" s="533">
        <v>0</v>
      </c>
      <c r="N439" s="533"/>
      <c r="O439" s="533">
        <v>0</v>
      </c>
      <c r="P439" s="533"/>
      <c r="Q439" s="533">
        <v>0</v>
      </c>
      <c r="R439" s="533"/>
      <c r="S439" s="1">
        <v>18.75</v>
      </c>
      <c r="T439" s="2" t="s">
        <v>289</v>
      </c>
      <c r="U439" s="533">
        <v>0</v>
      </c>
      <c r="V439" s="533"/>
      <c r="W439" s="533">
        <v>0</v>
      </c>
      <c r="X439" s="533"/>
    </row>
    <row r="440" spans="1:24" ht="0.75" customHeight="1" x14ac:dyDescent="0.2"/>
    <row r="441" spans="1:24" ht="13.5" customHeight="1" x14ac:dyDescent="0.2">
      <c r="A441" s="530" t="s">
        <v>406</v>
      </c>
      <c r="B441" s="530"/>
      <c r="C441" s="531" t="s">
        <v>323</v>
      </c>
      <c r="D441" s="531"/>
      <c r="E441" s="531"/>
      <c r="F441" s="531"/>
      <c r="G441" s="531"/>
      <c r="I441" s="532">
        <v>39744</v>
      </c>
      <c r="J441" s="532"/>
      <c r="K441" s="533">
        <v>1635.45</v>
      </c>
      <c r="L441" s="533"/>
      <c r="M441" s="533">
        <v>0</v>
      </c>
      <c r="N441" s="533"/>
      <c r="O441" s="533">
        <v>0</v>
      </c>
      <c r="P441" s="533"/>
      <c r="Q441" s="533">
        <v>0</v>
      </c>
      <c r="R441" s="533"/>
      <c r="S441" s="1">
        <v>66.67</v>
      </c>
      <c r="T441" s="2" t="s">
        <v>289</v>
      </c>
      <c r="U441" s="533">
        <v>0</v>
      </c>
      <c r="V441" s="533"/>
      <c r="W441" s="533">
        <v>0</v>
      </c>
      <c r="X441" s="533"/>
    </row>
    <row r="442" spans="1:24" ht="0.75" customHeight="1" x14ac:dyDescent="0.2"/>
    <row r="443" spans="1:24" ht="13.5" customHeight="1" x14ac:dyDescent="0.2">
      <c r="A443" s="530" t="s">
        <v>407</v>
      </c>
      <c r="B443" s="530"/>
      <c r="C443" s="531" t="s">
        <v>323</v>
      </c>
      <c r="D443" s="531"/>
      <c r="E443" s="531"/>
      <c r="F443" s="531"/>
      <c r="G443" s="531"/>
      <c r="I443" s="532">
        <v>39755</v>
      </c>
      <c r="J443" s="532"/>
      <c r="K443" s="533">
        <v>1726.3600000000001</v>
      </c>
      <c r="L443" s="533"/>
      <c r="M443" s="533">
        <v>0</v>
      </c>
      <c r="N443" s="533"/>
      <c r="O443" s="533">
        <v>0</v>
      </c>
      <c r="P443" s="533"/>
      <c r="Q443" s="533">
        <v>0</v>
      </c>
      <c r="R443" s="533"/>
      <c r="S443" s="1">
        <v>66.67</v>
      </c>
      <c r="T443" s="2" t="s">
        <v>289</v>
      </c>
      <c r="U443" s="533">
        <v>0</v>
      </c>
      <c r="V443" s="533"/>
      <c r="W443" s="533">
        <v>0</v>
      </c>
      <c r="X443" s="533"/>
    </row>
    <row r="444" spans="1:24" ht="0.75" customHeight="1" x14ac:dyDescent="0.2"/>
    <row r="445" spans="1:24" ht="13.5" customHeight="1" x14ac:dyDescent="0.2">
      <c r="A445" s="530" t="s">
        <v>408</v>
      </c>
      <c r="B445" s="530"/>
      <c r="C445" s="531" t="s">
        <v>409</v>
      </c>
      <c r="D445" s="531"/>
      <c r="E445" s="531"/>
      <c r="F445" s="531"/>
      <c r="G445" s="531"/>
      <c r="I445" s="532">
        <v>39769</v>
      </c>
      <c r="J445" s="532"/>
      <c r="K445" s="533">
        <v>940</v>
      </c>
      <c r="L445" s="533"/>
      <c r="M445" s="533">
        <v>0</v>
      </c>
      <c r="N445" s="533"/>
      <c r="O445" s="533">
        <v>0</v>
      </c>
      <c r="P445" s="533"/>
      <c r="Q445" s="533">
        <v>0</v>
      </c>
      <c r="R445" s="533"/>
      <c r="S445" s="1">
        <v>18.75</v>
      </c>
      <c r="T445" s="2" t="s">
        <v>289</v>
      </c>
      <c r="U445" s="533">
        <v>0</v>
      </c>
      <c r="V445" s="533"/>
      <c r="W445" s="533">
        <v>0</v>
      </c>
      <c r="X445" s="533"/>
    </row>
    <row r="446" spans="1:24" ht="0.75" customHeight="1" x14ac:dyDescent="0.2"/>
    <row r="447" spans="1:24" ht="13.5" customHeight="1" x14ac:dyDescent="0.2">
      <c r="A447" s="530" t="s">
        <v>410</v>
      </c>
      <c r="B447" s="530"/>
      <c r="C447" s="531" t="s">
        <v>411</v>
      </c>
      <c r="D447" s="531"/>
      <c r="E447" s="531"/>
      <c r="F447" s="531"/>
      <c r="G447" s="531"/>
      <c r="I447" s="532">
        <v>39806</v>
      </c>
      <c r="J447" s="532"/>
      <c r="K447" s="533">
        <v>2220</v>
      </c>
      <c r="L447" s="533"/>
      <c r="M447" s="533">
        <v>0</v>
      </c>
      <c r="N447" s="533"/>
      <c r="O447" s="533">
        <v>0</v>
      </c>
      <c r="P447" s="533"/>
      <c r="Q447" s="533">
        <v>0</v>
      </c>
      <c r="R447" s="533"/>
      <c r="S447" s="1">
        <v>66.67</v>
      </c>
      <c r="T447" s="2" t="s">
        <v>289</v>
      </c>
      <c r="U447" s="533">
        <v>0</v>
      </c>
      <c r="V447" s="533"/>
      <c r="W447" s="533">
        <v>0</v>
      </c>
      <c r="X447" s="533"/>
    </row>
    <row r="448" spans="1:24" ht="0.75" customHeight="1" x14ac:dyDescent="0.2"/>
    <row r="449" spans="1:24" ht="13.5" customHeight="1" x14ac:dyDescent="0.2">
      <c r="A449" s="530" t="s">
        <v>412</v>
      </c>
      <c r="B449" s="530"/>
      <c r="C449" s="531" t="s">
        <v>413</v>
      </c>
      <c r="D449" s="531"/>
      <c r="E449" s="531"/>
      <c r="F449" s="531"/>
      <c r="G449" s="531"/>
      <c r="I449" s="532">
        <v>39829</v>
      </c>
      <c r="J449" s="532"/>
      <c r="K449" s="533">
        <v>39099</v>
      </c>
      <c r="L449" s="533"/>
      <c r="M449" s="533">
        <v>4770</v>
      </c>
      <c r="N449" s="533"/>
      <c r="O449" s="533">
        <v>0</v>
      </c>
      <c r="P449" s="533"/>
      <c r="Q449" s="533">
        <v>0</v>
      </c>
      <c r="R449" s="533"/>
      <c r="S449" s="1">
        <v>20</v>
      </c>
      <c r="T449" s="2" t="s">
        <v>289</v>
      </c>
      <c r="U449" s="533">
        <v>400</v>
      </c>
      <c r="V449" s="533"/>
      <c r="W449" s="533">
        <v>4370</v>
      </c>
      <c r="X449" s="533"/>
    </row>
    <row r="450" spans="1:24" ht="0.75" customHeight="1" x14ac:dyDescent="0.2"/>
    <row r="451" spans="1:24" ht="13.5" customHeight="1" x14ac:dyDescent="0.2">
      <c r="A451" s="530" t="s">
        <v>414</v>
      </c>
      <c r="B451" s="530"/>
      <c r="C451" s="531" t="s">
        <v>380</v>
      </c>
      <c r="D451" s="531"/>
      <c r="E451" s="531"/>
      <c r="F451" s="531"/>
      <c r="G451" s="531"/>
      <c r="I451" s="532">
        <v>37725</v>
      </c>
      <c r="J451" s="532"/>
      <c r="K451" s="533">
        <v>490.91</v>
      </c>
      <c r="L451" s="533"/>
      <c r="M451" s="533">
        <v>0</v>
      </c>
      <c r="N451" s="533"/>
      <c r="O451" s="533">
        <v>0</v>
      </c>
      <c r="P451" s="533"/>
      <c r="Q451" s="533">
        <v>0</v>
      </c>
      <c r="R451" s="533"/>
      <c r="S451" s="1">
        <v>20</v>
      </c>
      <c r="T451" s="2" t="s">
        <v>289</v>
      </c>
      <c r="U451" s="533">
        <v>0</v>
      </c>
      <c r="V451" s="533"/>
      <c r="W451" s="533">
        <v>0</v>
      </c>
      <c r="X451" s="533"/>
    </row>
    <row r="452" spans="1:24" ht="0.75" customHeight="1" x14ac:dyDescent="0.2"/>
    <row r="453" spans="1:24" ht="13.5" customHeight="1" x14ac:dyDescent="0.2">
      <c r="A453" s="530" t="s">
        <v>415</v>
      </c>
      <c r="B453" s="530"/>
      <c r="C453" s="531" t="s">
        <v>416</v>
      </c>
      <c r="D453" s="531"/>
      <c r="E453" s="531"/>
      <c r="F453" s="531"/>
      <c r="G453" s="531"/>
      <c r="I453" s="532">
        <v>39835</v>
      </c>
      <c r="J453" s="532"/>
      <c r="K453" s="533">
        <v>2014.73</v>
      </c>
      <c r="L453" s="533"/>
      <c r="M453" s="533">
        <v>0</v>
      </c>
      <c r="N453" s="533"/>
      <c r="O453" s="533">
        <v>0</v>
      </c>
      <c r="P453" s="533"/>
      <c r="Q453" s="533">
        <v>0</v>
      </c>
      <c r="R453" s="533"/>
      <c r="S453" s="1">
        <v>20</v>
      </c>
      <c r="T453" s="2" t="s">
        <v>289</v>
      </c>
      <c r="U453" s="533">
        <v>0</v>
      </c>
      <c r="V453" s="533"/>
      <c r="W453" s="533">
        <v>0</v>
      </c>
      <c r="X453" s="533"/>
    </row>
    <row r="454" spans="1:24" ht="0.75" customHeight="1" x14ac:dyDescent="0.2"/>
    <row r="455" spans="1:24" ht="13.5" customHeight="1" x14ac:dyDescent="0.2">
      <c r="A455" s="530" t="s">
        <v>417</v>
      </c>
      <c r="B455" s="530"/>
      <c r="C455" s="531" t="s">
        <v>418</v>
      </c>
      <c r="D455" s="531"/>
      <c r="E455" s="531"/>
      <c r="F455" s="531"/>
      <c r="G455" s="531"/>
      <c r="I455" s="532">
        <v>39833</v>
      </c>
      <c r="J455" s="532"/>
      <c r="K455" s="533">
        <v>7283.5</v>
      </c>
      <c r="L455" s="533"/>
      <c r="M455" s="533">
        <v>2696.5</v>
      </c>
      <c r="N455" s="533"/>
      <c r="O455" s="533">
        <v>0</v>
      </c>
      <c r="P455" s="533"/>
      <c r="Q455" s="533">
        <v>0</v>
      </c>
      <c r="R455" s="533"/>
      <c r="S455" s="1">
        <v>10</v>
      </c>
      <c r="T455" s="2" t="s">
        <v>289</v>
      </c>
      <c r="U455" s="533">
        <v>113</v>
      </c>
      <c r="V455" s="533"/>
      <c r="W455" s="533">
        <v>2583.5</v>
      </c>
      <c r="X455" s="533"/>
    </row>
    <row r="456" spans="1:24" ht="0.75" customHeight="1" x14ac:dyDescent="0.2"/>
    <row r="457" spans="1:24" ht="13.5" customHeight="1" x14ac:dyDescent="0.2">
      <c r="A457" s="530" t="s">
        <v>419</v>
      </c>
      <c r="B457" s="530"/>
      <c r="C457" s="531" t="s">
        <v>420</v>
      </c>
      <c r="D457" s="531"/>
      <c r="E457" s="531"/>
      <c r="F457" s="531"/>
      <c r="G457" s="531"/>
      <c r="I457" s="532">
        <v>39854</v>
      </c>
      <c r="J457" s="532"/>
      <c r="K457" s="533">
        <v>1520</v>
      </c>
      <c r="L457" s="533"/>
      <c r="M457" s="533">
        <v>0</v>
      </c>
      <c r="N457" s="533"/>
      <c r="O457" s="533">
        <v>0</v>
      </c>
      <c r="P457" s="533"/>
      <c r="Q457" s="533">
        <v>0</v>
      </c>
      <c r="R457" s="533"/>
      <c r="S457" s="1">
        <v>20</v>
      </c>
      <c r="T457" s="2" t="s">
        <v>289</v>
      </c>
      <c r="U457" s="533">
        <v>0</v>
      </c>
      <c r="V457" s="533"/>
      <c r="W457" s="533">
        <v>0</v>
      </c>
      <c r="X457" s="533"/>
    </row>
    <row r="458" spans="1:24" ht="0.75" customHeight="1" x14ac:dyDescent="0.2"/>
    <row r="459" spans="1:24" ht="13.5" customHeight="1" x14ac:dyDescent="0.2">
      <c r="A459" s="530" t="s">
        <v>421</v>
      </c>
      <c r="B459" s="530"/>
      <c r="C459" s="531" t="s">
        <v>422</v>
      </c>
      <c r="D459" s="531"/>
      <c r="E459" s="531"/>
      <c r="F459" s="531"/>
      <c r="G459" s="531"/>
      <c r="I459" s="532">
        <v>39867</v>
      </c>
      <c r="J459" s="532"/>
      <c r="K459" s="533">
        <v>2965.46</v>
      </c>
      <c r="L459" s="533"/>
      <c r="M459" s="533">
        <v>370.46</v>
      </c>
      <c r="N459" s="533"/>
      <c r="O459" s="533">
        <v>0</v>
      </c>
      <c r="P459" s="533"/>
      <c r="Q459" s="533">
        <v>0</v>
      </c>
      <c r="R459" s="533"/>
      <c r="S459" s="1">
        <v>20</v>
      </c>
      <c r="T459" s="2" t="s">
        <v>289</v>
      </c>
      <c r="U459" s="533">
        <v>31</v>
      </c>
      <c r="V459" s="533"/>
      <c r="W459" s="533">
        <v>339.46</v>
      </c>
      <c r="X459" s="533"/>
    </row>
    <row r="460" spans="1:24" ht="0.75" customHeight="1" x14ac:dyDescent="0.2"/>
    <row r="461" spans="1:24" ht="13.5" customHeight="1" x14ac:dyDescent="0.2">
      <c r="A461" s="530" t="s">
        <v>423</v>
      </c>
      <c r="B461" s="530"/>
      <c r="C461" s="531" t="s">
        <v>424</v>
      </c>
      <c r="D461" s="531"/>
      <c r="E461" s="531"/>
      <c r="F461" s="531"/>
      <c r="G461" s="531"/>
      <c r="I461" s="532">
        <v>39905</v>
      </c>
      <c r="J461" s="532"/>
      <c r="K461" s="533">
        <v>1900</v>
      </c>
      <c r="L461" s="533"/>
      <c r="M461" s="533">
        <v>0</v>
      </c>
      <c r="N461" s="533"/>
      <c r="O461" s="533">
        <v>0</v>
      </c>
      <c r="P461" s="533"/>
      <c r="Q461" s="533">
        <v>0</v>
      </c>
      <c r="R461" s="533"/>
      <c r="S461" s="1">
        <v>20</v>
      </c>
      <c r="T461" s="2" t="s">
        <v>289</v>
      </c>
      <c r="U461" s="533">
        <v>0</v>
      </c>
      <c r="V461" s="533"/>
      <c r="W461" s="533">
        <v>0</v>
      </c>
      <c r="X461" s="533"/>
    </row>
    <row r="462" spans="1:24" ht="0.75" customHeight="1" x14ac:dyDescent="0.2"/>
    <row r="463" spans="1:24" ht="13.5" customHeight="1" x14ac:dyDescent="0.2">
      <c r="A463" s="530" t="s">
        <v>425</v>
      </c>
      <c r="B463" s="530"/>
      <c r="C463" s="531" t="s">
        <v>362</v>
      </c>
      <c r="D463" s="531"/>
      <c r="E463" s="531"/>
      <c r="F463" s="531"/>
      <c r="G463" s="531"/>
      <c r="I463" s="532">
        <v>37746</v>
      </c>
      <c r="J463" s="532"/>
      <c r="K463" s="533">
        <v>185.70000000000002</v>
      </c>
      <c r="L463" s="533"/>
      <c r="M463" s="533">
        <v>0</v>
      </c>
      <c r="N463" s="533"/>
      <c r="O463" s="533">
        <v>0</v>
      </c>
      <c r="P463" s="533"/>
      <c r="Q463" s="533">
        <v>0</v>
      </c>
      <c r="R463" s="533"/>
      <c r="S463" s="1">
        <v>20</v>
      </c>
      <c r="T463" s="2" t="s">
        <v>289</v>
      </c>
      <c r="U463" s="533">
        <v>0</v>
      </c>
      <c r="V463" s="533"/>
      <c r="W463" s="533">
        <v>0</v>
      </c>
      <c r="X463" s="533"/>
    </row>
    <row r="464" spans="1:24" ht="0.75" customHeight="1" x14ac:dyDescent="0.2"/>
    <row r="465" spans="1:24" ht="13.5" customHeight="1" x14ac:dyDescent="0.2">
      <c r="A465" s="530" t="s">
        <v>426</v>
      </c>
      <c r="B465" s="530"/>
      <c r="C465" s="525" t="s">
        <v>427</v>
      </c>
      <c r="D465" s="525"/>
      <c r="E465" s="525"/>
      <c r="F465" s="525"/>
      <c r="G465" s="525"/>
      <c r="I465" s="532">
        <v>39955</v>
      </c>
      <c r="J465" s="532"/>
      <c r="K465" s="533">
        <v>2737.55</v>
      </c>
      <c r="L465" s="533"/>
      <c r="M465" s="533">
        <v>359.55</v>
      </c>
      <c r="N465" s="533"/>
      <c r="O465" s="533">
        <v>0</v>
      </c>
      <c r="P465" s="533"/>
      <c r="Q465" s="533">
        <v>0</v>
      </c>
      <c r="R465" s="533"/>
      <c r="S465" s="1">
        <v>20</v>
      </c>
      <c r="T465" s="2" t="s">
        <v>289</v>
      </c>
      <c r="U465" s="533">
        <v>30</v>
      </c>
      <c r="V465" s="533"/>
      <c r="W465" s="533">
        <v>329.55</v>
      </c>
      <c r="X465" s="533"/>
    </row>
    <row r="466" spans="1:24" ht="12" customHeight="1" x14ac:dyDescent="0.2">
      <c r="C466" s="525"/>
      <c r="D466" s="525"/>
      <c r="E466" s="525"/>
      <c r="F466" s="525"/>
      <c r="G466" s="525"/>
    </row>
    <row r="467" spans="1:24" ht="13.5" customHeight="1" x14ac:dyDescent="0.2">
      <c r="A467" s="530" t="s">
        <v>428</v>
      </c>
      <c r="B467" s="530"/>
      <c r="C467" s="531" t="s">
        <v>429</v>
      </c>
      <c r="D467" s="531"/>
      <c r="E467" s="531"/>
      <c r="F467" s="531"/>
      <c r="G467" s="531"/>
      <c r="I467" s="532">
        <v>39981</v>
      </c>
      <c r="J467" s="532"/>
      <c r="K467" s="533">
        <v>1430.91</v>
      </c>
      <c r="L467" s="533"/>
      <c r="M467" s="533">
        <v>0</v>
      </c>
      <c r="N467" s="533"/>
      <c r="O467" s="533">
        <v>0</v>
      </c>
      <c r="P467" s="533"/>
      <c r="Q467" s="533">
        <v>0</v>
      </c>
      <c r="R467" s="533"/>
      <c r="S467" s="1">
        <v>20</v>
      </c>
      <c r="T467" s="2" t="s">
        <v>289</v>
      </c>
      <c r="U467" s="533">
        <v>0</v>
      </c>
      <c r="V467" s="533"/>
      <c r="W467" s="533">
        <v>0</v>
      </c>
      <c r="X467" s="533"/>
    </row>
    <row r="468" spans="1:24" ht="0.75" customHeight="1" x14ac:dyDescent="0.2"/>
    <row r="469" spans="1:24" ht="13.5" customHeight="1" x14ac:dyDescent="0.2">
      <c r="A469" s="530" t="s">
        <v>430</v>
      </c>
      <c r="B469" s="530"/>
      <c r="C469" s="531" t="s">
        <v>431</v>
      </c>
      <c r="D469" s="531"/>
      <c r="E469" s="531"/>
      <c r="F469" s="531"/>
      <c r="G469" s="531"/>
      <c r="I469" s="532">
        <v>39981</v>
      </c>
      <c r="J469" s="532"/>
      <c r="K469" s="533">
        <v>1635.45</v>
      </c>
      <c r="L469" s="533"/>
      <c r="M469" s="533">
        <v>0</v>
      </c>
      <c r="N469" s="533"/>
      <c r="O469" s="533">
        <v>0</v>
      </c>
      <c r="P469" s="533"/>
      <c r="Q469" s="533">
        <v>0</v>
      </c>
      <c r="R469" s="533"/>
      <c r="S469" s="1">
        <v>20</v>
      </c>
      <c r="T469" s="2" t="s">
        <v>289</v>
      </c>
      <c r="U469" s="533">
        <v>0</v>
      </c>
      <c r="V469" s="533"/>
      <c r="W469" s="533">
        <v>0</v>
      </c>
      <c r="X469" s="533"/>
    </row>
    <row r="470" spans="1:24" ht="0.75" customHeight="1" x14ac:dyDescent="0.2"/>
    <row r="471" spans="1:24" ht="13.5" customHeight="1" x14ac:dyDescent="0.2">
      <c r="A471" s="530" t="s">
        <v>432</v>
      </c>
      <c r="B471" s="530"/>
      <c r="C471" s="531" t="s">
        <v>433</v>
      </c>
      <c r="D471" s="531"/>
      <c r="E471" s="531"/>
      <c r="F471" s="531"/>
      <c r="G471" s="531"/>
      <c r="I471" s="532">
        <v>39988</v>
      </c>
      <c r="J471" s="532"/>
      <c r="K471" s="533">
        <v>36880</v>
      </c>
      <c r="L471" s="533"/>
      <c r="M471" s="533">
        <v>8509</v>
      </c>
      <c r="N471" s="533"/>
      <c r="O471" s="533">
        <v>0</v>
      </c>
      <c r="P471" s="533"/>
      <c r="Q471" s="533">
        <v>0</v>
      </c>
      <c r="R471" s="533"/>
      <c r="S471" s="1">
        <v>15</v>
      </c>
      <c r="T471" s="2" t="s">
        <v>289</v>
      </c>
      <c r="U471" s="533">
        <v>535</v>
      </c>
      <c r="V471" s="533"/>
      <c r="W471" s="533">
        <v>7974</v>
      </c>
      <c r="X471" s="533"/>
    </row>
    <row r="472" spans="1:24" ht="0.75" customHeight="1" x14ac:dyDescent="0.2"/>
    <row r="473" spans="1:24" ht="13.5" customHeight="1" x14ac:dyDescent="0.2">
      <c r="A473" s="530" t="s">
        <v>434</v>
      </c>
      <c r="B473" s="530"/>
      <c r="C473" s="531" t="s">
        <v>380</v>
      </c>
      <c r="D473" s="531"/>
      <c r="E473" s="531"/>
      <c r="F473" s="531"/>
      <c r="G473" s="531"/>
      <c r="I473" s="532">
        <v>37792</v>
      </c>
      <c r="J473" s="532"/>
      <c r="K473" s="533">
        <v>229.17000000000002</v>
      </c>
      <c r="L473" s="533"/>
      <c r="M473" s="533">
        <v>0</v>
      </c>
      <c r="N473" s="533"/>
      <c r="O473" s="533">
        <v>0</v>
      </c>
      <c r="P473" s="533"/>
      <c r="Q473" s="533">
        <v>0</v>
      </c>
      <c r="R473" s="533"/>
      <c r="S473" s="1">
        <v>20</v>
      </c>
      <c r="T473" s="2" t="s">
        <v>289</v>
      </c>
      <c r="U473" s="533">
        <v>0</v>
      </c>
      <c r="V473" s="533"/>
      <c r="W473" s="533">
        <v>0</v>
      </c>
      <c r="X473" s="533"/>
    </row>
    <row r="474" spans="1:24" ht="0.75" customHeight="1" x14ac:dyDescent="0.2"/>
    <row r="475" spans="1:24" ht="13.5" customHeight="1" x14ac:dyDescent="0.2">
      <c r="A475" s="530" t="s">
        <v>435</v>
      </c>
      <c r="B475" s="530"/>
      <c r="C475" s="531" t="s">
        <v>436</v>
      </c>
      <c r="D475" s="531"/>
      <c r="E475" s="531"/>
      <c r="F475" s="531"/>
      <c r="G475" s="531"/>
      <c r="I475" s="532">
        <v>39692</v>
      </c>
      <c r="J475" s="532"/>
      <c r="K475" s="533">
        <v>375.90000000000003</v>
      </c>
      <c r="L475" s="533"/>
      <c r="M475" s="533">
        <v>0</v>
      </c>
      <c r="N475" s="533"/>
      <c r="O475" s="533">
        <v>0</v>
      </c>
      <c r="P475" s="533"/>
      <c r="Q475" s="533">
        <v>0</v>
      </c>
      <c r="R475" s="533"/>
      <c r="S475" s="1">
        <v>18.75</v>
      </c>
      <c r="T475" s="2" t="s">
        <v>289</v>
      </c>
      <c r="U475" s="533">
        <v>0</v>
      </c>
      <c r="V475" s="533"/>
      <c r="W475" s="533">
        <v>0</v>
      </c>
      <c r="X475" s="533"/>
    </row>
    <row r="476" spans="1:24" ht="0.75" customHeight="1" x14ac:dyDescent="0.2"/>
    <row r="477" spans="1:24" ht="13.5" customHeight="1" x14ac:dyDescent="0.2">
      <c r="A477" s="530" t="s">
        <v>437</v>
      </c>
      <c r="B477" s="530"/>
      <c r="C477" s="531" t="s">
        <v>438</v>
      </c>
      <c r="D477" s="531"/>
      <c r="E477" s="531"/>
      <c r="F477" s="531"/>
      <c r="G477" s="531"/>
      <c r="I477" s="532">
        <v>39750</v>
      </c>
      <c r="J477" s="532"/>
      <c r="K477" s="533">
        <v>427</v>
      </c>
      <c r="L477" s="533"/>
      <c r="M477" s="533">
        <v>0</v>
      </c>
      <c r="N477" s="533"/>
      <c r="O477" s="533">
        <v>0</v>
      </c>
      <c r="P477" s="533"/>
      <c r="Q477" s="533">
        <v>0</v>
      </c>
      <c r="R477" s="533"/>
      <c r="S477" s="1">
        <v>18.75</v>
      </c>
      <c r="T477" s="2" t="s">
        <v>289</v>
      </c>
      <c r="U477" s="533">
        <v>0</v>
      </c>
      <c r="V477" s="533"/>
      <c r="W477" s="533">
        <v>0</v>
      </c>
      <c r="X477" s="533"/>
    </row>
    <row r="478" spans="1:24" ht="0.75" customHeight="1" x14ac:dyDescent="0.2"/>
    <row r="479" spans="1:24" ht="13.5" customHeight="1" x14ac:dyDescent="0.2">
      <c r="A479" s="530" t="s">
        <v>439</v>
      </c>
      <c r="B479" s="530"/>
      <c r="C479" s="531" t="s">
        <v>440</v>
      </c>
      <c r="D479" s="531"/>
      <c r="E479" s="531"/>
      <c r="F479" s="531"/>
      <c r="G479" s="531"/>
      <c r="I479" s="532">
        <v>39765</v>
      </c>
      <c r="J479" s="532"/>
      <c r="K479" s="533">
        <v>442</v>
      </c>
      <c r="L479" s="533"/>
      <c r="M479" s="533">
        <v>0</v>
      </c>
      <c r="N479" s="533"/>
      <c r="O479" s="533">
        <v>0</v>
      </c>
      <c r="P479" s="533"/>
      <c r="Q479" s="533">
        <v>0</v>
      </c>
      <c r="R479" s="533"/>
      <c r="S479" s="1">
        <v>18.75</v>
      </c>
      <c r="T479" s="2" t="s">
        <v>289</v>
      </c>
      <c r="U479" s="533">
        <v>0</v>
      </c>
      <c r="V479" s="533"/>
      <c r="W479" s="533">
        <v>0</v>
      </c>
      <c r="X479" s="533"/>
    </row>
    <row r="480" spans="1:24" ht="0.75" customHeight="1" x14ac:dyDescent="0.2"/>
    <row r="481" spans="1:24" ht="13.5" customHeight="1" x14ac:dyDescent="0.2">
      <c r="A481" s="530" t="s">
        <v>441</v>
      </c>
      <c r="B481" s="530"/>
      <c r="C481" s="531" t="s">
        <v>442</v>
      </c>
      <c r="D481" s="531"/>
      <c r="E481" s="531"/>
      <c r="F481" s="531"/>
      <c r="G481" s="531"/>
      <c r="I481" s="532">
        <v>39787</v>
      </c>
      <c r="J481" s="532"/>
      <c r="K481" s="533">
        <v>233.96</v>
      </c>
      <c r="L481" s="533"/>
      <c r="M481" s="533">
        <v>0</v>
      </c>
      <c r="N481" s="533"/>
      <c r="O481" s="533">
        <v>0</v>
      </c>
      <c r="P481" s="533"/>
      <c r="Q481" s="533">
        <v>0</v>
      </c>
      <c r="R481" s="533"/>
      <c r="S481" s="1">
        <v>18.75</v>
      </c>
      <c r="T481" s="2" t="s">
        <v>289</v>
      </c>
      <c r="U481" s="533">
        <v>0</v>
      </c>
      <c r="V481" s="533"/>
      <c r="W481" s="533">
        <v>0</v>
      </c>
      <c r="X481" s="533"/>
    </row>
    <row r="482" spans="1:24" ht="0.75" customHeight="1" x14ac:dyDescent="0.2"/>
    <row r="483" spans="1:24" ht="13.5" customHeight="1" x14ac:dyDescent="0.2">
      <c r="A483" s="530" t="s">
        <v>443</v>
      </c>
      <c r="B483" s="530"/>
      <c r="C483" s="531" t="s">
        <v>362</v>
      </c>
      <c r="D483" s="531"/>
      <c r="E483" s="531"/>
      <c r="F483" s="531"/>
      <c r="G483" s="531"/>
      <c r="I483" s="532">
        <v>37802</v>
      </c>
      <c r="J483" s="532"/>
      <c r="K483" s="533">
        <v>318.18</v>
      </c>
      <c r="L483" s="533"/>
      <c r="M483" s="533">
        <v>0</v>
      </c>
      <c r="N483" s="533"/>
      <c r="O483" s="533">
        <v>0</v>
      </c>
      <c r="P483" s="533"/>
      <c r="Q483" s="533">
        <v>0</v>
      </c>
      <c r="R483" s="533"/>
      <c r="S483" s="1">
        <v>20</v>
      </c>
      <c r="T483" s="2" t="s">
        <v>289</v>
      </c>
      <c r="U483" s="533">
        <v>0</v>
      </c>
      <c r="V483" s="533"/>
      <c r="W483" s="533">
        <v>0</v>
      </c>
      <c r="X483" s="533"/>
    </row>
    <row r="484" spans="1:24" ht="0.75" customHeight="1" x14ac:dyDescent="0.2"/>
    <row r="485" spans="1:24" ht="13.5" customHeight="1" x14ac:dyDescent="0.2">
      <c r="A485" s="530" t="s">
        <v>444</v>
      </c>
      <c r="B485" s="530"/>
      <c r="C485" s="531" t="s">
        <v>445</v>
      </c>
      <c r="D485" s="531"/>
      <c r="E485" s="531"/>
      <c r="F485" s="531"/>
      <c r="G485" s="531"/>
      <c r="I485" s="532">
        <v>39790</v>
      </c>
      <c r="J485" s="532"/>
      <c r="K485" s="533">
        <v>1077.75</v>
      </c>
      <c r="L485" s="533"/>
      <c r="M485" s="533">
        <v>0</v>
      </c>
      <c r="N485" s="533"/>
      <c r="O485" s="533">
        <v>0</v>
      </c>
      <c r="P485" s="533"/>
      <c r="Q485" s="533">
        <v>0</v>
      </c>
      <c r="R485" s="533"/>
      <c r="S485" s="1">
        <v>18.75</v>
      </c>
      <c r="T485" s="2" t="s">
        <v>289</v>
      </c>
      <c r="U485" s="533">
        <v>0</v>
      </c>
      <c r="V485" s="533"/>
      <c r="W485" s="533">
        <v>0</v>
      </c>
      <c r="X485" s="533"/>
    </row>
    <row r="486" spans="1:24" ht="15" customHeight="1" x14ac:dyDescent="0.2">
      <c r="A486" s="534" t="s">
        <v>285</v>
      </c>
      <c r="B486" s="534"/>
      <c r="D486" s="534" t="s">
        <v>286</v>
      </c>
      <c r="E486" s="534"/>
      <c r="F486" s="534"/>
      <c r="G486" s="534"/>
      <c r="H486" s="534"/>
      <c r="I486" s="534"/>
      <c r="J486" s="534"/>
      <c r="K486" s="534"/>
      <c r="L486" s="534"/>
      <c r="M486" s="534"/>
      <c r="N486" s="534"/>
      <c r="O486" s="534"/>
      <c r="P486" s="534"/>
      <c r="Q486" s="534"/>
      <c r="R486" s="534"/>
      <c r="S486" s="534"/>
      <c r="T486" s="534"/>
      <c r="U486" s="534"/>
      <c r="V486" s="534"/>
    </row>
    <row r="487" spans="1:24" ht="0.75" customHeight="1" x14ac:dyDescent="0.2"/>
    <row r="488" spans="1:24" ht="13.5" customHeight="1" x14ac:dyDescent="0.2">
      <c r="A488" s="530" t="s">
        <v>446</v>
      </c>
      <c r="B488" s="530"/>
      <c r="C488" s="531" t="s">
        <v>380</v>
      </c>
      <c r="D488" s="531"/>
      <c r="E488" s="531"/>
      <c r="F488" s="531"/>
      <c r="G488" s="531"/>
      <c r="I488" s="532">
        <v>39814</v>
      </c>
      <c r="J488" s="532"/>
      <c r="K488" s="533">
        <v>1099.52</v>
      </c>
      <c r="L488" s="533"/>
      <c r="M488" s="533">
        <v>0</v>
      </c>
      <c r="N488" s="533"/>
      <c r="O488" s="533">
        <v>0</v>
      </c>
      <c r="P488" s="533"/>
      <c r="Q488" s="533">
        <v>0</v>
      </c>
      <c r="R488" s="533"/>
      <c r="S488" s="1">
        <v>18.75</v>
      </c>
      <c r="T488" s="2" t="s">
        <v>289</v>
      </c>
      <c r="U488" s="533">
        <v>0</v>
      </c>
      <c r="V488" s="533"/>
      <c r="W488" s="533">
        <v>0</v>
      </c>
      <c r="X488" s="533"/>
    </row>
    <row r="489" spans="1:24" ht="0.75" customHeight="1" x14ac:dyDescent="0.2"/>
    <row r="490" spans="1:24" ht="13.5" customHeight="1" x14ac:dyDescent="0.2">
      <c r="A490" s="530" t="s">
        <v>447</v>
      </c>
      <c r="B490" s="530"/>
      <c r="C490" s="531" t="s">
        <v>418</v>
      </c>
      <c r="D490" s="531"/>
      <c r="E490" s="531"/>
      <c r="F490" s="531"/>
      <c r="G490" s="531"/>
      <c r="I490" s="532">
        <v>39821</v>
      </c>
      <c r="J490" s="532"/>
      <c r="K490" s="533">
        <v>373.25</v>
      </c>
      <c r="L490" s="533"/>
      <c r="M490" s="533">
        <v>0</v>
      </c>
      <c r="N490" s="533"/>
      <c r="O490" s="533">
        <v>0</v>
      </c>
      <c r="P490" s="533"/>
      <c r="Q490" s="533">
        <v>0</v>
      </c>
      <c r="R490" s="533"/>
      <c r="S490" s="1">
        <v>18.75</v>
      </c>
      <c r="T490" s="2" t="s">
        <v>289</v>
      </c>
      <c r="U490" s="533">
        <v>0</v>
      </c>
      <c r="V490" s="533"/>
      <c r="W490" s="533">
        <v>0</v>
      </c>
      <c r="X490" s="533"/>
    </row>
    <row r="491" spans="1:24" ht="0.75" customHeight="1" x14ac:dyDescent="0.2"/>
    <row r="492" spans="1:24" ht="13.5" customHeight="1" x14ac:dyDescent="0.2">
      <c r="A492" s="530" t="s">
        <v>448</v>
      </c>
      <c r="B492" s="530"/>
      <c r="C492" s="531" t="s">
        <v>449</v>
      </c>
      <c r="D492" s="531"/>
      <c r="E492" s="531"/>
      <c r="F492" s="531"/>
      <c r="G492" s="531"/>
      <c r="I492" s="532">
        <v>39855</v>
      </c>
      <c r="J492" s="532"/>
      <c r="K492" s="533">
        <v>327.93</v>
      </c>
      <c r="L492" s="533"/>
      <c r="M492" s="533">
        <v>0</v>
      </c>
      <c r="N492" s="533"/>
      <c r="O492" s="533">
        <v>0</v>
      </c>
      <c r="P492" s="533"/>
      <c r="Q492" s="533">
        <v>0</v>
      </c>
      <c r="R492" s="533"/>
      <c r="S492" s="1">
        <v>18.75</v>
      </c>
      <c r="T492" s="2" t="s">
        <v>289</v>
      </c>
      <c r="U492" s="533">
        <v>0</v>
      </c>
      <c r="V492" s="533"/>
      <c r="W492" s="533">
        <v>0</v>
      </c>
      <c r="X492" s="533"/>
    </row>
    <row r="493" spans="1:24" ht="0.75" customHeight="1" x14ac:dyDescent="0.2"/>
    <row r="494" spans="1:24" ht="13.5" customHeight="1" x14ac:dyDescent="0.2">
      <c r="A494" s="530" t="s">
        <v>450</v>
      </c>
      <c r="B494" s="530"/>
      <c r="C494" s="531" t="s">
        <v>451</v>
      </c>
      <c r="D494" s="531"/>
      <c r="E494" s="531"/>
      <c r="F494" s="531"/>
      <c r="G494" s="531"/>
      <c r="I494" s="532">
        <v>39874</v>
      </c>
      <c r="J494" s="532"/>
      <c r="K494" s="533">
        <v>971.09</v>
      </c>
      <c r="L494" s="533"/>
      <c r="M494" s="533">
        <v>0</v>
      </c>
      <c r="N494" s="533"/>
      <c r="O494" s="533">
        <v>0</v>
      </c>
      <c r="P494" s="533"/>
      <c r="Q494" s="533">
        <v>0</v>
      </c>
      <c r="R494" s="533"/>
      <c r="S494" s="1">
        <v>18.75</v>
      </c>
      <c r="T494" s="2" t="s">
        <v>289</v>
      </c>
      <c r="U494" s="533">
        <v>0</v>
      </c>
      <c r="V494" s="533"/>
      <c r="W494" s="533">
        <v>0</v>
      </c>
      <c r="X494" s="533"/>
    </row>
    <row r="495" spans="1:24" ht="0.75" customHeight="1" x14ac:dyDescent="0.2"/>
    <row r="496" spans="1:24" ht="13.5" customHeight="1" x14ac:dyDescent="0.2">
      <c r="A496" s="530" t="s">
        <v>452</v>
      </c>
      <c r="B496" s="530"/>
      <c r="C496" s="531" t="s">
        <v>453</v>
      </c>
      <c r="D496" s="531"/>
      <c r="E496" s="531"/>
      <c r="F496" s="531"/>
      <c r="G496" s="531"/>
      <c r="I496" s="532">
        <v>39956</v>
      </c>
      <c r="J496" s="532"/>
      <c r="K496" s="533">
        <v>104.32000000000001</v>
      </c>
      <c r="L496" s="533"/>
      <c r="M496" s="533">
        <v>0</v>
      </c>
      <c r="N496" s="533"/>
      <c r="O496" s="533">
        <v>0</v>
      </c>
      <c r="P496" s="533"/>
      <c r="Q496" s="533">
        <v>0</v>
      </c>
      <c r="R496" s="533"/>
      <c r="S496" s="1">
        <v>18.75</v>
      </c>
      <c r="T496" s="2" t="s">
        <v>289</v>
      </c>
      <c r="U496" s="533">
        <v>0</v>
      </c>
      <c r="V496" s="533"/>
      <c r="W496" s="533">
        <v>0</v>
      </c>
      <c r="X496" s="533"/>
    </row>
    <row r="497" spans="1:24" ht="0.75" customHeight="1" x14ac:dyDescent="0.2"/>
    <row r="498" spans="1:24" ht="13.5" customHeight="1" x14ac:dyDescent="0.2">
      <c r="A498" s="530" t="s">
        <v>454</v>
      </c>
      <c r="B498" s="530"/>
      <c r="C498" s="531" t="s">
        <v>455</v>
      </c>
      <c r="D498" s="531"/>
      <c r="E498" s="531"/>
      <c r="F498" s="531"/>
      <c r="G498" s="531"/>
      <c r="I498" s="532">
        <v>39966</v>
      </c>
      <c r="J498" s="532"/>
      <c r="K498" s="533">
        <v>301.8</v>
      </c>
      <c r="L498" s="533"/>
      <c r="M498" s="533">
        <v>0</v>
      </c>
      <c r="N498" s="533"/>
      <c r="O498" s="533">
        <v>0</v>
      </c>
      <c r="P498" s="533"/>
      <c r="Q498" s="533">
        <v>0</v>
      </c>
      <c r="R498" s="533"/>
      <c r="S498" s="1">
        <v>18.75</v>
      </c>
      <c r="T498" s="2" t="s">
        <v>289</v>
      </c>
      <c r="U498" s="533">
        <v>0</v>
      </c>
      <c r="V498" s="533"/>
      <c r="W498" s="533">
        <v>0</v>
      </c>
      <c r="X498" s="533"/>
    </row>
    <row r="499" spans="1:24" ht="0.75" customHeight="1" x14ac:dyDescent="0.2"/>
    <row r="500" spans="1:24" ht="13.5" customHeight="1" x14ac:dyDescent="0.2">
      <c r="A500" s="530" t="s">
        <v>456</v>
      </c>
      <c r="B500" s="530"/>
      <c r="C500" s="531" t="s">
        <v>331</v>
      </c>
      <c r="D500" s="531"/>
      <c r="E500" s="531"/>
      <c r="F500" s="531"/>
      <c r="G500" s="531"/>
      <c r="I500" s="532">
        <v>39987</v>
      </c>
      <c r="J500" s="532"/>
      <c r="K500" s="533">
        <v>1582.6000000000001</v>
      </c>
      <c r="L500" s="533"/>
      <c r="M500" s="533">
        <v>0</v>
      </c>
      <c r="N500" s="533"/>
      <c r="O500" s="533">
        <v>0</v>
      </c>
      <c r="P500" s="533"/>
      <c r="Q500" s="533">
        <v>0</v>
      </c>
      <c r="R500" s="533"/>
      <c r="S500" s="1">
        <v>18.75</v>
      </c>
      <c r="T500" s="2" t="s">
        <v>289</v>
      </c>
      <c r="U500" s="533">
        <v>0</v>
      </c>
      <c r="V500" s="533"/>
      <c r="W500" s="533">
        <v>0</v>
      </c>
      <c r="X500" s="533"/>
    </row>
    <row r="501" spans="1:24" ht="0.75" customHeight="1" x14ac:dyDescent="0.2"/>
    <row r="502" spans="1:24" ht="13.5" customHeight="1" x14ac:dyDescent="0.2">
      <c r="A502" s="530" t="s">
        <v>457</v>
      </c>
      <c r="B502" s="530"/>
      <c r="C502" s="531" t="s">
        <v>380</v>
      </c>
      <c r="D502" s="531"/>
      <c r="E502" s="531"/>
      <c r="F502" s="531"/>
      <c r="G502" s="531"/>
      <c r="I502" s="532">
        <v>37670</v>
      </c>
      <c r="J502" s="532"/>
      <c r="K502" s="533">
        <v>932.27</v>
      </c>
      <c r="L502" s="533"/>
      <c r="M502" s="533">
        <v>0</v>
      </c>
      <c r="N502" s="533"/>
      <c r="O502" s="533">
        <v>0</v>
      </c>
      <c r="P502" s="533"/>
      <c r="Q502" s="533">
        <v>0</v>
      </c>
      <c r="R502" s="533"/>
      <c r="S502" s="1">
        <v>20</v>
      </c>
      <c r="T502" s="2" t="s">
        <v>289</v>
      </c>
      <c r="U502" s="533">
        <v>0</v>
      </c>
      <c r="V502" s="533"/>
      <c r="W502" s="533">
        <v>0</v>
      </c>
      <c r="X502" s="533"/>
    </row>
    <row r="503" spans="1:24" ht="0.75" customHeight="1" x14ac:dyDescent="0.2"/>
    <row r="504" spans="1:24" ht="13.5" customHeight="1" x14ac:dyDescent="0.2">
      <c r="A504" s="530" t="s">
        <v>458</v>
      </c>
      <c r="B504" s="530"/>
      <c r="C504" s="531" t="s">
        <v>459</v>
      </c>
      <c r="D504" s="531"/>
      <c r="E504" s="531"/>
      <c r="F504" s="531"/>
      <c r="G504" s="531"/>
      <c r="I504" s="532">
        <v>40021</v>
      </c>
      <c r="J504" s="532"/>
      <c r="K504" s="533">
        <v>1502.45</v>
      </c>
      <c r="L504" s="533"/>
      <c r="M504" s="533">
        <v>0</v>
      </c>
      <c r="N504" s="533"/>
      <c r="O504" s="533">
        <v>0</v>
      </c>
      <c r="P504" s="533"/>
      <c r="Q504" s="533">
        <v>0</v>
      </c>
      <c r="R504" s="533"/>
      <c r="S504" s="1">
        <v>25</v>
      </c>
      <c r="T504" s="2" t="s">
        <v>289</v>
      </c>
      <c r="U504" s="533">
        <v>0</v>
      </c>
      <c r="V504" s="533"/>
      <c r="W504" s="533">
        <v>0</v>
      </c>
      <c r="X504" s="533"/>
    </row>
    <row r="505" spans="1:24" ht="0.75" customHeight="1" x14ac:dyDescent="0.2"/>
    <row r="506" spans="1:24" ht="13.5" customHeight="1" x14ac:dyDescent="0.2">
      <c r="A506" s="530" t="s">
        <v>460</v>
      </c>
      <c r="B506" s="530"/>
      <c r="C506" s="531" t="s">
        <v>461</v>
      </c>
      <c r="D506" s="531"/>
      <c r="E506" s="531"/>
      <c r="F506" s="531"/>
      <c r="G506" s="531"/>
      <c r="I506" s="532">
        <v>40028</v>
      </c>
      <c r="J506" s="532"/>
      <c r="K506" s="533">
        <v>2060</v>
      </c>
      <c r="L506" s="533"/>
      <c r="M506" s="533">
        <v>283</v>
      </c>
      <c r="N506" s="533"/>
      <c r="O506" s="533">
        <v>0</v>
      </c>
      <c r="P506" s="533"/>
      <c r="Q506" s="533">
        <v>0</v>
      </c>
      <c r="R506" s="533"/>
      <c r="S506" s="1">
        <v>20</v>
      </c>
      <c r="T506" s="2" t="s">
        <v>289</v>
      </c>
      <c r="U506" s="533">
        <v>24</v>
      </c>
      <c r="V506" s="533"/>
      <c r="W506" s="533">
        <v>259</v>
      </c>
      <c r="X506" s="533"/>
    </row>
    <row r="507" spans="1:24" ht="0.75" customHeight="1" x14ac:dyDescent="0.2"/>
    <row r="508" spans="1:24" ht="13.5" customHeight="1" x14ac:dyDescent="0.2">
      <c r="A508" s="530" t="s">
        <v>462</v>
      </c>
      <c r="B508" s="530"/>
      <c r="C508" s="531" t="s">
        <v>463</v>
      </c>
      <c r="D508" s="531"/>
      <c r="E508" s="531"/>
      <c r="F508" s="531"/>
      <c r="G508" s="531"/>
      <c r="I508" s="532">
        <v>40030</v>
      </c>
      <c r="J508" s="532"/>
      <c r="K508" s="533">
        <v>318.18</v>
      </c>
      <c r="L508" s="533"/>
      <c r="M508" s="533">
        <v>0</v>
      </c>
      <c r="N508" s="533"/>
      <c r="O508" s="533">
        <v>0</v>
      </c>
      <c r="P508" s="533"/>
      <c r="Q508" s="533">
        <v>0</v>
      </c>
      <c r="R508" s="533"/>
      <c r="S508" s="1">
        <v>33.33</v>
      </c>
      <c r="T508" s="2" t="s">
        <v>289</v>
      </c>
      <c r="U508" s="533">
        <v>0</v>
      </c>
      <c r="V508" s="533"/>
      <c r="W508" s="533">
        <v>0</v>
      </c>
      <c r="X508" s="533"/>
    </row>
    <row r="509" spans="1:24" ht="0.75" customHeight="1" x14ac:dyDescent="0.2"/>
    <row r="510" spans="1:24" ht="13.5" customHeight="1" x14ac:dyDescent="0.2">
      <c r="A510" s="530" t="s">
        <v>464</v>
      </c>
      <c r="B510" s="530"/>
      <c r="C510" s="525" t="s">
        <v>465</v>
      </c>
      <c r="D510" s="525"/>
      <c r="E510" s="525"/>
      <c r="F510" s="525"/>
      <c r="G510" s="525"/>
      <c r="I510" s="532">
        <v>40039</v>
      </c>
      <c r="J510" s="532"/>
      <c r="K510" s="533">
        <v>760</v>
      </c>
      <c r="L510" s="533"/>
      <c r="M510" s="533">
        <v>0</v>
      </c>
      <c r="N510" s="533"/>
      <c r="O510" s="533">
        <v>0</v>
      </c>
      <c r="P510" s="533"/>
      <c r="Q510" s="533">
        <v>0</v>
      </c>
      <c r="R510" s="533"/>
      <c r="S510" s="1">
        <v>40</v>
      </c>
      <c r="T510" s="2" t="s">
        <v>289</v>
      </c>
      <c r="U510" s="533">
        <v>0</v>
      </c>
      <c r="V510" s="533"/>
      <c r="W510" s="533">
        <v>0</v>
      </c>
      <c r="X510" s="533"/>
    </row>
    <row r="511" spans="1:24" ht="12" customHeight="1" x14ac:dyDescent="0.2">
      <c r="C511" s="525"/>
      <c r="D511" s="525"/>
      <c r="E511" s="525"/>
      <c r="F511" s="525"/>
      <c r="G511" s="525"/>
    </row>
    <row r="512" spans="1:24" ht="13.5" customHeight="1" x14ac:dyDescent="0.2">
      <c r="A512" s="530" t="s">
        <v>466</v>
      </c>
      <c r="B512" s="530"/>
      <c r="C512" s="531" t="s">
        <v>467</v>
      </c>
      <c r="D512" s="531"/>
      <c r="E512" s="531"/>
      <c r="F512" s="531"/>
      <c r="G512" s="531"/>
      <c r="I512" s="532">
        <v>40045</v>
      </c>
      <c r="J512" s="532"/>
      <c r="K512" s="533">
        <v>1020</v>
      </c>
      <c r="L512" s="533"/>
      <c r="M512" s="533">
        <v>0</v>
      </c>
      <c r="N512" s="533"/>
      <c r="O512" s="533">
        <v>0</v>
      </c>
      <c r="P512" s="533"/>
      <c r="Q512" s="533">
        <v>0</v>
      </c>
      <c r="R512" s="533"/>
      <c r="S512" s="1">
        <v>20</v>
      </c>
      <c r="T512" s="2" t="s">
        <v>289</v>
      </c>
      <c r="U512" s="533">
        <v>0</v>
      </c>
      <c r="V512" s="533"/>
      <c r="W512" s="533">
        <v>0</v>
      </c>
      <c r="X512" s="533"/>
    </row>
    <row r="513" spans="1:24" ht="0.75" customHeight="1" x14ac:dyDescent="0.2"/>
    <row r="514" spans="1:24" ht="13.5" customHeight="1" x14ac:dyDescent="0.2">
      <c r="A514" s="530" t="s">
        <v>468</v>
      </c>
      <c r="B514" s="530"/>
      <c r="C514" s="531" t="s">
        <v>469</v>
      </c>
      <c r="D514" s="531"/>
      <c r="E514" s="531"/>
      <c r="F514" s="531"/>
      <c r="G514" s="531"/>
      <c r="I514" s="532">
        <v>40017</v>
      </c>
      <c r="J514" s="532"/>
      <c r="K514" s="533">
        <v>409.86</v>
      </c>
      <c r="L514" s="533"/>
      <c r="M514" s="533">
        <v>0</v>
      </c>
      <c r="N514" s="533"/>
      <c r="O514" s="533">
        <v>0</v>
      </c>
      <c r="P514" s="533"/>
      <c r="Q514" s="533">
        <v>0</v>
      </c>
      <c r="R514" s="533"/>
      <c r="S514" s="1">
        <v>20</v>
      </c>
      <c r="T514" s="2" t="s">
        <v>289</v>
      </c>
      <c r="U514" s="533">
        <v>0</v>
      </c>
      <c r="V514" s="533"/>
      <c r="W514" s="533">
        <v>0</v>
      </c>
      <c r="X514" s="533"/>
    </row>
    <row r="515" spans="1:24" ht="0.75" customHeight="1" x14ac:dyDescent="0.2"/>
    <row r="516" spans="1:24" ht="13.5" customHeight="1" x14ac:dyDescent="0.2">
      <c r="A516" s="530" t="s">
        <v>470</v>
      </c>
      <c r="B516" s="530"/>
      <c r="C516" s="531" t="s">
        <v>469</v>
      </c>
      <c r="D516" s="531"/>
      <c r="E516" s="531"/>
      <c r="F516" s="531"/>
      <c r="G516" s="531"/>
      <c r="I516" s="532">
        <v>40087</v>
      </c>
      <c r="J516" s="532"/>
      <c r="K516" s="533">
        <v>298.3</v>
      </c>
      <c r="L516" s="533"/>
      <c r="M516" s="533">
        <v>0</v>
      </c>
      <c r="N516" s="533"/>
      <c r="O516" s="533">
        <v>0</v>
      </c>
      <c r="P516" s="533"/>
      <c r="Q516" s="533">
        <v>0</v>
      </c>
      <c r="R516" s="533"/>
      <c r="S516" s="1">
        <v>20</v>
      </c>
      <c r="T516" s="2" t="s">
        <v>289</v>
      </c>
      <c r="U516" s="533">
        <v>0</v>
      </c>
      <c r="V516" s="533"/>
      <c r="W516" s="533">
        <v>0</v>
      </c>
      <c r="X516" s="533"/>
    </row>
    <row r="517" spans="1:24" ht="0.75" customHeight="1" x14ac:dyDescent="0.2"/>
    <row r="518" spans="1:24" ht="13.5" customHeight="1" x14ac:dyDescent="0.2">
      <c r="A518" s="530" t="s">
        <v>471</v>
      </c>
      <c r="B518" s="530"/>
      <c r="C518" s="531" t="s">
        <v>469</v>
      </c>
      <c r="D518" s="531"/>
      <c r="E518" s="531"/>
      <c r="F518" s="531"/>
      <c r="G518" s="531"/>
      <c r="I518" s="532">
        <v>40087</v>
      </c>
      <c r="J518" s="532"/>
      <c r="K518" s="533">
        <v>293.85000000000002</v>
      </c>
      <c r="L518" s="533"/>
      <c r="M518" s="533">
        <v>0</v>
      </c>
      <c r="N518" s="533"/>
      <c r="O518" s="533">
        <v>0</v>
      </c>
      <c r="P518" s="533"/>
      <c r="Q518" s="533">
        <v>0</v>
      </c>
      <c r="R518" s="533"/>
      <c r="S518" s="1">
        <v>20</v>
      </c>
      <c r="T518" s="2" t="s">
        <v>289</v>
      </c>
      <c r="U518" s="533">
        <v>0</v>
      </c>
      <c r="V518" s="533"/>
      <c r="W518" s="533">
        <v>0</v>
      </c>
      <c r="X518" s="533"/>
    </row>
    <row r="519" spans="1:24" ht="0.75" customHeight="1" x14ac:dyDescent="0.2"/>
    <row r="520" spans="1:24" ht="13.5" customHeight="1" x14ac:dyDescent="0.2">
      <c r="A520" s="530" t="s">
        <v>472</v>
      </c>
      <c r="B520" s="530"/>
      <c r="C520" s="531" t="s">
        <v>473</v>
      </c>
      <c r="D520" s="531"/>
      <c r="E520" s="531"/>
      <c r="F520" s="531"/>
      <c r="G520" s="531"/>
      <c r="I520" s="532">
        <v>38103</v>
      </c>
      <c r="J520" s="532"/>
      <c r="K520" s="533">
        <v>11678.49</v>
      </c>
      <c r="L520" s="533"/>
      <c r="M520" s="533">
        <v>5643.49</v>
      </c>
      <c r="N520" s="533"/>
      <c r="O520" s="533">
        <v>0</v>
      </c>
      <c r="P520" s="533"/>
      <c r="Q520" s="533">
        <v>0</v>
      </c>
      <c r="R520" s="533"/>
      <c r="S520" s="1">
        <v>5</v>
      </c>
      <c r="T520" s="2" t="s">
        <v>289</v>
      </c>
      <c r="U520" s="533">
        <v>118</v>
      </c>
      <c r="V520" s="533"/>
      <c r="W520" s="533">
        <v>5525.49</v>
      </c>
      <c r="X520" s="533"/>
    </row>
    <row r="521" spans="1:24" ht="0.75" customHeight="1" x14ac:dyDescent="0.2"/>
    <row r="522" spans="1:24" ht="13.5" customHeight="1" x14ac:dyDescent="0.2">
      <c r="A522" s="530" t="s">
        <v>474</v>
      </c>
      <c r="B522" s="530"/>
      <c r="C522" s="531" t="s">
        <v>475</v>
      </c>
      <c r="D522" s="531"/>
      <c r="E522" s="531"/>
      <c r="F522" s="531"/>
      <c r="G522" s="531"/>
      <c r="I522" s="532">
        <v>40129</v>
      </c>
      <c r="J522" s="532"/>
      <c r="K522" s="533">
        <v>628.86</v>
      </c>
      <c r="L522" s="533"/>
      <c r="M522" s="533">
        <v>0</v>
      </c>
      <c r="N522" s="533"/>
      <c r="O522" s="533">
        <v>0</v>
      </c>
      <c r="P522" s="533"/>
      <c r="Q522" s="533">
        <v>0</v>
      </c>
      <c r="R522" s="533"/>
      <c r="S522" s="1">
        <v>20</v>
      </c>
      <c r="T522" s="2" t="s">
        <v>289</v>
      </c>
      <c r="U522" s="533">
        <v>0</v>
      </c>
      <c r="V522" s="533"/>
      <c r="W522" s="533">
        <v>0</v>
      </c>
      <c r="X522" s="533"/>
    </row>
    <row r="523" spans="1:24" ht="0.75" customHeight="1" x14ac:dyDescent="0.2"/>
    <row r="524" spans="1:24" ht="13.5" customHeight="1" x14ac:dyDescent="0.2">
      <c r="A524" s="530" t="s">
        <v>476</v>
      </c>
      <c r="B524" s="530"/>
      <c r="C524" s="531" t="s">
        <v>475</v>
      </c>
      <c r="D524" s="531"/>
      <c r="E524" s="531"/>
      <c r="F524" s="531"/>
      <c r="G524" s="531"/>
      <c r="I524" s="532">
        <v>40359</v>
      </c>
      <c r="J524" s="532"/>
      <c r="K524" s="533">
        <v>1299.6000000000001</v>
      </c>
      <c r="L524" s="533"/>
      <c r="M524" s="533">
        <v>0</v>
      </c>
      <c r="N524" s="533"/>
      <c r="O524" s="533">
        <v>0</v>
      </c>
      <c r="P524" s="533"/>
      <c r="Q524" s="533">
        <v>0</v>
      </c>
      <c r="R524" s="533"/>
      <c r="S524" s="1">
        <v>20</v>
      </c>
      <c r="T524" s="2" t="s">
        <v>289</v>
      </c>
      <c r="U524" s="533">
        <v>0</v>
      </c>
      <c r="V524" s="533"/>
      <c r="W524" s="533">
        <v>0</v>
      </c>
      <c r="X524" s="533"/>
    </row>
    <row r="525" spans="1:24" ht="0.75" customHeight="1" x14ac:dyDescent="0.2"/>
    <row r="526" spans="1:24" ht="13.5" customHeight="1" x14ac:dyDescent="0.2">
      <c r="A526" s="530" t="s">
        <v>477</v>
      </c>
      <c r="B526" s="530"/>
      <c r="C526" s="531" t="s">
        <v>478</v>
      </c>
      <c r="D526" s="531"/>
      <c r="E526" s="531"/>
      <c r="F526" s="531"/>
      <c r="G526" s="531"/>
      <c r="I526" s="532">
        <v>40095</v>
      </c>
      <c r="J526" s="532"/>
      <c r="K526" s="533">
        <v>2986.6</v>
      </c>
      <c r="L526" s="533"/>
      <c r="M526" s="533">
        <v>428.6</v>
      </c>
      <c r="N526" s="533"/>
      <c r="O526" s="533">
        <v>0</v>
      </c>
      <c r="P526" s="533"/>
      <c r="Q526" s="533">
        <v>0</v>
      </c>
      <c r="R526" s="533"/>
      <c r="S526" s="1">
        <v>20</v>
      </c>
      <c r="T526" s="2" t="s">
        <v>289</v>
      </c>
      <c r="U526" s="533">
        <v>36</v>
      </c>
      <c r="V526" s="533"/>
      <c r="W526" s="533">
        <v>392.6</v>
      </c>
      <c r="X526" s="533"/>
    </row>
    <row r="527" spans="1:24" ht="0.75" customHeight="1" x14ac:dyDescent="0.2"/>
    <row r="528" spans="1:24" ht="13.5" customHeight="1" x14ac:dyDescent="0.2">
      <c r="A528" s="530" t="s">
        <v>479</v>
      </c>
      <c r="B528" s="530"/>
      <c r="C528" s="531" t="s">
        <v>480</v>
      </c>
      <c r="D528" s="531"/>
      <c r="E528" s="531"/>
      <c r="F528" s="531"/>
      <c r="G528" s="531"/>
      <c r="I528" s="532">
        <v>40149</v>
      </c>
      <c r="J528" s="532"/>
      <c r="K528" s="533">
        <v>1200</v>
      </c>
      <c r="L528" s="533"/>
      <c r="M528" s="533">
        <v>0</v>
      </c>
      <c r="N528" s="533"/>
      <c r="O528" s="533">
        <v>0</v>
      </c>
      <c r="P528" s="533"/>
      <c r="Q528" s="533">
        <v>0</v>
      </c>
      <c r="R528" s="533"/>
      <c r="S528" s="1">
        <v>40</v>
      </c>
      <c r="T528" s="2" t="s">
        <v>289</v>
      </c>
      <c r="U528" s="533">
        <v>0</v>
      </c>
      <c r="V528" s="533"/>
      <c r="W528" s="533">
        <v>0</v>
      </c>
      <c r="X528" s="533"/>
    </row>
    <row r="529" spans="1:24" ht="0.75" customHeight="1" x14ac:dyDescent="0.2"/>
    <row r="530" spans="1:24" ht="13.5" customHeight="1" x14ac:dyDescent="0.2">
      <c r="A530" s="530" t="s">
        <v>481</v>
      </c>
      <c r="B530" s="530"/>
      <c r="C530" s="531" t="s">
        <v>355</v>
      </c>
      <c r="D530" s="531"/>
      <c r="E530" s="531"/>
      <c r="F530" s="531"/>
      <c r="G530" s="531"/>
      <c r="I530" s="532">
        <v>40150</v>
      </c>
      <c r="J530" s="532"/>
      <c r="K530" s="533">
        <v>618.18000000000006</v>
      </c>
      <c r="L530" s="533"/>
      <c r="M530" s="533">
        <v>0</v>
      </c>
      <c r="N530" s="533"/>
      <c r="O530" s="533">
        <v>0</v>
      </c>
      <c r="P530" s="533"/>
      <c r="Q530" s="533">
        <v>0</v>
      </c>
      <c r="R530" s="533"/>
      <c r="S530" s="1">
        <v>20</v>
      </c>
      <c r="T530" s="2" t="s">
        <v>289</v>
      </c>
      <c r="U530" s="533">
        <v>0</v>
      </c>
      <c r="V530" s="533"/>
      <c r="W530" s="533">
        <v>0</v>
      </c>
      <c r="X530" s="533"/>
    </row>
    <row r="531" spans="1:24" ht="0.75" customHeight="1" x14ac:dyDescent="0.2"/>
    <row r="532" spans="1:24" ht="13.5" customHeight="1" x14ac:dyDescent="0.2">
      <c r="A532" s="530" t="s">
        <v>482</v>
      </c>
      <c r="B532" s="530"/>
      <c r="C532" s="531" t="s">
        <v>483</v>
      </c>
      <c r="D532" s="531"/>
      <c r="E532" s="531"/>
      <c r="F532" s="531"/>
      <c r="G532" s="531"/>
      <c r="I532" s="532">
        <v>40162</v>
      </c>
      <c r="J532" s="532"/>
      <c r="K532" s="533">
        <v>3500</v>
      </c>
      <c r="L532" s="533"/>
      <c r="M532" s="533">
        <v>0</v>
      </c>
      <c r="N532" s="533"/>
      <c r="O532" s="533">
        <v>0</v>
      </c>
      <c r="P532" s="533"/>
      <c r="Q532" s="533">
        <v>0</v>
      </c>
      <c r="R532" s="533"/>
      <c r="S532" s="1">
        <v>40</v>
      </c>
      <c r="T532" s="2" t="s">
        <v>289</v>
      </c>
      <c r="U532" s="533">
        <v>0</v>
      </c>
      <c r="V532" s="533"/>
      <c r="W532" s="533">
        <v>0</v>
      </c>
      <c r="X532" s="533"/>
    </row>
    <row r="533" spans="1:24" ht="0.75" customHeight="1" x14ac:dyDescent="0.2"/>
    <row r="534" spans="1:24" ht="13.5" customHeight="1" x14ac:dyDescent="0.2">
      <c r="A534" s="530" t="s">
        <v>484</v>
      </c>
      <c r="B534" s="530"/>
      <c r="C534" s="531" t="s">
        <v>485</v>
      </c>
      <c r="D534" s="531"/>
      <c r="E534" s="531"/>
      <c r="F534" s="531"/>
      <c r="G534" s="531"/>
      <c r="I534" s="532">
        <v>40190</v>
      </c>
      <c r="J534" s="532"/>
      <c r="K534" s="533">
        <v>1110</v>
      </c>
      <c r="L534" s="533"/>
      <c r="M534" s="533">
        <v>0</v>
      </c>
      <c r="N534" s="533"/>
      <c r="O534" s="533">
        <v>0</v>
      </c>
      <c r="P534" s="533"/>
      <c r="Q534" s="533">
        <v>0</v>
      </c>
      <c r="R534" s="533"/>
      <c r="S534" s="1">
        <v>40</v>
      </c>
      <c r="T534" s="2" t="s">
        <v>289</v>
      </c>
      <c r="U534" s="533">
        <v>0</v>
      </c>
      <c r="V534" s="533"/>
      <c r="W534" s="533">
        <v>0</v>
      </c>
      <c r="X534" s="533"/>
    </row>
    <row r="535" spans="1:24" ht="0.75" customHeight="1" x14ac:dyDescent="0.2"/>
    <row r="536" spans="1:24" ht="13.5" customHeight="1" x14ac:dyDescent="0.2">
      <c r="A536" s="530" t="s">
        <v>486</v>
      </c>
      <c r="B536" s="530"/>
      <c r="C536" s="531" t="s">
        <v>487</v>
      </c>
      <c r="D536" s="531"/>
      <c r="E536" s="531"/>
      <c r="F536" s="531"/>
      <c r="G536" s="531"/>
      <c r="I536" s="532">
        <v>40210</v>
      </c>
      <c r="J536" s="532"/>
      <c r="K536" s="533">
        <v>1113</v>
      </c>
      <c r="L536" s="533"/>
      <c r="M536" s="533">
        <v>0</v>
      </c>
      <c r="N536" s="533"/>
      <c r="O536" s="533">
        <v>0</v>
      </c>
      <c r="P536" s="533"/>
      <c r="Q536" s="533">
        <v>0</v>
      </c>
      <c r="R536" s="533"/>
      <c r="S536" s="1">
        <v>10</v>
      </c>
      <c r="T536" s="2" t="s">
        <v>289</v>
      </c>
      <c r="U536" s="533">
        <v>0</v>
      </c>
      <c r="V536" s="533"/>
      <c r="W536" s="533">
        <v>0</v>
      </c>
      <c r="X536" s="533"/>
    </row>
    <row r="537" spans="1:24" ht="0.75" customHeight="1" x14ac:dyDescent="0.2"/>
    <row r="538" spans="1:24" ht="13.5" customHeight="1" x14ac:dyDescent="0.2">
      <c r="A538" s="530" t="s">
        <v>488</v>
      </c>
      <c r="B538" s="530"/>
      <c r="C538" s="531" t="s">
        <v>489</v>
      </c>
      <c r="D538" s="531"/>
      <c r="E538" s="531"/>
      <c r="F538" s="531"/>
      <c r="G538" s="531"/>
      <c r="I538" s="532">
        <v>40213</v>
      </c>
      <c r="J538" s="532"/>
      <c r="K538" s="533">
        <v>1200</v>
      </c>
      <c r="L538" s="533"/>
      <c r="M538" s="533">
        <v>0</v>
      </c>
      <c r="N538" s="533"/>
      <c r="O538" s="533">
        <v>0</v>
      </c>
      <c r="P538" s="533"/>
      <c r="Q538" s="533">
        <v>0</v>
      </c>
      <c r="R538" s="533"/>
      <c r="S538" s="1">
        <v>20</v>
      </c>
      <c r="T538" s="2" t="s">
        <v>289</v>
      </c>
      <c r="U538" s="533">
        <v>0</v>
      </c>
      <c r="V538" s="533"/>
      <c r="W538" s="533">
        <v>0</v>
      </c>
      <c r="X538" s="533"/>
    </row>
    <row r="539" spans="1:24" ht="0.75" customHeight="1" x14ac:dyDescent="0.2"/>
    <row r="540" spans="1:24" ht="13.5" customHeight="1" x14ac:dyDescent="0.2">
      <c r="A540" s="530" t="s">
        <v>490</v>
      </c>
      <c r="B540" s="530"/>
      <c r="C540" s="531" t="s">
        <v>491</v>
      </c>
      <c r="D540" s="531"/>
      <c r="E540" s="531"/>
      <c r="F540" s="531"/>
      <c r="G540" s="531"/>
      <c r="I540" s="532">
        <v>40205</v>
      </c>
      <c r="J540" s="532"/>
      <c r="K540" s="533">
        <v>74.02</v>
      </c>
      <c r="L540" s="533"/>
      <c r="M540" s="533">
        <v>0</v>
      </c>
      <c r="N540" s="533"/>
      <c r="O540" s="533">
        <v>0</v>
      </c>
      <c r="P540" s="533"/>
      <c r="Q540" s="533">
        <v>0</v>
      </c>
      <c r="R540" s="533"/>
      <c r="S540" s="1">
        <v>13.33</v>
      </c>
      <c r="T540" s="2" t="s">
        <v>289</v>
      </c>
      <c r="U540" s="533">
        <v>0</v>
      </c>
      <c r="V540" s="533"/>
      <c r="W540" s="533">
        <v>0</v>
      </c>
      <c r="X540" s="533"/>
    </row>
    <row r="541" spans="1:24" ht="0.75" customHeight="1" x14ac:dyDescent="0.2"/>
    <row r="542" spans="1:24" ht="13.5" customHeight="1" x14ac:dyDescent="0.2">
      <c r="A542" s="530" t="s">
        <v>492</v>
      </c>
      <c r="B542" s="530"/>
      <c r="C542" s="531" t="s">
        <v>493</v>
      </c>
      <c r="D542" s="531"/>
      <c r="E542" s="531"/>
      <c r="F542" s="531"/>
      <c r="G542" s="531"/>
      <c r="I542" s="532">
        <v>40221</v>
      </c>
      <c r="J542" s="532"/>
      <c r="K542" s="533">
        <v>1146.8399999999999</v>
      </c>
      <c r="L542" s="533"/>
      <c r="M542" s="533">
        <v>0</v>
      </c>
      <c r="N542" s="533"/>
      <c r="O542" s="533">
        <v>0</v>
      </c>
      <c r="P542" s="533"/>
      <c r="Q542" s="533">
        <v>0</v>
      </c>
      <c r="R542" s="533"/>
      <c r="S542" s="1">
        <v>13.33</v>
      </c>
      <c r="T542" s="2" t="s">
        <v>289</v>
      </c>
      <c r="U542" s="533">
        <v>0</v>
      </c>
      <c r="V542" s="533"/>
      <c r="W542" s="533">
        <v>0</v>
      </c>
      <c r="X542" s="533"/>
    </row>
    <row r="543" spans="1:24" ht="0.75" customHeight="1" x14ac:dyDescent="0.2"/>
    <row r="544" spans="1:24" ht="13.5" customHeight="1" x14ac:dyDescent="0.2">
      <c r="A544" s="530" t="s">
        <v>494</v>
      </c>
      <c r="B544" s="530"/>
      <c r="C544" s="531" t="s">
        <v>495</v>
      </c>
      <c r="D544" s="531"/>
      <c r="E544" s="531"/>
      <c r="F544" s="531"/>
      <c r="G544" s="531"/>
      <c r="I544" s="532">
        <v>40188</v>
      </c>
      <c r="J544" s="532"/>
      <c r="K544" s="533">
        <v>360</v>
      </c>
      <c r="L544" s="533"/>
      <c r="M544" s="533">
        <v>0</v>
      </c>
      <c r="N544" s="533"/>
      <c r="O544" s="533">
        <v>0</v>
      </c>
      <c r="P544" s="533"/>
      <c r="Q544" s="533">
        <v>0</v>
      </c>
      <c r="R544" s="533"/>
      <c r="S544" s="1">
        <v>13.33</v>
      </c>
      <c r="T544" s="2" t="s">
        <v>289</v>
      </c>
      <c r="U544" s="533">
        <v>0</v>
      </c>
      <c r="V544" s="533"/>
      <c r="W544" s="533">
        <v>0</v>
      </c>
      <c r="X544" s="533"/>
    </row>
    <row r="545" spans="1:24" ht="0.75" customHeight="1" x14ac:dyDescent="0.2"/>
    <row r="546" spans="1:24" ht="13.5" customHeight="1" x14ac:dyDescent="0.2">
      <c r="A546" s="530" t="s">
        <v>496</v>
      </c>
      <c r="B546" s="530"/>
      <c r="C546" s="531" t="s">
        <v>497</v>
      </c>
      <c r="D546" s="531"/>
      <c r="E546" s="531"/>
      <c r="F546" s="531"/>
      <c r="G546" s="531"/>
      <c r="I546" s="532">
        <v>40269</v>
      </c>
      <c r="J546" s="532"/>
      <c r="K546" s="533">
        <v>7900</v>
      </c>
      <c r="L546" s="533"/>
      <c r="M546" s="533">
        <v>3316</v>
      </c>
      <c r="N546" s="533"/>
      <c r="O546" s="533">
        <v>0</v>
      </c>
      <c r="P546" s="533"/>
      <c r="Q546" s="533">
        <v>0</v>
      </c>
      <c r="R546" s="533"/>
      <c r="S546" s="1">
        <v>10</v>
      </c>
      <c r="T546" s="2" t="s">
        <v>289</v>
      </c>
      <c r="U546" s="533">
        <v>139</v>
      </c>
      <c r="V546" s="533"/>
      <c r="W546" s="533">
        <v>3177</v>
      </c>
      <c r="X546" s="533"/>
    </row>
    <row r="547" spans="1:24" ht="0.75" customHeight="1" x14ac:dyDescent="0.2"/>
    <row r="548" spans="1:24" ht="13.5" customHeight="1" x14ac:dyDescent="0.2">
      <c r="A548" s="530" t="s">
        <v>498</v>
      </c>
      <c r="B548" s="530"/>
      <c r="C548" s="531" t="s">
        <v>499</v>
      </c>
      <c r="D548" s="531"/>
      <c r="E548" s="531"/>
      <c r="F548" s="531"/>
      <c r="G548" s="531"/>
      <c r="I548" s="532">
        <v>40284</v>
      </c>
      <c r="J548" s="532"/>
      <c r="K548" s="533">
        <v>1683.64</v>
      </c>
      <c r="L548" s="533"/>
      <c r="M548" s="533">
        <v>0</v>
      </c>
      <c r="N548" s="533"/>
      <c r="O548" s="533">
        <v>0</v>
      </c>
      <c r="P548" s="533"/>
      <c r="Q548" s="533">
        <v>0</v>
      </c>
      <c r="R548" s="533"/>
      <c r="S548" s="1">
        <v>66.67</v>
      </c>
      <c r="T548" s="2" t="s">
        <v>289</v>
      </c>
      <c r="U548" s="533">
        <v>0</v>
      </c>
      <c r="V548" s="533"/>
      <c r="W548" s="533">
        <v>0</v>
      </c>
      <c r="X548" s="533"/>
    </row>
    <row r="549" spans="1:24" ht="0.75" customHeight="1" x14ac:dyDescent="0.2"/>
    <row r="550" spans="1:24" ht="13.5" customHeight="1" x14ac:dyDescent="0.2">
      <c r="A550" s="530" t="s">
        <v>500</v>
      </c>
      <c r="B550" s="530"/>
      <c r="C550" s="531" t="s">
        <v>501</v>
      </c>
      <c r="D550" s="531"/>
      <c r="E550" s="531"/>
      <c r="F550" s="531"/>
      <c r="G550" s="531"/>
      <c r="I550" s="532">
        <v>40354</v>
      </c>
      <c r="J550" s="532"/>
      <c r="K550" s="533">
        <v>11750</v>
      </c>
      <c r="L550" s="533"/>
      <c r="M550" s="533">
        <v>5050</v>
      </c>
      <c r="N550" s="533"/>
      <c r="O550" s="533">
        <v>0</v>
      </c>
      <c r="P550" s="533"/>
      <c r="Q550" s="533">
        <v>7104</v>
      </c>
      <c r="R550" s="533"/>
      <c r="S550" s="1">
        <v>10</v>
      </c>
      <c r="T550" s="2" t="s">
        <v>289</v>
      </c>
      <c r="U550" s="533">
        <v>154</v>
      </c>
      <c r="V550" s="533"/>
      <c r="W550" s="533">
        <v>0</v>
      </c>
      <c r="X550" s="533"/>
    </row>
    <row r="551" spans="1:24" ht="13.5" customHeight="1" x14ac:dyDescent="0.2">
      <c r="I551" s="537">
        <v>43392</v>
      </c>
      <c r="J551" s="537"/>
      <c r="N551" s="533">
        <v>-12000</v>
      </c>
      <c r="O551" s="533"/>
    </row>
    <row r="552" spans="1:24" ht="0.75" customHeight="1" x14ac:dyDescent="0.2"/>
    <row r="553" spans="1:24" ht="13.5" customHeight="1" x14ac:dyDescent="0.2">
      <c r="A553" s="530" t="s">
        <v>502</v>
      </c>
      <c r="B553" s="530"/>
      <c r="C553" s="531" t="s">
        <v>360</v>
      </c>
      <c r="D553" s="531"/>
      <c r="E553" s="531"/>
      <c r="F553" s="531"/>
      <c r="G553" s="531"/>
      <c r="I553" s="532">
        <v>38056</v>
      </c>
      <c r="J553" s="532"/>
      <c r="K553" s="533">
        <v>600</v>
      </c>
      <c r="L553" s="533"/>
      <c r="M553" s="533">
        <v>0</v>
      </c>
      <c r="N553" s="533"/>
      <c r="O553" s="533">
        <v>0</v>
      </c>
      <c r="P553" s="533"/>
      <c r="Q553" s="533">
        <v>0</v>
      </c>
      <c r="R553" s="533"/>
      <c r="S553" s="1">
        <v>5</v>
      </c>
      <c r="T553" s="2" t="s">
        <v>289</v>
      </c>
      <c r="U553" s="533">
        <v>0</v>
      </c>
      <c r="V553" s="533"/>
      <c r="W553" s="533">
        <v>0</v>
      </c>
      <c r="X553" s="533"/>
    </row>
    <row r="554" spans="1:24" ht="0.75" customHeight="1" x14ac:dyDescent="0.2"/>
    <row r="555" spans="1:24" ht="13.5" customHeight="1" x14ac:dyDescent="0.2">
      <c r="A555" s="530" t="s">
        <v>503</v>
      </c>
      <c r="B555" s="530"/>
      <c r="C555" s="531" t="s">
        <v>504</v>
      </c>
      <c r="D555" s="531"/>
      <c r="E555" s="531"/>
      <c r="F555" s="531"/>
      <c r="G555" s="531"/>
      <c r="I555" s="532">
        <v>40359</v>
      </c>
      <c r="J555" s="532"/>
      <c r="K555" s="533">
        <v>669.4</v>
      </c>
      <c r="L555" s="533"/>
      <c r="M555" s="533">
        <v>0</v>
      </c>
      <c r="N555" s="533"/>
      <c r="O555" s="533">
        <v>0</v>
      </c>
      <c r="P555" s="533"/>
      <c r="Q555" s="533">
        <v>0</v>
      </c>
      <c r="R555" s="533"/>
      <c r="S555" s="1">
        <v>10</v>
      </c>
      <c r="T555" s="2" t="s">
        <v>289</v>
      </c>
      <c r="U555" s="533">
        <v>0</v>
      </c>
      <c r="V555" s="533"/>
      <c r="W555" s="533">
        <v>0</v>
      </c>
      <c r="X555" s="533"/>
    </row>
    <row r="556" spans="1:24" ht="0.75" customHeight="1" x14ac:dyDescent="0.2"/>
    <row r="557" spans="1:24" ht="13.5" customHeight="1" x14ac:dyDescent="0.2">
      <c r="A557" s="530" t="s">
        <v>505</v>
      </c>
      <c r="B557" s="530"/>
      <c r="C557" s="531" t="s">
        <v>506</v>
      </c>
      <c r="D557" s="531"/>
      <c r="E557" s="531"/>
      <c r="F557" s="531"/>
      <c r="G557" s="531"/>
      <c r="I557" s="532">
        <v>38065</v>
      </c>
      <c r="J557" s="532"/>
      <c r="K557" s="533">
        <v>587.27</v>
      </c>
      <c r="L557" s="533"/>
      <c r="M557" s="533">
        <v>0</v>
      </c>
      <c r="N557" s="533"/>
      <c r="O557" s="533">
        <v>0</v>
      </c>
      <c r="P557" s="533"/>
      <c r="Q557" s="533">
        <v>0</v>
      </c>
      <c r="R557" s="533"/>
      <c r="S557" s="1">
        <v>33.33</v>
      </c>
      <c r="T557" s="2" t="s">
        <v>289</v>
      </c>
      <c r="U557" s="533">
        <v>0</v>
      </c>
      <c r="V557" s="533"/>
      <c r="W557" s="533">
        <v>0</v>
      </c>
      <c r="X557" s="533"/>
    </row>
    <row r="558" spans="1:24" ht="15" customHeight="1" x14ac:dyDescent="0.2">
      <c r="A558" s="534" t="s">
        <v>285</v>
      </c>
      <c r="B558" s="534"/>
      <c r="D558" s="534" t="s">
        <v>286</v>
      </c>
      <c r="E558" s="534"/>
      <c r="F558" s="534"/>
      <c r="G558" s="534"/>
      <c r="H558" s="534"/>
      <c r="I558" s="534"/>
      <c r="J558" s="534"/>
      <c r="K558" s="534"/>
      <c r="L558" s="534"/>
      <c r="M558" s="534"/>
      <c r="N558" s="534"/>
      <c r="O558" s="534"/>
      <c r="P558" s="534"/>
      <c r="Q558" s="534"/>
      <c r="R558" s="534"/>
      <c r="S558" s="534"/>
      <c r="T558" s="534"/>
      <c r="U558" s="534"/>
      <c r="V558" s="534"/>
    </row>
    <row r="559" spans="1:24" ht="0.75" customHeight="1" x14ac:dyDescent="0.2"/>
    <row r="560" spans="1:24" ht="13.5" customHeight="1" x14ac:dyDescent="0.2">
      <c r="A560" s="530" t="s">
        <v>507</v>
      </c>
      <c r="B560" s="530"/>
      <c r="C560" s="531" t="s">
        <v>508</v>
      </c>
      <c r="D560" s="531"/>
      <c r="E560" s="531"/>
      <c r="F560" s="531"/>
      <c r="G560" s="531"/>
      <c r="I560" s="532">
        <v>40020</v>
      </c>
      <c r="J560" s="532"/>
      <c r="K560" s="533">
        <v>290.91000000000003</v>
      </c>
      <c r="L560" s="533"/>
      <c r="M560" s="533">
        <v>0</v>
      </c>
      <c r="N560" s="533"/>
      <c r="O560" s="533">
        <v>0</v>
      </c>
      <c r="P560" s="533"/>
      <c r="Q560" s="533">
        <v>0</v>
      </c>
      <c r="R560" s="533"/>
      <c r="S560" s="1">
        <v>20</v>
      </c>
      <c r="T560" s="2" t="s">
        <v>289</v>
      </c>
      <c r="U560" s="533">
        <v>0</v>
      </c>
      <c r="V560" s="533"/>
      <c r="W560" s="533">
        <v>0</v>
      </c>
      <c r="X560" s="533"/>
    </row>
    <row r="561" spans="1:24" ht="0.75" customHeight="1" x14ac:dyDescent="0.2"/>
    <row r="562" spans="1:24" ht="13.5" customHeight="1" x14ac:dyDescent="0.2">
      <c r="A562" s="530" t="s">
        <v>509</v>
      </c>
      <c r="B562" s="530"/>
      <c r="C562" s="531" t="s">
        <v>510</v>
      </c>
      <c r="D562" s="531"/>
      <c r="E562" s="531"/>
      <c r="F562" s="531"/>
      <c r="G562" s="531"/>
      <c r="I562" s="532">
        <v>40021</v>
      </c>
      <c r="J562" s="532"/>
      <c r="K562" s="533">
        <v>909.09</v>
      </c>
      <c r="L562" s="533"/>
      <c r="M562" s="533">
        <v>0</v>
      </c>
      <c r="N562" s="533"/>
      <c r="O562" s="533">
        <v>0</v>
      </c>
      <c r="P562" s="533"/>
      <c r="Q562" s="533">
        <v>0</v>
      </c>
      <c r="R562" s="533"/>
      <c r="S562" s="1">
        <v>20</v>
      </c>
      <c r="T562" s="2" t="s">
        <v>289</v>
      </c>
      <c r="U562" s="533">
        <v>0</v>
      </c>
      <c r="V562" s="533"/>
      <c r="W562" s="533">
        <v>0</v>
      </c>
      <c r="X562" s="533"/>
    </row>
    <row r="563" spans="1:24" ht="0.75" customHeight="1" x14ac:dyDescent="0.2"/>
    <row r="564" spans="1:24" ht="13.5" customHeight="1" x14ac:dyDescent="0.2">
      <c r="A564" s="530" t="s">
        <v>511</v>
      </c>
      <c r="B564" s="530"/>
      <c r="C564" s="531" t="s">
        <v>512</v>
      </c>
      <c r="D564" s="531"/>
      <c r="E564" s="531"/>
      <c r="F564" s="531"/>
      <c r="G564" s="531"/>
      <c r="I564" s="532">
        <v>40079</v>
      </c>
      <c r="J564" s="532"/>
      <c r="K564" s="533">
        <v>679.22</v>
      </c>
      <c r="L564" s="533"/>
      <c r="M564" s="533">
        <v>0</v>
      </c>
      <c r="N564" s="533"/>
      <c r="O564" s="533">
        <v>0</v>
      </c>
      <c r="P564" s="533"/>
      <c r="Q564" s="533">
        <v>0</v>
      </c>
      <c r="R564" s="533"/>
      <c r="S564" s="1">
        <v>28.5</v>
      </c>
      <c r="T564" s="2" t="s">
        <v>289</v>
      </c>
      <c r="U564" s="533">
        <v>0</v>
      </c>
      <c r="V564" s="533"/>
      <c r="W564" s="533">
        <v>0</v>
      </c>
      <c r="X564" s="533"/>
    </row>
    <row r="565" spans="1:24" ht="0.75" customHeight="1" x14ac:dyDescent="0.2"/>
    <row r="566" spans="1:24" ht="13.5" customHeight="1" x14ac:dyDescent="0.2">
      <c r="A566" s="530" t="s">
        <v>513</v>
      </c>
      <c r="B566" s="530"/>
      <c r="C566" s="531" t="s">
        <v>514</v>
      </c>
      <c r="D566" s="531"/>
      <c r="E566" s="531"/>
      <c r="F566" s="531"/>
      <c r="G566" s="531"/>
      <c r="I566" s="532">
        <v>40086</v>
      </c>
      <c r="J566" s="532"/>
      <c r="K566" s="533">
        <v>844.27</v>
      </c>
      <c r="L566" s="533"/>
      <c r="M566" s="533">
        <v>0</v>
      </c>
      <c r="N566" s="533"/>
      <c r="O566" s="533">
        <v>0</v>
      </c>
      <c r="P566" s="533"/>
      <c r="Q566" s="533">
        <v>0</v>
      </c>
      <c r="R566" s="533"/>
      <c r="S566" s="1">
        <v>28.5</v>
      </c>
      <c r="T566" s="2" t="s">
        <v>289</v>
      </c>
      <c r="U566" s="533">
        <v>0</v>
      </c>
      <c r="V566" s="533"/>
      <c r="W566" s="533">
        <v>0</v>
      </c>
      <c r="X566" s="533"/>
    </row>
    <row r="567" spans="1:24" ht="0.75" customHeight="1" x14ac:dyDescent="0.2"/>
    <row r="568" spans="1:24" ht="13.5" customHeight="1" x14ac:dyDescent="0.2">
      <c r="A568" s="530" t="s">
        <v>515</v>
      </c>
      <c r="B568" s="530"/>
      <c r="C568" s="531" t="s">
        <v>516</v>
      </c>
      <c r="D568" s="531"/>
      <c r="E568" s="531"/>
      <c r="F568" s="531"/>
      <c r="G568" s="531"/>
      <c r="I568" s="532">
        <v>40098</v>
      </c>
      <c r="J568" s="532"/>
      <c r="K568" s="533">
        <v>189.41</v>
      </c>
      <c r="L568" s="533"/>
      <c r="M568" s="533">
        <v>0</v>
      </c>
      <c r="N568" s="533"/>
      <c r="O568" s="533">
        <v>0</v>
      </c>
      <c r="P568" s="533"/>
      <c r="Q568" s="533">
        <v>0</v>
      </c>
      <c r="R568" s="533"/>
      <c r="S568" s="1">
        <v>20</v>
      </c>
      <c r="T568" s="2" t="s">
        <v>289</v>
      </c>
      <c r="U568" s="533">
        <v>0</v>
      </c>
      <c r="V568" s="533"/>
      <c r="W568" s="533">
        <v>0</v>
      </c>
      <c r="X568" s="533"/>
    </row>
    <row r="569" spans="1:24" ht="0.75" customHeight="1" x14ac:dyDescent="0.2"/>
    <row r="570" spans="1:24" ht="13.5" customHeight="1" x14ac:dyDescent="0.2">
      <c r="A570" s="530" t="s">
        <v>517</v>
      </c>
      <c r="B570" s="530"/>
      <c r="C570" s="531" t="s">
        <v>518</v>
      </c>
      <c r="D570" s="531"/>
      <c r="E570" s="531"/>
      <c r="F570" s="531"/>
      <c r="G570" s="531"/>
      <c r="I570" s="532">
        <v>40164</v>
      </c>
      <c r="J570" s="532"/>
      <c r="K570" s="533">
        <v>342.8</v>
      </c>
      <c r="L570" s="533"/>
      <c r="M570" s="533">
        <v>0</v>
      </c>
      <c r="N570" s="533"/>
      <c r="O570" s="533">
        <v>0</v>
      </c>
      <c r="P570" s="533"/>
      <c r="Q570" s="533">
        <v>0</v>
      </c>
      <c r="R570" s="533"/>
      <c r="S570" s="1">
        <v>20</v>
      </c>
      <c r="T570" s="2" t="s">
        <v>289</v>
      </c>
      <c r="U570" s="533">
        <v>0</v>
      </c>
      <c r="V570" s="533"/>
      <c r="W570" s="533">
        <v>0</v>
      </c>
      <c r="X570" s="533"/>
    </row>
    <row r="571" spans="1:24" ht="0.75" customHeight="1" x14ac:dyDescent="0.2"/>
    <row r="572" spans="1:24" ht="13.5" customHeight="1" x14ac:dyDescent="0.2">
      <c r="A572" s="530" t="s">
        <v>519</v>
      </c>
      <c r="B572" s="530"/>
      <c r="C572" s="531" t="s">
        <v>520</v>
      </c>
      <c r="D572" s="531"/>
      <c r="E572" s="531"/>
      <c r="F572" s="531"/>
      <c r="G572" s="531"/>
      <c r="I572" s="532">
        <v>40179</v>
      </c>
      <c r="J572" s="532"/>
      <c r="K572" s="533">
        <v>828.80000000000007</v>
      </c>
      <c r="L572" s="533"/>
      <c r="M572" s="533">
        <v>0</v>
      </c>
      <c r="N572" s="533"/>
      <c r="O572" s="533">
        <v>0</v>
      </c>
      <c r="P572" s="533"/>
      <c r="Q572" s="533">
        <v>0</v>
      </c>
      <c r="R572" s="533"/>
      <c r="S572" s="1">
        <v>10</v>
      </c>
      <c r="T572" s="2" t="s">
        <v>289</v>
      </c>
      <c r="U572" s="533">
        <v>0</v>
      </c>
      <c r="V572" s="533"/>
      <c r="W572" s="533">
        <v>0</v>
      </c>
      <c r="X572" s="533"/>
    </row>
    <row r="573" spans="1:24" ht="0.75" customHeight="1" x14ac:dyDescent="0.2"/>
    <row r="574" spans="1:24" ht="13.5" customHeight="1" x14ac:dyDescent="0.2">
      <c r="A574" s="530" t="s">
        <v>521</v>
      </c>
      <c r="B574" s="530"/>
      <c r="C574" s="531" t="s">
        <v>522</v>
      </c>
      <c r="D574" s="531"/>
      <c r="E574" s="531"/>
      <c r="F574" s="531"/>
      <c r="G574" s="531"/>
      <c r="I574" s="532">
        <v>40179</v>
      </c>
      <c r="J574" s="532"/>
      <c r="K574" s="533">
        <v>485</v>
      </c>
      <c r="L574" s="533"/>
      <c r="M574" s="533">
        <v>0</v>
      </c>
      <c r="N574" s="533"/>
      <c r="O574" s="533">
        <v>0</v>
      </c>
      <c r="P574" s="533"/>
      <c r="Q574" s="533">
        <v>0</v>
      </c>
      <c r="R574" s="533"/>
      <c r="S574" s="1">
        <v>20</v>
      </c>
      <c r="T574" s="2" t="s">
        <v>289</v>
      </c>
      <c r="U574" s="533">
        <v>0</v>
      </c>
      <c r="V574" s="533"/>
      <c r="W574" s="533">
        <v>0</v>
      </c>
      <c r="X574" s="533"/>
    </row>
    <row r="575" spans="1:24" ht="0.75" customHeight="1" x14ac:dyDescent="0.2"/>
    <row r="576" spans="1:24" ht="13.5" customHeight="1" x14ac:dyDescent="0.2">
      <c r="A576" s="530" t="s">
        <v>523</v>
      </c>
      <c r="B576" s="530"/>
      <c r="C576" s="531" t="s">
        <v>524</v>
      </c>
      <c r="D576" s="531"/>
      <c r="E576" s="531"/>
      <c r="F576" s="531"/>
      <c r="G576" s="531"/>
      <c r="I576" s="532">
        <v>38085</v>
      </c>
      <c r="J576" s="532"/>
      <c r="K576" s="533">
        <v>400</v>
      </c>
      <c r="L576" s="533"/>
      <c r="M576" s="533">
        <v>0</v>
      </c>
      <c r="N576" s="533"/>
      <c r="O576" s="533">
        <v>0</v>
      </c>
      <c r="P576" s="533"/>
      <c r="Q576" s="533">
        <v>0</v>
      </c>
      <c r="R576" s="533"/>
      <c r="S576" s="1">
        <v>5</v>
      </c>
      <c r="T576" s="2" t="s">
        <v>289</v>
      </c>
      <c r="U576" s="533">
        <v>0</v>
      </c>
      <c r="V576" s="533"/>
      <c r="W576" s="533">
        <v>0</v>
      </c>
      <c r="X576" s="533"/>
    </row>
    <row r="577" spans="1:24" ht="0.75" customHeight="1" x14ac:dyDescent="0.2"/>
    <row r="578" spans="1:24" ht="13.5" customHeight="1" x14ac:dyDescent="0.2">
      <c r="A578" s="530" t="s">
        <v>525</v>
      </c>
      <c r="B578" s="530"/>
      <c r="C578" s="531" t="s">
        <v>526</v>
      </c>
      <c r="D578" s="531"/>
      <c r="E578" s="531"/>
      <c r="F578" s="531"/>
      <c r="G578" s="531"/>
      <c r="I578" s="532">
        <v>40205</v>
      </c>
      <c r="J578" s="532"/>
      <c r="K578" s="533">
        <v>455</v>
      </c>
      <c r="L578" s="533"/>
      <c r="M578" s="533">
        <v>0</v>
      </c>
      <c r="N578" s="533"/>
      <c r="O578" s="533">
        <v>0</v>
      </c>
      <c r="P578" s="533"/>
      <c r="Q578" s="533">
        <v>0</v>
      </c>
      <c r="R578" s="533"/>
      <c r="S578" s="1">
        <v>20</v>
      </c>
      <c r="T578" s="2" t="s">
        <v>289</v>
      </c>
      <c r="U578" s="533">
        <v>0</v>
      </c>
      <c r="V578" s="533"/>
      <c r="W578" s="533">
        <v>0</v>
      </c>
      <c r="X578" s="533"/>
    </row>
    <row r="579" spans="1:24" ht="0.75" customHeight="1" x14ac:dyDescent="0.2"/>
    <row r="580" spans="1:24" ht="13.5" customHeight="1" x14ac:dyDescent="0.2">
      <c r="A580" s="530" t="s">
        <v>527</v>
      </c>
      <c r="B580" s="530"/>
      <c r="C580" s="531" t="s">
        <v>528</v>
      </c>
      <c r="D580" s="531"/>
      <c r="E580" s="531"/>
      <c r="F580" s="531"/>
      <c r="G580" s="531"/>
      <c r="I580" s="532">
        <v>40214</v>
      </c>
      <c r="J580" s="532"/>
      <c r="K580" s="533">
        <v>581.82000000000005</v>
      </c>
      <c r="L580" s="533"/>
      <c r="M580" s="533">
        <v>0</v>
      </c>
      <c r="N580" s="533"/>
      <c r="O580" s="533">
        <v>0</v>
      </c>
      <c r="P580" s="533"/>
      <c r="Q580" s="533">
        <v>0</v>
      </c>
      <c r="R580" s="533"/>
      <c r="S580" s="1">
        <v>50</v>
      </c>
      <c r="T580" s="2" t="s">
        <v>289</v>
      </c>
      <c r="U580" s="533">
        <v>0</v>
      </c>
      <c r="V580" s="533"/>
      <c r="W580" s="533">
        <v>0</v>
      </c>
      <c r="X580" s="533"/>
    </row>
    <row r="581" spans="1:24" ht="0.75" customHeight="1" x14ac:dyDescent="0.2"/>
    <row r="582" spans="1:24" ht="13.5" customHeight="1" x14ac:dyDescent="0.2">
      <c r="A582" s="530" t="s">
        <v>529</v>
      </c>
      <c r="B582" s="530"/>
      <c r="C582" s="531" t="s">
        <v>530</v>
      </c>
      <c r="D582" s="531"/>
      <c r="E582" s="531"/>
      <c r="F582" s="531"/>
      <c r="G582" s="531"/>
      <c r="I582" s="532">
        <v>40226</v>
      </c>
      <c r="J582" s="532"/>
      <c r="K582" s="533">
        <v>141.88</v>
      </c>
      <c r="L582" s="533"/>
      <c r="M582" s="533">
        <v>0</v>
      </c>
      <c r="N582" s="533"/>
      <c r="O582" s="533">
        <v>0</v>
      </c>
      <c r="P582" s="533"/>
      <c r="Q582" s="533">
        <v>0</v>
      </c>
      <c r="R582" s="533"/>
      <c r="S582" s="1">
        <v>28.5</v>
      </c>
      <c r="T582" s="2" t="s">
        <v>289</v>
      </c>
      <c r="U582" s="533">
        <v>0</v>
      </c>
      <c r="V582" s="533"/>
      <c r="W582" s="533">
        <v>0</v>
      </c>
      <c r="X582" s="533"/>
    </row>
    <row r="583" spans="1:24" ht="0.75" customHeight="1" x14ac:dyDescent="0.2"/>
    <row r="584" spans="1:24" ht="13.5" customHeight="1" x14ac:dyDescent="0.2">
      <c r="A584" s="530" t="s">
        <v>531</v>
      </c>
      <c r="B584" s="530"/>
      <c r="C584" s="531" t="s">
        <v>530</v>
      </c>
      <c r="D584" s="531"/>
      <c r="E584" s="531"/>
      <c r="F584" s="531"/>
      <c r="G584" s="531"/>
      <c r="I584" s="532">
        <v>40234</v>
      </c>
      <c r="J584" s="532"/>
      <c r="K584" s="533">
        <v>240.54</v>
      </c>
      <c r="L584" s="533"/>
      <c r="M584" s="533">
        <v>0</v>
      </c>
      <c r="N584" s="533"/>
      <c r="O584" s="533">
        <v>0</v>
      </c>
      <c r="P584" s="533"/>
      <c r="Q584" s="533">
        <v>0</v>
      </c>
      <c r="R584" s="533"/>
      <c r="S584" s="1">
        <v>28.5</v>
      </c>
      <c r="T584" s="2" t="s">
        <v>289</v>
      </c>
      <c r="U584" s="533">
        <v>0</v>
      </c>
      <c r="V584" s="533"/>
      <c r="W584" s="533">
        <v>0</v>
      </c>
      <c r="X584" s="533"/>
    </row>
    <row r="585" spans="1:24" ht="0.75" customHeight="1" x14ac:dyDescent="0.2"/>
    <row r="586" spans="1:24" ht="13.5" customHeight="1" x14ac:dyDescent="0.2">
      <c r="A586" s="530" t="s">
        <v>532</v>
      </c>
      <c r="B586" s="530"/>
      <c r="C586" s="531" t="s">
        <v>514</v>
      </c>
      <c r="D586" s="531"/>
      <c r="E586" s="531"/>
      <c r="F586" s="531"/>
      <c r="G586" s="531"/>
      <c r="I586" s="532">
        <v>40235</v>
      </c>
      <c r="J586" s="532"/>
      <c r="K586" s="533">
        <v>721.32</v>
      </c>
      <c r="L586" s="533"/>
      <c r="M586" s="533">
        <v>0</v>
      </c>
      <c r="N586" s="533"/>
      <c r="O586" s="533">
        <v>0</v>
      </c>
      <c r="P586" s="533"/>
      <c r="Q586" s="533">
        <v>0</v>
      </c>
      <c r="R586" s="533"/>
      <c r="S586" s="1">
        <v>28.5</v>
      </c>
      <c r="T586" s="2" t="s">
        <v>289</v>
      </c>
      <c r="U586" s="533">
        <v>0</v>
      </c>
      <c r="V586" s="533"/>
      <c r="W586" s="533">
        <v>0</v>
      </c>
      <c r="X586" s="533"/>
    </row>
    <row r="587" spans="1:24" ht="0.75" customHeight="1" x14ac:dyDescent="0.2"/>
    <row r="588" spans="1:24" ht="13.5" customHeight="1" x14ac:dyDescent="0.2">
      <c r="A588" s="530" t="s">
        <v>533</v>
      </c>
      <c r="B588" s="530"/>
      <c r="C588" s="531" t="s">
        <v>514</v>
      </c>
      <c r="D588" s="531"/>
      <c r="E588" s="531"/>
      <c r="F588" s="531"/>
      <c r="G588" s="531"/>
      <c r="I588" s="532">
        <v>40241</v>
      </c>
      <c r="J588" s="532"/>
      <c r="K588" s="533">
        <v>262.04000000000002</v>
      </c>
      <c r="L588" s="533"/>
      <c r="M588" s="533">
        <v>0</v>
      </c>
      <c r="N588" s="533"/>
      <c r="O588" s="533">
        <v>0</v>
      </c>
      <c r="P588" s="533"/>
      <c r="Q588" s="533">
        <v>0</v>
      </c>
      <c r="R588" s="533"/>
      <c r="S588" s="1">
        <v>28.5</v>
      </c>
      <c r="T588" s="2" t="s">
        <v>289</v>
      </c>
      <c r="U588" s="533">
        <v>0</v>
      </c>
      <c r="V588" s="533"/>
      <c r="W588" s="533">
        <v>0</v>
      </c>
      <c r="X588" s="533"/>
    </row>
    <row r="589" spans="1:24" ht="0.75" customHeight="1" x14ac:dyDescent="0.2"/>
    <row r="590" spans="1:24" ht="13.5" customHeight="1" x14ac:dyDescent="0.2">
      <c r="A590" s="530" t="s">
        <v>534</v>
      </c>
      <c r="B590" s="530"/>
      <c r="C590" s="531" t="s">
        <v>535</v>
      </c>
      <c r="D590" s="531"/>
      <c r="E590" s="531"/>
      <c r="F590" s="531"/>
      <c r="G590" s="531"/>
      <c r="I590" s="532">
        <v>40259</v>
      </c>
      <c r="J590" s="532"/>
      <c r="K590" s="533">
        <v>1796.3600000000001</v>
      </c>
      <c r="L590" s="533"/>
      <c r="M590" s="533">
        <v>0</v>
      </c>
      <c r="N590" s="533"/>
      <c r="O590" s="533">
        <v>0</v>
      </c>
      <c r="P590" s="533"/>
      <c r="Q590" s="533">
        <v>0</v>
      </c>
      <c r="R590" s="533"/>
      <c r="S590" s="1">
        <v>50</v>
      </c>
      <c r="T590" s="2" t="s">
        <v>289</v>
      </c>
      <c r="U590" s="533">
        <v>0</v>
      </c>
      <c r="V590" s="533"/>
      <c r="W590" s="533">
        <v>0</v>
      </c>
      <c r="X590" s="533"/>
    </row>
    <row r="591" spans="1:24" ht="0.75" customHeight="1" x14ac:dyDescent="0.2"/>
    <row r="592" spans="1:24" ht="13.5" customHeight="1" x14ac:dyDescent="0.2">
      <c r="A592" s="530" t="s">
        <v>536</v>
      </c>
      <c r="B592" s="530"/>
      <c r="C592" s="531" t="s">
        <v>537</v>
      </c>
      <c r="D592" s="531"/>
      <c r="E592" s="531"/>
      <c r="F592" s="531"/>
      <c r="G592" s="531"/>
      <c r="I592" s="532">
        <v>40282</v>
      </c>
      <c r="J592" s="532"/>
      <c r="K592" s="533">
        <v>325</v>
      </c>
      <c r="L592" s="533"/>
      <c r="M592" s="533">
        <v>0</v>
      </c>
      <c r="N592" s="533"/>
      <c r="O592" s="533">
        <v>0</v>
      </c>
      <c r="P592" s="533"/>
      <c r="Q592" s="533">
        <v>0</v>
      </c>
      <c r="R592" s="533"/>
      <c r="S592" s="1">
        <v>20</v>
      </c>
      <c r="T592" s="2" t="s">
        <v>289</v>
      </c>
      <c r="U592" s="533">
        <v>0</v>
      </c>
      <c r="V592" s="533"/>
      <c r="W592" s="533">
        <v>0</v>
      </c>
      <c r="X592" s="533"/>
    </row>
    <row r="593" spans="1:24" ht="0.75" customHeight="1" x14ac:dyDescent="0.2"/>
    <row r="594" spans="1:24" ht="13.5" customHeight="1" x14ac:dyDescent="0.2">
      <c r="A594" s="530" t="s">
        <v>538</v>
      </c>
      <c r="B594" s="530"/>
      <c r="C594" s="531" t="s">
        <v>539</v>
      </c>
      <c r="D594" s="531"/>
      <c r="E594" s="531"/>
      <c r="F594" s="531"/>
      <c r="G594" s="531"/>
      <c r="I594" s="532">
        <v>40303</v>
      </c>
      <c r="J594" s="532"/>
      <c r="K594" s="533">
        <v>1590.91</v>
      </c>
      <c r="L594" s="533"/>
      <c r="M594" s="533">
        <v>0</v>
      </c>
      <c r="N594" s="533"/>
      <c r="O594" s="533">
        <v>0</v>
      </c>
      <c r="P594" s="533"/>
      <c r="Q594" s="533">
        <v>0</v>
      </c>
      <c r="R594" s="533"/>
      <c r="S594" s="1">
        <v>10</v>
      </c>
      <c r="T594" s="2" t="s">
        <v>289</v>
      </c>
      <c r="U594" s="533">
        <v>0</v>
      </c>
      <c r="V594" s="533"/>
      <c r="W594" s="533">
        <v>0</v>
      </c>
      <c r="X594" s="533"/>
    </row>
    <row r="595" spans="1:24" ht="0.75" customHeight="1" x14ac:dyDescent="0.2"/>
    <row r="596" spans="1:24" ht="13.5" customHeight="1" x14ac:dyDescent="0.2">
      <c r="A596" s="530" t="s">
        <v>540</v>
      </c>
      <c r="B596" s="530"/>
      <c r="C596" s="531" t="s">
        <v>541</v>
      </c>
      <c r="D596" s="531"/>
      <c r="E596" s="531"/>
      <c r="F596" s="531"/>
      <c r="G596" s="531"/>
      <c r="I596" s="532">
        <v>40303</v>
      </c>
      <c r="J596" s="532"/>
      <c r="K596" s="533">
        <v>3490.91</v>
      </c>
      <c r="L596" s="533"/>
      <c r="M596" s="533">
        <v>0</v>
      </c>
      <c r="N596" s="533"/>
      <c r="O596" s="533">
        <v>0</v>
      </c>
      <c r="P596" s="533"/>
      <c r="Q596" s="533">
        <v>0</v>
      </c>
      <c r="R596" s="533"/>
      <c r="S596" s="1">
        <v>50</v>
      </c>
      <c r="T596" s="2" t="s">
        <v>289</v>
      </c>
      <c r="U596" s="533">
        <v>0</v>
      </c>
      <c r="V596" s="533"/>
      <c r="W596" s="533">
        <v>0</v>
      </c>
      <c r="X596" s="533"/>
    </row>
    <row r="597" spans="1:24" ht="0.75" customHeight="1" x14ac:dyDescent="0.2"/>
    <row r="598" spans="1:24" ht="13.5" customHeight="1" x14ac:dyDescent="0.2">
      <c r="A598" s="530" t="s">
        <v>542</v>
      </c>
      <c r="B598" s="530"/>
      <c r="C598" s="531" t="s">
        <v>418</v>
      </c>
      <c r="D598" s="531"/>
      <c r="E598" s="531"/>
      <c r="F598" s="531"/>
      <c r="G598" s="531"/>
      <c r="I598" s="532">
        <v>38111</v>
      </c>
      <c r="J598" s="532"/>
      <c r="K598" s="533">
        <v>890.74</v>
      </c>
      <c r="L598" s="533"/>
      <c r="M598" s="533">
        <v>0</v>
      </c>
      <c r="N598" s="533"/>
      <c r="O598" s="533">
        <v>0</v>
      </c>
      <c r="P598" s="533"/>
      <c r="Q598" s="533">
        <v>0</v>
      </c>
      <c r="R598" s="533"/>
      <c r="S598" s="1">
        <v>10</v>
      </c>
      <c r="T598" s="2" t="s">
        <v>289</v>
      </c>
      <c r="U598" s="533">
        <v>0</v>
      </c>
      <c r="V598" s="533"/>
      <c r="W598" s="533">
        <v>0</v>
      </c>
      <c r="X598" s="533"/>
    </row>
    <row r="599" spans="1:24" ht="0.75" customHeight="1" x14ac:dyDescent="0.2"/>
    <row r="600" spans="1:24" ht="13.5" customHeight="1" x14ac:dyDescent="0.2">
      <c r="A600" s="530" t="s">
        <v>543</v>
      </c>
      <c r="B600" s="530"/>
      <c r="C600" s="531" t="s">
        <v>544</v>
      </c>
      <c r="D600" s="531"/>
      <c r="E600" s="531"/>
      <c r="F600" s="531"/>
      <c r="G600" s="531"/>
      <c r="I600" s="532">
        <v>40316</v>
      </c>
      <c r="J600" s="532"/>
      <c r="K600" s="533">
        <v>496.91</v>
      </c>
      <c r="L600" s="533"/>
      <c r="M600" s="533">
        <v>0</v>
      </c>
      <c r="N600" s="533"/>
      <c r="O600" s="533">
        <v>0</v>
      </c>
      <c r="P600" s="533"/>
      <c r="Q600" s="533">
        <v>0</v>
      </c>
      <c r="R600" s="533"/>
      <c r="S600" s="1">
        <v>20</v>
      </c>
      <c r="T600" s="2" t="s">
        <v>289</v>
      </c>
      <c r="U600" s="533">
        <v>0</v>
      </c>
      <c r="V600" s="533"/>
      <c r="W600" s="533">
        <v>0</v>
      </c>
      <c r="X600" s="533"/>
    </row>
    <row r="601" spans="1:24" ht="0.75" customHeight="1" x14ac:dyDescent="0.2"/>
    <row r="602" spans="1:24" ht="13.5" customHeight="1" x14ac:dyDescent="0.2">
      <c r="A602" s="530" t="s">
        <v>545</v>
      </c>
      <c r="B602" s="530"/>
      <c r="C602" s="525" t="s">
        <v>546</v>
      </c>
      <c r="D602" s="525"/>
      <c r="E602" s="525"/>
      <c r="F602" s="525"/>
      <c r="G602" s="525"/>
      <c r="I602" s="532">
        <v>40324</v>
      </c>
      <c r="J602" s="532"/>
      <c r="K602" s="533">
        <v>3500</v>
      </c>
      <c r="L602" s="533"/>
      <c r="M602" s="533">
        <v>0</v>
      </c>
      <c r="N602" s="533"/>
      <c r="O602" s="533">
        <v>0</v>
      </c>
      <c r="P602" s="533"/>
      <c r="Q602" s="533">
        <v>0</v>
      </c>
      <c r="R602" s="533"/>
      <c r="S602" s="1">
        <v>66.66</v>
      </c>
      <c r="T602" s="2" t="s">
        <v>289</v>
      </c>
      <c r="U602" s="533">
        <v>0</v>
      </c>
      <c r="V602" s="533"/>
      <c r="W602" s="533">
        <v>0</v>
      </c>
      <c r="X602" s="533"/>
    </row>
    <row r="603" spans="1:24" ht="12" customHeight="1" x14ac:dyDescent="0.2">
      <c r="C603" s="525"/>
      <c r="D603" s="525"/>
      <c r="E603" s="525"/>
      <c r="F603" s="525"/>
      <c r="G603" s="525"/>
    </row>
    <row r="604" spans="1:24" ht="13.5" customHeight="1" x14ac:dyDescent="0.2">
      <c r="A604" s="530" t="s">
        <v>547</v>
      </c>
      <c r="B604" s="530"/>
      <c r="C604" s="531" t="s">
        <v>518</v>
      </c>
      <c r="D604" s="531"/>
      <c r="E604" s="531"/>
      <c r="F604" s="531"/>
      <c r="G604" s="531"/>
      <c r="I604" s="532">
        <v>40330</v>
      </c>
      <c r="J604" s="532"/>
      <c r="K604" s="533">
        <v>1800.97</v>
      </c>
      <c r="L604" s="533"/>
      <c r="M604" s="533">
        <v>0</v>
      </c>
      <c r="N604" s="533"/>
      <c r="O604" s="533">
        <v>0</v>
      </c>
      <c r="P604" s="533"/>
      <c r="Q604" s="533">
        <v>0</v>
      </c>
      <c r="R604" s="533"/>
      <c r="S604" s="1">
        <v>20</v>
      </c>
      <c r="T604" s="2" t="s">
        <v>289</v>
      </c>
      <c r="U604" s="533">
        <v>0</v>
      </c>
      <c r="V604" s="533"/>
      <c r="W604" s="533">
        <v>0</v>
      </c>
      <c r="X604" s="533"/>
    </row>
    <row r="605" spans="1:24" ht="0.75" customHeight="1" x14ac:dyDescent="0.2"/>
    <row r="606" spans="1:24" ht="13.5" customHeight="1" x14ac:dyDescent="0.2">
      <c r="A606" s="530" t="s">
        <v>548</v>
      </c>
      <c r="B606" s="530"/>
      <c r="C606" s="531" t="s">
        <v>549</v>
      </c>
      <c r="D606" s="531"/>
      <c r="E606" s="531"/>
      <c r="F606" s="531"/>
      <c r="G606" s="531"/>
      <c r="I606" s="532">
        <v>40332</v>
      </c>
      <c r="J606" s="532"/>
      <c r="K606" s="533">
        <v>1672.73</v>
      </c>
      <c r="L606" s="533"/>
      <c r="M606" s="533">
        <v>0</v>
      </c>
      <c r="N606" s="533"/>
      <c r="O606" s="533">
        <v>0</v>
      </c>
      <c r="P606" s="533"/>
      <c r="Q606" s="533">
        <v>0</v>
      </c>
      <c r="R606" s="533"/>
      <c r="S606" s="1">
        <v>10</v>
      </c>
      <c r="T606" s="2" t="s">
        <v>289</v>
      </c>
      <c r="U606" s="533">
        <v>0</v>
      </c>
      <c r="V606" s="533"/>
      <c r="W606" s="533">
        <v>0</v>
      </c>
      <c r="X606" s="533"/>
    </row>
    <row r="607" spans="1:24" ht="0.75" customHeight="1" x14ac:dyDescent="0.2"/>
    <row r="608" spans="1:24" ht="13.5" customHeight="1" x14ac:dyDescent="0.2">
      <c r="A608" s="530" t="s">
        <v>550</v>
      </c>
      <c r="B608" s="530"/>
      <c r="C608" s="531" t="s">
        <v>551</v>
      </c>
      <c r="D608" s="531"/>
      <c r="E608" s="531"/>
      <c r="F608" s="531"/>
      <c r="G608" s="531"/>
      <c r="I608" s="532">
        <v>40385</v>
      </c>
      <c r="J608" s="532"/>
      <c r="K608" s="533">
        <v>1585</v>
      </c>
      <c r="L608" s="533"/>
      <c r="M608" s="533">
        <v>0</v>
      </c>
      <c r="N608" s="533"/>
      <c r="O608" s="533">
        <v>0</v>
      </c>
      <c r="P608" s="533"/>
      <c r="Q608" s="533">
        <v>0</v>
      </c>
      <c r="R608" s="533"/>
      <c r="S608" s="1">
        <v>28.57</v>
      </c>
      <c r="T608" s="2" t="s">
        <v>289</v>
      </c>
      <c r="U608" s="533">
        <v>0</v>
      </c>
      <c r="V608" s="533"/>
      <c r="W608" s="533">
        <v>0</v>
      </c>
      <c r="X608" s="533"/>
    </row>
    <row r="609" spans="1:24" ht="0.75" customHeight="1" x14ac:dyDescent="0.2"/>
    <row r="610" spans="1:24" ht="13.5" customHeight="1" x14ac:dyDescent="0.2">
      <c r="A610" s="530" t="s">
        <v>552</v>
      </c>
      <c r="B610" s="530"/>
      <c r="C610" s="525" t="s">
        <v>553</v>
      </c>
      <c r="D610" s="525"/>
      <c r="E610" s="525"/>
      <c r="F610" s="525"/>
      <c r="G610" s="525"/>
      <c r="I610" s="532">
        <v>40392</v>
      </c>
      <c r="J610" s="532"/>
      <c r="K610" s="533">
        <v>58788.82</v>
      </c>
      <c r="L610" s="533"/>
      <c r="M610" s="533">
        <v>31490.82</v>
      </c>
      <c r="N610" s="533"/>
      <c r="O610" s="533">
        <v>0</v>
      </c>
      <c r="P610" s="533"/>
      <c r="Q610" s="533">
        <v>0</v>
      </c>
      <c r="R610" s="533"/>
      <c r="S610" s="1">
        <v>7.5</v>
      </c>
      <c r="T610" s="2" t="s">
        <v>289</v>
      </c>
      <c r="U610" s="533">
        <v>990</v>
      </c>
      <c r="V610" s="533"/>
      <c r="W610" s="533">
        <v>30500.82</v>
      </c>
      <c r="X610" s="533"/>
    </row>
    <row r="611" spans="1:24" ht="12" customHeight="1" x14ac:dyDescent="0.2">
      <c r="C611" s="525"/>
      <c r="D611" s="525"/>
      <c r="E611" s="525"/>
      <c r="F611" s="525"/>
      <c r="G611" s="525"/>
    </row>
    <row r="612" spans="1:24" ht="13.5" customHeight="1" x14ac:dyDescent="0.2">
      <c r="A612" s="530" t="s">
        <v>554</v>
      </c>
      <c r="B612" s="530"/>
      <c r="C612" s="531" t="s">
        <v>555</v>
      </c>
      <c r="D612" s="531"/>
      <c r="E612" s="531"/>
      <c r="F612" s="531"/>
      <c r="G612" s="531"/>
      <c r="I612" s="532">
        <v>40449</v>
      </c>
      <c r="J612" s="532"/>
      <c r="K612" s="533">
        <v>1176.1400000000001</v>
      </c>
      <c r="L612" s="533"/>
      <c r="M612" s="533">
        <v>0</v>
      </c>
      <c r="N612" s="533"/>
      <c r="O612" s="533">
        <v>0</v>
      </c>
      <c r="P612" s="533"/>
      <c r="Q612" s="533">
        <v>0</v>
      </c>
      <c r="R612" s="533"/>
      <c r="S612" s="1">
        <v>28.57</v>
      </c>
      <c r="T612" s="2" t="s">
        <v>289</v>
      </c>
      <c r="U612" s="533">
        <v>0</v>
      </c>
      <c r="V612" s="533"/>
      <c r="W612" s="533">
        <v>0</v>
      </c>
      <c r="X612" s="533"/>
    </row>
    <row r="613" spans="1:24" ht="0.75" customHeight="1" x14ac:dyDescent="0.2"/>
    <row r="614" spans="1:24" ht="13.5" customHeight="1" x14ac:dyDescent="0.2">
      <c r="A614" s="530" t="s">
        <v>556</v>
      </c>
      <c r="B614" s="530"/>
      <c r="C614" s="531" t="s">
        <v>506</v>
      </c>
      <c r="D614" s="531"/>
      <c r="E614" s="531"/>
      <c r="F614" s="531"/>
      <c r="G614" s="531"/>
      <c r="I614" s="532">
        <v>38154</v>
      </c>
      <c r="J614" s="532"/>
      <c r="K614" s="533">
        <v>650</v>
      </c>
      <c r="L614" s="533"/>
      <c r="M614" s="533">
        <v>0</v>
      </c>
      <c r="N614" s="533"/>
      <c r="O614" s="533">
        <v>0</v>
      </c>
      <c r="P614" s="533"/>
      <c r="Q614" s="533">
        <v>0</v>
      </c>
      <c r="R614" s="533"/>
      <c r="S614" s="1">
        <v>33.33</v>
      </c>
      <c r="T614" s="2" t="s">
        <v>289</v>
      </c>
      <c r="U614" s="533">
        <v>0</v>
      </c>
      <c r="V614" s="533"/>
      <c r="W614" s="533">
        <v>0</v>
      </c>
      <c r="X614" s="533"/>
    </row>
    <row r="615" spans="1:24" ht="0.75" customHeight="1" x14ac:dyDescent="0.2"/>
    <row r="616" spans="1:24" ht="13.5" customHeight="1" x14ac:dyDescent="0.2">
      <c r="A616" s="530" t="s">
        <v>557</v>
      </c>
      <c r="B616" s="530"/>
      <c r="C616" s="531" t="s">
        <v>558</v>
      </c>
      <c r="D616" s="531"/>
      <c r="E616" s="531"/>
      <c r="F616" s="531"/>
      <c r="G616" s="531"/>
      <c r="I616" s="532">
        <v>40522</v>
      </c>
      <c r="J616" s="532"/>
      <c r="K616" s="533">
        <v>1179.0899999999999</v>
      </c>
      <c r="L616" s="533"/>
      <c r="M616" s="533">
        <v>0</v>
      </c>
      <c r="N616" s="533"/>
      <c r="O616" s="533">
        <v>0</v>
      </c>
      <c r="P616" s="533"/>
      <c r="Q616" s="533">
        <v>0</v>
      </c>
      <c r="R616" s="533"/>
      <c r="S616" s="1">
        <v>66.67</v>
      </c>
      <c r="T616" s="2" t="s">
        <v>289</v>
      </c>
      <c r="U616" s="533">
        <v>0</v>
      </c>
      <c r="V616" s="533"/>
      <c r="W616" s="533">
        <v>0</v>
      </c>
      <c r="X616" s="533"/>
    </row>
    <row r="617" spans="1:24" ht="0.75" customHeight="1" x14ac:dyDescent="0.2"/>
    <row r="618" spans="1:24" ht="13.5" customHeight="1" x14ac:dyDescent="0.2">
      <c r="A618" s="530" t="s">
        <v>559</v>
      </c>
      <c r="B618" s="530"/>
      <c r="C618" s="531" t="s">
        <v>560</v>
      </c>
      <c r="D618" s="531"/>
      <c r="E618" s="531"/>
      <c r="F618" s="531"/>
      <c r="G618" s="531"/>
      <c r="I618" s="532">
        <v>40528</v>
      </c>
      <c r="J618" s="532"/>
      <c r="K618" s="533">
        <v>1140</v>
      </c>
      <c r="L618" s="533"/>
      <c r="M618" s="533">
        <v>0</v>
      </c>
      <c r="N618" s="533"/>
      <c r="O618" s="533">
        <v>0</v>
      </c>
      <c r="P618" s="533"/>
      <c r="Q618" s="533">
        <v>0</v>
      </c>
      <c r="R618" s="533"/>
      <c r="S618" s="1">
        <v>20</v>
      </c>
      <c r="T618" s="2" t="s">
        <v>289</v>
      </c>
      <c r="U618" s="533">
        <v>0</v>
      </c>
      <c r="V618" s="533"/>
      <c r="W618" s="533">
        <v>0</v>
      </c>
      <c r="X618" s="533"/>
    </row>
    <row r="619" spans="1:24" ht="0.75" customHeight="1" x14ac:dyDescent="0.2"/>
    <row r="620" spans="1:24" ht="13.5" customHeight="1" x14ac:dyDescent="0.2">
      <c r="A620" s="530" t="s">
        <v>561</v>
      </c>
      <c r="B620" s="530"/>
      <c r="C620" s="531" t="s">
        <v>562</v>
      </c>
      <c r="D620" s="531"/>
      <c r="E620" s="531"/>
      <c r="F620" s="531"/>
      <c r="G620" s="531"/>
      <c r="I620" s="532">
        <v>40605</v>
      </c>
      <c r="J620" s="532"/>
      <c r="K620" s="533">
        <v>5818.18</v>
      </c>
      <c r="L620" s="533"/>
      <c r="M620" s="533">
        <v>1140.18</v>
      </c>
      <c r="N620" s="533"/>
      <c r="O620" s="533">
        <v>0</v>
      </c>
      <c r="P620" s="533"/>
      <c r="Q620" s="533">
        <v>0</v>
      </c>
      <c r="R620" s="533"/>
      <c r="S620" s="1">
        <v>20</v>
      </c>
      <c r="T620" s="2" t="s">
        <v>289</v>
      </c>
      <c r="U620" s="533">
        <v>96</v>
      </c>
      <c r="V620" s="533"/>
      <c r="W620" s="533">
        <v>1044.18</v>
      </c>
      <c r="X620" s="533"/>
    </row>
    <row r="621" spans="1:24" ht="0.75" customHeight="1" x14ac:dyDescent="0.2"/>
    <row r="622" spans="1:24" ht="13.5" customHeight="1" x14ac:dyDescent="0.2">
      <c r="A622" s="530" t="s">
        <v>563</v>
      </c>
      <c r="B622" s="530"/>
      <c r="C622" s="531" t="s">
        <v>564</v>
      </c>
      <c r="D622" s="531"/>
      <c r="E622" s="531"/>
      <c r="F622" s="531"/>
      <c r="G622" s="531"/>
      <c r="I622" s="532">
        <v>38167</v>
      </c>
      <c r="J622" s="532"/>
      <c r="K622" s="533">
        <v>100.5</v>
      </c>
      <c r="L622" s="533"/>
      <c r="M622" s="533">
        <v>0</v>
      </c>
      <c r="N622" s="533"/>
      <c r="O622" s="533">
        <v>0</v>
      </c>
      <c r="P622" s="533"/>
      <c r="Q622" s="533">
        <v>0</v>
      </c>
      <c r="R622" s="533"/>
      <c r="S622" s="1">
        <v>33.33</v>
      </c>
      <c r="T622" s="2" t="s">
        <v>289</v>
      </c>
      <c r="U622" s="533">
        <v>0</v>
      </c>
      <c r="V622" s="533"/>
      <c r="W622" s="533">
        <v>0</v>
      </c>
      <c r="X622" s="533"/>
    </row>
    <row r="623" spans="1:24" ht="0.75" customHeight="1" x14ac:dyDescent="0.2"/>
    <row r="624" spans="1:24" ht="13.5" customHeight="1" x14ac:dyDescent="0.2">
      <c r="A624" s="530" t="s">
        <v>565</v>
      </c>
      <c r="B624" s="530"/>
      <c r="C624" s="531" t="s">
        <v>566</v>
      </c>
      <c r="D624" s="531"/>
      <c r="E624" s="531"/>
      <c r="F624" s="531"/>
      <c r="G624" s="531"/>
      <c r="I624" s="532">
        <v>40627</v>
      </c>
      <c r="J624" s="532"/>
      <c r="K624" s="533">
        <v>727.27</v>
      </c>
      <c r="L624" s="533"/>
      <c r="M624" s="533">
        <v>0</v>
      </c>
      <c r="N624" s="533"/>
      <c r="O624" s="533">
        <v>0</v>
      </c>
      <c r="P624" s="533"/>
      <c r="Q624" s="533">
        <v>0</v>
      </c>
      <c r="R624" s="533"/>
      <c r="S624" s="1">
        <v>10</v>
      </c>
      <c r="T624" s="2" t="s">
        <v>289</v>
      </c>
      <c r="U624" s="533">
        <v>0</v>
      </c>
      <c r="V624" s="533"/>
      <c r="W624" s="533">
        <v>0</v>
      </c>
      <c r="X624" s="533"/>
    </row>
    <row r="625" spans="1:24" ht="0.75" customHeight="1" x14ac:dyDescent="0.2"/>
    <row r="626" spans="1:24" ht="13.5" customHeight="1" x14ac:dyDescent="0.2">
      <c r="A626" s="530" t="s">
        <v>567</v>
      </c>
      <c r="B626" s="530"/>
      <c r="C626" s="531" t="s">
        <v>568</v>
      </c>
      <c r="D626" s="531"/>
      <c r="E626" s="531"/>
      <c r="F626" s="531"/>
      <c r="G626" s="531"/>
      <c r="I626" s="532">
        <v>40629</v>
      </c>
      <c r="J626" s="532"/>
      <c r="K626" s="533">
        <v>7000</v>
      </c>
      <c r="L626" s="533"/>
      <c r="M626" s="533">
        <v>3976</v>
      </c>
      <c r="N626" s="533"/>
      <c r="O626" s="533">
        <v>0</v>
      </c>
      <c r="P626" s="533"/>
      <c r="Q626" s="533">
        <v>0</v>
      </c>
      <c r="R626" s="533"/>
      <c r="S626" s="1">
        <v>7.5</v>
      </c>
      <c r="T626" s="2" t="s">
        <v>289</v>
      </c>
      <c r="U626" s="533">
        <v>125</v>
      </c>
      <c r="V626" s="533"/>
      <c r="W626" s="533">
        <v>3851</v>
      </c>
      <c r="X626" s="533"/>
    </row>
    <row r="627" spans="1:24" ht="0.75" customHeight="1" x14ac:dyDescent="0.2"/>
    <row r="628" spans="1:24" ht="13.5" customHeight="1" x14ac:dyDescent="0.2">
      <c r="A628" s="530" t="s">
        <v>569</v>
      </c>
      <c r="B628" s="530"/>
      <c r="C628" s="525" t="s">
        <v>570</v>
      </c>
      <c r="D628" s="525"/>
      <c r="E628" s="525"/>
      <c r="F628" s="525"/>
      <c r="G628" s="525"/>
      <c r="I628" s="532">
        <v>40639</v>
      </c>
      <c r="J628" s="532"/>
      <c r="K628" s="533">
        <v>66600</v>
      </c>
      <c r="L628" s="533"/>
      <c r="M628" s="533">
        <v>40417.79</v>
      </c>
      <c r="N628" s="533"/>
      <c r="O628" s="533">
        <v>0</v>
      </c>
      <c r="P628" s="533"/>
      <c r="Q628" s="533">
        <v>0</v>
      </c>
      <c r="R628" s="533"/>
      <c r="S628" s="1">
        <v>6.67</v>
      </c>
      <c r="T628" s="2" t="s">
        <v>289</v>
      </c>
      <c r="U628" s="533">
        <v>1130</v>
      </c>
      <c r="V628" s="533"/>
      <c r="W628" s="533">
        <v>39287.79</v>
      </c>
      <c r="X628" s="533"/>
    </row>
    <row r="629" spans="1:24" ht="12" customHeight="1" x14ac:dyDescent="0.2">
      <c r="C629" s="525"/>
      <c r="D629" s="525"/>
      <c r="E629" s="525"/>
      <c r="F629" s="525"/>
      <c r="G629" s="525"/>
    </row>
    <row r="630" spans="1:24" ht="15" customHeight="1" x14ac:dyDescent="0.2">
      <c r="A630" s="534" t="s">
        <v>285</v>
      </c>
      <c r="B630" s="534"/>
      <c r="D630" s="534" t="s">
        <v>286</v>
      </c>
      <c r="E630" s="534"/>
      <c r="F630" s="534"/>
      <c r="G630" s="534"/>
      <c r="H630" s="534"/>
      <c r="I630" s="534"/>
      <c r="J630" s="534"/>
      <c r="K630" s="534"/>
      <c r="L630" s="534"/>
      <c r="M630" s="534"/>
      <c r="N630" s="534"/>
      <c r="O630" s="534"/>
      <c r="P630" s="534"/>
      <c r="Q630" s="534"/>
      <c r="R630" s="534"/>
      <c r="S630" s="534"/>
      <c r="T630" s="534"/>
      <c r="U630" s="534"/>
      <c r="V630" s="534"/>
    </row>
    <row r="631" spans="1:24" ht="0.75" customHeight="1" x14ac:dyDescent="0.2"/>
    <row r="632" spans="1:24" ht="13.5" customHeight="1" x14ac:dyDescent="0.2">
      <c r="A632" s="530" t="s">
        <v>571</v>
      </c>
      <c r="B632" s="530"/>
      <c r="C632" s="531" t="s">
        <v>572</v>
      </c>
      <c r="D632" s="531"/>
      <c r="E632" s="531"/>
      <c r="F632" s="531"/>
      <c r="G632" s="531"/>
      <c r="I632" s="532">
        <v>40639</v>
      </c>
      <c r="J632" s="532"/>
      <c r="K632" s="533">
        <v>30000</v>
      </c>
      <c r="L632" s="533"/>
      <c r="M632" s="533">
        <v>18206.211200000002</v>
      </c>
      <c r="N632" s="533"/>
      <c r="O632" s="533">
        <v>0</v>
      </c>
      <c r="P632" s="533"/>
      <c r="Q632" s="533">
        <v>9132.7888000000003</v>
      </c>
      <c r="R632" s="533"/>
      <c r="S632" s="1">
        <v>6.67</v>
      </c>
      <c r="T632" s="2" t="s">
        <v>289</v>
      </c>
      <c r="U632" s="533">
        <v>339</v>
      </c>
      <c r="V632" s="533"/>
      <c r="W632" s="533">
        <v>0</v>
      </c>
      <c r="X632" s="533"/>
    </row>
    <row r="633" spans="1:24" ht="13.5" customHeight="1" x14ac:dyDescent="0.2">
      <c r="I633" s="537">
        <v>43383</v>
      </c>
      <c r="J633" s="537"/>
      <c r="N633" s="533">
        <v>-27000</v>
      </c>
      <c r="O633" s="533"/>
    </row>
    <row r="634" spans="1:24" ht="0.75" customHeight="1" x14ac:dyDescent="0.2"/>
    <row r="635" spans="1:24" ht="13.5" customHeight="1" x14ac:dyDescent="0.2">
      <c r="A635" s="530" t="s">
        <v>573</v>
      </c>
      <c r="B635" s="530"/>
      <c r="C635" s="531" t="s">
        <v>574</v>
      </c>
      <c r="D635" s="531"/>
      <c r="E635" s="531"/>
      <c r="F635" s="531"/>
      <c r="G635" s="531"/>
      <c r="I635" s="532">
        <v>40714</v>
      </c>
      <c r="J635" s="532"/>
      <c r="K635" s="533">
        <v>5000</v>
      </c>
      <c r="L635" s="533"/>
      <c r="M635" s="533">
        <v>2384</v>
      </c>
      <c r="N635" s="533"/>
      <c r="O635" s="533">
        <v>0</v>
      </c>
      <c r="P635" s="533"/>
      <c r="Q635" s="533">
        <v>0</v>
      </c>
      <c r="R635" s="533"/>
      <c r="S635" s="1">
        <v>10</v>
      </c>
      <c r="T635" s="2" t="s">
        <v>289</v>
      </c>
      <c r="U635" s="533">
        <v>100</v>
      </c>
      <c r="V635" s="533"/>
      <c r="W635" s="533">
        <v>2284</v>
      </c>
      <c r="X635" s="533"/>
    </row>
    <row r="636" spans="1:24" ht="0.75" customHeight="1" x14ac:dyDescent="0.2"/>
    <row r="637" spans="1:24" ht="13.5" customHeight="1" x14ac:dyDescent="0.2">
      <c r="A637" s="530" t="s">
        <v>575</v>
      </c>
      <c r="B637" s="530"/>
      <c r="C637" s="531" t="s">
        <v>576</v>
      </c>
      <c r="D637" s="531"/>
      <c r="E637" s="531"/>
      <c r="F637" s="531"/>
      <c r="G637" s="531"/>
      <c r="I637" s="532">
        <v>40449</v>
      </c>
      <c r="J637" s="532"/>
      <c r="K637" s="533">
        <v>490.90000000000003</v>
      </c>
      <c r="L637" s="533"/>
      <c r="M637" s="533">
        <v>0</v>
      </c>
      <c r="N637" s="533"/>
      <c r="O637" s="533">
        <v>0</v>
      </c>
      <c r="P637" s="533"/>
      <c r="Q637" s="533">
        <v>0</v>
      </c>
      <c r="R637" s="533"/>
      <c r="S637" s="1">
        <v>20</v>
      </c>
      <c r="T637" s="2" t="s">
        <v>289</v>
      </c>
      <c r="U637" s="533">
        <v>0</v>
      </c>
      <c r="V637" s="533"/>
      <c r="W637" s="533">
        <v>0</v>
      </c>
      <c r="X637" s="533"/>
    </row>
    <row r="638" spans="1:24" ht="0.75" customHeight="1" x14ac:dyDescent="0.2"/>
    <row r="639" spans="1:24" ht="13.5" customHeight="1" x14ac:dyDescent="0.2">
      <c r="A639" s="530" t="s">
        <v>577</v>
      </c>
      <c r="B639" s="530"/>
      <c r="C639" s="531" t="s">
        <v>578</v>
      </c>
      <c r="D639" s="531"/>
      <c r="E639" s="531"/>
      <c r="F639" s="531"/>
      <c r="G639" s="531"/>
      <c r="I639" s="532">
        <v>40449</v>
      </c>
      <c r="J639" s="532"/>
      <c r="K639" s="533">
        <v>485.77</v>
      </c>
      <c r="L639" s="533"/>
      <c r="M639" s="533">
        <v>0</v>
      </c>
      <c r="N639" s="533"/>
      <c r="O639" s="533">
        <v>0</v>
      </c>
      <c r="P639" s="533"/>
      <c r="Q639" s="533">
        <v>0</v>
      </c>
      <c r="R639" s="533"/>
      <c r="S639" s="1">
        <v>20</v>
      </c>
      <c r="T639" s="2" t="s">
        <v>289</v>
      </c>
      <c r="U639" s="533">
        <v>0</v>
      </c>
      <c r="V639" s="533"/>
      <c r="W639" s="533">
        <v>0</v>
      </c>
      <c r="X639" s="533"/>
    </row>
    <row r="640" spans="1:24" ht="0.75" customHeight="1" x14ac:dyDescent="0.2"/>
    <row r="641" spans="1:24" ht="13.5" customHeight="1" x14ac:dyDescent="0.2">
      <c r="A641" s="530" t="s">
        <v>579</v>
      </c>
      <c r="B641" s="530"/>
      <c r="C641" s="531" t="s">
        <v>580</v>
      </c>
      <c r="D641" s="531"/>
      <c r="E641" s="531"/>
      <c r="F641" s="531"/>
      <c r="G641" s="531"/>
      <c r="I641" s="532">
        <v>40449</v>
      </c>
      <c r="J641" s="532"/>
      <c r="K641" s="533">
        <v>460.23</v>
      </c>
      <c r="L641" s="533"/>
      <c r="M641" s="533">
        <v>0</v>
      </c>
      <c r="N641" s="533"/>
      <c r="O641" s="533">
        <v>0</v>
      </c>
      <c r="P641" s="533"/>
      <c r="Q641" s="533">
        <v>0</v>
      </c>
      <c r="R641" s="533"/>
      <c r="S641" s="1">
        <v>20</v>
      </c>
      <c r="T641" s="2" t="s">
        <v>289</v>
      </c>
      <c r="U641" s="533">
        <v>0</v>
      </c>
      <c r="V641" s="533"/>
      <c r="W641" s="533">
        <v>0</v>
      </c>
      <c r="X641" s="533"/>
    </row>
    <row r="642" spans="1:24" ht="0.75" customHeight="1" x14ac:dyDescent="0.2"/>
    <row r="643" spans="1:24" ht="13.5" customHeight="1" x14ac:dyDescent="0.2">
      <c r="A643" s="530" t="s">
        <v>581</v>
      </c>
      <c r="B643" s="530"/>
      <c r="C643" s="531" t="s">
        <v>582</v>
      </c>
      <c r="D643" s="531"/>
      <c r="E643" s="531"/>
      <c r="F643" s="531"/>
      <c r="G643" s="531"/>
      <c r="I643" s="532">
        <v>40360</v>
      </c>
      <c r="J643" s="532"/>
      <c r="K643" s="533">
        <v>980</v>
      </c>
      <c r="L643" s="533"/>
      <c r="M643" s="533">
        <v>0</v>
      </c>
      <c r="N643" s="533"/>
      <c r="O643" s="533">
        <v>0</v>
      </c>
      <c r="P643" s="533"/>
      <c r="Q643" s="533">
        <v>0</v>
      </c>
      <c r="R643" s="533"/>
      <c r="S643" s="1">
        <v>20</v>
      </c>
      <c r="T643" s="2" t="s">
        <v>289</v>
      </c>
      <c r="U643" s="533">
        <v>0</v>
      </c>
      <c r="V643" s="533"/>
      <c r="W643" s="533">
        <v>0</v>
      </c>
      <c r="X643" s="533"/>
    </row>
    <row r="644" spans="1:24" ht="0.75" customHeight="1" x14ac:dyDescent="0.2"/>
    <row r="645" spans="1:24" ht="13.5" customHeight="1" x14ac:dyDescent="0.2">
      <c r="A645" s="530" t="s">
        <v>583</v>
      </c>
      <c r="B645" s="530"/>
      <c r="C645" s="531" t="s">
        <v>506</v>
      </c>
      <c r="D645" s="531"/>
      <c r="E645" s="531"/>
      <c r="F645" s="531"/>
      <c r="G645" s="531"/>
      <c r="I645" s="532">
        <v>38168</v>
      </c>
      <c r="J645" s="532"/>
      <c r="K645" s="533">
        <v>350</v>
      </c>
      <c r="L645" s="533"/>
      <c r="M645" s="533">
        <v>0</v>
      </c>
      <c r="N645" s="533"/>
      <c r="O645" s="533">
        <v>0</v>
      </c>
      <c r="P645" s="533"/>
      <c r="Q645" s="533">
        <v>0</v>
      </c>
      <c r="R645" s="533"/>
      <c r="S645" s="1">
        <v>33.33</v>
      </c>
      <c r="T645" s="2" t="s">
        <v>289</v>
      </c>
      <c r="U645" s="533">
        <v>0</v>
      </c>
      <c r="V645" s="533"/>
      <c r="W645" s="533">
        <v>0</v>
      </c>
      <c r="X645" s="533"/>
    </row>
    <row r="646" spans="1:24" ht="0.75" customHeight="1" x14ac:dyDescent="0.2"/>
    <row r="647" spans="1:24" ht="13.5" customHeight="1" x14ac:dyDescent="0.2">
      <c r="A647" s="530" t="s">
        <v>584</v>
      </c>
      <c r="B647" s="530"/>
      <c r="C647" s="531" t="s">
        <v>585</v>
      </c>
      <c r="D647" s="531"/>
      <c r="E647" s="531"/>
      <c r="F647" s="531"/>
      <c r="G647" s="531"/>
      <c r="I647" s="532">
        <v>40464</v>
      </c>
      <c r="J647" s="532"/>
      <c r="K647" s="533">
        <v>487.91</v>
      </c>
      <c r="L647" s="533"/>
      <c r="M647" s="533">
        <v>0</v>
      </c>
      <c r="N647" s="533"/>
      <c r="O647" s="533">
        <v>0</v>
      </c>
      <c r="P647" s="533"/>
      <c r="Q647" s="533">
        <v>0</v>
      </c>
      <c r="R647" s="533"/>
      <c r="S647" s="1">
        <v>20</v>
      </c>
      <c r="T647" s="2" t="s">
        <v>289</v>
      </c>
      <c r="U647" s="533">
        <v>0</v>
      </c>
      <c r="V647" s="533"/>
      <c r="W647" s="533">
        <v>0</v>
      </c>
      <c r="X647" s="533"/>
    </row>
    <row r="648" spans="1:24" ht="0.75" customHeight="1" x14ac:dyDescent="0.2"/>
    <row r="649" spans="1:24" ht="13.5" customHeight="1" x14ac:dyDescent="0.2">
      <c r="A649" s="530" t="s">
        <v>586</v>
      </c>
      <c r="B649" s="530"/>
      <c r="C649" s="525" t="s">
        <v>587</v>
      </c>
      <c r="D649" s="525"/>
      <c r="E649" s="525"/>
      <c r="F649" s="525"/>
      <c r="G649" s="525"/>
      <c r="I649" s="532">
        <v>40492</v>
      </c>
      <c r="J649" s="532"/>
      <c r="K649" s="533">
        <v>279.86</v>
      </c>
      <c r="L649" s="533"/>
      <c r="M649" s="533">
        <v>0</v>
      </c>
      <c r="N649" s="533"/>
      <c r="O649" s="533">
        <v>0</v>
      </c>
      <c r="P649" s="533"/>
      <c r="Q649" s="533">
        <v>0</v>
      </c>
      <c r="R649" s="533"/>
      <c r="S649" s="1">
        <v>20</v>
      </c>
      <c r="T649" s="2" t="s">
        <v>289</v>
      </c>
      <c r="U649" s="533">
        <v>0</v>
      </c>
      <c r="V649" s="533"/>
      <c r="W649" s="533">
        <v>0</v>
      </c>
      <c r="X649" s="533"/>
    </row>
    <row r="650" spans="1:24" ht="12" customHeight="1" x14ac:dyDescent="0.2">
      <c r="C650" s="525"/>
      <c r="D650" s="525"/>
      <c r="E650" s="525"/>
      <c r="F650" s="525"/>
      <c r="G650" s="525"/>
    </row>
    <row r="651" spans="1:24" ht="13.5" customHeight="1" x14ac:dyDescent="0.2">
      <c r="A651" s="530" t="s">
        <v>588</v>
      </c>
      <c r="B651" s="530"/>
      <c r="C651" s="525" t="s">
        <v>589</v>
      </c>
      <c r="D651" s="525"/>
      <c r="E651" s="525"/>
      <c r="F651" s="525"/>
      <c r="G651" s="525"/>
      <c r="I651" s="532">
        <v>40513</v>
      </c>
      <c r="J651" s="532"/>
      <c r="K651" s="533">
        <v>239.96</v>
      </c>
      <c r="L651" s="533"/>
      <c r="M651" s="533">
        <v>0</v>
      </c>
      <c r="N651" s="533"/>
      <c r="O651" s="533">
        <v>0</v>
      </c>
      <c r="P651" s="533"/>
      <c r="Q651" s="533">
        <v>0</v>
      </c>
      <c r="R651" s="533"/>
      <c r="S651" s="1">
        <v>20</v>
      </c>
      <c r="T651" s="2" t="s">
        <v>289</v>
      </c>
      <c r="U651" s="533">
        <v>0</v>
      </c>
      <c r="V651" s="533"/>
      <c r="W651" s="533">
        <v>0</v>
      </c>
      <c r="X651" s="533"/>
    </row>
    <row r="652" spans="1:24" ht="12" customHeight="1" x14ac:dyDescent="0.2">
      <c r="C652" s="525"/>
      <c r="D652" s="525"/>
      <c r="E652" s="525"/>
      <c r="F652" s="525"/>
      <c r="G652" s="525"/>
    </row>
    <row r="653" spans="1:24" ht="13.5" customHeight="1" x14ac:dyDescent="0.2">
      <c r="A653" s="530" t="s">
        <v>590</v>
      </c>
      <c r="B653" s="530"/>
      <c r="C653" s="531" t="s">
        <v>591</v>
      </c>
      <c r="D653" s="531"/>
      <c r="E653" s="531"/>
      <c r="F653" s="531"/>
      <c r="G653" s="531"/>
      <c r="I653" s="532">
        <v>40522</v>
      </c>
      <c r="J653" s="532"/>
      <c r="K653" s="533">
        <v>830</v>
      </c>
      <c r="L653" s="533"/>
      <c r="M653" s="533">
        <v>0</v>
      </c>
      <c r="N653" s="533"/>
      <c r="O653" s="533">
        <v>0</v>
      </c>
      <c r="P653" s="533"/>
      <c r="Q653" s="533">
        <v>0</v>
      </c>
      <c r="R653" s="533"/>
      <c r="S653" s="1">
        <v>20</v>
      </c>
      <c r="T653" s="2" t="s">
        <v>289</v>
      </c>
      <c r="U653" s="533">
        <v>0</v>
      </c>
      <c r="V653" s="533"/>
      <c r="W653" s="533">
        <v>0</v>
      </c>
      <c r="X653" s="533"/>
    </row>
    <row r="654" spans="1:24" ht="0.75" customHeight="1" x14ac:dyDescent="0.2"/>
    <row r="655" spans="1:24" ht="13.5" customHeight="1" x14ac:dyDescent="0.2">
      <c r="A655" s="530" t="s">
        <v>592</v>
      </c>
      <c r="B655" s="530"/>
      <c r="C655" s="531" t="s">
        <v>593</v>
      </c>
      <c r="D655" s="531"/>
      <c r="E655" s="531"/>
      <c r="F655" s="531"/>
      <c r="G655" s="531"/>
      <c r="I655" s="532">
        <v>40528</v>
      </c>
      <c r="J655" s="532"/>
      <c r="K655" s="533">
        <v>685.64</v>
      </c>
      <c r="L655" s="533"/>
      <c r="M655" s="533">
        <v>0</v>
      </c>
      <c r="N655" s="533"/>
      <c r="O655" s="533">
        <v>0</v>
      </c>
      <c r="P655" s="533"/>
      <c r="Q655" s="533">
        <v>0</v>
      </c>
      <c r="R655" s="533"/>
      <c r="S655" s="1">
        <v>20</v>
      </c>
      <c r="T655" s="2" t="s">
        <v>289</v>
      </c>
      <c r="U655" s="533">
        <v>0</v>
      </c>
      <c r="V655" s="533"/>
      <c r="W655" s="533">
        <v>0</v>
      </c>
      <c r="X655" s="533"/>
    </row>
    <row r="656" spans="1:24" ht="0.75" customHeight="1" x14ac:dyDescent="0.2"/>
    <row r="657" spans="1:24" ht="13.5" customHeight="1" x14ac:dyDescent="0.2">
      <c r="A657" s="530" t="s">
        <v>594</v>
      </c>
      <c r="B657" s="530"/>
      <c r="C657" s="531" t="s">
        <v>595</v>
      </c>
      <c r="D657" s="531"/>
      <c r="E657" s="531"/>
      <c r="F657" s="531"/>
      <c r="G657" s="531"/>
      <c r="I657" s="532">
        <v>40528</v>
      </c>
      <c r="J657" s="532"/>
      <c r="K657" s="533">
        <v>221.82</v>
      </c>
      <c r="L657" s="533"/>
      <c r="M657" s="533">
        <v>0</v>
      </c>
      <c r="N657" s="533"/>
      <c r="O657" s="533">
        <v>0</v>
      </c>
      <c r="P657" s="533"/>
      <c r="Q657" s="533">
        <v>0</v>
      </c>
      <c r="R657" s="533"/>
      <c r="S657" s="1">
        <v>20</v>
      </c>
      <c r="T657" s="2" t="s">
        <v>289</v>
      </c>
      <c r="U657" s="533">
        <v>0</v>
      </c>
      <c r="V657" s="533"/>
      <c r="W657" s="533">
        <v>0</v>
      </c>
      <c r="X657" s="533"/>
    </row>
    <row r="658" spans="1:24" ht="0.75" customHeight="1" x14ac:dyDescent="0.2"/>
    <row r="659" spans="1:24" ht="13.5" customHeight="1" x14ac:dyDescent="0.2">
      <c r="A659" s="530" t="s">
        <v>596</v>
      </c>
      <c r="B659" s="530"/>
      <c r="C659" s="531" t="s">
        <v>597</v>
      </c>
      <c r="D659" s="531"/>
      <c r="E659" s="531"/>
      <c r="F659" s="531"/>
      <c r="G659" s="531"/>
      <c r="I659" s="532">
        <v>40528</v>
      </c>
      <c r="J659" s="532"/>
      <c r="K659" s="533">
        <v>216.82</v>
      </c>
      <c r="L659" s="533"/>
      <c r="M659" s="533">
        <v>0</v>
      </c>
      <c r="N659" s="533"/>
      <c r="O659" s="533">
        <v>0</v>
      </c>
      <c r="P659" s="533"/>
      <c r="Q659" s="533">
        <v>0</v>
      </c>
      <c r="R659" s="533"/>
      <c r="S659" s="1">
        <v>20</v>
      </c>
      <c r="T659" s="2" t="s">
        <v>289</v>
      </c>
      <c r="U659" s="533">
        <v>0</v>
      </c>
      <c r="V659" s="533"/>
      <c r="W659" s="533">
        <v>0</v>
      </c>
      <c r="X659" s="533"/>
    </row>
    <row r="660" spans="1:24" ht="0.75" customHeight="1" x14ac:dyDescent="0.2"/>
    <row r="661" spans="1:24" ht="13.5" customHeight="1" x14ac:dyDescent="0.2">
      <c r="A661" s="530" t="s">
        <v>598</v>
      </c>
      <c r="B661" s="530"/>
      <c r="C661" s="531" t="s">
        <v>599</v>
      </c>
      <c r="D661" s="531"/>
      <c r="E661" s="531"/>
      <c r="F661" s="531"/>
      <c r="G661" s="531"/>
      <c r="I661" s="532">
        <v>40632</v>
      </c>
      <c r="J661" s="532"/>
      <c r="K661" s="533">
        <v>770</v>
      </c>
      <c r="L661" s="533"/>
      <c r="M661" s="533">
        <v>0</v>
      </c>
      <c r="N661" s="533"/>
      <c r="O661" s="533">
        <v>0</v>
      </c>
      <c r="P661" s="533"/>
      <c r="Q661" s="533">
        <v>0</v>
      </c>
      <c r="R661" s="533"/>
      <c r="S661" s="1">
        <v>20</v>
      </c>
      <c r="T661" s="2" t="s">
        <v>289</v>
      </c>
      <c r="U661" s="533">
        <v>0</v>
      </c>
      <c r="V661" s="533"/>
      <c r="W661" s="533">
        <v>0</v>
      </c>
      <c r="X661" s="533"/>
    </row>
    <row r="662" spans="1:24" ht="0.75" customHeight="1" x14ac:dyDescent="0.2"/>
    <row r="663" spans="1:24" ht="13.5" customHeight="1" x14ac:dyDescent="0.2">
      <c r="A663" s="530" t="s">
        <v>600</v>
      </c>
      <c r="B663" s="530"/>
      <c r="C663" s="531" t="s">
        <v>601</v>
      </c>
      <c r="D663" s="531"/>
      <c r="E663" s="531"/>
      <c r="F663" s="531"/>
      <c r="G663" s="531"/>
      <c r="I663" s="532">
        <v>40688</v>
      </c>
      <c r="J663" s="532"/>
      <c r="K663" s="533">
        <v>300</v>
      </c>
      <c r="L663" s="533"/>
      <c r="M663" s="533">
        <v>0</v>
      </c>
      <c r="N663" s="533"/>
      <c r="O663" s="533">
        <v>0</v>
      </c>
      <c r="P663" s="533"/>
      <c r="Q663" s="533">
        <v>0</v>
      </c>
      <c r="R663" s="533"/>
      <c r="S663" s="1">
        <v>20</v>
      </c>
      <c r="T663" s="2" t="s">
        <v>289</v>
      </c>
      <c r="U663" s="533">
        <v>0</v>
      </c>
      <c r="V663" s="533"/>
      <c r="W663" s="533">
        <v>0</v>
      </c>
      <c r="X663" s="533"/>
    </row>
    <row r="664" spans="1:24" ht="0.75" customHeight="1" x14ac:dyDescent="0.2"/>
    <row r="665" spans="1:24" ht="13.5" customHeight="1" x14ac:dyDescent="0.2">
      <c r="A665" s="530" t="s">
        <v>602</v>
      </c>
      <c r="B665" s="530"/>
      <c r="C665" s="531" t="s">
        <v>603</v>
      </c>
      <c r="D665" s="531"/>
      <c r="E665" s="531"/>
      <c r="F665" s="531"/>
      <c r="G665" s="531"/>
      <c r="I665" s="532">
        <v>40585</v>
      </c>
      <c r="J665" s="532"/>
      <c r="K665" s="533">
        <v>772.73</v>
      </c>
      <c r="L665" s="533"/>
      <c r="M665" s="533">
        <v>0</v>
      </c>
      <c r="N665" s="533"/>
      <c r="O665" s="533">
        <v>0</v>
      </c>
      <c r="P665" s="533"/>
      <c r="Q665" s="533">
        <v>0</v>
      </c>
      <c r="R665" s="533"/>
      <c r="S665" s="1">
        <v>20</v>
      </c>
      <c r="T665" s="2" t="s">
        <v>289</v>
      </c>
      <c r="U665" s="533">
        <v>0</v>
      </c>
      <c r="V665" s="533"/>
      <c r="W665" s="533">
        <v>0</v>
      </c>
      <c r="X665" s="533"/>
    </row>
    <row r="666" spans="1:24" ht="0.75" customHeight="1" x14ac:dyDescent="0.2"/>
    <row r="667" spans="1:24" ht="13.5" customHeight="1" x14ac:dyDescent="0.2">
      <c r="A667" s="530" t="s">
        <v>604</v>
      </c>
      <c r="B667" s="530"/>
      <c r="C667" s="531" t="s">
        <v>605</v>
      </c>
      <c r="D667" s="531"/>
      <c r="E667" s="531"/>
      <c r="F667" s="531"/>
      <c r="G667" s="531"/>
      <c r="I667" s="532">
        <v>38168</v>
      </c>
      <c r="J667" s="532"/>
      <c r="K667" s="533">
        <v>135.42000000000002</v>
      </c>
      <c r="L667" s="533"/>
      <c r="M667" s="533">
        <v>0</v>
      </c>
      <c r="N667" s="533"/>
      <c r="O667" s="533">
        <v>0</v>
      </c>
      <c r="P667" s="533"/>
      <c r="Q667" s="533">
        <v>0</v>
      </c>
      <c r="R667" s="533"/>
      <c r="S667" s="1">
        <v>10</v>
      </c>
      <c r="T667" s="2" t="s">
        <v>289</v>
      </c>
      <c r="U667" s="533">
        <v>0</v>
      </c>
      <c r="V667" s="533"/>
      <c r="W667" s="533">
        <v>0</v>
      </c>
      <c r="X667" s="533"/>
    </row>
    <row r="668" spans="1:24" ht="0.75" customHeight="1" x14ac:dyDescent="0.2"/>
    <row r="669" spans="1:24" ht="13.5" customHeight="1" x14ac:dyDescent="0.2">
      <c r="A669" s="530" t="s">
        <v>606</v>
      </c>
      <c r="B669" s="530"/>
      <c r="C669" s="531" t="s">
        <v>607</v>
      </c>
      <c r="D669" s="531"/>
      <c r="E669" s="531"/>
      <c r="F669" s="531"/>
      <c r="G669" s="531"/>
      <c r="I669" s="532">
        <v>38168</v>
      </c>
      <c r="J669" s="532"/>
      <c r="K669" s="533">
        <v>450</v>
      </c>
      <c r="L669" s="533"/>
      <c r="M669" s="533">
        <v>0</v>
      </c>
      <c r="N669" s="533"/>
      <c r="O669" s="533">
        <v>0</v>
      </c>
      <c r="P669" s="533"/>
      <c r="Q669" s="533">
        <v>0</v>
      </c>
      <c r="R669" s="533"/>
      <c r="S669" s="1">
        <v>20</v>
      </c>
      <c r="T669" s="2" t="s">
        <v>289</v>
      </c>
      <c r="U669" s="533">
        <v>0</v>
      </c>
      <c r="V669" s="533"/>
      <c r="W669" s="533">
        <v>0</v>
      </c>
      <c r="X669" s="533"/>
    </row>
    <row r="670" spans="1:24" ht="0.75" customHeight="1" x14ac:dyDescent="0.2"/>
    <row r="671" spans="1:24" ht="13.5" customHeight="1" x14ac:dyDescent="0.2">
      <c r="A671" s="530" t="s">
        <v>608</v>
      </c>
      <c r="B671" s="530"/>
      <c r="C671" s="531" t="s">
        <v>609</v>
      </c>
      <c r="D671" s="531"/>
      <c r="E671" s="531"/>
      <c r="F671" s="531"/>
      <c r="G671" s="531"/>
      <c r="I671" s="532">
        <v>38253</v>
      </c>
      <c r="J671" s="532"/>
      <c r="K671" s="533">
        <v>181</v>
      </c>
      <c r="L671" s="533"/>
      <c r="M671" s="533">
        <v>0</v>
      </c>
      <c r="N671" s="533"/>
      <c r="O671" s="533">
        <v>0</v>
      </c>
      <c r="P671" s="533"/>
      <c r="Q671" s="533">
        <v>0</v>
      </c>
      <c r="R671" s="533"/>
      <c r="S671" s="1">
        <v>20</v>
      </c>
      <c r="T671" s="2" t="s">
        <v>289</v>
      </c>
      <c r="U671" s="533">
        <v>0</v>
      </c>
      <c r="V671" s="533"/>
      <c r="W671" s="533">
        <v>0</v>
      </c>
      <c r="X671" s="533"/>
    </row>
    <row r="672" spans="1:24" ht="0.75" customHeight="1" x14ac:dyDescent="0.2"/>
    <row r="673" spans="1:24" ht="13.5" customHeight="1" x14ac:dyDescent="0.2">
      <c r="A673" s="530" t="s">
        <v>610</v>
      </c>
      <c r="B673" s="530"/>
      <c r="C673" s="531" t="s">
        <v>611</v>
      </c>
      <c r="D673" s="531"/>
      <c r="E673" s="531"/>
      <c r="F673" s="531"/>
      <c r="G673" s="531"/>
      <c r="I673" s="532">
        <v>38328</v>
      </c>
      <c r="J673" s="532"/>
      <c r="K673" s="533">
        <v>1000</v>
      </c>
      <c r="L673" s="533"/>
      <c r="M673" s="533">
        <v>0</v>
      </c>
      <c r="N673" s="533"/>
      <c r="O673" s="533">
        <v>0</v>
      </c>
      <c r="P673" s="533"/>
      <c r="Q673" s="533">
        <v>0</v>
      </c>
      <c r="R673" s="533"/>
      <c r="S673" s="1">
        <v>5</v>
      </c>
      <c r="T673" s="2" t="s">
        <v>289</v>
      </c>
      <c r="U673" s="533">
        <v>0</v>
      </c>
      <c r="V673" s="533"/>
      <c r="W673" s="533">
        <v>0</v>
      </c>
      <c r="X673" s="533"/>
    </row>
    <row r="674" spans="1:24" ht="0.75" customHeight="1" x14ac:dyDescent="0.2"/>
    <row r="675" spans="1:24" ht="13.5" customHeight="1" x14ac:dyDescent="0.2">
      <c r="A675" s="530" t="s">
        <v>612</v>
      </c>
      <c r="B675" s="530"/>
      <c r="C675" s="531" t="s">
        <v>613</v>
      </c>
      <c r="D675" s="531"/>
      <c r="E675" s="531"/>
      <c r="F675" s="531"/>
      <c r="G675" s="531"/>
      <c r="I675" s="532">
        <v>38413</v>
      </c>
      <c r="J675" s="532"/>
      <c r="K675" s="533">
        <v>3750</v>
      </c>
      <c r="L675" s="533"/>
      <c r="M675" s="533">
        <v>1894</v>
      </c>
      <c r="N675" s="533"/>
      <c r="O675" s="533">
        <v>0</v>
      </c>
      <c r="P675" s="533"/>
      <c r="Q675" s="533">
        <v>0</v>
      </c>
      <c r="R675" s="533"/>
      <c r="S675" s="1">
        <v>5</v>
      </c>
      <c r="T675" s="2" t="s">
        <v>289</v>
      </c>
      <c r="U675" s="533">
        <v>40</v>
      </c>
      <c r="V675" s="533"/>
      <c r="W675" s="533">
        <v>1854</v>
      </c>
      <c r="X675" s="533"/>
    </row>
    <row r="676" spans="1:24" ht="0.75" customHeight="1" x14ac:dyDescent="0.2"/>
    <row r="677" spans="1:24" ht="13.5" customHeight="1" x14ac:dyDescent="0.2">
      <c r="A677" s="530" t="s">
        <v>614</v>
      </c>
      <c r="B677" s="530"/>
      <c r="C677" s="531" t="s">
        <v>615</v>
      </c>
      <c r="D677" s="531"/>
      <c r="E677" s="531"/>
      <c r="F677" s="531"/>
      <c r="G677" s="531"/>
      <c r="I677" s="532">
        <v>38486</v>
      </c>
      <c r="J677" s="532"/>
      <c r="K677" s="533">
        <v>690.91</v>
      </c>
      <c r="L677" s="533"/>
      <c r="M677" s="533">
        <v>0</v>
      </c>
      <c r="N677" s="533"/>
      <c r="O677" s="533">
        <v>0</v>
      </c>
      <c r="P677" s="533"/>
      <c r="Q677" s="533">
        <v>0</v>
      </c>
      <c r="R677" s="533"/>
      <c r="S677" s="1">
        <v>37.5</v>
      </c>
      <c r="T677" s="2" t="s">
        <v>289</v>
      </c>
      <c r="U677" s="533">
        <v>0</v>
      </c>
      <c r="V677" s="533"/>
      <c r="W677" s="533">
        <v>0</v>
      </c>
      <c r="X677" s="533"/>
    </row>
    <row r="678" spans="1:24" ht="0.75" customHeight="1" x14ac:dyDescent="0.2"/>
    <row r="679" spans="1:24" ht="13.5" customHeight="1" x14ac:dyDescent="0.2">
      <c r="A679" s="530" t="s">
        <v>616</v>
      </c>
      <c r="B679" s="530"/>
      <c r="C679" s="531" t="s">
        <v>617</v>
      </c>
      <c r="D679" s="531"/>
      <c r="E679" s="531"/>
      <c r="F679" s="531"/>
      <c r="G679" s="531"/>
      <c r="I679" s="532">
        <v>40653</v>
      </c>
      <c r="J679" s="532"/>
      <c r="K679" s="533">
        <v>955.55000000000007</v>
      </c>
      <c r="L679" s="533"/>
      <c r="M679" s="533">
        <v>0</v>
      </c>
      <c r="N679" s="533"/>
      <c r="O679" s="533">
        <v>0</v>
      </c>
      <c r="P679" s="533"/>
      <c r="Q679" s="533">
        <v>0</v>
      </c>
      <c r="R679" s="533"/>
      <c r="S679" s="1">
        <v>20</v>
      </c>
      <c r="T679" s="2" t="s">
        <v>289</v>
      </c>
      <c r="U679" s="533">
        <v>0</v>
      </c>
      <c r="V679" s="533"/>
      <c r="W679" s="533">
        <v>0</v>
      </c>
      <c r="X679" s="533"/>
    </row>
    <row r="680" spans="1:24" ht="0.75" customHeight="1" x14ac:dyDescent="0.2"/>
    <row r="681" spans="1:24" ht="13.5" customHeight="1" x14ac:dyDescent="0.2">
      <c r="A681" s="530" t="s">
        <v>618</v>
      </c>
      <c r="B681" s="530"/>
      <c r="C681" s="531" t="s">
        <v>619</v>
      </c>
      <c r="D681" s="531"/>
      <c r="E681" s="531"/>
      <c r="F681" s="531"/>
      <c r="G681" s="531"/>
      <c r="I681" s="532">
        <v>40653</v>
      </c>
      <c r="J681" s="532"/>
      <c r="K681" s="533">
        <v>914</v>
      </c>
      <c r="L681" s="533"/>
      <c r="M681" s="533">
        <v>0</v>
      </c>
      <c r="N681" s="533"/>
      <c r="O681" s="533">
        <v>0</v>
      </c>
      <c r="P681" s="533"/>
      <c r="Q681" s="533">
        <v>0</v>
      </c>
      <c r="R681" s="533"/>
      <c r="S681" s="1">
        <v>20</v>
      </c>
      <c r="T681" s="2" t="s">
        <v>289</v>
      </c>
      <c r="U681" s="533">
        <v>0</v>
      </c>
      <c r="V681" s="533"/>
      <c r="W681" s="533">
        <v>0</v>
      </c>
      <c r="X681" s="533"/>
    </row>
    <row r="682" spans="1:24" ht="0.75" customHeight="1" x14ac:dyDescent="0.2"/>
    <row r="683" spans="1:24" ht="13.5" customHeight="1" x14ac:dyDescent="0.2">
      <c r="A683" s="530" t="s">
        <v>620</v>
      </c>
      <c r="B683" s="530"/>
      <c r="C683" s="531" t="s">
        <v>621</v>
      </c>
      <c r="D683" s="531"/>
      <c r="E683" s="531"/>
      <c r="F683" s="531"/>
      <c r="G683" s="531"/>
      <c r="I683" s="532">
        <v>38448</v>
      </c>
      <c r="J683" s="532"/>
      <c r="K683" s="533">
        <v>1613.23</v>
      </c>
      <c r="L683" s="533"/>
      <c r="M683" s="533">
        <v>0</v>
      </c>
      <c r="N683" s="533"/>
      <c r="O683" s="533">
        <v>0</v>
      </c>
      <c r="P683" s="533"/>
      <c r="Q683" s="533">
        <v>0</v>
      </c>
      <c r="R683" s="533"/>
      <c r="S683" s="1">
        <v>7.5</v>
      </c>
      <c r="T683" s="2" t="s">
        <v>289</v>
      </c>
      <c r="U683" s="533">
        <v>0</v>
      </c>
      <c r="V683" s="533"/>
      <c r="W683" s="533">
        <v>0</v>
      </c>
      <c r="X683" s="533"/>
    </row>
    <row r="684" spans="1:24" ht="0.75" customHeight="1" x14ac:dyDescent="0.2"/>
    <row r="685" spans="1:24" ht="13.5" customHeight="1" x14ac:dyDescent="0.2">
      <c r="A685" s="530" t="s">
        <v>622</v>
      </c>
      <c r="B685" s="530"/>
      <c r="C685" s="531" t="s">
        <v>623</v>
      </c>
      <c r="D685" s="531"/>
      <c r="E685" s="531"/>
      <c r="F685" s="531"/>
      <c r="G685" s="531"/>
      <c r="I685" s="532">
        <v>38432</v>
      </c>
      <c r="J685" s="532"/>
      <c r="K685" s="533">
        <v>825</v>
      </c>
      <c r="L685" s="533"/>
      <c r="M685" s="533">
        <v>0</v>
      </c>
      <c r="N685" s="533"/>
      <c r="O685" s="533">
        <v>0</v>
      </c>
      <c r="P685" s="533"/>
      <c r="Q685" s="533">
        <v>0</v>
      </c>
      <c r="R685" s="533"/>
      <c r="S685" s="1">
        <v>7.5</v>
      </c>
      <c r="T685" s="2" t="s">
        <v>289</v>
      </c>
      <c r="U685" s="533">
        <v>0</v>
      </c>
      <c r="V685" s="533"/>
      <c r="W685" s="533">
        <v>0</v>
      </c>
      <c r="X685" s="533"/>
    </row>
    <row r="686" spans="1:24" ht="0.75" customHeight="1" x14ac:dyDescent="0.2"/>
    <row r="687" spans="1:24" ht="13.5" customHeight="1" x14ac:dyDescent="0.2">
      <c r="A687" s="530" t="s">
        <v>624</v>
      </c>
      <c r="B687" s="530"/>
      <c r="C687" s="531" t="s">
        <v>380</v>
      </c>
      <c r="D687" s="531"/>
      <c r="E687" s="531"/>
      <c r="F687" s="531"/>
      <c r="G687" s="531"/>
      <c r="I687" s="532">
        <v>38477</v>
      </c>
      <c r="J687" s="532"/>
      <c r="K687" s="533">
        <v>407.88</v>
      </c>
      <c r="L687" s="533"/>
      <c r="M687" s="533">
        <v>0</v>
      </c>
      <c r="N687" s="533"/>
      <c r="O687" s="533">
        <v>0</v>
      </c>
      <c r="P687" s="533"/>
      <c r="Q687" s="533">
        <v>0</v>
      </c>
      <c r="R687" s="533"/>
      <c r="S687" s="1">
        <v>7.5</v>
      </c>
      <c r="T687" s="2" t="s">
        <v>289</v>
      </c>
      <c r="U687" s="533">
        <v>0</v>
      </c>
      <c r="V687" s="533"/>
      <c r="W687" s="533">
        <v>0</v>
      </c>
      <c r="X687" s="533"/>
    </row>
    <row r="688" spans="1:24" ht="0.75" customHeight="1" x14ac:dyDescent="0.2"/>
    <row r="689" spans="1:24" ht="13.5" customHeight="1" x14ac:dyDescent="0.2">
      <c r="A689" s="530" t="s">
        <v>625</v>
      </c>
      <c r="B689" s="530"/>
      <c r="C689" s="531" t="s">
        <v>626</v>
      </c>
      <c r="D689" s="531"/>
      <c r="E689" s="531"/>
      <c r="F689" s="531"/>
      <c r="G689" s="531"/>
      <c r="I689" s="532">
        <v>38567</v>
      </c>
      <c r="J689" s="532"/>
      <c r="K689" s="533">
        <v>2100</v>
      </c>
      <c r="L689" s="533"/>
      <c r="M689" s="533">
        <v>1083</v>
      </c>
      <c r="N689" s="533"/>
      <c r="O689" s="533">
        <v>0</v>
      </c>
      <c r="P689" s="533"/>
      <c r="Q689" s="533">
        <v>0</v>
      </c>
      <c r="R689" s="533"/>
      <c r="S689" s="1">
        <v>5</v>
      </c>
      <c r="T689" s="2" t="s">
        <v>289</v>
      </c>
      <c r="U689" s="533">
        <v>23</v>
      </c>
      <c r="V689" s="533"/>
      <c r="W689" s="533">
        <v>1060</v>
      </c>
      <c r="X689" s="533"/>
    </row>
    <row r="690" spans="1:24" ht="0.75" customHeight="1" x14ac:dyDescent="0.2"/>
    <row r="691" spans="1:24" ht="13.5" customHeight="1" x14ac:dyDescent="0.2">
      <c r="A691" s="530" t="s">
        <v>627</v>
      </c>
      <c r="B691" s="530"/>
      <c r="C691" s="531" t="s">
        <v>628</v>
      </c>
      <c r="D691" s="531"/>
      <c r="E691" s="531"/>
      <c r="F691" s="531"/>
      <c r="G691" s="531"/>
      <c r="I691" s="532">
        <v>38726</v>
      </c>
      <c r="J691" s="532"/>
      <c r="K691" s="533">
        <v>23400</v>
      </c>
      <c r="L691" s="533"/>
      <c r="M691" s="533">
        <v>12344</v>
      </c>
      <c r="N691" s="533"/>
      <c r="O691" s="533">
        <v>0</v>
      </c>
      <c r="P691" s="533"/>
      <c r="Q691" s="533">
        <v>0</v>
      </c>
      <c r="R691" s="533"/>
      <c r="S691" s="1">
        <v>5</v>
      </c>
      <c r="T691" s="2" t="s">
        <v>289</v>
      </c>
      <c r="U691" s="533">
        <v>259</v>
      </c>
      <c r="V691" s="533"/>
      <c r="W691" s="533">
        <v>12085</v>
      </c>
      <c r="X691" s="533"/>
    </row>
    <row r="692" spans="1:24" ht="0.75" customHeight="1" x14ac:dyDescent="0.2"/>
    <row r="693" spans="1:24" ht="13.5" customHeight="1" x14ac:dyDescent="0.2">
      <c r="A693" s="530" t="s">
        <v>629</v>
      </c>
      <c r="B693" s="530"/>
      <c r="C693" s="531" t="s">
        <v>630</v>
      </c>
      <c r="D693" s="531"/>
      <c r="E693" s="531"/>
      <c r="F693" s="531"/>
      <c r="G693" s="531"/>
      <c r="I693" s="532">
        <v>38730</v>
      </c>
      <c r="J693" s="532"/>
      <c r="K693" s="533">
        <v>19000</v>
      </c>
      <c r="L693" s="533"/>
      <c r="M693" s="533">
        <v>4454</v>
      </c>
      <c r="N693" s="533"/>
      <c r="O693" s="533">
        <v>0</v>
      </c>
      <c r="P693" s="533"/>
      <c r="Q693" s="533">
        <v>0</v>
      </c>
      <c r="R693" s="533"/>
      <c r="S693" s="1">
        <v>11</v>
      </c>
      <c r="T693" s="2" t="s">
        <v>289</v>
      </c>
      <c r="U693" s="533">
        <v>205</v>
      </c>
      <c r="V693" s="533"/>
      <c r="W693" s="533">
        <v>4249</v>
      </c>
      <c r="X693" s="533"/>
    </row>
    <row r="694" spans="1:24" ht="0.75" customHeight="1" x14ac:dyDescent="0.2"/>
    <row r="695" spans="1:24" ht="13.5" customHeight="1" x14ac:dyDescent="0.2">
      <c r="A695" s="530" t="s">
        <v>631</v>
      </c>
      <c r="B695" s="530"/>
      <c r="C695" s="531" t="s">
        <v>632</v>
      </c>
      <c r="D695" s="531"/>
      <c r="E695" s="531"/>
      <c r="F695" s="531"/>
      <c r="G695" s="531"/>
      <c r="I695" s="532">
        <v>38747</v>
      </c>
      <c r="J695" s="532"/>
      <c r="K695" s="533">
        <v>304.45</v>
      </c>
      <c r="L695" s="533"/>
      <c r="M695" s="533">
        <v>0</v>
      </c>
      <c r="N695" s="533"/>
      <c r="O695" s="533">
        <v>0</v>
      </c>
      <c r="P695" s="533"/>
      <c r="Q695" s="533">
        <v>0</v>
      </c>
      <c r="R695" s="533"/>
      <c r="S695" s="1">
        <v>10</v>
      </c>
      <c r="T695" s="2" t="s">
        <v>289</v>
      </c>
      <c r="U695" s="533">
        <v>0</v>
      </c>
      <c r="V695" s="533"/>
      <c r="W695" s="533">
        <v>0</v>
      </c>
      <c r="X695" s="533"/>
    </row>
    <row r="696" spans="1:24" ht="0.75" customHeight="1" x14ac:dyDescent="0.2"/>
    <row r="697" spans="1:24" ht="13.5" customHeight="1" x14ac:dyDescent="0.2">
      <c r="A697" s="530" t="s">
        <v>633</v>
      </c>
      <c r="B697" s="530"/>
      <c r="C697" s="531" t="s">
        <v>634</v>
      </c>
      <c r="D697" s="531"/>
      <c r="E697" s="531"/>
      <c r="F697" s="531"/>
      <c r="G697" s="531"/>
      <c r="I697" s="532">
        <v>38763</v>
      </c>
      <c r="J697" s="532"/>
      <c r="K697" s="533">
        <v>330</v>
      </c>
      <c r="L697" s="533"/>
      <c r="M697" s="533">
        <v>0</v>
      </c>
      <c r="N697" s="533"/>
      <c r="O697" s="533">
        <v>0</v>
      </c>
      <c r="P697" s="533"/>
      <c r="Q697" s="533">
        <v>0</v>
      </c>
      <c r="R697" s="533"/>
      <c r="S697" s="1">
        <v>37.5</v>
      </c>
      <c r="T697" s="2" t="s">
        <v>289</v>
      </c>
      <c r="U697" s="533">
        <v>0</v>
      </c>
      <c r="V697" s="533"/>
      <c r="W697" s="533">
        <v>0</v>
      </c>
      <c r="X697" s="533"/>
    </row>
    <row r="698" spans="1:24" ht="0.75" customHeight="1" x14ac:dyDescent="0.2"/>
    <row r="699" spans="1:24" ht="13.5" customHeight="1" x14ac:dyDescent="0.2">
      <c r="A699" s="530" t="s">
        <v>635</v>
      </c>
      <c r="B699" s="530"/>
      <c r="C699" s="531" t="s">
        <v>636</v>
      </c>
      <c r="D699" s="531"/>
      <c r="E699" s="531"/>
      <c r="F699" s="531"/>
      <c r="G699" s="531"/>
      <c r="I699" s="532">
        <v>38763</v>
      </c>
      <c r="J699" s="532"/>
      <c r="K699" s="533">
        <v>117</v>
      </c>
      <c r="L699" s="533"/>
      <c r="M699" s="533">
        <v>0</v>
      </c>
      <c r="N699" s="533"/>
      <c r="O699" s="533">
        <v>0</v>
      </c>
      <c r="P699" s="533"/>
      <c r="Q699" s="533">
        <v>0</v>
      </c>
      <c r="R699" s="533"/>
      <c r="S699" s="1">
        <v>37.5</v>
      </c>
      <c r="T699" s="2" t="s">
        <v>289</v>
      </c>
      <c r="U699" s="533">
        <v>0</v>
      </c>
      <c r="V699" s="533"/>
      <c r="W699" s="533">
        <v>0</v>
      </c>
      <c r="X699" s="533"/>
    </row>
    <row r="700" spans="1:24" ht="0.75" customHeight="1" x14ac:dyDescent="0.2"/>
    <row r="701" spans="1:24" ht="13.5" customHeight="1" x14ac:dyDescent="0.2">
      <c r="A701" s="530" t="s">
        <v>637</v>
      </c>
      <c r="B701" s="530"/>
      <c r="C701" s="531" t="s">
        <v>638</v>
      </c>
      <c r="D701" s="531"/>
      <c r="E701" s="531"/>
      <c r="F701" s="531"/>
      <c r="G701" s="531"/>
      <c r="I701" s="532">
        <v>38799</v>
      </c>
      <c r="J701" s="532"/>
      <c r="K701" s="533">
        <v>261.82</v>
      </c>
      <c r="L701" s="533"/>
      <c r="M701" s="533">
        <v>0</v>
      </c>
      <c r="N701" s="533"/>
      <c r="O701" s="533">
        <v>0</v>
      </c>
      <c r="P701" s="533"/>
      <c r="Q701" s="533">
        <v>0</v>
      </c>
      <c r="R701" s="533"/>
      <c r="S701" s="1">
        <v>37.5</v>
      </c>
      <c r="T701" s="2" t="s">
        <v>289</v>
      </c>
      <c r="U701" s="533">
        <v>0</v>
      </c>
      <c r="V701" s="533"/>
      <c r="W701" s="533">
        <v>0</v>
      </c>
      <c r="X701" s="533"/>
    </row>
    <row r="702" spans="1:24" ht="15" customHeight="1" x14ac:dyDescent="0.2">
      <c r="A702" s="534" t="s">
        <v>285</v>
      </c>
      <c r="B702" s="534"/>
      <c r="D702" s="534" t="s">
        <v>286</v>
      </c>
      <c r="E702" s="534"/>
      <c r="F702" s="534"/>
      <c r="G702" s="534"/>
      <c r="H702" s="534"/>
      <c r="I702" s="534"/>
      <c r="J702" s="534"/>
      <c r="K702" s="534"/>
      <c r="L702" s="534"/>
      <c r="M702" s="534"/>
      <c r="N702" s="534"/>
      <c r="O702" s="534"/>
      <c r="P702" s="534"/>
      <c r="Q702" s="534"/>
      <c r="R702" s="534"/>
      <c r="S702" s="534"/>
      <c r="T702" s="534"/>
      <c r="U702" s="534"/>
      <c r="V702" s="534"/>
    </row>
    <row r="703" spans="1:24" ht="0.75" customHeight="1" x14ac:dyDescent="0.2"/>
    <row r="704" spans="1:24" ht="13.5" customHeight="1" x14ac:dyDescent="0.2">
      <c r="A704" s="530" t="s">
        <v>639</v>
      </c>
      <c r="B704" s="530"/>
      <c r="C704" s="531" t="s">
        <v>640</v>
      </c>
      <c r="D704" s="531"/>
      <c r="E704" s="531"/>
      <c r="F704" s="531"/>
      <c r="G704" s="531"/>
      <c r="I704" s="532">
        <v>38810</v>
      </c>
      <c r="J704" s="532"/>
      <c r="K704" s="533">
        <v>1250</v>
      </c>
      <c r="L704" s="533"/>
      <c r="M704" s="533">
        <v>0</v>
      </c>
      <c r="N704" s="533"/>
      <c r="O704" s="533">
        <v>0</v>
      </c>
      <c r="P704" s="533"/>
      <c r="Q704" s="533">
        <v>0</v>
      </c>
      <c r="R704" s="533"/>
      <c r="S704" s="1">
        <v>5</v>
      </c>
      <c r="T704" s="2" t="s">
        <v>289</v>
      </c>
      <c r="U704" s="533">
        <v>0</v>
      </c>
      <c r="V704" s="533"/>
      <c r="W704" s="533">
        <v>0</v>
      </c>
      <c r="X704" s="533"/>
    </row>
    <row r="705" spans="1:24" ht="0.75" customHeight="1" x14ac:dyDescent="0.2"/>
    <row r="706" spans="1:24" ht="13.5" customHeight="1" x14ac:dyDescent="0.2">
      <c r="A706" s="530" t="s">
        <v>641</v>
      </c>
      <c r="B706" s="530"/>
      <c r="C706" s="531" t="s">
        <v>640</v>
      </c>
      <c r="D706" s="531"/>
      <c r="E706" s="531"/>
      <c r="F706" s="531"/>
      <c r="G706" s="531"/>
      <c r="I706" s="532">
        <v>38813</v>
      </c>
      <c r="J706" s="532"/>
      <c r="K706" s="533">
        <v>1250</v>
      </c>
      <c r="L706" s="533"/>
      <c r="M706" s="533">
        <v>0</v>
      </c>
      <c r="N706" s="533"/>
      <c r="O706" s="533">
        <v>0</v>
      </c>
      <c r="P706" s="533"/>
      <c r="Q706" s="533">
        <v>0</v>
      </c>
      <c r="R706" s="533"/>
      <c r="S706" s="1">
        <v>5</v>
      </c>
      <c r="T706" s="2" t="s">
        <v>289</v>
      </c>
      <c r="U706" s="533">
        <v>0</v>
      </c>
      <c r="V706" s="533"/>
      <c r="W706" s="533">
        <v>0</v>
      </c>
      <c r="X706" s="533"/>
    </row>
    <row r="707" spans="1:24" ht="0.75" customHeight="1" x14ac:dyDescent="0.2"/>
    <row r="708" spans="1:24" ht="13.5" customHeight="1" x14ac:dyDescent="0.2">
      <c r="A708" s="530" t="s">
        <v>642</v>
      </c>
      <c r="B708" s="530"/>
      <c r="C708" s="531" t="s">
        <v>643</v>
      </c>
      <c r="D708" s="531"/>
      <c r="E708" s="531"/>
      <c r="F708" s="531"/>
      <c r="G708" s="531"/>
      <c r="I708" s="532">
        <v>38834</v>
      </c>
      <c r="J708" s="532"/>
      <c r="K708" s="533">
        <v>1000</v>
      </c>
      <c r="L708" s="533"/>
      <c r="M708" s="533">
        <v>0</v>
      </c>
      <c r="N708" s="533"/>
      <c r="O708" s="533">
        <v>0</v>
      </c>
      <c r="P708" s="533"/>
      <c r="Q708" s="533">
        <v>0</v>
      </c>
      <c r="R708" s="533"/>
      <c r="S708" s="1">
        <v>5</v>
      </c>
      <c r="T708" s="2" t="s">
        <v>289</v>
      </c>
      <c r="U708" s="533">
        <v>0</v>
      </c>
      <c r="V708" s="533"/>
      <c r="W708" s="533">
        <v>0</v>
      </c>
      <c r="X708" s="533"/>
    </row>
    <row r="709" spans="1:24" ht="0.75" customHeight="1" x14ac:dyDescent="0.2"/>
    <row r="710" spans="1:24" ht="13.5" customHeight="1" x14ac:dyDescent="0.2">
      <c r="A710" s="530" t="s">
        <v>644</v>
      </c>
      <c r="B710" s="530"/>
      <c r="C710" s="531" t="s">
        <v>645</v>
      </c>
      <c r="D710" s="531"/>
      <c r="E710" s="531"/>
      <c r="F710" s="531"/>
      <c r="G710" s="531"/>
      <c r="I710" s="532">
        <v>38825</v>
      </c>
      <c r="J710" s="532"/>
      <c r="K710" s="533">
        <v>4200</v>
      </c>
      <c r="L710" s="533"/>
      <c r="M710" s="533">
        <v>2247</v>
      </c>
      <c r="N710" s="533"/>
      <c r="O710" s="533">
        <v>0</v>
      </c>
      <c r="P710" s="533"/>
      <c r="Q710" s="533">
        <v>0</v>
      </c>
      <c r="R710" s="533"/>
      <c r="S710" s="1">
        <v>5</v>
      </c>
      <c r="T710" s="2" t="s">
        <v>289</v>
      </c>
      <c r="U710" s="533">
        <v>47</v>
      </c>
      <c r="V710" s="533"/>
      <c r="W710" s="533">
        <v>2200</v>
      </c>
      <c r="X710" s="533"/>
    </row>
    <row r="711" spans="1:24" ht="0.75" customHeight="1" x14ac:dyDescent="0.2"/>
    <row r="712" spans="1:24" ht="13.5" customHeight="1" x14ac:dyDescent="0.2">
      <c r="A712" s="530" t="s">
        <v>646</v>
      </c>
      <c r="B712" s="530"/>
      <c r="C712" s="531" t="s">
        <v>623</v>
      </c>
      <c r="D712" s="531"/>
      <c r="E712" s="531"/>
      <c r="F712" s="531"/>
      <c r="G712" s="531"/>
      <c r="I712" s="532">
        <v>38835</v>
      </c>
      <c r="J712" s="532"/>
      <c r="K712" s="533">
        <v>1059.04</v>
      </c>
      <c r="L712" s="533"/>
      <c r="M712" s="533">
        <v>0</v>
      </c>
      <c r="N712" s="533"/>
      <c r="O712" s="533">
        <v>0</v>
      </c>
      <c r="P712" s="533"/>
      <c r="Q712" s="533">
        <v>0</v>
      </c>
      <c r="R712" s="533"/>
      <c r="S712" s="1">
        <v>7.5</v>
      </c>
      <c r="T712" s="2" t="s">
        <v>289</v>
      </c>
      <c r="U712" s="533">
        <v>0</v>
      </c>
      <c r="V712" s="533"/>
      <c r="W712" s="533">
        <v>0</v>
      </c>
      <c r="X712" s="533"/>
    </row>
    <row r="713" spans="1:24" ht="0.75" customHeight="1" x14ac:dyDescent="0.2"/>
    <row r="714" spans="1:24" ht="13.5" customHeight="1" x14ac:dyDescent="0.2">
      <c r="A714" s="530" t="s">
        <v>647</v>
      </c>
      <c r="B714" s="530"/>
      <c r="C714" s="531" t="s">
        <v>648</v>
      </c>
      <c r="D714" s="531"/>
      <c r="E714" s="531"/>
      <c r="F714" s="531"/>
      <c r="G714" s="531"/>
      <c r="I714" s="532">
        <v>38765</v>
      </c>
      <c r="J714" s="532"/>
      <c r="K714" s="533">
        <v>97.5</v>
      </c>
      <c r="L714" s="533"/>
      <c r="M714" s="533">
        <v>0</v>
      </c>
      <c r="N714" s="533"/>
      <c r="O714" s="533">
        <v>0</v>
      </c>
      <c r="P714" s="533"/>
      <c r="Q714" s="533">
        <v>0</v>
      </c>
      <c r="R714" s="533"/>
      <c r="S714" s="1">
        <v>30</v>
      </c>
      <c r="T714" s="2" t="s">
        <v>289</v>
      </c>
      <c r="U714" s="533">
        <v>0</v>
      </c>
      <c r="V714" s="533"/>
      <c r="W714" s="533">
        <v>0</v>
      </c>
      <c r="X714" s="533"/>
    </row>
    <row r="715" spans="1:24" ht="0.75" customHeight="1" x14ac:dyDescent="0.2"/>
    <row r="716" spans="1:24" ht="13.5" customHeight="1" x14ac:dyDescent="0.2">
      <c r="A716" s="530" t="s">
        <v>649</v>
      </c>
      <c r="B716" s="530"/>
      <c r="C716" s="531" t="s">
        <v>650</v>
      </c>
      <c r="D716" s="531"/>
      <c r="E716" s="531"/>
      <c r="F716" s="531"/>
      <c r="G716" s="531"/>
      <c r="I716" s="532">
        <v>38611</v>
      </c>
      <c r="J716" s="532"/>
      <c r="K716" s="533">
        <v>12000</v>
      </c>
      <c r="L716" s="533"/>
      <c r="M716" s="533">
        <v>4430</v>
      </c>
      <c r="N716" s="533"/>
      <c r="O716" s="533">
        <v>0</v>
      </c>
      <c r="P716" s="533"/>
      <c r="Q716" s="533">
        <v>0</v>
      </c>
      <c r="R716" s="533"/>
      <c r="S716" s="1">
        <v>7.5</v>
      </c>
      <c r="T716" s="2" t="s">
        <v>289</v>
      </c>
      <c r="U716" s="533">
        <v>139</v>
      </c>
      <c r="V716" s="533"/>
      <c r="W716" s="533">
        <v>4291</v>
      </c>
      <c r="X716" s="533"/>
    </row>
    <row r="717" spans="1:24" ht="0.75" customHeight="1" x14ac:dyDescent="0.2"/>
    <row r="718" spans="1:24" ht="13.5" customHeight="1" x14ac:dyDescent="0.2">
      <c r="A718" s="530" t="s">
        <v>651</v>
      </c>
      <c r="B718" s="530"/>
      <c r="C718" s="531" t="s">
        <v>652</v>
      </c>
      <c r="D718" s="531"/>
      <c r="E718" s="531"/>
      <c r="F718" s="531"/>
      <c r="G718" s="531"/>
      <c r="I718" s="532">
        <v>38687</v>
      </c>
      <c r="J718" s="532"/>
      <c r="K718" s="533">
        <v>4090.9100000000003</v>
      </c>
      <c r="L718" s="533"/>
      <c r="M718" s="533">
        <v>2146.91</v>
      </c>
      <c r="N718" s="533"/>
      <c r="O718" s="533">
        <v>0</v>
      </c>
      <c r="P718" s="533"/>
      <c r="Q718" s="533">
        <v>0</v>
      </c>
      <c r="R718" s="533"/>
      <c r="S718" s="1">
        <v>5</v>
      </c>
      <c r="T718" s="2" t="s">
        <v>289</v>
      </c>
      <c r="U718" s="533">
        <v>45</v>
      </c>
      <c r="V718" s="533"/>
      <c r="W718" s="533">
        <v>2101.91</v>
      </c>
      <c r="X718" s="533"/>
    </row>
    <row r="719" spans="1:24" ht="0.75" customHeight="1" x14ac:dyDescent="0.2"/>
    <row r="720" spans="1:24" ht="13.5" customHeight="1" x14ac:dyDescent="0.2">
      <c r="A720" s="530" t="s">
        <v>653</v>
      </c>
      <c r="B720" s="530"/>
      <c r="C720" s="531" t="s">
        <v>654</v>
      </c>
      <c r="D720" s="531"/>
      <c r="E720" s="531"/>
      <c r="F720" s="531"/>
      <c r="G720" s="531"/>
      <c r="I720" s="532">
        <v>38718</v>
      </c>
      <c r="J720" s="532"/>
      <c r="K720" s="533">
        <v>5740</v>
      </c>
      <c r="L720" s="533"/>
      <c r="M720" s="533">
        <v>2168</v>
      </c>
      <c r="N720" s="533"/>
      <c r="O720" s="533">
        <v>0</v>
      </c>
      <c r="P720" s="533"/>
      <c r="Q720" s="533">
        <v>0</v>
      </c>
      <c r="R720" s="533"/>
      <c r="S720" s="1">
        <v>7.5</v>
      </c>
      <c r="T720" s="2" t="s">
        <v>289</v>
      </c>
      <c r="U720" s="533">
        <v>68</v>
      </c>
      <c r="V720" s="533"/>
      <c r="W720" s="533">
        <v>2100</v>
      </c>
      <c r="X720" s="533"/>
    </row>
    <row r="721" spans="1:24" ht="0.75" customHeight="1" x14ac:dyDescent="0.2"/>
    <row r="722" spans="1:24" ht="13.5" customHeight="1" x14ac:dyDescent="0.2">
      <c r="A722" s="530" t="s">
        <v>655</v>
      </c>
      <c r="B722" s="530"/>
      <c r="C722" s="531" t="s">
        <v>656</v>
      </c>
      <c r="D722" s="531"/>
      <c r="E722" s="531"/>
      <c r="F722" s="531"/>
      <c r="G722" s="531"/>
      <c r="I722" s="532">
        <v>38656</v>
      </c>
      <c r="J722" s="532"/>
      <c r="K722" s="533">
        <v>271.82</v>
      </c>
      <c r="L722" s="533"/>
      <c r="M722" s="533">
        <v>0</v>
      </c>
      <c r="N722" s="533"/>
      <c r="O722" s="533">
        <v>0</v>
      </c>
      <c r="P722" s="533"/>
      <c r="Q722" s="533">
        <v>0</v>
      </c>
      <c r="R722" s="533"/>
      <c r="S722" s="1">
        <v>20</v>
      </c>
      <c r="T722" s="2" t="s">
        <v>289</v>
      </c>
      <c r="U722" s="533">
        <v>0</v>
      </c>
      <c r="V722" s="533"/>
      <c r="W722" s="533">
        <v>0</v>
      </c>
      <c r="X722" s="533"/>
    </row>
    <row r="723" spans="1:24" ht="0.75" customHeight="1" x14ac:dyDescent="0.2"/>
    <row r="724" spans="1:24" ht="13.5" customHeight="1" x14ac:dyDescent="0.2">
      <c r="A724" s="530" t="s">
        <v>657</v>
      </c>
      <c r="B724" s="530"/>
      <c r="C724" s="531" t="s">
        <v>658</v>
      </c>
      <c r="D724" s="531"/>
      <c r="E724" s="531"/>
      <c r="F724" s="531"/>
      <c r="G724" s="531"/>
      <c r="I724" s="532">
        <v>38966</v>
      </c>
      <c r="J724" s="532"/>
      <c r="K724" s="533">
        <v>1000</v>
      </c>
      <c r="L724" s="533"/>
      <c r="M724" s="533">
        <v>0</v>
      </c>
      <c r="N724" s="533"/>
      <c r="O724" s="533">
        <v>0</v>
      </c>
      <c r="P724" s="533"/>
      <c r="Q724" s="533">
        <v>0</v>
      </c>
      <c r="R724" s="533"/>
      <c r="S724" s="1">
        <v>10</v>
      </c>
      <c r="T724" s="2" t="s">
        <v>289</v>
      </c>
      <c r="U724" s="533">
        <v>0</v>
      </c>
      <c r="V724" s="533"/>
      <c r="W724" s="533">
        <v>0</v>
      </c>
      <c r="X724" s="533"/>
    </row>
    <row r="725" spans="1:24" ht="0.75" customHeight="1" x14ac:dyDescent="0.2"/>
    <row r="726" spans="1:24" ht="13.5" customHeight="1" x14ac:dyDescent="0.2">
      <c r="A726" s="530" t="s">
        <v>659</v>
      </c>
      <c r="B726" s="530"/>
      <c r="C726" s="531" t="s">
        <v>660</v>
      </c>
      <c r="D726" s="531"/>
      <c r="E726" s="531"/>
      <c r="F726" s="531"/>
      <c r="G726" s="531"/>
      <c r="I726" s="532">
        <v>39115</v>
      </c>
      <c r="J726" s="532"/>
      <c r="K726" s="533">
        <v>5000</v>
      </c>
      <c r="L726" s="533"/>
      <c r="M726" s="533">
        <v>1505</v>
      </c>
      <c r="N726" s="533"/>
      <c r="O726" s="533">
        <v>0</v>
      </c>
      <c r="P726" s="533"/>
      <c r="Q726" s="533">
        <v>0</v>
      </c>
      <c r="R726" s="533"/>
      <c r="S726" s="1">
        <v>10</v>
      </c>
      <c r="T726" s="2" t="s">
        <v>289</v>
      </c>
      <c r="U726" s="533">
        <v>63</v>
      </c>
      <c r="V726" s="533"/>
      <c r="W726" s="533">
        <v>1442</v>
      </c>
      <c r="X726" s="533"/>
    </row>
    <row r="727" spans="1:24" ht="0.75" customHeight="1" x14ac:dyDescent="0.2"/>
    <row r="728" spans="1:24" ht="13.5" customHeight="1" x14ac:dyDescent="0.2">
      <c r="A728" s="530" t="s">
        <v>661</v>
      </c>
      <c r="B728" s="530"/>
      <c r="C728" s="531" t="s">
        <v>662</v>
      </c>
      <c r="D728" s="531"/>
      <c r="E728" s="531"/>
      <c r="F728" s="531"/>
      <c r="G728" s="531"/>
      <c r="I728" s="532">
        <v>39138</v>
      </c>
      <c r="J728" s="532"/>
      <c r="K728" s="533">
        <v>2500</v>
      </c>
      <c r="L728" s="533"/>
      <c r="M728" s="533">
        <v>0</v>
      </c>
      <c r="N728" s="533"/>
      <c r="O728" s="533">
        <v>0</v>
      </c>
      <c r="P728" s="533"/>
      <c r="Q728" s="533">
        <v>0</v>
      </c>
      <c r="R728" s="533"/>
      <c r="S728" s="1">
        <v>10</v>
      </c>
      <c r="T728" s="2" t="s">
        <v>289</v>
      </c>
      <c r="U728" s="533">
        <v>0</v>
      </c>
      <c r="V728" s="533"/>
      <c r="W728" s="533">
        <v>0</v>
      </c>
      <c r="X728" s="533"/>
    </row>
    <row r="729" spans="1:24" ht="0.75" customHeight="1" x14ac:dyDescent="0.2"/>
    <row r="730" spans="1:24" ht="13.5" customHeight="1" x14ac:dyDescent="0.2">
      <c r="A730" s="530" t="s">
        <v>663</v>
      </c>
      <c r="B730" s="530"/>
      <c r="C730" s="531" t="s">
        <v>358</v>
      </c>
      <c r="D730" s="531"/>
      <c r="E730" s="531"/>
      <c r="F730" s="531"/>
      <c r="G730" s="531"/>
      <c r="I730" s="532">
        <v>39142</v>
      </c>
      <c r="J730" s="532"/>
      <c r="K730" s="533">
        <v>1330</v>
      </c>
      <c r="L730" s="533"/>
      <c r="M730" s="533">
        <v>0</v>
      </c>
      <c r="N730" s="533"/>
      <c r="O730" s="533">
        <v>0</v>
      </c>
      <c r="P730" s="533"/>
      <c r="Q730" s="533">
        <v>0</v>
      </c>
      <c r="R730" s="533"/>
      <c r="S730" s="1">
        <v>20</v>
      </c>
      <c r="T730" s="2" t="s">
        <v>289</v>
      </c>
      <c r="U730" s="533">
        <v>0</v>
      </c>
      <c r="V730" s="533"/>
      <c r="W730" s="533">
        <v>0</v>
      </c>
      <c r="X730" s="533"/>
    </row>
    <row r="731" spans="1:24" ht="0.75" customHeight="1" x14ac:dyDescent="0.2"/>
    <row r="732" spans="1:24" ht="13.5" customHeight="1" x14ac:dyDescent="0.2">
      <c r="A732" s="530" t="s">
        <v>664</v>
      </c>
      <c r="B732" s="530"/>
      <c r="C732" s="531" t="s">
        <v>665</v>
      </c>
      <c r="D732" s="531"/>
      <c r="E732" s="531"/>
      <c r="F732" s="531"/>
      <c r="G732" s="531"/>
      <c r="I732" s="532">
        <v>39148</v>
      </c>
      <c r="J732" s="532"/>
      <c r="K732" s="533">
        <v>527.27</v>
      </c>
      <c r="L732" s="533"/>
      <c r="M732" s="533">
        <v>0</v>
      </c>
      <c r="N732" s="533"/>
      <c r="O732" s="533">
        <v>0</v>
      </c>
      <c r="P732" s="533"/>
      <c r="Q732" s="533">
        <v>0</v>
      </c>
      <c r="R732" s="533"/>
      <c r="S732" s="1">
        <v>20</v>
      </c>
      <c r="T732" s="2" t="s">
        <v>289</v>
      </c>
      <c r="U732" s="533">
        <v>0</v>
      </c>
      <c r="V732" s="533"/>
      <c r="W732" s="533">
        <v>0</v>
      </c>
      <c r="X732" s="533"/>
    </row>
    <row r="733" spans="1:24" ht="0.75" customHeight="1" x14ac:dyDescent="0.2"/>
    <row r="734" spans="1:24" ht="13.5" customHeight="1" x14ac:dyDescent="0.2">
      <c r="A734" s="530" t="s">
        <v>666</v>
      </c>
      <c r="B734" s="530"/>
      <c r="C734" s="525" t="s">
        <v>667</v>
      </c>
      <c r="D734" s="525"/>
      <c r="E734" s="525"/>
      <c r="F734" s="525"/>
      <c r="G734" s="525"/>
      <c r="I734" s="532">
        <v>39217</v>
      </c>
      <c r="J734" s="532"/>
      <c r="K734" s="533">
        <v>36666.620000000003</v>
      </c>
      <c r="L734" s="533"/>
      <c r="M734" s="533">
        <v>8967</v>
      </c>
      <c r="N734" s="533"/>
      <c r="O734" s="533">
        <v>0</v>
      </c>
      <c r="P734" s="533"/>
      <c r="Q734" s="533">
        <v>0</v>
      </c>
      <c r="R734" s="533"/>
      <c r="S734" s="1">
        <v>20</v>
      </c>
      <c r="T734" s="2" t="s">
        <v>289</v>
      </c>
      <c r="U734" s="533">
        <v>752</v>
      </c>
      <c r="V734" s="533"/>
      <c r="W734" s="533">
        <v>8215</v>
      </c>
      <c r="X734" s="533"/>
    </row>
    <row r="735" spans="1:24" ht="12" customHeight="1" x14ac:dyDescent="0.2">
      <c r="C735" s="525"/>
      <c r="D735" s="525"/>
      <c r="E735" s="525"/>
      <c r="F735" s="525"/>
      <c r="G735" s="525"/>
    </row>
    <row r="736" spans="1:24" ht="13.5" customHeight="1" x14ac:dyDescent="0.2">
      <c r="A736" s="530" t="s">
        <v>668</v>
      </c>
      <c r="B736" s="530"/>
      <c r="C736" s="531" t="s">
        <v>669</v>
      </c>
      <c r="D736" s="531"/>
      <c r="E736" s="531"/>
      <c r="F736" s="531"/>
      <c r="G736" s="531"/>
      <c r="I736" s="532">
        <v>41142</v>
      </c>
      <c r="J736" s="532"/>
      <c r="K736" s="533">
        <v>780</v>
      </c>
      <c r="L736" s="533"/>
      <c r="M736" s="533">
        <v>0</v>
      </c>
      <c r="N736" s="533"/>
      <c r="O736" s="533">
        <v>0</v>
      </c>
      <c r="P736" s="533"/>
      <c r="Q736" s="533">
        <v>0</v>
      </c>
      <c r="R736" s="533"/>
      <c r="S736" s="1">
        <v>66.67</v>
      </c>
      <c r="T736" s="2" t="s">
        <v>289</v>
      </c>
      <c r="U736" s="533">
        <v>0</v>
      </c>
      <c r="V736" s="533"/>
      <c r="W736" s="533">
        <v>0</v>
      </c>
      <c r="X736" s="533"/>
    </row>
    <row r="737" spans="1:24" ht="0.75" customHeight="1" x14ac:dyDescent="0.2"/>
    <row r="738" spans="1:24" ht="13.5" customHeight="1" x14ac:dyDescent="0.2">
      <c r="A738" s="530" t="s">
        <v>670</v>
      </c>
      <c r="B738" s="530"/>
      <c r="C738" s="531" t="s">
        <v>671</v>
      </c>
      <c r="D738" s="531"/>
      <c r="E738" s="531"/>
      <c r="F738" s="531"/>
      <c r="G738" s="531"/>
      <c r="I738" s="532">
        <v>41194</v>
      </c>
      <c r="J738" s="532"/>
      <c r="K738" s="533">
        <v>8127.89</v>
      </c>
      <c r="L738" s="533"/>
      <c r="M738" s="533">
        <v>2280.89</v>
      </c>
      <c r="N738" s="533"/>
      <c r="O738" s="533">
        <v>0</v>
      </c>
      <c r="P738" s="533"/>
      <c r="Q738" s="533">
        <v>0</v>
      </c>
      <c r="R738" s="533"/>
      <c r="S738" s="1">
        <v>20</v>
      </c>
      <c r="T738" s="2" t="s">
        <v>289</v>
      </c>
      <c r="U738" s="533">
        <v>191</v>
      </c>
      <c r="V738" s="533"/>
      <c r="W738" s="533">
        <v>2089.89</v>
      </c>
      <c r="X738" s="533"/>
    </row>
    <row r="739" spans="1:24" ht="0.75" customHeight="1" x14ac:dyDescent="0.2"/>
    <row r="740" spans="1:24" ht="13.5" customHeight="1" x14ac:dyDescent="0.2">
      <c r="A740" s="530" t="s">
        <v>672</v>
      </c>
      <c r="B740" s="530"/>
      <c r="C740" s="531" t="s">
        <v>673</v>
      </c>
      <c r="D740" s="531"/>
      <c r="E740" s="531"/>
      <c r="F740" s="531"/>
      <c r="G740" s="531"/>
      <c r="I740" s="532">
        <v>41235</v>
      </c>
      <c r="J740" s="532"/>
      <c r="K740" s="533">
        <v>877.27</v>
      </c>
      <c r="L740" s="533"/>
      <c r="M740" s="533">
        <v>0</v>
      </c>
      <c r="N740" s="533"/>
      <c r="O740" s="533">
        <v>0</v>
      </c>
      <c r="P740" s="533"/>
      <c r="Q740" s="533">
        <v>0</v>
      </c>
      <c r="R740" s="533"/>
      <c r="S740" s="1">
        <v>66.67</v>
      </c>
      <c r="T740" s="2" t="s">
        <v>289</v>
      </c>
      <c r="U740" s="533">
        <v>0</v>
      </c>
      <c r="V740" s="533"/>
      <c r="W740" s="533">
        <v>0</v>
      </c>
      <c r="X740" s="533"/>
    </row>
    <row r="741" spans="1:24" ht="0.75" customHeight="1" x14ac:dyDescent="0.2"/>
    <row r="742" spans="1:24" ht="13.5" customHeight="1" x14ac:dyDescent="0.2">
      <c r="A742" s="530" t="s">
        <v>674</v>
      </c>
      <c r="B742" s="530"/>
      <c r="C742" s="531" t="s">
        <v>675</v>
      </c>
      <c r="D742" s="531"/>
      <c r="E742" s="531"/>
      <c r="F742" s="531"/>
      <c r="G742" s="531"/>
      <c r="I742" s="532">
        <v>41235</v>
      </c>
      <c r="J742" s="532"/>
      <c r="K742" s="533">
        <v>2045.45</v>
      </c>
      <c r="L742" s="533"/>
      <c r="M742" s="533">
        <v>920.45</v>
      </c>
      <c r="N742" s="533"/>
      <c r="O742" s="533">
        <v>0</v>
      </c>
      <c r="P742" s="533"/>
      <c r="Q742" s="533">
        <v>0</v>
      </c>
      <c r="R742" s="533"/>
      <c r="S742" s="1">
        <v>13.33</v>
      </c>
      <c r="T742" s="2" t="s">
        <v>289</v>
      </c>
      <c r="U742" s="533">
        <v>51</v>
      </c>
      <c r="V742" s="533"/>
      <c r="W742" s="533">
        <v>869.45</v>
      </c>
      <c r="X742" s="533"/>
    </row>
    <row r="743" spans="1:24" ht="0.75" customHeight="1" x14ac:dyDescent="0.2"/>
    <row r="744" spans="1:24" ht="13.5" customHeight="1" x14ac:dyDescent="0.2">
      <c r="A744" s="530" t="s">
        <v>676</v>
      </c>
      <c r="B744" s="530"/>
      <c r="C744" s="531" t="s">
        <v>677</v>
      </c>
      <c r="D744" s="531"/>
      <c r="E744" s="531"/>
      <c r="F744" s="531"/>
      <c r="G744" s="531"/>
      <c r="I744" s="532">
        <v>41235</v>
      </c>
      <c r="J744" s="532"/>
      <c r="K744" s="533">
        <v>2045.46</v>
      </c>
      <c r="L744" s="533"/>
      <c r="M744" s="533">
        <v>920.46</v>
      </c>
      <c r="N744" s="533"/>
      <c r="O744" s="533">
        <v>0</v>
      </c>
      <c r="P744" s="533"/>
      <c r="Q744" s="533">
        <v>0</v>
      </c>
      <c r="R744" s="533"/>
      <c r="S744" s="1">
        <v>13.33</v>
      </c>
      <c r="T744" s="2" t="s">
        <v>289</v>
      </c>
      <c r="U744" s="533">
        <v>51</v>
      </c>
      <c r="V744" s="533"/>
      <c r="W744" s="533">
        <v>869.46</v>
      </c>
      <c r="X744" s="533"/>
    </row>
    <row r="745" spans="1:24" ht="0.75" customHeight="1" x14ac:dyDescent="0.2"/>
    <row r="746" spans="1:24" ht="13.5" customHeight="1" x14ac:dyDescent="0.2">
      <c r="A746" s="530" t="s">
        <v>678</v>
      </c>
      <c r="B746" s="530"/>
      <c r="C746" s="531" t="s">
        <v>679</v>
      </c>
      <c r="D746" s="531"/>
      <c r="E746" s="531"/>
      <c r="F746" s="531"/>
      <c r="G746" s="531"/>
      <c r="I746" s="532">
        <v>41235</v>
      </c>
      <c r="J746" s="532"/>
      <c r="K746" s="533">
        <v>613.64</v>
      </c>
      <c r="L746" s="533"/>
      <c r="M746" s="533">
        <v>0</v>
      </c>
      <c r="N746" s="533"/>
      <c r="O746" s="533">
        <v>0</v>
      </c>
      <c r="P746" s="533"/>
      <c r="Q746" s="533">
        <v>0</v>
      </c>
      <c r="R746" s="533"/>
      <c r="S746" s="1">
        <v>13.33</v>
      </c>
      <c r="T746" s="2" t="s">
        <v>289</v>
      </c>
      <c r="U746" s="533">
        <v>0</v>
      </c>
      <c r="V746" s="533"/>
      <c r="W746" s="533">
        <v>0</v>
      </c>
      <c r="X746" s="533"/>
    </row>
    <row r="747" spans="1:24" ht="0.75" customHeight="1" x14ac:dyDescent="0.2"/>
    <row r="748" spans="1:24" ht="13.5" customHeight="1" x14ac:dyDescent="0.2">
      <c r="A748" s="530" t="s">
        <v>680</v>
      </c>
      <c r="B748" s="530"/>
      <c r="C748" s="531" t="s">
        <v>679</v>
      </c>
      <c r="D748" s="531"/>
      <c r="E748" s="531"/>
      <c r="F748" s="531"/>
      <c r="G748" s="531"/>
      <c r="I748" s="532">
        <v>41235</v>
      </c>
      <c r="J748" s="532"/>
      <c r="K748" s="533">
        <v>613.63</v>
      </c>
      <c r="L748" s="533"/>
      <c r="M748" s="533">
        <v>0</v>
      </c>
      <c r="N748" s="533"/>
      <c r="O748" s="533">
        <v>0</v>
      </c>
      <c r="P748" s="533"/>
      <c r="Q748" s="533">
        <v>0</v>
      </c>
      <c r="R748" s="533"/>
      <c r="S748" s="1">
        <v>13.33</v>
      </c>
      <c r="T748" s="2" t="s">
        <v>289</v>
      </c>
      <c r="U748" s="533">
        <v>0</v>
      </c>
      <c r="V748" s="533"/>
      <c r="W748" s="533">
        <v>0</v>
      </c>
      <c r="X748" s="533"/>
    </row>
    <row r="749" spans="1:24" ht="0.75" customHeight="1" x14ac:dyDescent="0.2"/>
    <row r="750" spans="1:24" ht="13.5" customHeight="1" x14ac:dyDescent="0.2">
      <c r="A750" s="530" t="s">
        <v>681</v>
      </c>
      <c r="B750" s="530"/>
      <c r="C750" s="531" t="s">
        <v>682</v>
      </c>
      <c r="D750" s="531"/>
      <c r="E750" s="531"/>
      <c r="F750" s="531"/>
      <c r="G750" s="531"/>
      <c r="I750" s="532">
        <v>41243</v>
      </c>
      <c r="J750" s="532"/>
      <c r="K750" s="533">
        <v>900</v>
      </c>
      <c r="L750" s="533"/>
      <c r="M750" s="533">
        <v>0</v>
      </c>
      <c r="N750" s="533"/>
      <c r="O750" s="533">
        <v>0</v>
      </c>
      <c r="P750" s="533"/>
      <c r="Q750" s="533">
        <v>0</v>
      </c>
      <c r="R750" s="533"/>
      <c r="S750" s="1">
        <v>15</v>
      </c>
      <c r="T750" s="2" t="s">
        <v>289</v>
      </c>
      <c r="U750" s="533">
        <v>0</v>
      </c>
      <c r="V750" s="533"/>
      <c r="W750" s="533">
        <v>0</v>
      </c>
      <c r="X750" s="533"/>
    </row>
    <row r="751" spans="1:24" ht="0.75" customHeight="1" x14ac:dyDescent="0.2"/>
    <row r="752" spans="1:24" ht="13.5" customHeight="1" x14ac:dyDescent="0.2">
      <c r="A752" s="530" t="s">
        <v>683</v>
      </c>
      <c r="B752" s="530"/>
      <c r="C752" s="531" t="s">
        <v>684</v>
      </c>
      <c r="D752" s="531"/>
      <c r="E752" s="531"/>
      <c r="F752" s="531"/>
      <c r="G752" s="531"/>
      <c r="I752" s="532">
        <v>41288</v>
      </c>
      <c r="J752" s="532"/>
      <c r="K752" s="533">
        <v>4000</v>
      </c>
      <c r="L752" s="533"/>
      <c r="M752" s="533">
        <v>1190</v>
      </c>
      <c r="N752" s="533"/>
      <c r="O752" s="533">
        <v>0</v>
      </c>
      <c r="P752" s="533"/>
      <c r="Q752" s="533">
        <v>0</v>
      </c>
      <c r="R752" s="533"/>
      <c r="S752" s="1">
        <v>20</v>
      </c>
      <c r="T752" s="2" t="s">
        <v>289</v>
      </c>
      <c r="U752" s="533">
        <v>100</v>
      </c>
      <c r="V752" s="533"/>
      <c r="W752" s="533">
        <v>1090</v>
      </c>
      <c r="X752" s="533"/>
    </row>
    <row r="753" spans="1:24" ht="0.75" customHeight="1" x14ac:dyDescent="0.2"/>
    <row r="754" spans="1:24" ht="13.5" customHeight="1" x14ac:dyDescent="0.2">
      <c r="A754" s="530" t="s">
        <v>685</v>
      </c>
      <c r="B754" s="530"/>
      <c r="C754" s="531" t="s">
        <v>686</v>
      </c>
      <c r="D754" s="531"/>
      <c r="E754" s="531"/>
      <c r="F754" s="531"/>
      <c r="G754" s="531"/>
      <c r="I754" s="532">
        <v>41297</v>
      </c>
      <c r="J754" s="532"/>
      <c r="K754" s="533">
        <v>4342.7300000000005</v>
      </c>
      <c r="L754" s="533"/>
      <c r="M754" s="533">
        <v>1298.73</v>
      </c>
      <c r="N754" s="533"/>
      <c r="O754" s="533">
        <v>0</v>
      </c>
      <c r="P754" s="533"/>
      <c r="Q754" s="533">
        <v>0</v>
      </c>
      <c r="R754" s="533"/>
      <c r="S754" s="1">
        <v>20</v>
      </c>
      <c r="T754" s="2" t="s">
        <v>289</v>
      </c>
      <c r="U754" s="533">
        <v>109</v>
      </c>
      <c r="V754" s="533"/>
      <c r="W754" s="533">
        <v>1189.73</v>
      </c>
      <c r="X754" s="533"/>
    </row>
    <row r="755" spans="1:24" ht="0.75" customHeight="1" x14ac:dyDescent="0.2"/>
    <row r="756" spans="1:24" ht="13.5" customHeight="1" x14ac:dyDescent="0.2">
      <c r="A756" s="530" t="s">
        <v>687</v>
      </c>
      <c r="B756" s="530"/>
      <c r="C756" s="531" t="s">
        <v>688</v>
      </c>
      <c r="D756" s="531"/>
      <c r="E756" s="531"/>
      <c r="F756" s="531"/>
      <c r="G756" s="531"/>
      <c r="I756" s="532">
        <v>41360</v>
      </c>
      <c r="J756" s="532"/>
      <c r="K756" s="533">
        <v>22080</v>
      </c>
      <c r="L756" s="533"/>
      <c r="M756" s="533">
        <v>0</v>
      </c>
      <c r="N756" s="533"/>
      <c r="O756" s="533">
        <v>0</v>
      </c>
      <c r="P756" s="533"/>
      <c r="Q756" s="533">
        <v>0</v>
      </c>
      <c r="R756" s="533"/>
      <c r="S756" s="1">
        <v>20</v>
      </c>
      <c r="T756" s="2" t="s">
        <v>689</v>
      </c>
      <c r="U756" s="533">
        <v>0</v>
      </c>
      <c r="V756" s="533"/>
      <c r="W756" s="533">
        <v>0</v>
      </c>
      <c r="X756" s="533"/>
    </row>
    <row r="757" spans="1:24" ht="0.75" customHeight="1" x14ac:dyDescent="0.2"/>
    <row r="758" spans="1:24" ht="13.5" customHeight="1" x14ac:dyDescent="0.2">
      <c r="A758" s="530" t="s">
        <v>690</v>
      </c>
      <c r="B758" s="530"/>
      <c r="C758" s="531" t="s">
        <v>691</v>
      </c>
      <c r="D758" s="531"/>
      <c r="E758" s="531"/>
      <c r="F758" s="531"/>
      <c r="G758" s="531"/>
      <c r="I758" s="532">
        <v>41361</v>
      </c>
      <c r="J758" s="532"/>
      <c r="K758" s="533">
        <v>5315.12</v>
      </c>
      <c r="L758" s="533"/>
      <c r="M758" s="533">
        <v>2509.12</v>
      </c>
      <c r="N758" s="533"/>
      <c r="O758" s="533">
        <v>0</v>
      </c>
      <c r="P758" s="533"/>
      <c r="Q758" s="533">
        <v>0</v>
      </c>
      <c r="R758" s="533"/>
      <c r="S758" s="1">
        <v>13.33</v>
      </c>
      <c r="T758" s="2" t="s">
        <v>289</v>
      </c>
      <c r="U758" s="533">
        <v>140</v>
      </c>
      <c r="V758" s="533"/>
      <c r="W758" s="533">
        <v>2369.12</v>
      </c>
      <c r="X758" s="533"/>
    </row>
    <row r="759" spans="1:24" ht="0.75" customHeight="1" x14ac:dyDescent="0.2"/>
    <row r="760" spans="1:24" ht="13.5" customHeight="1" x14ac:dyDescent="0.2">
      <c r="A760" s="530" t="s">
        <v>692</v>
      </c>
      <c r="B760" s="530"/>
      <c r="C760" s="531" t="s">
        <v>693</v>
      </c>
      <c r="D760" s="531"/>
      <c r="E760" s="531"/>
      <c r="F760" s="531"/>
      <c r="G760" s="531"/>
      <c r="I760" s="532">
        <v>41393</v>
      </c>
      <c r="J760" s="532"/>
      <c r="K760" s="533">
        <v>2800.4500000000003</v>
      </c>
      <c r="L760" s="533"/>
      <c r="M760" s="533">
        <v>1624.45</v>
      </c>
      <c r="N760" s="533"/>
      <c r="O760" s="533">
        <v>0</v>
      </c>
      <c r="P760" s="533"/>
      <c r="Q760" s="533">
        <v>0</v>
      </c>
      <c r="R760" s="533"/>
      <c r="S760" s="1">
        <v>10</v>
      </c>
      <c r="T760" s="2" t="s">
        <v>289</v>
      </c>
      <c r="U760" s="533">
        <v>68</v>
      </c>
      <c r="V760" s="533"/>
      <c r="W760" s="533">
        <v>1556.45</v>
      </c>
      <c r="X760" s="533"/>
    </row>
    <row r="761" spans="1:24" ht="0.75" customHeight="1" x14ac:dyDescent="0.2"/>
    <row r="762" spans="1:24" ht="13.5" customHeight="1" x14ac:dyDescent="0.2">
      <c r="A762" s="530" t="s">
        <v>694</v>
      </c>
      <c r="B762" s="530"/>
      <c r="C762" s="531" t="s">
        <v>695</v>
      </c>
      <c r="D762" s="531"/>
      <c r="E762" s="531"/>
      <c r="F762" s="531"/>
      <c r="G762" s="531"/>
      <c r="I762" s="532">
        <v>41425</v>
      </c>
      <c r="J762" s="532"/>
      <c r="K762" s="533">
        <v>11368.57</v>
      </c>
      <c r="L762" s="533"/>
      <c r="M762" s="533">
        <v>854.57</v>
      </c>
      <c r="N762" s="533"/>
      <c r="O762" s="533">
        <v>0</v>
      </c>
      <c r="P762" s="533"/>
      <c r="Q762" s="533">
        <v>0</v>
      </c>
      <c r="R762" s="533"/>
      <c r="S762" s="1">
        <v>40</v>
      </c>
      <c r="T762" s="2" t="s">
        <v>289</v>
      </c>
      <c r="U762" s="533">
        <v>143</v>
      </c>
      <c r="V762" s="533"/>
      <c r="W762" s="533">
        <v>711.57</v>
      </c>
      <c r="X762" s="533"/>
    </row>
    <row r="763" spans="1:24" ht="0.75" customHeight="1" x14ac:dyDescent="0.2"/>
    <row r="764" spans="1:24" ht="13.5" customHeight="1" x14ac:dyDescent="0.2">
      <c r="A764" s="530" t="s">
        <v>696</v>
      </c>
      <c r="B764" s="530"/>
      <c r="C764" s="531" t="s">
        <v>697</v>
      </c>
      <c r="D764" s="531"/>
      <c r="E764" s="531"/>
      <c r="F764" s="531"/>
      <c r="G764" s="531"/>
      <c r="I764" s="532">
        <v>41319</v>
      </c>
      <c r="J764" s="532"/>
      <c r="K764" s="533">
        <v>2170</v>
      </c>
      <c r="L764" s="533"/>
      <c r="M764" s="533">
        <v>1234</v>
      </c>
      <c r="N764" s="533"/>
      <c r="O764" s="533">
        <v>0</v>
      </c>
      <c r="P764" s="533"/>
      <c r="Q764" s="533">
        <v>0</v>
      </c>
      <c r="R764" s="533"/>
      <c r="S764" s="1">
        <v>10</v>
      </c>
      <c r="T764" s="2" t="s">
        <v>289</v>
      </c>
      <c r="U764" s="533">
        <v>52</v>
      </c>
      <c r="V764" s="533"/>
      <c r="W764" s="533">
        <v>1182</v>
      </c>
      <c r="X764" s="533"/>
    </row>
    <row r="765" spans="1:24" ht="0.75" customHeight="1" x14ac:dyDescent="0.2"/>
    <row r="766" spans="1:24" ht="13.5" customHeight="1" x14ac:dyDescent="0.2">
      <c r="A766" s="530" t="s">
        <v>698</v>
      </c>
      <c r="B766" s="530"/>
      <c r="C766" s="525" t="s">
        <v>699</v>
      </c>
      <c r="D766" s="525"/>
      <c r="E766" s="525"/>
      <c r="F766" s="525"/>
      <c r="G766" s="525"/>
      <c r="I766" s="532">
        <v>41478</v>
      </c>
      <c r="J766" s="532"/>
      <c r="K766" s="533">
        <v>2050</v>
      </c>
      <c r="L766" s="533"/>
      <c r="M766" s="533">
        <v>1011</v>
      </c>
      <c r="N766" s="533"/>
      <c r="O766" s="533">
        <v>0</v>
      </c>
      <c r="P766" s="533"/>
      <c r="Q766" s="533">
        <v>0</v>
      </c>
      <c r="R766" s="533"/>
      <c r="S766" s="1">
        <v>13.33</v>
      </c>
      <c r="T766" s="2" t="s">
        <v>289</v>
      </c>
      <c r="U766" s="533">
        <v>56</v>
      </c>
      <c r="V766" s="533"/>
      <c r="W766" s="533">
        <v>955</v>
      </c>
      <c r="X766" s="533"/>
    </row>
    <row r="767" spans="1:24" ht="12" customHeight="1" x14ac:dyDescent="0.2">
      <c r="C767" s="525"/>
      <c r="D767" s="525"/>
      <c r="E767" s="525"/>
      <c r="F767" s="525"/>
      <c r="G767" s="525"/>
    </row>
    <row r="768" spans="1:24" ht="13.5" customHeight="1" x14ac:dyDescent="0.2">
      <c r="A768" s="530" t="s">
        <v>700</v>
      </c>
      <c r="B768" s="530"/>
      <c r="C768" s="531" t="s">
        <v>701</v>
      </c>
      <c r="D768" s="531"/>
      <c r="E768" s="531"/>
      <c r="F768" s="531"/>
      <c r="G768" s="531"/>
      <c r="I768" s="532">
        <v>41528</v>
      </c>
      <c r="J768" s="532"/>
      <c r="K768" s="533">
        <v>15000</v>
      </c>
      <c r="L768" s="533"/>
      <c r="M768" s="533">
        <v>7558</v>
      </c>
      <c r="N768" s="533"/>
      <c r="O768" s="533">
        <v>0</v>
      </c>
      <c r="P768" s="533"/>
      <c r="Q768" s="533">
        <v>0</v>
      </c>
      <c r="R768" s="533"/>
      <c r="S768" s="1">
        <v>13.33</v>
      </c>
      <c r="T768" s="2" t="s">
        <v>289</v>
      </c>
      <c r="U768" s="533">
        <v>422</v>
      </c>
      <c r="V768" s="533"/>
      <c r="W768" s="533">
        <v>7136</v>
      </c>
      <c r="X768" s="533"/>
    </row>
    <row r="769" spans="1:24" ht="0.75" customHeight="1" x14ac:dyDescent="0.2"/>
    <row r="770" spans="1:24" ht="13.5" customHeight="1" x14ac:dyDescent="0.2">
      <c r="A770" s="530" t="s">
        <v>702</v>
      </c>
      <c r="B770" s="530"/>
      <c r="C770" s="531" t="s">
        <v>703</v>
      </c>
      <c r="D770" s="531"/>
      <c r="E770" s="531"/>
      <c r="F770" s="531"/>
      <c r="G770" s="531"/>
      <c r="I770" s="532">
        <v>41548</v>
      </c>
      <c r="J770" s="532"/>
      <c r="K770" s="533">
        <v>2610</v>
      </c>
      <c r="L770" s="533"/>
      <c r="M770" s="533">
        <v>102</v>
      </c>
      <c r="N770" s="533"/>
      <c r="O770" s="533">
        <v>0</v>
      </c>
      <c r="P770" s="533"/>
      <c r="Q770" s="533">
        <v>0</v>
      </c>
      <c r="R770" s="533"/>
      <c r="S770" s="1">
        <v>50</v>
      </c>
      <c r="T770" s="2" t="s">
        <v>289</v>
      </c>
      <c r="U770" s="533">
        <v>21</v>
      </c>
      <c r="V770" s="533"/>
      <c r="W770" s="533">
        <v>81</v>
      </c>
      <c r="X770" s="533"/>
    </row>
    <row r="771" spans="1:24" ht="0.75" customHeight="1" x14ac:dyDescent="0.2"/>
    <row r="772" spans="1:24" ht="13.5" customHeight="1" x14ac:dyDescent="0.2">
      <c r="A772" s="530" t="s">
        <v>704</v>
      </c>
      <c r="B772" s="530"/>
      <c r="C772" s="531" t="s">
        <v>705</v>
      </c>
      <c r="D772" s="531"/>
      <c r="E772" s="531"/>
      <c r="F772" s="531"/>
      <c r="G772" s="531"/>
      <c r="I772" s="532">
        <v>41584</v>
      </c>
      <c r="J772" s="532"/>
      <c r="K772" s="533">
        <v>30000</v>
      </c>
      <c r="L772" s="533"/>
      <c r="M772" s="533">
        <v>15462</v>
      </c>
      <c r="N772" s="533"/>
      <c r="O772" s="533">
        <v>0</v>
      </c>
      <c r="P772" s="533"/>
      <c r="Q772" s="533">
        <v>0</v>
      </c>
      <c r="R772" s="533"/>
      <c r="S772" s="1">
        <v>13.33</v>
      </c>
      <c r="T772" s="2" t="s">
        <v>289</v>
      </c>
      <c r="U772" s="533">
        <v>864</v>
      </c>
      <c r="V772" s="533"/>
      <c r="W772" s="533">
        <v>14598</v>
      </c>
      <c r="X772" s="533"/>
    </row>
    <row r="773" spans="1:24" ht="0.75" customHeight="1" x14ac:dyDescent="0.2"/>
    <row r="774" spans="1:24" ht="13.5" customHeight="1" x14ac:dyDescent="0.2">
      <c r="A774" s="530" t="s">
        <v>706</v>
      </c>
      <c r="B774" s="530"/>
      <c r="C774" s="531" t="s">
        <v>707</v>
      </c>
      <c r="D774" s="531"/>
      <c r="E774" s="531"/>
      <c r="F774" s="531"/>
      <c r="G774" s="531"/>
      <c r="I774" s="532">
        <v>41653</v>
      </c>
      <c r="J774" s="532"/>
      <c r="K774" s="533">
        <v>20000</v>
      </c>
      <c r="L774" s="533"/>
      <c r="M774" s="533">
        <v>10593</v>
      </c>
      <c r="N774" s="533"/>
      <c r="O774" s="533">
        <v>0</v>
      </c>
      <c r="P774" s="533"/>
      <c r="Q774" s="533">
        <v>0</v>
      </c>
      <c r="R774" s="533"/>
      <c r="S774" s="1">
        <v>13.33</v>
      </c>
      <c r="T774" s="2" t="s">
        <v>289</v>
      </c>
      <c r="U774" s="533">
        <v>592</v>
      </c>
      <c r="V774" s="533"/>
      <c r="W774" s="533">
        <v>10001</v>
      </c>
      <c r="X774" s="533"/>
    </row>
    <row r="775" spans="1:24" ht="15" customHeight="1" x14ac:dyDescent="0.2">
      <c r="A775" s="534" t="s">
        <v>285</v>
      </c>
      <c r="B775" s="534"/>
      <c r="D775" s="534" t="s">
        <v>286</v>
      </c>
      <c r="E775" s="534"/>
      <c r="F775" s="534"/>
      <c r="G775" s="534"/>
      <c r="H775" s="534"/>
      <c r="I775" s="534"/>
      <c r="J775" s="534"/>
      <c r="K775" s="534"/>
      <c r="L775" s="534"/>
      <c r="M775" s="534"/>
      <c r="N775" s="534"/>
      <c r="O775" s="534"/>
      <c r="P775" s="534"/>
      <c r="Q775" s="534"/>
      <c r="R775" s="534"/>
      <c r="S775" s="534"/>
      <c r="T775" s="534"/>
      <c r="U775" s="534"/>
      <c r="V775" s="534"/>
    </row>
    <row r="776" spans="1:24" ht="0.75" customHeight="1" x14ac:dyDescent="0.2"/>
    <row r="777" spans="1:24" ht="13.5" customHeight="1" x14ac:dyDescent="0.2">
      <c r="A777" s="530" t="s">
        <v>708</v>
      </c>
      <c r="B777" s="530"/>
      <c r="C777" s="531" t="s">
        <v>709</v>
      </c>
      <c r="D777" s="531"/>
      <c r="E777" s="531"/>
      <c r="F777" s="531"/>
      <c r="G777" s="531"/>
      <c r="I777" s="532">
        <v>41753</v>
      </c>
      <c r="J777" s="532"/>
      <c r="K777" s="533">
        <v>24600</v>
      </c>
      <c r="L777" s="533"/>
      <c r="M777" s="533">
        <v>13536</v>
      </c>
      <c r="N777" s="533"/>
      <c r="O777" s="533">
        <v>0</v>
      </c>
      <c r="P777" s="533"/>
      <c r="Q777" s="533">
        <v>0</v>
      </c>
      <c r="R777" s="533"/>
      <c r="S777" s="1">
        <v>13.33</v>
      </c>
      <c r="T777" s="2" t="s">
        <v>289</v>
      </c>
      <c r="U777" s="533">
        <v>756</v>
      </c>
      <c r="V777" s="533"/>
      <c r="W777" s="533">
        <v>12780</v>
      </c>
      <c r="X777" s="533"/>
    </row>
    <row r="778" spans="1:24" ht="0.75" customHeight="1" x14ac:dyDescent="0.2"/>
    <row r="779" spans="1:24" ht="13.5" customHeight="1" x14ac:dyDescent="0.2">
      <c r="A779" s="530" t="s">
        <v>710</v>
      </c>
      <c r="B779" s="530"/>
      <c r="C779" s="531" t="s">
        <v>711</v>
      </c>
      <c r="D779" s="531"/>
      <c r="E779" s="531"/>
      <c r="F779" s="531"/>
      <c r="G779" s="531"/>
      <c r="I779" s="532">
        <v>41754</v>
      </c>
      <c r="J779" s="532"/>
      <c r="K779" s="533">
        <v>24600</v>
      </c>
      <c r="L779" s="533"/>
      <c r="M779" s="533">
        <v>13540</v>
      </c>
      <c r="N779" s="533"/>
      <c r="O779" s="533">
        <v>0</v>
      </c>
      <c r="P779" s="533"/>
      <c r="Q779" s="533">
        <v>0</v>
      </c>
      <c r="R779" s="533"/>
      <c r="S779" s="1">
        <v>13.33</v>
      </c>
      <c r="T779" s="2" t="s">
        <v>289</v>
      </c>
      <c r="U779" s="533">
        <v>757</v>
      </c>
      <c r="V779" s="533"/>
      <c r="W779" s="533">
        <v>12783</v>
      </c>
      <c r="X779" s="533"/>
    </row>
    <row r="780" spans="1:24" ht="0.75" customHeight="1" x14ac:dyDescent="0.2"/>
    <row r="781" spans="1:24" ht="13.5" customHeight="1" x14ac:dyDescent="0.2">
      <c r="A781" s="530" t="s">
        <v>712</v>
      </c>
      <c r="B781" s="530"/>
      <c r="C781" s="531" t="s">
        <v>713</v>
      </c>
      <c r="D781" s="531"/>
      <c r="E781" s="531"/>
      <c r="F781" s="531"/>
      <c r="G781" s="531"/>
      <c r="I781" s="532">
        <v>41691</v>
      </c>
      <c r="J781" s="532"/>
      <c r="K781" s="533">
        <v>2166.6999999999998</v>
      </c>
      <c r="L781" s="533"/>
      <c r="M781" s="533">
        <v>823.7</v>
      </c>
      <c r="N781" s="533"/>
      <c r="O781" s="533">
        <v>0</v>
      </c>
      <c r="P781" s="533"/>
      <c r="Q781" s="533">
        <v>0</v>
      </c>
      <c r="R781" s="533"/>
      <c r="S781" s="1">
        <v>20</v>
      </c>
      <c r="T781" s="2" t="s">
        <v>289</v>
      </c>
      <c r="U781" s="533">
        <v>69</v>
      </c>
      <c r="V781" s="533"/>
      <c r="W781" s="533">
        <v>754.7</v>
      </c>
      <c r="X781" s="533"/>
    </row>
    <row r="782" spans="1:24" ht="0.75" customHeight="1" x14ac:dyDescent="0.2"/>
    <row r="783" spans="1:24" ht="13.5" customHeight="1" x14ac:dyDescent="0.2">
      <c r="A783" s="530" t="s">
        <v>714</v>
      </c>
      <c r="B783" s="530"/>
      <c r="C783" s="531" t="s">
        <v>715</v>
      </c>
      <c r="D783" s="531"/>
      <c r="E783" s="531"/>
      <c r="F783" s="531"/>
      <c r="G783" s="531"/>
      <c r="I783" s="532">
        <v>41697</v>
      </c>
      <c r="J783" s="532"/>
      <c r="K783" s="533">
        <v>9476</v>
      </c>
      <c r="L783" s="533"/>
      <c r="M783" s="533">
        <v>5105</v>
      </c>
      <c r="N783" s="533"/>
      <c r="O783" s="533">
        <v>0</v>
      </c>
      <c r="P783" s="533"/>
      <c r="Q783" s="533">
        <v>0</v>
      </c>
      <c r="R783" s="533"/>
      <c r="S783" s="1">
        <v>13.33</v>
      </c>
      <c r="T783" s="2" t="s">
        <v>289</v>
      </c>
      <c r="U783" s="533">
        <v>285</v>
      </c>
      <c r="V783" s="533"/>
      <c r="W783" s="533">
        <v>4820</v>
      </c>
      <c r="X783" s="533"/>
    </row>
    <row r="784" spans="1:24" ht="0.75" customHeight="1" x14ac:dyDescent="0.2"/>
    <row r="785" spans="1:24" ht="13.5" customHeight="1" x14ac:dyDescent="0.2">
      <c r="A785" s="530" t="s">
        <v>716</v>
      </c>
      <c r="B785" s="530"/>
      <c r="C785" s="531" t="s">
        <v>717</v>
      </c>
      <c r="D785" s="531"/>
      <c r="E785" s="531"/>
      <c r="F785" s="531"/>
      <c r="G785" s="531"/>
      <c r="I785" s="532">
        <v>41786</v>
      </c>
      <c r="J785" s="532"/>
      <c r="K785" s="533">
        <v>32377.27</v>
      </c>
      <c r="L785" s="533"/>
      <c r="M785" s="533">
        <v>29063.27</v>
      </c>
      <c r="N785" s="533"/>
      <c r="O785" s="533">
        <v>0</v>
      </c>
      <c r="P785" s="533"/>
      <c r="Q785" s="533">
        <v>0</v>
      </c>
      <c r="R785" s="533"/>
      <c r="S785" s="1">
        <v>2.5</v>
      </c>
      <c r="T785" s="2" t="s">
        <v>17</v>
      </c>
      <c r="U785" s="533">
        <v>339</v>
      </c>
      <c r="V785" s="533"/>
      <c r="W785" s="533">
        <v>28724.27</v>
      </c>
      <c r="X785" s="533"/>
    </row>
    <row r="786" spans="1:24" ht="0.75" customHeight="1" x14ac:dyDescent="0.2"/>
    <row r="787" spans="1:24" ht="13.5" customHeight="1" x14ac:dyDescent="0.2">
      <c r="A787" s="530" t="s">
        <v>718</v>
      </c>
      <c r="B787" s="530"/>
      <c r="C787" s="531" t="s">
        <v>719</v>
      </c>
      <c r="D787" s="531"/>
      <c r="E787" s="531"/>
      <c r="F787" s="531"/>
      <c r="G787" s="531"/>
      <c r="I787" s="532">
        <v>41730</v>
      </c>
      <c r="J787" s="532"/>
      <c r="K787" s="533">
        <v>11325.460000000001</v>
      </c>
      <c r="L787" s="533"/>
      <c r="M787" s="533">
        <v>4407.46</v>
      </c>
      <c r="N787" s="533"/>
      <c r="O787" s="533">
        <v>0</v>
      </c>
      <c r="P787" s="533"/>
      <c r="Q787" s="533">
        <v>0</v>
      </c>
      <c r="R787" s="533"/>
      <c r="S787" s="1">
        <v>20</v>
      </c>
      <c r="T787" s="2" t="s">
        <v>289</v>
      </c>
      <c r="U787" s="533">
        <v>370</v>
      </c>
      <c r="V787" s="533"/>
      <c r="W787" s="533">
        <v>4037.46</v>
      </c>
      <c r="X787" s="533"/>
    </row>
    <row r="788" spans="1:24" ht="0.75" customHeight="1" x14ac:dyDescent="0.2"/>
    <row r="789" spans="1:24" ht="13.5" customHeight="1" x14ac:dyDescent="0.2">
      <c r="A789" s="530" t="s">
        <v>720</v>
      </c>
      <c r="B789" s="530"/>
      <c r="C789" s="531" t="s">
        <v>721</v>
      </c>
      <c r="D789" s="531"/>
      <c r="E789" s="531"/>
      <c r="F789" s="531"/>
      <c r="G789" s="531"/>
      <c r="I789" s="532">
        <v>41730</v>
      </c>
      <c r="J789" s="532"/>
      <c r="K789" s="533">
        <v>3535</v>
      </c>
      <c r="L789" s="533"/>
      <c r="M789" s="533">
        <v>2262</v>
      </c>
      <c r="N789" s="533"/>
      <c r="O789" s="533">
        <v>0</v>
      </c>
      <c r="P789" s="533"/>
      <c r="Q789" s="533">
        <v>0</v>
      </c>
      <c r="R789" s="533"/>
      <c r="S789" s="1">
        <v>10</v>
      </c>
      <c r="T789" s="2" t="s">
        <v>289</v>
      </c>
      <c r="U789" s="533">
        <v>95</v>
      </c>
      <c r="V789" s="533"/>
      <c r="W789" s="533">
        <v>2167</v>
      </c>
      <c r="X789" s="533"/>
    </row>
    <row r="790" spans="1:24" ht="0.75" customHeight="1" x14ac:dyDescent="0.2"/>
    <row r="791" spans="1:24" ht="13.5" customHeight="1" x14ac:dyDescent="0.2">
      <c r="A791" s="530" t="s">
        <v>722</v>
      </c>
      <c r="B791" s="530"/>
      <c r="C791" s="531" t="s">
        <v>723</v>
      </c>
      <c r="D791" s="531"/>
      <c r="E791" s="531"/>
      <c r="F791" s="531"/>
      <c r="G791" s="531"/>
      <c r="I791" s="532">
        <v>41730</v>
      </c>
      <c r="J791" s="532"/>
      <c r="K791" s="533">
        <v>1414.09</v>
      </c>
      <c r="L791" s="533"/>
      <c r="M791" s="533">
        <v>904.09</v>
      </c>
      <c r="N791" s="533"/>
      <c r="O791" s="533">
        <v>0</v>
      </c>
      <c r="P791" s="533"/>
      <c r="Q791" s="533">
        <v>0</v>
      </c>
      <c r="R791" s="533"/>
      <c r="S791" s="1">
        <v>10</v>
      </c>
      <c r="T791" s="2" t="s">
        <v>289</v>
      </c>
      <c r="U791" s="533">
        <v>38</v>
      </c>
      <c r="V791" s="533"/>
      <c r="W791" s="533">
        <v>866.09</v>
      </c>
      <c r="X791" s="533"/>
    </row>
    <row r="792" spans="1:24" ht="0.75" customHeight="1" x14ac:dyDescent="0.2"/>
    <row r="793" spans="1:24" ht="13.5" customHeight="1" x14ac:dyDescent="0.2">
      <c r="A793" s="530" t="s">
        <v>724</v>
      </c>
      <c r="B793" s="530"/>
      <c r="C793" s="531" t="s">
        <v>725</v>
      </c>
      <c r="D793" s="531"/>
      <c r="E793" s="531"/>
      <c r="F793" s="531"/>
      <c r="G793" s="531"/>
      <c r="I793" s="532">
        <v>41779</v>
      </c>
      <c r="J793" s="532"/>
      <c r="K793" s="533">
        <v>8000</v>
      </c>
      <c r="L793" s="533"/>
      <c r="M793" s="533">
        <v>4444</v>
      </c>
      <c r="N793" s="533"/>
      <c r="O793" s="533">
        <v>0</v>
      </c>
      <c r="P793" s="533"/>
      <c r="Q793" s="533">
        <v>0</v>
      </c>
      <c r="R793" s="533"/>
      <c r="S793" s="1">
        <v>13.33</v>
      </c>
      <c r="T793" s="2" t="s">
        <v>289</v>
      </c>
      <c r="U793" s="533">
        <v>248</v>
      </c>
      <c r="V793" s="533"/>
      <c r="W793" s="533">
        <v>4196</v>
      </c>
      <c r="X793" s="533"/>
    </row>
    <row r="794" spans="1:24" ht="0.75" customHeight="1" x14ac:dyDescent="0.2"/>
    <row r="795" spans="1:24" ht="13.5" customHeight="1" x14ac:dyDescent="0.2">
      <c r="A795" s="530" t="s">
        <v>726</v>
      </c>
      <c r="B795" s="530"/>
      <c r="C795" s="531" t="s">
        <v>727</v>
      </c>
      <c r="D795" s="531"/>
      <c r="E795" s="531"/>
      <c r="F795" s="531"/>
      <c r="G795" s="531"/>
      <c r="I795" s="532">
        <v>41795</v>
      </c>
      <c r="J795" s="532"/>
      <c r="K795" s="533">
        <v>1727</v>
      </c>
      <c r="L795" s="533"/>
      <c r="M795" s="533">
        <v>966</v>
      </c>
      <c r="N795" s="533"/>
      <c r="O795" s="533">
        <v>0</v>
      </c>
      <c r="P795" s="533"/>
      <c r="Q795" s="533">
        <v>0</v>
      </c>
      <c r="R795" s="533"/>
      <c r="S795" s="1">
        <v>13.33</v>
      </c>
      <c r="T795" s="2" t="s">
        <v>289</v>
      </c>
      <c r="U795" s="533">
        <v>54</v>
      </c>
      <c r="V795" s="533"/>
      <c r="W795" s="533">
        <v>912</v>
      </c>
      <c r="X795" s="533"/>
    </row>
    <row r="796" spans="1:24" ht="0.75" customHeight="1" x14ac:dyDescent="0.2"/>
    <row r="797" spans="1:24" ht="13.5" customHeight="1" x14ac:dyDescent="0.2">
      <c r="A797" s="530" t="s">
        <v>728</v>
      </c>
      <c r="B797" s="530"/>
      <c r="C797" s="525" t="s">
        <v>729</v>
      </c>
      <c r="D797" s="525"/>
      <c r="E797" s="525"/>
      <c r="F797" s="525"/>
      <c r="G797" s="525"/>
      <c r="I797" s="532">
        <v>41815</v>
      </c>
      <c r="J797" s="532"/>
      <c r="K797" s="533">
        <v>5571.72</v>
      </c>
      <c r="L797" s="533"/>
      <c r="M797" s="533">
        <v>3136.7200000000003</v>
      </c>
      <c r="N797" s="533"/>
      <c r="O797" s="533">
        <v>0</v>
      </c>
      <c r="P797" s="533"/>
      <c r="Q797" s="533">
        <v>0</v>
      </c>
      <c r="R797" s="533"/>
      <c r="S797" s="1">
        <v>13.33</v>
      </c>
      <c r="T797" s="2" t="s">
        <v>289</v>
      </c>
      <c r="U797" s="533">
        <v>175</v>
      </c>
      <c r="V797" s="533"/>
      <c r="W797" s="533">
        <v>2961.7200000000003</v>
      </c>
      <c r="X797" s="533"/>
    </row>
    <row r="798" spans="1:24" ht="12" customHeight="1" x14ac:dyDescent="0.2">
      <c r="C798" s="525"/>
      <c r="D798" s="525"/>
      <c r="E798" s="525"/>
      <c r="F798" s="525"/>
      <c r="G798" s="525"/>
    </row>
    <row r="799" spans="1:24" ht="13.5" customHeight="1" x14ac:dyDescent="0.2">
      <c r="A799" s="530" t="s">
        <v>730</v>
      </c>
      <c r="B799" s="530"/>
      <c r="C799" s="531" t="s">
        <v>731</v>
      </c>
      <c r="D799" s="531"/>
      <c r="E799" s="531"/>
      <c r="F799" s="531"/>
      <c r="G799" s="531"/>
      <c r="I799" s="532">
        <v>41815</v>
      </c>
      <c r="J799" s="532"/>
      <c r="K799" s="533">
        <v>1372.22</v>
      </c>
      <c r="L799" s="533"/>
      <c r="M799" s="533">
        <v>772.22</v>
      </c>
      <c r="N799" s="533"/>
      <c r="O799" s="533">
        <v>0</v>
      </c>
      <c r="P799" s="533"/>
      <c r="Q799" s="533">
        <v>0</v>
      </c>
      <c r="R799" s="533"/>
      <c r="S799" s="1">
        <v>13.33</v>
      </c>
      <c r="T799" s="2" t="s">
        <v>289</v>
      </c>
      <c r="U799" s="533">
        <v>43</v>
      </c>
      <c r="V799" s="533"/>
      <c r="W799" s="533">
        <v>729.22</v>
      </c>
      <c r="X799" s="533"/>
    </row>
    <row r="800" spans="1:24" ht="0.75" customHeight="1" x14ac:dyDescent="0.2"/>
    <row r="801" spans="1:24" ht="13.5" customHeight="1" x14ac:dyDescent="0.2">
      <c r="A801" s="530" t="s">
        <v>732</v>
      </c>
      <c r="B801" s="530"/>
      <c r="C801" s="525" t="s">
        <v>733</v>
      </c>
      <c r="D801" s="525"/>
      <c r="E801" s="525"/>
      <c r="F801" s="525"/>
      <c r="G801" s="525"/>
      <c r="I801" s="532">
        <v>41815</v>
      </c>
      <c r="J801" s="532"/>
      <c r="K801" s="533">
        <v>3188.21</v>
      </c>
      <c r="L801" s="533"/>
      <c r="M801" s="533">
        <v>1795.21</v>
      </c>
      <c r="N801" s="533"/>
      <c r="O801" s="533">
        <v>0</v>
      </c>
      <c r="P801" s="533"/>
      <c r="Q801" s="533">
        <v>0</v>
      </c>
      <c r="R801" s="533"/>
      <c r="S801" s="1">
        <v>13.33</v>
      </c>
      <c r="T801" s="2" t="s">
        <v>289</v>
      </c>
      <c r="U801" s="533">
        <v>100</v>
      </c>
      <c r="V801" s="533"/>
      <c r="W801" s="533">
        <v>1695.21</v>
      </c>
      <c r="X801" s="533"/>
    </row>
    <row r="802" spans="1:24" ht="12" customHeight="1" x14ac:dyDescent="0.2">
      <c r="C802" s="525"/>
      <c r="D802" s="525"/>
      <c r="E802" s="525"/>
      <c r="F802" s="525"/>
      <c r="G802" s="525"/>
    </row>
    <row r="803" spans="1:24" ht="13.5" customHeight="1" x14ac:dyDescent="0.2">
      <c r="A803" s="530" t="s">
        <v>734</v>
      </c>
      <c r="B803" s="530"/>
      <c r="C803" s="525" t="s">
        <v>735</v>
      </c>
      <c r="D803" s="525"/>
      <c r="E803" s="525"/>
      <c r="F803" s="525"/>
      <c r="G803" s="525"/>
      <c r="I803" s="532">
        <v>41815</v>
      </c>
      <c r="J803" s="532"/>
      <c r="K803" s="533">
        <v>550.80000000000007</v>
      </c>
      <c r="L803" s="533"/>
      <c r="M803" s="533">
        <v>310.8</v>
      </c>
      <c r="N803" s="533"/>
      <c r="O803" s="533">
        <v>0</v>
      </c>
      <c r="P803" s="533"/>
      <c r="Q803" s="533">
        <v>0</v>
      </c>
      <c r="R803" s="533"/>
      <c r="S803" s="1">
        <v>13.3</v>
      </c>
      <c r="T803" s="2" t="s">
        <v>289</v>
      </c>
      <c r="U803" s="533">
        <v>17</v>
      </c>
      <c r="V803" s="533"/>
      <c r="W803" s="533">
        <v>293.8</v>
      </c>
      <c r="X803" s="533"/>
    </row>
    <row r="804" spans="1:24" ht="12" customHeight="1" x14ac:dyDescent="0.2">
      <c r="C804" s="525"/>
      <c r="D804" s="525"/>
      <c r="E804" s="525"/>
      <c r="F804" s="525"/>
      <c r="G804" s="525"/>
    </row>
    <row r="805" spans="1:24" ht="13.5" customHeight="1" x14ac:dyDescent="0.2">
      <c r="A805" s="530" t="s">
        <v>736</v>
      </c>
      <c r="B805" s="530"/>
      <c r="C805" s="531" t="s">
        <v>737</v>
      </c>
      <c r="D805" s="531"/>
      <c r="E805" s="531"/>
      <c r="F805" s="531"/>
      <c r="G805" s="531"/>
      <c r="I805" s="532">
        <v>41815</v>
      </c>
      <c r="J805" s="532"/>
      <c r="K805" s="533">
        <v>1826.22</v>
      </c>
      <c r="L805" s="533"/>
      <c r="M805" s="533">
        <v>1028.22</v>
      </c>
      <c r="N805" s="533"/>
      <c r="O805" s="533">
        <v>0</v>
      </c>
      <c r="P805" s="533"/>
      <c r="Q805" s="533">
        <v>0</v>
      </c>
      <c r="R805" s="533"/>
      <c r="S805" s="1">
        <v>13.33</v>
      </c>
      <c r="T805" s="2" t="s">
        <v>289</v>
      </c>
      <c r="U805" s="533">
        <v>57</v>
      </c>
      <c r="V805" s="533"/>
      <c r="W805" s="533">
        <v>971.22</v>
      </c>
      <c r="X805" s="533"/>
    </row>
    <row r="806" spans="1:24" ht="0.75" customHeight="1" x14ac:dyDescent="0.2"/>
    <row r="807" spans="1:24" ht="13.5" customHeight="1" x14ac:dyDescent="0.2">
      <c r="A807" s="530" t="s">
        <v>738</v>
      </c>
      <c r="B807" s="530"/>
      <c r="C807" s="525" t="s">
        <v>739</v>
      </c>
      <c r="D807" s="525"/>
      <c r="E807" s="525"/>
      <c r="F807" s="525"/>
      <c r="G807" s="525"/>
      <c r="I807" s="532">
        <v>41815</v>
      </c>
      <c r="J807" s="532"/>
      <c r="K807" s="533">
        <v>2677.48</v>
      </c>
      <c r="L807" s="533"/>
      <c r="M807" s="533">
        <v>1507.48</v>
      </c>
      <c r="N807" s="533"/>
      <c r="O807" s="533">
        <v>0</v>
      </c>
      <c r="P807" s="533"/>
      <c r="Q807" s="533">
        <v>0</v>
      </c>
      <c r="R807" s="533"/>
      <c r="S807" s="1">
        <v>13.33</v>
      </c>
      <c r="T807" s="2" t="s">
        <v>289</v>
      </c>
      <c r="U807" s="533">
        <v>84</v>
      </c>
      <c r="V807" s="533"/>
      <c r="W807" s="533">
        <v>1423.48</v>
      </c>
      <c r="X807" s="533"/>
    </row>
    <row r="808" spans="1:24" ht="12" customHeight="1" x14ac:dyDescent="0.2">
      <c r="C808" s="525"/>
      <c r="D808" s="525"/>
      <c r="E808" s="525"/>
      <c r="F808" s="525"/>
      <c r="G808" s="525"/>
    </row>
    <row r="809" spans="1:24" ht="13.5" customHeight="1" x14ac:dyDescent="0.2">
      <c r="A809" s="530" t="s">
        <v>740</v>
      </c>
      <c r="B809" s="530"/>
      <c r="C809" s="531" t="s">
        <v>741</v>
      </c>
      <c r="D809" s="531"/>
      <c r="E809" s="531"/>
      <c r="F809" s="531"/>
      <c r="G809" s="531"/>
      <c r="I809" s="532">
        <v>41815</v>
      </c>
      <c r="J809" s="532"/>
      <c r="K809" s="533">
        <v>1712.71</v>
      </c>
      <c r="L809" s="533"/>
      <c r="M809" s="533">
        <v>964.71</v>
      </c>
      <c r="N809" s="533"/>
      <c r="O809" s="533">
        <v>0</v>
      </c>
      <c r="P809" s="533"/>
      <c r="Q809" s="533">
        <v>0</v>
      </c>
      <c r="R809" s="533"/>
      <c r="S809" s="1">
        <v>13.33</v>
      </c>
      <c r="T809" s="2" t="s">
        <v>289</v>
      </c>
      <c r="U809" s="533">
        <v>54</v>
      </c>
      <c r="V809" s="533"/>
      <c r="W809" s="533">
        <v>910.71</v>
      </c>
      <c r="X809" s="533"/>
    </row>
    <row r="810" spans="1:24" ht="0.75" customHeight="1" x14ac:dyDescent="0.2"/>
    <row r="811" spans="1:24" ht="13.5" customHeight="1" x14ac:dyDescent="0.2">
      <c r="A811" s="530" t="s">
        <v>742</v>
      </c>
      <c r="B811" s="530"/>
      <c r="C811" s="525" t="s">
        <v>743</v>
      </c>
      <c r="D811" s="525"/>
      <c r="E811" s="525"/>
      <c r="F811" s="525"/>
      <c r="G811" s="525"/>
      <c r="I811" s="532">
        <v>41815</v>
      </c>
      <c r="J811" s="532"/>
      <c r="K811" s="533">
        <v>2563.98</v>
      </c>
      <c r="L811" s="533"/>
      <c r="M811" s="533">
        <v>1442.98</v>
      </c>
      <c r="N811" s="533"/>
      <c r="O811" s="533">
        <v>0</v>
      </c>
      <c r="P811" s="533"/>
      <c r="Q811" s="533">
        <v>0</v>
      </c>
      <c r="R811" s="533"/>
      <c r="S811" s="1">
        <v>13.33</v>
      </c>
      <c r="T811" s="2" t="s">
        <v>289</v>
      </c>
      <c r="U811" s="533">
        <v>81</v>
      </c>
      <c r="V811" s="533"/>
      <c r="W811" s="533">
        <v>1361.98</v>
      </c>
      <c r="X811" s="533"/>
    </row>
    <row r="812" spans="1:24" ht="12" customHeight="1" x14ac:dyDescent="0.2">
      <c r="C812" s="525"/>
      <c r="D812" s="525"/>
      <c r="E812" s="525"/>
      <c r="F812" s="525"/>
      <c r="G812" s="525"/>
    </row>
    <row r="813" spans="1:24" ht="13.5" customHeight="1" x14ac:dyDescent="0.2">
      <c r="A813" s="530" t="s">
        <v>744</v>
      </c>
      <c r="B813" s="530"/>
      <c r="C813" s="531" t="s">
        <v>745</v>
      </c>
      <c r="D813" s="531"/>
      <c r="E813" s="531"/>
      <c r="F813" s="531"/>
      <c r="G813" s="531"/>
      <c r="I813" s="532">
        <v>41815</v>
      </c>
      <c r="J813" s="532"/>
      <c r="K813" s="533">
        <v>1769.47</v>
      </c>
      <c r="L813" s="533"/>
      <c r="M813" s="533">
        <v>996.47</v>
      </c>
      <c r="N813" s="533"/>
      <c r="O813" s="533">
        <v>0</v>
      </c>
      <c r="P813" s="533"/>
      <c r="Q813" s="533">
        <v>0</v>
      </c>
      <c r="R813" s="533"/>
      <c r="S813" s="1">
        <v>13.33</v>
      </c>
      <c r="T813" s="2" t="s">
        <v>289</v>
      </c>
      <c r="U813" s="533">
        <v>56</v>
      </c>
      <c r="V813" s="533"/>
      <c r="W813" s="533">
        <v>940.47</v>
      </c>
      <c r="X813" s="533"/>
    </row>
    <row r="814" spans="1:24" ht="0.75" customHeight="1" x14ac:dyDescent="0.2"/>
    <row r="815" spans="1:24" ht="13.5" customHeight="1" x14ac:dyDescent="0.2">
      <c r="A815" s="530" t="s">
        <v>746</v>
      </c>
      <c r="B815" s="530"/>
      <c r="C815" s="531" t="s">
        <v>747</v>
      </c>
      <c r="D815" s="531"/>
      <c r="E815" s="531"/>
      <c r="F815" s="531"/>
      <c r="G815" s="531"/>
      <c r="I815" s="532">
        <v>41456</v>
      </c>
      <c r="J815" s="532"/>
      <c r="K815" s="533">
        <v>1063.6400000000001</v>
      </c>
      <c r="L815" s="533"/>
      <c r="M815" s="533">
        <v>348.64</v>
      </c>
      <c r="N815" s="533"/>
      <c r="O815" s="533">
        <v>0</v>
      </c>
      <c r="P815" s="533"/>
      <c r="Q815" s="533">
        <v>0</v>
      </c>
      <c r="R815" s="533"/>
      <c r="S815" s="1">
        <v>20</v>
      </c>
      <c r="T815" s="2" t="s">
        <v>289</v>
      </c>
      <c r="U815" s="533">
        <v>29</v>
      </c>
      <c r="V815" s="533"/>
      <c r="W815" s="533">
        <v>319.64</v>
      </c>
      <c r="X815" s="533"/>
    </row>
    <row r="816" spans="1:24" ht="0.75" customHeight="1" x14ac:dyDescent="0.2"/>
    <row r="817" spans="1:24" ht="13.5" customHeight="1" x14ac:dyDescent="0.2">
      <c r="A817" s="530" t="s">
        <v>748</v>
      </c>
      <c r="B817" s="530"/>
      <c r="C817" s="531" t="s">
        <v>749</v>
      </c>
      <c r="D817" s="531"/>
      <c r="E817" s="531"/>
      <c r="F817" s="531"/>
      <c r="G817" s="531"/>
      <c r="I817" s="532">
        <v>41690</v>
      </c>
      <c r="J817" s="532"/>
      <c r="K817" s="533">
        <v>1560</v>
      </c>
      <c r="L817" s="533"/>
      <c r="M817" s="533">
        <v>173</v>
      </c>
      <c r="N817" s="533"/>
      <c r="O817" s="533">
        <v>0</v>
      </c>
      <c r="P817" s="533"/>
      <c r="Q817" s="533">
        <v>0</v>
      </c>
      <c r="R817" s="533"/>
      <c r="S817" s="1">
        <v>40</v>
      </c>
      <c r="T817" s="2" t="s">
        <v>289</v>
      </c>
      <c r="U817" s="533">
        <v>29</v>
      </c>
      <c r="V817" s="533"/>
      <c r="W817" s="533">
        <v>144</v>
      </c>
      <c r="X817" s="533"/>
    </row>
    <row r="818" spans="1:24" ht="0.75" customHeight="1" x14ac:dyDescent="0.2"/>
    <row r="819" spans="1:24" ht="13.5" customHeight="1" x14ac:dyDescent="0.2">
      <c r="A819" s="530" t="s">
        <v>750</v>
      </c>
      <c r="B819" s="530"/>
      <c r="C819" s="531" t="s">
        <v>751</v>
      </c>
      <c r="D819" s="531"/>
      <c r="E819" s="531"/>
      <c r="F819" s="531"/>
      <c r="G819" s="531"/>
      <c r="I819" s="532">
        <v>41729</v>
      </c>
      <c r="J819" s="532"/>
      <c r="K819" s="533">
        <v>6872.7300000000005</v>
      </c>
      <c r="L819" s="533"/>
      <c r="M819" s="533">
        <v>800.73</v>
      </c>
      <c r="N819" s="533"/>
      <c r="O819" s="533">
        <v>0</v>
      </c>
      <c r="P819" s="533"/>
      <c r="Q819" s="533">
        <v>0</v>
      </c>
      <c r="R819" s="533"/>
      <c r="S819" s="1">
        <v>40</v>
      </c>
      <c r="T819" s="2" t="s">
        <v>289</v>
      </c>
      <c r="U819" s="533">
        <v>134</v>
      </c>
      <c r="V819" s="533"/>
      <c r="W819" s="533">
        <v>666.73</v>
      </c>
      <c r="X819" s="533"/>
    </row>
    <row r="820" spans="1:24" ht="0.75" customHeight="1" x14ac:dyDescent="0.2"/>
    <row r="821" spans="1:24" ht="13.5" customHeight="1" x14ac:dyDescent="0.2">
      <c r="A821" s="530" t="s">
        <v>752</v>
      </c>
      <c r="B821" s="530"/>
      <c r="C821" s="531" t="s">
        <v>751</v>
      </c>
      <c r="D821" s="531"/>
      <c r="E821" s="531"/>
      <c r="F821" s="531"/>
      <c r="G821" s="531"/>
      <c r="I821" s="532">
        <v>41816</v>
      </c>
      <c r="J821" s="532"/>
      <c r="K821" s="533">
        <v>1668</v>
      </c>
      <c r="L821" s="533"/>
      <c r="M821" s="533">
        <v>215</v>
      </c>
      <c r="N821" s="533"/>
      <c r="O821" s="533">
        <v>0</v>
      </c>
      <c r="P821" s="533"/>
      <c r="Q821" s="533">
        <v>0</v>
      </c>
      <c r="R821" s="533"/>
      <c r="S821" s="1">
        <v>40</v>
      </c>
      <c r="T821" s="2" t="s">
        <v>289</v>
      </c>
      <c r="U821" s="533">
        <v>36</v>
      </c>
      <c r="V821" s="533"/>
      <c r="W821" s="533">
        <v>179</v>
      </c>
      <c r="X821" s="533"/>
    </row>
    <row r="822" spans="1:24" ht="0.75" customHeight="1" x14ac:dyDescent="0.2"/>
    <row r="823" spans="1:24" ht="13.5" customHeight="1" x14ac:dyDescent="0.2">
      <c r="A823" s="530" t="s">
        <v>753</v>
      </c>
      <c r="B823" s="530"/>
      <c r="C823" s="531" t="s">
        <v>754</v>
      </c>
      <c r="D823" s="531"/>
      <c r="E823" s="531"/>
      <c r="F823" s="531"/>
      <c r="G823" s="531"/>
      <c r="I823" s="532">
        <v>41833</v>
      </c>
      <c r="J823" s="532"/>
      <c r="K823" s="533">
        <v>35072.43</v>
      </c>
      <c r="L823" s="533"/>
      <c r="M823" s="533">
        <v>14483.43</v>
      </c>
      <c r="N823" s="533"/>
      <c r="O823" s="533">
        <v>0</v>
      </c>
      <c r="P823" s="533"/>
      <c r="Q823" s="533">
        <v>0</v>
      </c>
      <c r="R823" s="533"/>
      <c r="S823" s="1">
        <v>20</v>
      </c>
      <c r="T823" s="2" t="s">
        <v>289</v>
      </c>
      <c r="U823" s="533">
        <v>1214</v>
      </c>
      <c r="V823" s="533"/>
      <c r="W823" s="533">
        <v>13269.43</v>
      </c>
      <c r="X823" s="533"/>
    </row>
    <row r="824" spans="1:24" ht="0.75" customHeight="1" x14ac:dyDescent="0.2"/>
    <row r="825" spans="1:24" ht="13.5" customHeight="1" x14ac:dyDescent="0.2">
      <c r="A825" s="530" t="s">
        <v>755</v>
      </c>
      <c r="B825" s="530"/>
      <c r="C825" s="531" t="s">
        <v>756</v>
      </c>
      <c r="D825" s="531"/>
      <c r="E825" s="531"/>
      <c r="F825" s="531"/>
      <c r="G825" s="531"/>
      <c r="I825" s="532">
        <v>41934</v>
      </c>
      <c r="J825" s="532"/>
      <c r="K825" s="533">
        <v>1636.3700000000001</v>
      </c>
      <c r="L825" s="533"/>
      <c r="M825" s="533">
        <v>966.37</v>
      </c>
      <c r="N825" s="533"/>
      <c r="O825" s="533">
        <v>0</v>
      </c>
      <c r="P825" s="533"/>
      <c r="Q825" s="533">
        <v>0</v>
      </c>
      <c r="R825" s="533"/>
      <c r="S825" s="1">
        <v>13.33</v>
      </c>
      <c r="T825" s="2" t="s">
        <v>289</v>
      </c>
      <c r="U825" s="533">
        <v>54</v>
      </c>
      <c r="V825" s="533"/>
      <c r="W825" s="533">
        <v>912.37</v>
      </c>
      <c r="X825" s="533"/>
    </row>
    <row r="826" spans="1:24" ht="0.75" customHeight="1" x14ac:dyDescent="0.2"/>
    <row r="827" spans="1:24" ht="13.5" customHeight="1" x14ac:dyDescent="0.2">
      <c r="A827" s="530" t="s">
        <v>757</v>
      </c>
      <c r="B827" s="530"/>
      <c r="C827" s="531" t="s">
        <v>758</v>
      </c>
      <c r="D827" s="531"/>
      <c r="E827" s="531"/>
      <c r="F827" s="531"/>
      <c r="G827" s="531"/>
      <c r="I827" s="532">
        <v>41934</v>
      </c>
      <c r="J827" s="532"/>
      <c r="K827" s="533">
        <v>2045.45</v>
      </c>
      <c r="L827" s="533"/>
      <c r="M827" s="533">
        <v>1504.45</v>
      </c>
      <c r="N827" s="533"/>
      <c r="O827" s="533">
        <v>0</v>
      </c>
      <c r="P827" s="533"/>
      <c r="Q827" s="533">
        <v>0</v>
      </c>
      <c r="R827" s="533"/>
      <c r="S827" s="1">
        <v>8</v>
      </c>
      <c r="T827" s="2" t="s">
        <v>289</v>
      </c>
      <c r="U827" s="533">
        <v>50</v>
      </c>
      <c r="V827" s="533"/>
      <c r="W827" s="533">
        <v>1454.45</v>
      </c>
      <c r="X827" s="533"/>
    </row>
    <row r="828" spans="1:24" ht="0.75" customHeight="1" x14ac:dyDescent="0.2"/>
    <row r="829" spans="1:24" ht="13.5" customHeight="1" x14ac:dyDescent="0.2">
      <c r="A829" s="530" t="s">
        <v>759</v>
      </c>
      <c r="B829" s="530"/>
      <c r="C829" s="531" t="s">
        <v>760</v>
      </c>
      <c r="D829" s="531"/>
      <c r="E829" s="531"/>
      <c r="F829" s="531"/>
      <c r="G829" s="531"/>
      <c r="I829" s="532">
        <v>41934</v>
      </c>
      <c r="J829" s="532"/>
      <c r="K829" s="533">
        <v>19585.23</v>
      </c>
      <c r="L829" s="533"/>
      <c r="M829" s="533">
        <v>8643.23</v>
      </c>
      <c r="N829" s="533"/>
      <c r="O829" s="533">
        <v>0</v>
      </c>
      <c r="P829" s="533"/>
      <c r="Q829" s="533">
        <v>0</v>
      </c>
      <c r="R829" s="533"/>
      <c r="S829" s="1">
        <v>20</v>
      </c>
      <c r="T829" s="2" t="s">
        <v>289</v>
      </c>
      <c r="U829" s="533">
        <v>725</v>
      </c>
      <c r="V829" s="533"/>
      <c r="W829" s="533">
        <v>7918.2300000000005</v>
      </c>
      <c r="X829" s="533"/>
    </row>
    <row r="830" spans="1:24" ht="0.75" customHeight="1" x14ac:dyDescent="0.2"/>
    <row r="831" spans="1:24" ht="13.5" customHeight="1" x14ac:dyDescent="0.2">
      <c r="A831" s="530" t="s">
        <v>761</v>
      </c>
      <c r="B831" s="530"/>
      <c r="C831" s="531" t="s">
        <v>762</v>
      </c>
      <c r="D831" s="531"/>
      <c r="E831" s="531"/>
      <c r="F831" s="531"/>
      <c r="G831" s="531"/>
      <c r="I831" s="532">
        <v>42051</v>
      </c>
      <c r="J831" s="532"/>
      <c r="K831" s="533">
        <v>7375.91</v>
      </c>
      <c r="L831" s="533"/>
      <c r="M831" s="533">
        <v>3496.91</v>
      </c>
      <c r="N831" s="533"/>
      <c r="O831" s="533">
        <v>0</v>
      </c>
      <c r="P831" s="533"/>
      <c r="Q831" s="533">
        <v>0</v>
      </c>
      <c r="R831" s="533"/>
      <c r="S831" s="1">
        <v>20</v>
      </c>
      <c r="T831" s="2" t="s">
        <v>289</v>
      </c>
      <c r="U831" s="533">
        <v>293</v>
      </c>
      <c r="V831" s="533"/>
      <c r="W831" s="533">
        <v>3203.91</v>
      </c>
      <c r="X831" s="533"/>
    </row>
    <row r="832" spans="1:24" ht="0.75" customHeight="1" x14ac:dyDescent="0.2"/>
    <row r="833" spans="1:24" ht="13.5" customHeight="1" x14ac:dyDescent="0.2">
      <c r="A833" s="530" t="s">
        <v>763</v>
      </c>
      <c r="B833" s="530"/>
      <c r="C833" s="531" t="s">
        <v>764</v>
      </c>
      <c r="D833" s="531"/>
      <c r="E833" s="531"/>
      <c r="F833" s="531"/>
      <c r="G833" s="531"/>
      <c r="I833" s="532">
        <v>42094</v>
      </c>
      <c r="J833" s="532"/>
      <c r="K833" s="533">
        <v>42967.8</v>
      </c>
      <c r="L833" s="533"/>
      <c r="M833" s="533">
        <v>27030.799999999999</v>
      </c>
      <c r="N833" s="533"/>
      <c r="O833" s="533">
        <v>0</v>
      </c>
      <c r="P833" s="533"/>
      <c r="Q833" s="533">
        <v>0</v>
      </c>
      <c r="R833" s="533"/>
      <c r="S833" s="1">
        <v>13.33</v>
      </c>
      <c r="T833" s="2" t="s">
        <v>289</v>
      </c>
      <c r="U833" s="533">
        <v>1511</v>
      </c>
      <c r="V833" s="533"/>
      <c r="W833" s="533">
        <v>25519.8</v>
      </c>
      <c r="X833" s="533"/>
    </row>
    <row r="834" spans="1:24" ht="0.75" customHeight="1" x14ac:dyDescent="0.2"/>
    <row r="835" spans="1:24" ht="13.5" customHeight="1" x14ac:dyDescent="0.2">
      <c r="A835" s="530" t="s">
        <v>765</v>
      </c>
      <c r="B835" s="530"/>
      <c r="C835" s="531" t="s">
        <v>766</v>
      </c>
      <c r="D835" s="531"/>
      <c r="E835" s="531"/>
      <c r="F835" s="531"/>
      <c r="G835" s="531"/>
      <c r="I835" s="532">
        <v>42149</v>
      </c>
      <c r="J835" s="532"/>
      <c r="K835" s="533">
        <v>5984.55</v>
      </c>
      <c r="L835" s="533"/>
      <c r="M835" s="533">
        <v>3843.55</v>
      </c>
      <c r="N835" s="533"/>
      <c r="O835" s="533">
        <v>0</v>
      </c>
      <c r="P835" s="533"/>
      <c r="Q835" s="533">
        <v>0</v>
      </c>
      <c r="R835" s="533"/>
      <c r="S835" s="1">
        <v>13.33</v>
      </c>
      <c r="T835" s="2" t="s">
        <v>289</v>
      </c>
      <c r="U835" s="533">
        <v>215</v>
      </c>
      <c r="V835" s="533"/>
      <c r="W835" s="533">
        <v>3628.55</v>
      </c>
      <c r="X835" s="533"/>
    </row>
    <row r="836" spans="1:24" ht="0.75" customHeight="1" x14ac:dyDescent="0.2"/>
    <row r="837" spans="1:24" ht="13.5" customHeight="1" x14ac:dyDescent="0.2">
      <c r="A837" s="530" t="s">
        <v>767</v>
      </c>
      <c r="B837" s="530"/>
      <c r="C837" s="531" t="s">
        <v>768</v>
      </c>
      <c r="D837" s="531"/>
      <c r="E837" s="531"/>
      <c r="F837" s="531"/>
      <c r="G837" s="531"/>
      <c r="I837" s="532">
        <v>41842</v>
      </c>
      <c r="J837" s="532"/>
      <c r="K837" s="533">
        <v>2500</v>
      </c>
      <c r="L837" s="533"/>
      <c r="M837" s="533">
        <v>0</v>
      </c>
      <c r="N837" s="533"/>
      <c r="O837" s="533">
        <v>0</v>
      </c>
      <c r="P837" s="533"/>
      <c r="Q837" s="533">
        <v>0</v>
      </c>
      <c r="R837" s="533"/>
      <c r="S837" s="1">
        <v>20</v>
      </c>
      <c r="T837" s="2" t="s">
        <v>289</v>
      </c>
      <c r="U837" s="533">
        <v>0</v>
      </c>
      <c r="V837" s="533"/>
      <c r="W837" s="533">
        <v>0</v>
      </c>
      <c r="X837" s="533"/>
    </row>
    <row r="838" spans="1:24" ht="0.75" customHeight="1" x14ac:dyDescent="0.2"/>
    <row r="839" spans="1:24" ht="13.5" customHeight="1" x14ac:dyDescent="0.2">
      <c r="A839" s="530" t="s">
        <v>769</v>
      </c>
      <c r="B839" s="530"/>
      <c r="C839" s="531" t="s">
        <v>770</v>
      </c>
      <c r="D839" s="531"/>
      <c r="E839" s="531"/>
      <c r="F839" s="531"/>
      <c r="G839" s="531"/>
      <c r="I839" s="532">
        <v>41934</v>
      </c>
      <c r="J839" s="532"/>
      <c r="K839" s="533">
        <v>787.5</v>
      </c>
      <c r="L839" s="533"/>
      <c r="M839" s="533">
        <v>0</v>
      </c>
      <c r="N839" s="533"/>
      <c r="O839" s="533">
        <v>0</v>
      </c>
      <c r="P839" s="533"/>
      <c r="Q839" s="533">
        <v>0</v>
      </c>
      <c r="R839" s="533"/>
      <c r="S839" s="1">
        <v>20</v>
      </c>
      <c r="T839" s="2" t="s">
        <v>289</v>
      </c>
      <c r="U839" s="533">
        <v>0</v>
      </c>
      <c r="V839" s="533"/>
      <c r="W839" s="533">
        <v>0</v>
      </c>
      <c r="X839" s="533"/>
    </row>
    <row r="840" spans="1:24" ht="0.75" customHeight="1" x14ac:dyDescent="0.2"/>
    <row r="841" spans="1:24" ht="13.5" customHeight="1" x14ac:dyDescent="0.2">
      <c r="A841" s="530" t="s">
        <v>771</v>
      </c>
      <c r="B841" s="530"/>
      <c r="C841" s="531" t="s">
        <v>772</v>
      </c>
      <c r="D841" s="531"/>
      <c r="E841" s="531"/>
      <c r="F841" s="531"/>
      <c r="G841" s="531"/>
      <c r="I841" s="532">
        <v>41934</v>
      </c>
      <c r="J841" s="532"/>
      <c r="K841" s="533">
        <v>230.13</v>
      </c>
      <c r="L841" s="533"/>
      <c r="M841" s="533">
        <v>0</v>
      </c>
      <c r="N841" s="533"/>
      <c r="O841" s="533">
        <v>0</v>
      </c>
      <c r="P841" s="533"/>
      <c r="Q841" s="533">
        <v>0</v>
      </c>
      <c r="R841" s="533"/>
      <c r="S841" s="1">
        <v>20</v>
      </c>
      <c r="T841" s="2" t="s">
        <v>289</v>
      </c>
      <c r="U841" s="533">
        <v>0</v>
      </c>
      <c r="V841" s="533"/>
      <c r="W841" s="533">
        <v>0</v>
      </c>
      <c r="X841" s="533"/>
    </row>
    <row r="842" spans="1:24" ht="15" customHeight="1" x14ac:dyDescent="0.2">
      <c r="A842" s="534" t="s">
        <v>285</v>
      </c>
      <c r="B842" s="534"/>
      <c r="D842" s="534" t="s">
        <v>286</v>
      </c>
      <c r="E842" s="534"/>
      <c r="F842" s="534"/>
      <c r="G842" s="534"/>
      <c r="H842" s="534"/>
      <c r="I842" s="534"/>
      <c r="J842" s="534"/>
      <c r="K842" s="534"/>
      <c r="L842" s="534"/>
      <c r="M842" s="534"/>
      <c r="N842" s="534"/>
      <c r="O842" s="534"/>
      <c r="P842" s="534"/>
      <c r="Q842" s="534"/>
      <c r="R842" s="534"/>
      <c r="S842" s="534"/>
      <c r="T842" s="534"/>
      <c r="U842" s="534"/>
      <c r="V842" s="534"/>
    </row>
    <row r="843" spans="1:24" ht="0.75" customHeight="1" x14ac:dyDescent="0.2"/>
    <row r="844" spans="1:24" ht="13.5" customHeight="1" x14ac:dyDescent="0.2">
      <c r="A844" s="530" t="s">
        <v>773</v>
      </c>
      <c r="B844" s="530"/>
      <c r="C844" s="531" t="s">
        <v>774</v>
      </c>
      <c r="D844" s="531"/>
      <c r="E844" s="531"/>
      <c r="F844" s="531"/>
      <c r="G844" s="531"/>
      <c r="I844" s="532">
        <v>42036</v>
      </c>
      <c r="J844" s="532"/>
      <c r="K844" s="533">
        <v>670</v>
      </c>
      <c r="L844" s="533"/>
      <c r="M844" s="533">
        <v>0</v>
      </c>
      <c r="N844" s="533"/>
      <c r="O844" s="533">
        <v>0</v>
      </c>
      <c r="P844" s="533"/>
      <c r="Q844" s="533">
        <v>0</v>
      </c>
      <c r="R844" s="533"/>
      <c r="S844" s="1">
        <v>20</v>
      </c>
      <c r="T844" s="2" t="s">
        <v>289</v>
      </c>
      <c r="U844" s="533">
        <v>0</v>
      </c>
      <c r="V844" s="533"/>
      <c r="W844" s="533">
        <v>0</v>
      </c>
      <c r="X844" s="533"/>
    </row>
    <row r="845" spans="1:24" ht="0.75" customHeight="1" x14ac:dyDescent="0.2"/>
    <row r="846" spans="1:24" ht="13.5" customHeight="1" x14ac:dyDescent="0.2">
      <c r="A846" s="530" t="s">
        <v>775</v>
      </c>
      <c r="B846" s="530"/>
      <c r="C846" s="531" t="s">
        <v>749</v>
      </c>
      <c r="D846" s="531"/>
      <c r="E846" s="531"/>
      <c r="F846" s="531"/>
      <c r="G846" s="531"/>
      <c r="I846" s="532">
        <v>42046</v>
      </c>
      <c r="J846" s="532"/>
      <c r="K846" s="533">
        <v>515</v>
      </c>
      <c r="L846" s="533"/>
      <c r="M846" s="533">
        <v>0</v>
      </c>
      <c r="N846" s="533"/>
      <c r="O846" s="533">
        <v>0</v>
      </c>
      <c r="P846" s="533"/>
      <c r="Q846" s="533">
        <v>0</v>
      </c>
      <c r="R846" s="533"/>
      <c r="S846" s="1">
        <v>20</v>
      </c>
      <c r="T846" s="2" t="s">
        <v>289</v>
      </c>
      <c r="U846" s="533">
        <v>0</v>
      </c>
      <c r="V846" s="533"/>
      <c r="W846" s="533">
        <v>0</v>
      </c>
      <c r="X846" s="533"/>
    </row>
    <row r="847" spans="1:24" ht="0.75" customHeight="1" x14ac:dyDescent="0.2"/>
    <row r="848" spans="1:24" ht="13.5" customHeight="1" x14ac:dyDescent="0.2">
      <c r="A848" s="530" t="s">
        <v>776</v>
      </c>
      <c r="B848" s="530"/>
      <c r="C848" s="531" t="s">
        <v>777</v>
      </c>
      <c r="D848" s="531"/>
      <c r="E848" s="531"/>
      <c r="F848" s="531"/>
      <c r="G848" s="531"/>
      <c r="I848" s="532">
        <v>41934</v>
      </c>
      <c r="J848" s="532"/>
      <c r="K848" s="533">
        <v>869.32</v>
      </c>
      <c r="L848" s="533"/>
      <c r="M848" s="533">
        <v>0</v>
      </c>
      <c r="N848" s="533"/>
      <c r="O848" s="533">
        <v>0</v>
      </c>
      <c r="P848" s="533"/>
      <c r="Q848" s="533">
        <v>0</v>
      </c>
      <c r="R848" s="533"/>
      <c r="S848" s="1">
        <v>20</v>
      </c>
      <c r="T848" s="2" t="s">
        <v>289</v>
      </c>
      <c r="U848" s="533">
        <v>0</v>
      </c>
      <c r="V848" s="533"/>
      <c r="W848" s="533">
        <v>0</v>
      </c>
      <c r="X848" s="533"/>
    </row>
    <row r="849" spans="1:24" ht="0.75" customHeight="1" x14ac:dyDescent="0.2"/>
    <row r="850" spans="1:24" ht="13.5" customHeight="1" x14ac:dyDescent="0.2">
      <c r="A850" s="530" t="s">
        <v>778</v>
      </c>
      <c r="B850" s="530"/>
      <c r="C850" s="531" t="s">
        <v>779</v>
      </c>
      <c r="D850" s="531"/>
      <c r="E850" s="531"/>
      <c r="F850" s="531"/>
      <c r="G850" s="531"/>
      <c r="I850" s="532">
        <v>42095</v>
      </c>
      <c r="J850" s="532"/>
      <c r="K850" s="533">
        <v>953.64</v>
      </c>
      <c r="L850" s="533"/>
      <c r="M850" s="533">
        <v>0</v>
      </c>
      <c r="N850" s="533"/>
      <c r="O850" s="533">
        <v>0</v>
      </c>
      <c r="P850" s="533"/>
      <c r="Q850" s="533">
        <v>0</v>
      </c>
      <c r="R850" s="533"/>
      <c r="S850" s="1">
        <v>20</v>
      </c>
      <c r="T850" s="2" t="s">
        <v>289</v>
      </c>
      <c r="U850" s="533">
        <v>0</v>
      </c>
      <c r="V850" s="533"/>
      <c r="W850" s="533">
        <v>0</v>
      </c>
      <c r="X850" s="533"/>
    </row>
    <row r="851" spans="1:24" ht="0.75" customHeight="1" x14ac:dyDescent="0.2"/>
    <row r="852" spans="1:24" ht="13.5" customHeight="1" x14ac:dyDescent="0.2">
      <c r="A852" s="530" t="s">
        <v>780</v>
      </c>
      <c r="B852" s="530"/>
      <c r="C852" s="531" t="s">
        <v>781</v>
      </c>
      <c r="D852" s="531"/>
      <c r="E852" s="531"/>
      <c r="F852" s="531"/>
      <c r="G852" s="531"/>
      <c r="I852" s="532">
        <v>42217</v>
      </c>
      <c r="J852" s="532"/>
      <c r="K852" s="533">
        <v>6500</v>
      </c>
      <c r="L852" s="533"/>
      <c r="M852" s="533">
        <v>3397</v>
      </c>
      <c r="N852" s="533"/>
      <c r="O852" s="533">
        <v>0</v>
      </c>
      <c r="P852" s="533"/>
      <c r="Q852" s="533">
        <v>0</v>
      </c>
      <c r="R852" s="533"/>
      <c r="S852" s="1">
        <v>20</v>
      </c>
      <c r="T852" s="2" t="s">
        <v>289</v>
      </c>
      <c r="U852" s="533">
        <v>285</v>
      </c>
      <c r="V852" s="533"/>
      <c r="W852" s="533">
        <v>3112</v>
      </c>
      <c r="X852" s="533"/>
    </row>
    <row r="853" spans="1:24" ht="0.75" customHeight="1" x14ac:dyDescent="0.2"/>
    <row r="854" spans="1:24" ht="13.5" customHeight="1" x14ac:dyDescent="0.2">
      <c r="A854" s="530" t="s">
        <v>782</v>
      </c>
      <c r="B854" s="530"/>
      <c r="C854" s="531" t="s">
        <v>783</v>
      </c>
      <c r="D854" s="531"/>
      <c r="E854" s="531"/>
      <c r="F854" s="531"/>
      <c r="G854" s="531"/>
      <c r="I854" s="532">
        <v>42229</v>
      </c>
      <c r="J854" s="532"/>
      <c r="K854" s="533">
        <v>3477</v>
      </c>
      <c r="L854" s="533"/>
      <c r="M854" s="533">
        <v>2567.5370000000003</v>
      </c>
      <c r="N854" s="533"/>
      <c r="O854" s="533">
        <v>0</v>
      </c>
      <c r="P854" s="533"/>
      <c r="Q854" s="533">
        <v>0</v>
      </c>
      <c r="R854" s="533"/>
      <c r="S854" s="1">
        <v>10</v>
      </c>
      <c r="T854" s="2" t="s">
        <v>289</v>
      </c>
      <c r="U854" s="533">
        <v>108</v>
      </c>
      <c r="V854" s="533"/>
      <c r="W854" s="533">
        <v>2459.5370000000003</v>
      </c>
      <c r="X854" s="533"/>
    </row>
    <row r="855" spans="1:24" ht="0.75" customHeight="1" x14ac:dyDescent="0.2"/>
    <row r="856" spans="1:24" ht="13.5" customHeight="1" x14ac:dyDescent="0.2">
      <c r="A856" s="530" t="s">
        <v>784</v>
      </c>
      <c r="B856" s="530"/>
      <c r="C856" s="531" t="s">
        <v>785</v>
      </c>
      <c r="D856" s="531"/>
      <c r="E856" s="531"/>
      <c r="F856" s="531"/>
      <c r="G856" s="531"/>
      <c r="I856" s="532">
        <v>42233</v>
      </c>
      <c r="J856" s="532"/>
      <c r="K856" s="533">
        <v>3240</v>
      </c>
      <c r="L856" s="533"/>
      <c r="M856" s="533">
        <v>2395</v>
      </c>
      <c r="N856" s="533"/>
      <c r="O856" s="533">
        <v>0</v>
      </c>
      <c r="P856" s="533"/>
      <c r="Q856" s="533">
        <v>0</v>
      </c>
      <c r="R856" s="533"/>
      <c r="S856" s="1">
        <v>10</v>
      </c>
      <c r="T856" s="2" t="s">
        <v>289</v>
      </c>
      <c r="U856" s="533">
        <v>100</v>
      </c>
      <c r="V856" s="533"/>
      <c r="W856" s="533">
        <v>2295</v>
      </c>
      <c r="X856" s="533"/>
    </row>
    <row r="857" spans="1:24" ht="0.75" customHeight="1" x14ac:dyDescent="0.2"/>
    <row r="858" spans="1:24" ht="13.5" customHeight="1" x14ac:dyDescent="0.2">
      <c r="A858" s="530" t="s">
        <v>786</v>
      </c>
      <c r="B858" s="530"/>
      <c r="C858" s="531" t="s">
        <v>787</v>
      </c>
      <c r="D858" s="531"/>
      <c r="E858" s="531"/>
      <c r="F858" s="531"/>
      <c r="G858" s="531"/>
      <c r="I858" s="532">
        <v>42278</v>
      </c>
      <c r="J858" s="532"/>
      <c r="K858" s="533">
        <v>953.64</v>
      </c>
      <c r="L858" s="533"/>
      <c r="M858" s="533">
        <v>382.64</v>
      </c>
      <c r="N858" s="533"/>
      <c r="O858" s="533">
        <v>0</v>
      </c>
      <c r="P858" s="533"/>
      <c r="Q858" s="533">
        <v>0</v>
      </c>
      <c r="R858" s="533"/>
      <c r="S858" s="1">
        <v>28.5</v>
      </c>
      <c r="T858" s="2" t="s">
        <v>289</v>
      </c>
      <c r="U858" s="533">
        <v>46</v>
      </c>
      <c r="V858" s="533"/>
      <c r="W858" s="533">
        <v>336.64</v>
      </c>
      <c r="X858" s="533"/>
    </row>
    <row r="859" spans="1:24" ht="0.75" customHeight="1" x14ac:dyDescent="0.2"/>
    <row r="860" spans="1:24" ht="13.5" customHeight="1" x14ac:dyDescent="0.2">
      <c r="A860" s="530" t="s">
        <v>788</v>
      </c>
      <c r="B860" s="530"/>
      <c r="C860" s="531" t="s">
        <v>789</v>
      </c>
      <c r="D860" s="531"/>
      <c r="E860" s="531"/>
      <c r="F860" s="531"/>
      <c r="G860" s="531"/>
      <c r="I860" s="532">
        <v>42353</v>
      </c>
      <c r="J860" s="532"/>
      <c r="K860" s="533">
        <v>21555</v>
      </c>
      <c r="L860" s="533"/>
      <c r="M860" s="533">
        <v>15028</v>
      </c>
      <c r="N860" s="533"/>
      <c r="O860" s="533">
        <v>0</v>
      </c>
      <c r="P860" s="533"/>
      <c r="Q860" s="533">
        <v>0</v>
      </c>
      <c r="R860" s="533"/>
      <c r="S860" s="1">
        <v>13.3</v>
      </c>
      <c r="T860" s="2" t="s">
        <v>289</v>
      </c>
      <c r="U860" s="533">
        <v>838</v>
      </c>
      <c r="V860" s="533"/>
      <c r="W860" s="533">
        <v>14190</v>
      </c>
      <c r="X860" s="533"/>
    </row>
    <row r="861" spans="1:24" ht="0.75" customHeight="1" x14ac:dyDescent="0.2"/>
    <row r="862" spans="1:24" ht="13.5" customHeight="1" x14ac:dyDescent="0.2">
      <c r="A862" s="530" t="s">
        <v>790</v>
      </c>
      <c r="B862" s="530"/>
      <c r="C862" s="531" t="s">
        <v>791</v>
      </c>
      <c r="D862" s="531"/>
      <c r="E862" s="531"/>
      <c r="F862" s="531"/>
      <c r="G862" s="531"/>
      <c r="I862" s="532">
        <v>42377</v>
      </c>
      <c r="J862" s="532"/>
      <c r="K862" s="533">
        <v>12760</v>
      </c>
      <c r="L862" s="533"/>
      <c r="M862" s="533">
        <v>9840</v>
      </c>
      <c r="N862" s="533"/>
      <c r="O862" s="533">
        <v>0</v>
      </c>
      <c r="P862" s="533"/>
      <c r="Q862" s="533">
        <v>0</v>
      </c>
      <c r="R862" s="533"/>
      <c r="S862" s="1">
        <v>10</v>
      </c>
      <c r="T862" s="2" t="s">
        <v>289</v>
      </c>
      <c r="U862" s="533">
        <v>412</v>
      </c>
      <c r="V862" s="533"/>
      <c r="W862" s="533">
        <v>9428</v>
      </c>
      <c r="X862" s="533"/>
    </row>
    <row r="863" spans="1:24" ht="0.75" customHeight="1" x14ac:dyDescent="0.2"/>
    <row r="864" spans="1:24" ht="13.5" customHeight="1" x14ac:dyDescent="0.2">
      <c r="A864" s="530" t="s">
        <v>792</v>
      </c>
      <c r="B864" s="530"/>
      <c r="C864" s="531" t="s">
        <v>793</v>
      </c>
      <c r="D864" s="531"/>
      <c r="E864" s="531"/>
      <c r="F864" s="531"/>
      <c r="G864" s="531"/>
      <c r="I864" s="532">
        <v>42388</v>
      </c>
      <c r="J864" s="532"/>
      <c r="K864" s="533">
        <v>6380</v>
      </c>
      <c r="L864" s="533"/>
      <c r="M864" s="533">
        <v>4936</v>
      </c>
      <c r="N864" s="533"/>
      <c r="O864" s="533">
        <v>0</v>
      </c>
      <c r="P864" s="533"/>
      <c r="Q864" s="533">
        <v>0</v>
      </c>
      <c r="R864" s="533"/>
      <c r="S864" s="1">
        <v>10</v>
      </c>
      <c r="T864" s="2" t="s">
        <v>289</v>
      </c>
      <c r="U864" s="533">
        <v>207</v>
      </c>
      <c r="V864" s="533"/>
      <c r="W864" s="533">
        <v>4729</v>
      </c>
      <c r="X864" s="533"/>
    </row>
    <row r="865" spans="1:24" ht="0.75" customHeight="1" x14ac:dyDescent="0.2"/>
    <row r="866" spans="1:24" ht="13.5" customHeight="1" x14ac:dyDescent="0.2">
      <c r="A866" s="530" t="s">
        <v>794</v>
      </c>
      <c r="B866" s="530"/>
      <c r="C866" s="531" t="s">
        <v>795</v>
      </c>
      <c r="D866" s="531"/>
      <c r="E866" s="531"/>
      <c r="F866" s="531"/>
      <c r="G866" s="531"/>
      <c r="I866" s="532">
        <v>42389</v>
      </c>
      <c r="J866" s="532"/>
      <c r="K866" s="533">
        <v>10394.790000000001</v>
      </c>
      <c r="L866" s="533"/>
      <c r="M866" s="533">
        <v>6058.79</v>
      </c>
      <c r="N866" s="533"/>
      <c r="O866" s="533">
        <v>0</v>
      </c>
      <c r="P866" s="533"/>
      <c r="Q866" s="533">
        <v>0</v>
      </c>
      <c r="R866" s="533"/>
      <c r="S866" s="1">
        <v>20</v>
      </c>
      <c r="T866" s="2" t="s">
        <v>289</v>
      </c>
      <c r="U866" s="533">
        <v>508</v>
      </c>
      <c r="V866" s="533"/>
      <c r="W866" s="533">
        <v>5550.79</v>
      </c>
      <c r="X866" s="533"/>
    </row>
    <row r="867" spans="1:24" ht="0.75" customHeight="1" x14ac:dyDescent="0.2"/>
    <row r="868" spans="1:24" ht="13.5" customHeight="1" x14ac:dyDescent="0.2">
      <c r="A868" s="530" t="s">
        <v>796</v>
      </c>
      <c r="B868" s="530"/>
      <c r="C868" s="525" t="s">
        <v>797</v>
      </c>
      <c r="D868" s="525"/>
      <c r="E868" s="525"/>
      <c r="F868" s="525"/>
      <c r="G868" s="525"/>
      <c r="I868" s="532">
        <v>42404</v>
      </c>
      <c r="J868" s="532"/>
      <c r="K868" s="533">
        <v>1645</v>
      </c>
      <c r="L868" s="533"/>
      <c r="M868" s="533">
        <v>496</v>
      </c>
      <c r="N868" s="533"/>
      <c r="O868" s="533">
        <v>0</v>
      </c>
      <c r="P868" s="533"/>
      <c r="Q868" s="533">
        <v>0</v>
      </c>
      <c r="R868" s="533"/>
      <c r="S868" s="1">
        <v>40</v>
      </c>
      <c r="T868" s="2" t="s">
        <v>289</v>
      </c>
      <c r="U868" s="533">
        <v>83</v>
      </c>
      <c r="V868" s="533"/>
      <c r="W868" s="533">
        <v>413</v>
      </c>
      <c r="X868" s="533"/>
    </row>
    <row r="869" spans="1:24" ht="12" customHeight="1" x14ac:dyDescent="0.2">
      <c r="C869" s="525"/>
      <c r="D869" s="525"/>
      <c r="E869" s="525"/>
      <c r="F869" s="525"/>
      <c r="G869" s="525"/>
    </row>
    <row r="870" spans="1:24" ht="13.5" customHeight="1" x14ac:dyDescent="0.2">
      <c r="A870" s="530" t="s">
        <v>798</v>
      </c>
      <c r="B870" s="530"/>
      <c r="C870" s="531" t="s">
        <v>799</v>
      </c>
      <c r="D870" s="531"/>
      <c r="E870" s="531"/>
      <c r="F870" s="531"/>
      <c r="G870" s="531"/>
      <c r="I870" s="532">
        <v>42422</v>
      </c>
      <c r="J870" s="532"/>
      <c r="K870" s="533">
        <v>8528</v>
      </c>
      <c r="L870" s="533"/>
      <c r="M870" s="533">
        <v>6102</v>
      </c>
      <c r="N870" s="533"/>
      <c r="O870" s="533">
        <v>0</v>
      </c>
      <c r="P870" s="533"/>
      <c r="Q870" s="533">
        <v>0</v>
      </c>
      <c r="R870" s="533"/>
      <c r="S870" s="1">
        <v>13.33</v>
      </c>
      <c r="T870" s="2" t="s">
        <v>289</v>
      </c>
      <c r="U870" s="533">
        <v>341</v>
      </c>
      <c r="V870" s="533"/>
      <c r="W870" s="533">
        <v>5761</v>
      </c>
      <c r="X870" s="533"/>
    </row>
    <row r="871" spans="1:24" ht="0.75" customHeight="1" x14ac:dyDescent="0.2"/>
    <row r="872" spans="1:24" ht="13.5" customHeight="1" x14ac:dyDescent="0.2">
      <c r="A872" s="530" t="s">
        <v>800</v>
      </c>
      <c r="B872" s="530"/>
      <c r="C872" s="531" t="s">
        <v>801</v>
      </c>
      <c r="D872" s="531"/>
      <c r="E872" s="531"/>
      <c r="F872" s="531"/>
      <c r="G872" s="531"/>
      <c r="I872" s="532">
        <v>42424</v>
      </c>
      <c r="J872" s="532"/>
      <c r="K872" s="533">
        <v>11000</v>
      </c>
      <c r="L872" s="533"/>
      <c r="M872" s="533">
        <v>7877</v>
      </c>
      <c r="N872" s="533"/>
      <c r="O872" s="533">
        <v>0</v>
      </c>
      <c r="P872" s="533"/>
      <c r="Q872" s="533">
        <v>0</v>
      </c>
      <c r="R872" s="533"/>
      <c r="S872" s="1">
        <v>13.33</v>
      </c>
      <c r="T872" s="2" t="s">
        <v>289</v>
      </c>
      <c r="U872" s="533">
        <v>440</v>
      </c>
      <c r="V872" s="533"/>
      <c r="W872" s="533">
        <v>7437</v>
      </c>
      <c r="X872" s="533"/>
    </row>
    <row r="873" spans="1:24" ht="0.75" customHeight="1" x14ac:dyDescent="0.2"/>
    <row r="874" spans="1:24" ht="13.5" customHeight="1" x14ac:dyDescent="0.2">
      <c r="A874" s="530" t="s">
        <v>802</v>
      </c>
      <c r="B874" s="530"/>
      <c r="C874" s="525" t="s">
        <v>803</v>
      </c>
      <c r="D874" s="525"/>
      <c r="E874" s="525"/>
      <c r="F874" s="525"/>
      <c r="G874" s="525"/>
      <c r="I874" s="532">
        <v>42461</v>
      </c>
      <c r="J874" s="532"/>
      <c r="K874" s="533">
        <v>4822.4000000000005</v>
      </c>
      <c r="L874" s="533"/>
      <c r="M874" s="533">
        <v>3502.4</v>
      </c>
      <c r="N874" s="533"/>
      <c r="O874" s="533">
        <v>0</v>
      </c>
      <c r="P874" s="533"/>
      <c r="Q874" s="533">
        <v>0</v>
      </c>
      <c r="R874" s="533"/>
      <c r="S874" s="1">
        <v>13.33</v>
      </c>
      <c r="T874" s="2" t="s">
        <v>289</v>
      </c>
      <c r="U874" s="533">
        <v>196</v>
      </c>
      <c r="V874" s="533"/>
      <c r="W874" s="533">
        <v>3306.4</v>
      </c>
      <c r="X874" s="533"/>
    </row>
    <row r="875" spans="1:24" ht="12" customHeight="1" x14ac:dyDescent="0.2">
      <c r="C875" s="525"/>
      <c r="D875" s="525"/>
      <c r="E875" s="525"/>
      <c r="F875" s="525"/>
      <c r="G875" s="525"/>
    </row>
    <row r="876" spans="1:24" ht="13.5" customHeight="1" x14ac:dyDescent="0.2">
      <c r="A876" s="530" t="s">
        <v>804</v>
      </c>
      <c r="B876" s="530"/>
      <c r="C876" s="531" t="s">
        <v>805</v>
      </c>
      <c r="D876" s="531"/>
      <c r="E876" s="531"/>
      <c r="F876" s="531"/>
      <c r="G876" s="531"/>
      <c r="I876" s="532">
        <v>42461</v>
      </c>
      <c r="J876" s="532"/>
      <c r="K876" s="533">
        <v>7445</v>
      </c>
      <c r="L876" s="533"/>
      <c r="M876" s="533">
        <v>5407</v>
      </c>
      <c r="N876" s="533"/>
      <c r="O876" s="533">
        <v>0</v>
      </c>
      <c r="P876" s="533"/>
      <c r="Q876" s="533">
        <v>0</v>
      </c>
      <c r="R876" s="533"/>
      <c r="S876" s="1">
        <v>13.33</v>
      </c>
      <c r="T876" s="2" t="s">
        <v>289</v>
      </c>
      <c r="U876" s="533">
        <v>302</v>
      </c>
      <c r="V876" s="533"/>
      <c r="W876" s="533">
        <v>5105</v>
      </c>
      <c r="X876" s="533"/>
    </row>
    <row r="877" spans="1:24" ht="0.75" customHeight="1" x14ac:dyDescent="0.2"/>
    <row r="878" spans="1:24" ht="13.5" customHeight="1" x14ac:dyDescent="0.2">
      <c r="A878" s="530" t="s">
        <v>806</v>
      </c>
      <c r="B878" s="530"/>
      <c r="C878" s="525" t="s">
        <v>807</v>
      </c>
      <c r="D878" s="525"/>
      <c r="E878" s="525"/>
      <c r="F878" s="525"/>
      <c r="G878" s="525"/>
      <c r="I878" s="532">
        <v>42492</v>
      </c>
      <c r="J878" s="532"/>
      <c r="K878" s="533">
        <v>57910</v>
      </c>
      <c r="L878" s="533"/>
      <c r="M878" s="533">
        <v>42547</v>
      </c>
      <c r="N878" s="533"/>
      <c r="O878" s="533">
        <v>0</v>
      </c>
      <c r="P878" s="533"/>
      <c r="Q878" s="533">
        <v>0</v>
      </c>
      <c r="R878" s="533"/>
      <c r="S878" s="1">
        <v>13.33</v>
      </c>
      <c r="T878" s="2" t="s">
        <v>289</v>
      </c>
      <c r="U878" s="533">
        <v>2377</v>
      </c>
      <c r="V878" s="533"/>
      <c r="W878" s="533">
        <v>40170</v>
      </c>
      <c r="X878" s="533"/>
    </row>
    <row r="879" spans="1:24" ht="12" customHeight="1" x14ac:dyDescent="0.2">
      <c r="C879" s="525"/>
      <c r="D879" s="525"/>
      <c r="E879" s="525"/>
      <c r="F879" s="525"/>
      <c r="G879" s="525"/>
    </row>
    <row r="880" spans="1:24" ht="13.5" customHeight="1" x14ac:dyDescent="0.2">
      <c r="A880" s="530" t="s">
        <v>808</v>
      </c>
      <c r="B880" s="530"/>
      <c r="C880" s="531" t="s">
        <v>809</v>
      </c>
      <c r="D880" s="531"/>
      <c r="E880" s="531"/>
      <c r="F880" s="531"/>
      <c r="G880" s="531"/>
      <c r="I880" s="532">
        <v>42517</v>
      </c>
      <c r="J880" s="532"/>
      <c r="K880" s="533">
        <v>1500</v>
      </c>
      <c r="L880" s="533"/>
      <c r="M880" s="533">
        <v>1203</v>
      </c>
      <c r="N880" s="533"/>
      <c r="O880" s="533">
        <v>0</v>
      </c>
      <c r="P880" s="533"/>
      <c r="Q880" s="533">
        <v>0</v>
      </c>
      <c r="R880" s="533"/>
      <c r="S880" s="1">
        <v>10</v>
      </c>
      <c r="T880" s="2" t="s">
        <v>289</v>
      </c>
      <c r="U880" s="533">
        <v>50</v>
      </c>
      <c r="V880" s="533"/>
      <c r="W880" s="533">
        <v>1153</v>
      </c>
      <c r="X880" s="533"/>
    </row>
    <row r="881" spans="1:24" ht="0.75" customHeight="1" x14ac:dyDescent="0.2"/>
    <row r="882" spans="1:24" ht="13.5" customHeight="1" x14ac:dyDescent="0.2">
      <c r="A882" s="530" t="s">
        <v>810</v>
      </c>
      <c r="B882" s="530"/>
      <c r="C882" s="531" t="s">
        <v>811</v>
      </c>
      <c r="D882" s="531"/>
      <c r="E882" s="531"/>
      <c r="F882" s="531"/>
      <c r="G882" s="531"/>
      <c r="I882" s="532">
        <v>42520</v>
      </c>
      <c r="J882" s="532"/>
      <c r="K882" s="533">
        <v>3000</v>
      </c>
      <c r="L882" s="533"/>
      <c r="M882" s="533">
        <v>2409</v>
      </c>
      <c r="N882" s="533"/>
      <c r="O882" s="533">
        <v>0</v>
      </c>
      <c r="P882" s="533"/>
      <c r="Q882" s="533">
        <v>0</v>
      </c>
      <c r="R882" s="533"/>
      <c r="S882" s="1">
        <v>10</v>
      </c>
      <c r="T882" s="2" t="s">
        <v>289</v>
      </c>
      <c r="U882" s="533">
        <v>101</v>
      </c>
      <c r="V882" s="533"/>
      <c r="W882" s="533">
        <v>2308</v>
      </c>
      <c r="X882" s="533"/>
    </row>
    <row r="883" spans="1:24" ht="0.75" customHeight="1" x14ac:dyDescent="0.2"/>
    <row r="884" spans="1:24" ht="13.5" customHeight="1" x14ac:dyDescent="0.2">
      <c r="A884" s="530" t="s">
        <v>812</v>
      </c>
      <c r="B884" s="530"/>
      <c r="C884" s="531" t="s">
        <v>813</v>
      </c>
      <c r="D884" s="531"/>
      <c r="E884" s="531"/>
      <c r="F884" s="531"/>
      <c r="G884" s="531"/>
      <c r="I884" s="532">
        <v>42552</v>
      </c>
      <c r="J884" s="532"/>
      <c r="K884" s="533">
        <v>2289.5500000000002</v>
      </c>
      <c r="L884" s="533"/>
      <c r="M884" s="533">
        <v>1854.55</v>
      </c>
      <c r="N884" s="533"/>
      <c r="O884" s="533">
        <v>0</v>
      </c>
      <c r="P884" s="533"/>
      <c r="Q884" s="533">
        <v>0</v>
      </c>
      <c r="R884" s="533"/>
      <c r="S884" s="1">
        <v>10</v>
      </c>
      <c r="T884" s="2" t="s">
        <v>289</v>
      </c>
      <c r="U884" s="533">
        <v>78</v>
      </c>
      <c r="V884" s="533"/>
      <c r="W884" s="533">
        <v>1776.55</v>
      </c>
      <c r="X884" s="533"/>
    </row>
    <row r="885" spans="1:24" ht="0.75" customHeight="1" x14ac:dyDescent="0.2"/>
    <row r="886" spans="1:24" ht="13.5" customHeight="1" x14ac:dyDescent="0.2">
      <c r="A886" s="530" t="s">
        <v>814</v>
      </c>
      <c r="B886" s="530"/>
      <c r="C886" s="531" t="s">
        <v>815</v>
      </c>
      <c r="D886" s="531"/>
      <c r="E886" s="531"/>
      <c r="F886" s="531"/>
      <c r="G886" s="531"/>
      <c r="I886" s="532">
        <v>42716</v>
      </c>
      <c r="J886" s="532"/>
      <c r="K886" s="533">
        <v>14640</v>
      </c>
      <c r="L886" s="533"/>
      <c r="M886" s="533">
        <v>12451</v>
      </c>
      <c r="N886" s="533"/>
      <c r="O886" s="533">
        <v>0</v>
      </c>
      <c r="P886" s="533"/>
      <c r="Q886" s="533">
        <v>0</v>
      </c>
      <c r="R886" s="533"/>
      <c r="S886" s="1">
        <v>10</v>
      </c>
      <c r="T886" s="2" t="s">
        <v>289</v>
      </c>
      <c r="U886" s="533">
        <v>522</v>
      </c>
      <c r="V886" s="533"/>
      <c r="W886" s="533">
        <v>11929</v>
      </c>
      <c r="X886" s="533"/>
    </row>
    <row r="887" spans="1:24" ht="0.75" customHeight="1" x14ac:dyDescent="0.2"/>
    <row r="888" spans="1:24" ht="13.5" customHeight="1" x14ac:dyDescent="0.2">
      <c r="A888" s="530" t="s">
        <v>816</v>
      </c>
      <c r="B888" s="530"/>
      <c r="C888" s="531" t="s">
        <v>815</v>
      </c>
      <c r="D888" s="531"/>
      <c r="E888" s="531"/>
      <c r="F888" s="531"/>
      <c r="G888" s="531"/>
      <c r="I888" s="532">
        <v>42716</v>
      </c>
      <c r="J888" s="532"/>
      <c r="K888" s="533">
        <v>14640</v>
      </c>
      <c r="L888" s="533"/>
      <c r="M888" s="533">
        <v>12451</v>
      </c>
      <c r="N888" s="533"/>
      <c r="O888" s="533">
        <v>0</v>
      </c>
      <c r="P888" s="533"/>
      <c r="Q888" s="533">
        <v>0</v>
      </c>
      <c r="R888" s="533"/>
      <c r="S888" s="1">
        <v>10</v>
      </c>
      <c r="T888" s="2" t="s">
        <v>289</v>
      </c>
      <c r="U888" s="533">
        <v>522</v>
      </c>
      <c r="V888" s="533"/>
      <c r="W888" s="533">
        <v>11929</v>
      </c>
      <c r="X888" s="533"/>
    </row>
    <row r="889" spans="1:24" ht="0.75" customHeight="1" x14ac:dyDescent="0.2"/>
    <row r="890" spans="1:24" ht="13.5" customHeight="1" x14ac:dyDescent="0.2">
      <c r="A890" s="530" t="s">
        <v>817</v>
      </c>
      <c r="B890" s="530"/>
      <c r="C890" s="531" t="s">
        <v>818</v>
      </c>
      <c r="D890" s="531"/>
      <c r="E890" s="531"/>
      <c r="F890" s="531"/>
      <c r="G890" s="531"/>
      <c r="I890" s="532">
        <v>42775</v>
      </c>
      <c r="J890" s="532"/>
      <c r="K890" s="533">
        <v>23446.77</v>
      </c>
      <c r="L890" s="533"/>
      <c r="M890" s="533">
        <v>17297.77</v>
      </c>
      <c r="N890" s="533"/>
      <c r="O890" s="533">
        <v>0</v>
      </c>
      <c r="P890" s="533"/>
      <c r="Q890" s="533">
        <v>0</v>
      </c>
      <c r="R890" s="533"/>
      <c r="S890" s="1">
        <v>20</v>
      </c>
      <c r="T890" s="2" t="s">
        <v>289</v>
      </c>
      <c r="U890" s="533">
        <v>1450</v>
      </c>
      <c r="V890" s="533"/>
      <c r="W890" s="533">
        <v>15847.77</v>
      </c>
      <c r="X890" s="533"/>
    </row>
    <row r="891" spans="1:24" ht="0.75" customHeight="1" x14ac:dyDescent="0.2"/>
    <row r="892" spans="1:24" ht="13.5" customHeight="1" x14ac:dyDescent="0.2">
      <c r="A892" s="530" t="s">
        <v>819</v>
      </c>
      <c r="B892" s="530"/>
      <c r="C892" s="531" t="s">
        <v>820</v>
      </c>
      <c r="D892" s="531"/>
      <c r="E892" s="531"/>
      <c r="F892" s="531"/>
      <c r="G892" s="531"/>
      <c r="I892" s="532">
        <v>42781</v>
      </c>
      <c r="J892" s="532"/>
      <c r="K892" s="533">
        <v>2440</v>
      </c>
      <c r="L892" s="533"/>
      <c r="M892" s="533">
        <v>2114</v>
      </c>
      <c r="N892" s="533"/>
      <c r="O892" s="533">
        <v>0</v>
      </c>
      <c r="P892" s="533"/>
      <c r="Q892" s="533">
        <v>0</v>
      </c>
      <c r="R892" s="533"/>
      <c r="S892" s="1">
        <v>10</v>
      </c>
      <c r="T892" s="2" t="s">
        <v>289</v>
      </c>
      <c r="U892" s="533">
        <v>89</v>
      </c>
      <c r="V892" s="533"/>
      <c r="W892" s="533">
        <v>2025</v>
      </c>
      <c r="X892" s="533"/>
    </row>
    <row r="893" spans="1:24" ht="0.75" customHeight="1" x14ac:dyDescent="0.2"/>
    <row r="894" spans="1:24" ht="13.5" customHeight="1" x14ac:dyDescent="0.2">
      <c r="A894" s="530" t="s">
        <v>821</v>
      </c>
      <c r="B894" s="530"/>
      <c r="C894" s="531" t="s">
        <v>822</v>
      </c>
      <c r="D894" s="531"/>
      <c r="E894" s="531"/>
      <c r="F894" s="531"/>
      <c r="G894" s="531"/>
      <c r="I894" s="532">
        <v>42796</v>
      </c>
      <c r="J894" s="532"/>
      <c r="K894" s="533">
        <v>8960</v>
      </c>
      <c r="L894" s="533"/>
      <c r="M894" s="533">
        <v>7797</v>
      </c>
      <c r="N894" s="533"/>
      <c r="O894" s="533">
        <v>0</v>
      </c>
      <c r="P894" s="533"/>
      <c r="Q894" s="533">
        <v>0</v>
      </c>
      <c r="R894" s="533"/>
      <c r="S894" s="1">
        <v>10</v>
      </c>
      <c r="T894" s="2" t="s">
        <v>289</v>
      </c>
      <c r="U894" s="533">
        <v>327</v>
      </c>
      <c r="V894" s="533"/>
      <c r="W894" s="533">
        <v>7470</v>
      </c>
      <c r="X894" s="533"/>
    </row>
    <row r="895" spans="1:24" ht="0.75" customHeight="1" x14ac:dyDescent="0.2"/>
    <row r="896" spans="1:24" ht="13.5" customHeight="1" x14ac:dyDescent="0.2">
      <c r="A896" s="530" t="s">
        <v>823</v>
      </c>
      <c r="B896" s="530"/>
      <c r="C896" s="531" t="s">
        <v>824</v>
      </c>
      <c r="D896" s="531"/>
      <c r="E896" s="531"/>
      <c r="F896" s="531"/>
      <c r="G896" s="531"/>
      <c r="I896" s="532">
        <v>42866</v>
      </c>
      <c r="J896" s="532"/>
      <c r="K896" s="533">
        <v>4585.37</v>
      </c>
      <c r="L896" s="533"/>
      <c r="M896" s="533">
        <v>3566.37</v>
      </c>
      <c r="N896" s="533"/>
      <c r="O896" s="533">
        <v>0</v>
      </c>
      <c r="P896" s="533"/>
      <c r="Q896" s="533">
        <v>0</v>
      </c>
      <c r="R896" s="533"/>
      <c r="S896" s="1">
        <v>20</v>
      </c>
      <c r="T896" s="2" t="s">
        <v>289</v>
      </c>
      <c r="U896" s="533">
        <v>299</v>
      </c>
      <c r="V896" s="533"/>
      <c r="W896" s="533">
        <v>3267.37</v>
      </c>
      <c r="X896" s="533"/>
    </row>
    <row r="897" spans="1:24" ht="0.75" customHeight="1" x14ac:dyDescent="0.2"/>
    <row r="898" spans="1:24" ht="13.5" customHeight="1" x14ac:dyDescent="0.2">
      <c r="A898" s="530" t="s">
        <v>825</v>
      </c>
      <c r="B898" s="530"/>
      <c r="C898" s="525" t="s">
        <v>826</v>
      </c>
      <c r="D898" s="525"/>
      <c r="E898" s="525"/>
      <c r="F898" s="525"/>
      <c r="G898" s="525"/>
      <c r="I898" s="532">
        <v>42553</v>
      </c>
      <c r="J898" s="532"/>
      <c r="K898" s="533">
        <v>3135</v>
      </c>
      <c r="L898" s="533"/>
      <c r="M898" s="533">
        <v>2008</v>
      </c>
      <c r="N898" s="533"/>
      <c r="O898" s="533">
        <v>0</v>
      </c>
      <c r="P898" s="533"/>
      <c r="Q898" s="533">
        <v>0</v>
      </c>
      <c r="R898" s="533"/>
      <c r="S898" s="1">
        <v>20</v>
      </c>
      <c r="T898" s="2" t="s">
        <v>289</v>
      </c>
      <c r="U898" s="533">
        <v>168</v>
      </c>
      <c r="V898" s="533"/>
      <c r="W898" s="533">
        <v>1840</v>
      </c>
      <c r="X898" s="533"/>
    </row>
    <row r="899" spans="1:24" ht="12" customHeight="1" x14ac:dyDescent="0.2">
      <c r="C899" s="525"/>
      <c r="D899" s="525"/>
      <c r="E899" s="525"/>
      <c r="F899" s="525"/>
      <c r="G899" s="525"/>
    </row>
    <row r="900" spans="1:24" ht="13.5" customHeight="1" x14ac:dyDescent="0.2">
      <c r="A900" s="530" t="s">
        <v>827</v>
      </c>
      <c r="B900" s="530"/>
      <c r="C900" s="531" t="s">
        <v>828</v>
      </c>
      <c r="D900" s="531"/>
      <c r="E900" s="531"/>
      <c r="F900" s="531"/>
      <c r="G900" s="531"/>
      <c r="I900" s="532">
        <v>42773</v>
      </c>
      <c r="J900" s="532"/>
      <c r="K900" s="533">
        <v>1365</v>
      </c>
      <c r="L900" s="533"/>
      <c r="M900" s="533">
        <v>1121</v>
      </c>
      <c r="N900" s="533"/>
      <c r="O900" s="533">
        <v>0</v>
      </c>
      <c r="P900" s="533"/>
      <c r="Q900" s="533">
        <v>0</v>
      </c>
      <c r="R900" s="533"/>
      <c r="S900" s="1">
        <v>13.33</v>
      </c>
      <c r="T900" s="2" t="s">
        <v>289</v>
      </c>
      <c r="U900" s="533">
        <v>63</v>
      </c>
      <c r="V900" s="533"/>
      <c r="W900" s="533">
        <v>1058</v>
      </c>
      <c r="X900" s="533"/>
    </row>
    <row r="901" spans="1:24" ht="0.75" customHeight="1" x14ac:dyDescent="0.2"/>
    <row r="902" spans="1:24" ht="13.5" customHeight="1" x14ac:dyDescent="0.2">
      <c r="A902" s="530" t="s">
        <v>829</v>
      </c>
      <c r="B902" s="530"/>
      <c r="C902" s="531" t="s">
        <v>830</v>
      </c>
      <c r="D902" s="531"/>
      <c r="E902" s="531"/>
      <c r="F902" s="531"/>
      <c r="G902" s="531"/>
      <c r="I902" s="532">
        <v>42826</v>
      </c>
      <c r="J902" s="532"/>
      <c r="K902" s="533">
        <v>20425.25</v>
      </c>
      <c r="L902" s="533"/>
      <c r="M902" s="533">
        <v>17113.25</v>
      </c>
      <c r="N902" s="533"/>
      <c r="O902" s="533">
        <v>0</v>
      </c>
      <c r="P902" s="533"/>
      <c r="Q902" s="533">
        <v>0</v>
      </c>
      <c r="R902" s="533"/>
      <c r="S902" s="1">
        <v>13.33</v>
      </c>
      <c r="T902" s="2" t="s">
        <v>289</v>
      </c>
      <c r="U902" s="533">
        <v>956</v>
      </c>
      <c r="V902" s="533"/>
      <c r="W902" s="533">
        <v>16157.25</v>
      </c>
      <c r="X902" s="533"/>
    </row>
    <row r="903" spans="1:24" ht="0.75" customHeight="1" x14ac:dyDescent="0.2"/>
    <row r="904" spans="1:24" ht="13.5" customHeight="1" x14ac:dyDescent="0.2">
      <c r="A904" s="530" t="s">
        <v>831</v>
      </c>
      <c r="B904" s="530"/>
      <c r="C904" s="531" t="s">
        <v>830</v>
      </c>
      <c r="D904" s="531"/>
      <c r="E904" s="531"/>
      <c r="F904" s="531"/>
      <c r="G904" s="531"/>
      <c r="I904" s="532">
        <v>42826</v>
      </c>
      <c r="J904" s="532"/>
      <c r="K904" s="533">
        <v>20425.25</v>
      </c>
      <c r="L904" s="533"/>
      <c r="M904" s="533">
        <v>17113.25</v>
      </c>
      <c r="N904" s="533"/>
      <c r="O904" s="533">
        <v>0</v>
      </c>
      <c r="P904" s="533"/>
      <c r="Q904" s="533">
        <v>0</v>
      </c>
      <c r="R904" s="533"/>
      <c r="S904" s="1">
        <v>13.33</v>
      </c>
      <c r="T904" s="2" t="s">
        <v>289</v>
      </c>
      <c r="U904" s="533">
        <v>956</v>
      </c>
      <c r="V904" s="533"/>
      <c r="W904" s="533">
        <v>16157.25</v>
      </c>
      <c r="X904" s="533"/>
    </row>
    <row r="905" spans="1:24" ht="0.75" customHeight="1" x14ac:dyDescent="0.2"/>
    <row r="906" spans="1:24" ht="13.5" customHeight="1" x14ac:dyDescent="0.2">
      <c r="A906" s="530" t="s">
        <v>832</v>
      </c>
      <c r="B906" s="530"/>
      <c r="C906" s="531" t="s">
        <v>833</v>
      </c>
      <c r="D906" s="531"/>
      <c r="E906" s="531"/>
      <c r="F906" s="531"/>
      <c r="G906" s="531"/>
      <c r="I906" s="532">
        <v>42826</v>
      </c>
      <c r="J906" s="532"/>
      <c r="K906" s="533">
        <v>20425.25</v>
      </c>
      <c r="L906" s="533"/>
      <c r="M906" s="533">
        <v>17113.25</v>
      </c>
      <c r="N906" s="533"/>
      <c r="O906" s="533">
        <v>0</v>
      </c>
      <c r="P906" s="533"/>
      <c r="Q906" s="533">
        <v>0</v>
      </c>
      <c r="R906" s="533"/>
      <c r="S906" s="1">
        <v>13.33</v>
      </c>
      <c r="T906" s="2" t="s">
        <v>289</v>
      </c>
      <c r="U906" s="533">
        <v>956</v>
      </c>
      <c r="V906" s="533"/>
      <c r="W906" s="533">
        <v>16157.25</v>
      </c>
      <c r="X906" s="533"/>
    </row>
    <row r="907" spans="1:24" ht="0.75" customHeight="1" x14ac:dyDescent="0.2"/>
    <row r="908" spans="1:24" ht="13.5" customHeight="1" x14ac:dyDescent="0.2">
      <c r="A908" s="530" t="s">
        <v>834</v>
      </c>
      <c r="B908" s="530"/>
      <c r="C908" s="531" t="s">
        <v>833</v>
      </c>
      <c r="D908" s="531"/>
      <c r="E908" s="531"/>
      <c r="F908" s="531"/>
      <c r="G908" s="531"/>
      <c r="I908" s="532">
        <v>42826</v>
      </c>
      <c r="J908" s="532"/>
      <c r="K908" s="533">
        <v>20425.25</v>
      </c>
      <c r="L908" s="533"/>
      <c r="M908" s="533">
        <v>17113.25</v>
      </c>
      <c r="N908" s="533"/>
      <c r="O908" s="533">
        <v>0</v>
      </c>
      <c r="P908" s="533"/>
      <c r="Q908" s="533">
        <v>0</v>
      </c>
      <c r="R908" s="533"/>
      <c r="S908" s="1">
        <v>13.33</v>
      </c>
      <c r="T908" s="2" t="s">
        <v>289</v>
      </c>
      <c r="U908" s="533">
        <v>956</v>
      </c>
      <c r="V908" s="533"/>
      <c r="W908" s="533">
        <v>16157.25</v>
      </c>
      <c r="X908" s="533"/>
    </row>
    <row r="909" spans="1:24" ht="0.75" customHeight="1" x14ac:dyDescent="0.2"/>
    <row r="910" spans="1:24" ht="13.5" customHeight="1" x14ac:dyDescent="0.2">
      <c r="A910" s="530" t="s">
        <v>835</v>
      </c>
      <c r="B910" s="530"/>
      <c r="C910" s="531" t="s">
        <v>836</v>
      </c>
      <c r="D910" s="531"/>
      <c r="E910" s="531"/>
      <c r="F910" s="531"/>
      <c r="G910" s="531"/>
      <c r="I910" s="532">
        <v>42837</v>
      </c>
      <c r="J910" s="532"/>
      <c r="K910" s="533">
        <v>6600</v>
      </c>
      <c r="L910" s="533"/>
      <c r="M910" s="533">
        <v>5553</v>
      </c>
      <c r="N910" s="533"/>
      <c r="O910" s="533">
        <v>0</v>
      </c>
      <c r="P910" s="533"/>
      <c r="Q910" s="533">
        <v>0</v>
      </c>
      <c r="R910" s="533"/>
      <c r="S910" s="1">
        <v>13.33</v>
      </c>
      <c r="T910" s="2" t="s">
        <v>289</v>
      </c>
      <c r="U910" s="533">
        <v>310</v>
      </c>
      <c r="V910" s="533"/>
      <c r="W910" s="533">
        <v>5243</v>
      </c>
      <c r="X910" s="533"/>
    </row>
    <row r="911" spans="1:24" ht="15" customHeight="1" x14ac:dyDescent="0.2">
      <c r="A911" s="534" t="s">
        <v>285</v>
      </c>
      <c r="B911" s="534"/>
      <c r="D911" s="534" t="s">
        <v>286</v>
      </c>
      <c r="E911" s="534"/>
      <c r="F911" s="534"/>
      <c r="G911" s="534"/>
      <c r="H911" s="534"/>
      <c r="I911" s="534"/>
      <c r="J911" s="534"/>
      <c r="K911" s="534"/>
      <c r="L911" s="534"/>
      <c r="M911" s="534"/>
      <c r="N911" s="534"/>
      <c r="O911" s="534"/>
      <c r="P911" s="534"/>
      <c r="Q911" s="534"/>
      <c r="R911" s="534"/>
      <c r="S911" s="534"/>
      <c r="T911" s="534"/>
      <c r="U911" s="534"/>
      <c r="V911" s="534"/>
    </row>
    <row r="912" spans="1:24" ht="0.75" customHeight="1" x14ac:dyDescent="0.2"/>
    <row r="913" spans="1:24" ht="13.5" customHeight="1" x14ac:dyDescent="0.2">
      <c r="A913" s="530" t="s">
        <v>837</v>
      </c>
      <c r="B913" s="530"/>
      <c r="C913" s="531" t="s">
        <v>838</v>
      </c>
      <c r="D913" s="531"/>
      <c r="E913" s="531"/>
      <c r="F913" s="531"/>
      <c r="G913" s="531"/>
      <c r="I913" s="532">
        <v>42846</v>
      </c>
      <c r="J913" s="532"/>
      <c r="K913" s="533">
        <v>14900</v>
      </c>
      <c r="L913" s="533"/>
      <c r="M913" s="533">
        <v>12579</v>
      </c>
      <c r="N913" s="533"/>
      <c r="O913" s="533">
        <v>0</v>
      </c>
      <c r="P913" s="533"/>
      <c r="Q913" s="533">
        <v>0</v>
      </c>
      <c r="R913" s="533"/>
      <c r="S913" s="1">
        <v>13.33</v>
      </c>
      <c r="T913" s="2" t="s">
        <v>289</v>
      </c>
      <c r="U913" s="533">
        <v>703</v>
      </c>
      <c r="V913" s="533"/>
      <c r="W913" s="533">
        <v>11876</v>
      </c>
      <c r="X913" s="533"/>
    </row>
    <row r="914" spans="1:24" ht="0.75" customHeight="1" x14ac:dyDescent="0.2"/>
    <row r="915" spans="1:24" ht="13.5" customHeight="1" x14ac:dyDescent="0.2">
      <c r="A915" s="530" t="s">
        <v>839</v>
      </c>
      <c r="B915" s="530"/>
      <c r="C915" s="531" t="s">
        <v>840</v>
      </c>
      <c r="D915" s="531"/>
      <c r="E915" s="531"/>
      <c r="F915" s="531"/>
      <c r="G915" s="531"/>
      <c r="I915" s="532">
        <v>42559</v>
      </c>
      <c r="J915" s="532"/>
      <c r="K915" s="533">
        <v>14332.02</v>
      </c>
      <c r="L915" s="533"/>
      <c r="M915" s="533">
        <v>10797.02</v>
      </c>
      <c r="N915" s="533"/>
      <c r="O915" s="533">
        <v>0</v>
      </c>
      <c r="P915" s="533"/>
      <c r="Q915" s="533">
        <v>0</v>
      </c>
      <c r="R915" s="533"/>
      <c r="S915" s="1">
        <v>13.33</v>
      </c>
      <c r="T915" s="2" t="s">
        <v>289</v>
      </c>
      <c r="U915" s="533">
        <v>603</v>
      </c>
      <c r="V915" s="533"/>
      <c r="W915" s="533">
        <v>10194.02</v>
      </c>
      <c r="X915" s="533"/>
    </row>
    <row r="916" spans="1:24" ht="0.75" customHeight="1" x14ac:dyDescent="0.2"/>
    <row r="917" spans="1:24" ht="13.5" customHeight="1" x14ac:dyDescent="0.2">
      <c r="A917" s="530" t="s">
        <v>841</v>
      </c>
      <c r="B917" s="530"/>
      <c r="C917" s="531" t="s">
        <v>842</v>
      </c>
      <c r="D917" s="531"/>
      <c r="E917" s="531"/>
      <c r="F917" s="531"/>
      <c r="G917" s="531"/>
      <c r="I917" s="532">
        <v>42559</v>
      </c>
      <c r="J917" s="532"/>
      <c r="K917" s="533">
        <v>14332.02</v>
      </c>
      <c r="L917" s="533"/>
      <c r="M917" s="533">
        <v>10797.02</v>
      </c>
      <c r="N917" s="533"/>
      <c r="O917" s="533">
        <v>0</v>
      </c>
      <c r="P917" s="533"/>
      <c r="Q917" s="533">
        <v>0</v>
      </c>
      <c r="R917" s="533"/>
      <c r="S917" s="1">
        <v>13.33</v>
      </c>
      <c r="T917" s="2" t="s">
        <v>289</v>
      </c>
      <c r="U917" s="533">
        <v>603</v>
      </c>
      <c r="V917" s="533"/>
      <c r="W917" s="533">
        <v>10194.02</v>
      </c>
      <c r="X917" s="533"/>
    </row>
    <row r="918" spans="1:24" ht="0.75" customHeight="1" x14ac:dyDescent="0.2"/>
    <row r="919" spans="1:24" ht="13.5" customHeight="1" x14ac:dyDescent="0.2">
      <c r="A919" s="530" t="s">
        <v>843</v>
      </c>
      <c r="B919" s="530"/>
      <c r="C919" s="531" t="s">
        <v>842</v>
      </c>
      <c r="D919" s="531"/>
      <c r="E919" s="531"/>
      <c r="F919" s="531"/>
      <c r="G919" s="531"/>
      <c r="I919" s="532">
        <v>42559</v>
      </c>
      <c r="J919" s="532"/>
      <c r="K919" s="533">
        <v>14332.03</v>
      </c>
      <c r="L919" s="533"/>
      <c r="M919" s="533">
        <v>10797.03</v>
      </c>
      <c r="N919" s="533"/>
      <c r="O919" s="533">
        <v>0</v>
      </c>
      <c r="P919" s="533"/>
      <c r="Q919" s="533">
        <v>0</v>
      </c>
      <c r="R919" s="533"/>
      <c r="S919" s="1">
        <v>13.33</v>
      </c>
      <c r="T919" s="2" t="s">
        <v>289</v>
      </c>
      <c r="U919" s="533">
        <v>603</v>
      </c>
      <c r="V919" s="533"/>
      <c r="W919" s="533">
        <v>10194.030000000001</v>
      </c>
      <c r="X919" s="533"/>
    </row>
    <row r="920" spans="1:24" ht="0.75" customHeight="1" x14ac:dyDescent="0.2"/>
    <row r="921" spans="1:24" ht="13.5" customHeight="1" x14ac:dyDescent="0.2">
      <c r="A921" s="530" t="s">
        <v>844</v>
      </c>
      <c r="B921" s="530"/>
      <c r="C921" s="531" t="s">
        <v>845</v>
      </c>
      <c r="D921" s="531"/>
      <c r="E921" s="531"/>
      <c r="F921" s="531"/>
      <c r="G921" s="531"/>
      <c r="I921" s="532">
        <v>42559</v>
      </c>
      <c r="J921" s="532"/>
      <c r="K921" s="533">
        <v>10781.01</v>
      </c>
      <c r="L921" s="533"/>
      <c r="M921" s="533">
        <v>8122.01</v>
      </c>
      <c r="N921" s="533"/>
      <c r="O921" s="533">
        <v>0</v>
      </c>
      <c r="P921" s="533"/>
      <c r="Q921" s="533">
        <v>0</v>
      </c>
      <c r="R921" s="533"/>
      <c r="S921" s="1">
        <v>13.33</v>
      </c>
      <c r="T921" s="2" t="s">
        <v>289</v>
      </c>
      <c r="U921" s="533">
        <v>454</v>
      </c>
      <c r="V921" s="533"/>
      <c r="W921" s="533">
        <v>7668.01</v>
      </c>
      <c r="X921" s="533"/>
    </row>
    <row r="922" spans="1:24" ht="0.75" customHeight="1" x14ac:dyDescent="0.2"/>
    <row r="923" spans="1:24" ht="13.5" customHeight="1" x14ac:dyDescent="0.2">
      <c r="A923" s="530" t="s">
        <v>846</v>
      </c>
      <c r="B923" s="530"/>
      <c r="C923" s="531" t="s">
        <v>845</v>
      </c>
      <c r="D923" s="531"/>
      <c r="E923" s="531"/>
      <c r="F923" s="531"/>
      <c r="G923" s="531"/>
      <c r="I923" s="532">
        <v>42559</v>
      </c>
      <c r="J923" s="532"/>
      <c r="K923" s="533">
        <v>10781.01</v>
      </c>
      <c r="L923" s="533"/>
      <c r="M923" s="533">
        <v>8122.01</v>
      </c>
      <c r="N923" s="533"/>
      <c r="O923" s="533">
        <v>0</v>
      </c>
      <c r="P923" s="533"/>
      <c r="Q923" s="533">
        <v>0</v>
      </c>
      <c r="R923" s="533"/>
      <c r="S923" s="1">
        <v>13.33</v>
      </c>
      <c r="T923" s="2" t="s">
        <v>289</v>
      </c>
      <c r="U923" s="533">
        <v>454</v>
      </c>
      <c r="V923" s="533"/>
      <c r="W923" s="533">
        <v>7668.01</v>
      </c>
      <c r="X923" s="533"/>
    </row>
    <row r="924" spans="1:24" ht="0.75" customHeight="1" x14ac:dyDescent="0.2"/>
    <row r="925" spans="1:24" ht="13.5" customHeight="1" x14ac:dyDescent="0.2">
      <c r="A925" s="530" t="s">
        <v>847</v>
      </c>
      <c r="B925" s="530"/>
      <c r="C925" s="531" t="s">
        <v>845</v>
      </c>
      <c r="D925" s="531"/>
      <c r="E925" s="531"/>
      <c r="F925" s="531"/>
      <c r="G925" s="531"/>
      <c r="I925" s="532">
        <v>42559</v>
      </c>
      <c r="J925" s="532"/>
      <c r="K925" s="533">
        <v>10781.01</v>
      </c>
      <c r="L925" s="533"/>
      <c r="M925" s="533">
        <v>8122.01</v>
      </c>
      <c r="N925" s="533"/>
      <c r="O925" s="533">
        <v>0</v>
      </c>
      <c r="P925" s="533"/>
      <c r="Q925" s="533">
        <v>0</v>
      </c>
      <c r="R925" s="533"/>
      <c r="S925" s="1">
        <v>13.33</v>
      </c>
      <c r="T925" s="2" t="s">
        <v>289</v>
      </c>
      <c r="U925" s="533">
        <v>454</v>
      </c>
      <c r="V925" s="533"/>
      <c r="W925" s="533">
        <v>7668.01</v>
      </c>
      <c r="X925" s="533"/>
    </row>
    <row r="926" spans="1:24" ht="0.75" customHeight="1" x14ac:dyDescent="0.2"/>
    <row r="927" spans="1:24" ht="13.5" customHeight="1" x14ac:dyDescent="0.2">
      <c r="A927" s="530" t="s">
        <v>848</v>
      </c>
      <c r="B927" s="530"/>
      <c r="C927" s="531" t="s">
        <v>845</v>
      </c>
      <c r="D927" s="531"/>
      <c r="E927" s="531"/>
      <c r="F927" s="531"/>
      <c r="G927" s="531"/>
      <c r="I927" s="532">
        <v>42559</v>
      </c>
      <c r="J927" s="532"/>
      <c r="K927" s="533">
        <v>10781.01</v>
      </c>
      <c r="L927" s="533"/>
      <c r="M927" s="533">
        <v>8122.01</v>
      </c>
      <c r="N927" s="533"/>
      <c r="O927" s="533">
        <v>0</v>
      </c>
      <c r="P927" s="533"/>
      <c r="Q927" s="533">
        <v>0</v>
      </c>
      <c r="R927" s="533"/>
      <c r="S927" s="1">
        <v>13.33</v>
      </c>
      <c r="T927" s="2" t="s">
        <v>289</v>
      </c>
      <c r="U927" s="533">
        <v>454</v>
      </c>
      <c r="V927" s="533"/>
      <c r="W927" s="533">
        <v>7668.01</v>
      </c>
      <c r="X927" s="533"/>
    </row>
    <row r="928" spans="1:24" ht="0.75" customHeight="1" x14ac:dyDescent="0.2"/>
    <row r="929" spans="1:24" ht="13.5" customHeight="1" x14ac:dyDescent="0.2">
      <c r="A929" s="530" t="s">
        <v>849</v>
      </c>
      <c r="B929" s="530"/>
      <c r="C929" s="531" t="s">
        <v>845</v>
      </c>
      <c r="D929" s="531"/>
      <c r="E929" s="531"/>
      <c r="F929" s="531"/>
      <c r="G929" s="531"/>
      <c r="I929" s="532">
        <v>42559</v>
      </c>
      <c r="J929" s="532"/>
      <c r="K929" s="533">
        <v>10781.01</v>
      </c>
      <c r="L929" s="533"/>
      <c r="M929" s="533">
        <v>8122.01</v>
      </c>
      <c r="N929" s="533"/>
      <c r="O929" s="533">
        <v>0</v>
      </c>
      <c r="P929" s="533"/>
      <c r="Q929" s="533">
        <v>0</v>
      </c>
      <c r="R929" s="533"/>
      <c r="S929" s="1">
        <v>13.33</v>
      </c>
      <c r="T929" s="2" t="s">
        <v>289</v>
      </c>
      <c r="U929" s="533">
        <v>454</v>
      </c>
      <c r="V929" s="533"/>
      <c r="W929" s="533">
        <v>7668.01</v>
      </c>
      <c r="X929" s="533"/>
    </row>
    <row r="930" spans="1:24" ht="0.75" customHeight="1" x14ac:dyDescent="0.2"/>
    <row r="931" spans="1:24" ht="13.5" customHeight="1" x14ac:dyDescent="0.2">
      <c r="A931" s="530" t="s">
        <v>850</v>
      </c>
      <c r="B931" s="530"/>
      <c r="C931" s="531" t="s">
        <v>845</v>
      </c>
      <c r="D931" s="531"/>
      <c r="E931" s="531"/>
      <c r="F931" s="531"/>
      <c r="G931" s="531"/>
      <c r="I931" s="532">
        <v>42559</v>
      </c>
      <c r="J931" s="532"/>
      <c r="K931" s="533">
        <v>10781.01</v>
      </c>
      <c r="L931" s="533"/>
      <c r="M931" s="533">
        <v>8122.01</v>
      </c>
      <c r="N931" s="533"/>
      <c r="O931" s="533">
        <v>0</v>
      </c>
      <c r="P931" s="533"/>
      <c r="Q931" s="533">
        <v>0</v>
      </c>
      <c r="R931" s="533"/>
      <c r="S931" s="1">
        <v>13.33</v>
      </c>
      <c r="T931" s="2" t="s">
        <v>289</v>
      </c>
      <c r="U931" s="533">
        <v>454</v>
      </c>
      <c r="V931" s="533"/>
      <c r="W931" s="533">
        <v>7668.01</v>
      </c>
      <c r="X931" s="533"/>
    </row>
    <row r="932" spans="1:24" ht="0.75" customHeight="1" x14ac:dyDescent="0.2"/>
    <row r="933" spans="1:24" ht="13.5" customHeight="1" x14ac:dyDescent="0.2">
      <c r="A933" s="530" t="s">
        <v>851</v>
      </c>
      <c r="B933" s="530"/>
      <c r="C933" s="531" t="s">
        <v>845</v>
      </c>
      <c r="D933" s="531"/>
      <c r="E933" s="531"/>
      <c r="F933" s="531"/>
      <c r="G933" s="531"/>
      <c r="I933" s="532">
        <v>42559</v>
      </c>
      <c r="J933" s="532"/>
      <c r="K933" s="533">
        <v>10781.01</v>
      </c>
      <c r="L933" s="533"/>
      <c r="M933" s="533">
        <v>8122.01</v>
      </c>
      <c r="N933" s="533"/>
      <c r="O933" s="533">
        <v>0</v>
      </c>
      <c r="P933" s="533"/>
      <c r="Q933" s="533">
        <v>0</v>
      </c>
      <c r="R933" s="533"/>
      <c r="S933" s="1">
        <v>13.33</v>
      </c>
      <c r="T933" s="2" t="s">
        <v>289</v>
      </c>
      <c r="U933" s="533">
        <v>454</v>
      </c>
      <c r="V933" s="533"/>
      <c r="W933" s="533">
        <v>7668.01</v>
      </c>
      <c r="X933" s="533"/>
    </row>
    <row r="934" spans="1:24" ht="0.75" customHeight="1" x14ac:dyDescent="0.2"/>
    <row r="935" spans="1:24" ht="13.5" customHeight="1" x14ac:dyDescent="0.2">
      <c r="A935" s="530" t="s">
        <v>852</v>
      </c>
      <c r="B935" s="530"/>
      <c r="C935" s="531" t="s">
        <v>845</v>
      </c>
      <c r="D935" s="531"/>
      <c r="E935" s="531"/>
      <c r="F935" s="531"/>
      <c r="G935" s="531"/>
      <c r="I935" s="532">
        <v>42559</v>
      </c>
      <c r="J935" s="532"/>
      <c r="K935" s="533">
        <v>10781.01</v>
      </c>
      <c r="L935" s="533"/>
      <c r="M935" s="533">
        <v>8122.01</v>
      </c>
      <c r="N935" s="533"/>
      <c r="O935" s="533">
        <v>0</v>
      </c>
      <c r="P935" s="533"/>
      <c r="Q935" s="533">
        <v>0</v>
      </c>
      <c r="R935" s="533"/>
      <c r="S935" s="1">
        <v>13.33</v>
      </c>
      <c r="T935" s="2" t="s">
        <v>289</v>
      </c>
      <c r="U935" s="533">
        <v>454</v>
      </c>
      <c r="V935" s="533"/>
      <c r="W935" s="533">
        <v>7668.01</v>
      </c>
      <c r="X935" s="533"/>
    </row>
    <row r="936" spans="1:24" ht="0.75" customHeight="1" x14ac:dyDescent="0.2"/>
    <row r="937" spans="1:24" ht="13.5" customHeight="1" x14ac:dyDescent="0.2">
      <c r="A937" s="530" t="s">
        <v>853</v>
      </c>
      <c r="B937" s="530"/>
      <c r="C937" s="531" t="s">
        <v>845</v>
      </c>
      <c r="D937" s="531"/>
      <c r="E937" s="531"/>
      <c r="F937" s="531"/>
      <c r="G937" s="531"/>
      <c r="I937" s="532">
        <v>42559</v>
      </c>
      <c r="J937" s="532"/>
      <c r="K937" s="533">
        <v>10781.01</v>
      </c>
      <c r="L937" s="533"/>
      <c r="M937" s="533">
        <v>8122.01</v>
      </c>
      <c r="N937" s="533"/>
      <c r="O937" s="533">
        <v>0</v>
      </c>
      <c r="P937" s="533"/>
      <c r="Q937" s="533">
        <v>0</v>
      </c>
      <c r="R937" s="533"/>
      <c r="S937" s="1">
        <v>13.33</v>
      </c>
      <c r="T937" s="2" t="s">
        <v>289</v>
      </c>
      <c r="U937" s="533">
        <v>454</v>
      </c>
      <c r="V937" s="533"/>
      <c r="W937" s="533">
        <v>7668.01</v>
      </c>
      <c r="X937" s="533"/>
    </row>
    <row r="938" spans="1:24" ht="0.75" customHeight="1" x14ac:dyDescent="0.2"/>
    <row r="939" spans="1:24" ht="13.5" customHeight="1" x14ac:dyDescent="0.2">
      <c r="A939" s="530" t="s">
        <v>854</v>
      </c>
      <c r="B939" s="530"/>
      <c r="C939" s="531" t="s">
        <v>845</v>
      </c>
      <c r="D939" s="531"/>
      <c r="E939" s="531"/>
      <c r="F939" s="531"/>
      <c r="G939" s="531"/>
      <c r="I939" s="532">
        <v>42559</v>
      </c>
      <c r="J939" s="532"/>
      <c r="K939" s="533">
        <v>10781.01</v>
      </c>
      <c r="L939" s="533"/>
      <c r="M939" s="533">
        <v>8122.01</v>
      </c>
      <c r="N939" s="533"/>
      <c r="O939" s="533">
        <v>0</v>
      </c>
      <c r="P939" s="533"/>
      <c r="Q939" s="533">
        <v>0</v>
      </c>
      <c r="R939" s="533"/>
      <c r="S939" s="1">
        <v>13.33</v>
      </c>
      <c r="T939" s="2" t="s">
        <v>289</v>
      </c>
      <c r="U939" s="533">
        <v>454</v>
      </c>
      <c r="V939" s="533"/>
      <c r="W939" s="533">
        <v>7668.01</v>
      </c>
      <c r="X939" s="533"/>
    </row>
    <row r="940" spans="1:24" ht="0.75" customHeight="1" x14ac:dyDescent="0.2"/>
    <row r="941" spans="1:24" ht="13.5" customHeight="1" x14ac:dyDescent="0.2">
      <c r="A941" s="530" t="s">
        <v>855</v>
      </c>
      <c r="B941" s="530"/>
      <c r="C941" s="531" t="s">
        <v>845</v>
      </c>
      <c r="D941" s="531"/>
      <c r="E941" s="531"/>
      <c r="F941" s="531"/>
      <c r="G941" s="531"/>
      <c r="I941" s="532">
        <v>42559</v>
      </c>
      <c r="J941" s="532"/>
      <c r="K941" s="533">
        <v>10781.01</v>
      </c>
      <c r="L941" s="533"/>
      <c r="M941" s="533">
        <v>8122.01</v>
      </c>
      <c r="N941" s="533"/>
      <c r="O941" s="533">
        <v>0</v>
      </c>
      <c r="P941" s="533"/>
      <c r="Q941" s="533">
        <v>0</v>
      </c>
      <c r="R941" s="533"/>
      <c r="S941" s="1">
        <v>13.33</v>
      </c>
      <c r="T941" s="2" t="s">
        <v>289</v>
      </c>
      <c r="U941" s="533">
        <v>454</v>
      </c>
      <c r="V941" s="533"/>
      <c r="W941" s="533">
        <v>7668.01</v>
      </c>
      <c r="X941" s="533"/>
    </row>
    <row r="942" spans="1:24" ht="0.75" customHeight="1" x14ac:dyDescent="0.2"/>
    <row r="943" spans="1:24" ht="13.5" customHeight="1" x14ac:dyDescent="0.2">
      <c r="A943" s="530" t="s">
        <v>856</v>
      </c>
      <c r="B943" s="530"/>
      <c r="C943" s="531" t="s">
        <v>845</v>
      </c>
      <c r="D943" s="531"/>
      <c r="E943" s="531"/>
      <c r="F943" s="531"/>
      <c r="G943" s="531"/>
      <c r="I943" s="532">
        <v>42559</v>
      </c>
      <c r="J943" s="532"/>
      <c r="K943" s="533">
        <v>10781.04</v>
      </c>
      <c r="L943" s="533"/>
      <c r="M943" s="533">
        <v>8122.04</v>
      </c>
      <c r="N943" s="533"/>
      <c r="O943" s="533">
        <v>0</v>
      </c>
      <c r="P943" s="533"/>
      <c r="Q943" s="533">
        <v>0</v>
      </c>
      <c r="R943" s="533"/>
      <c r="S943" s="1">
        <v>13.33</v>
      </c>
      <c r="T943" s="2" t="s">
        <v>289</v>
      </c>
      <c r="U943" s="533">
        <v>454</v>
      </c>
      <c r="V943" s="533"/>
      <c r="W943" s="533">
        <v>7668.04</v>
      </c>
      <c r="X943" s="533"/>
    </row>
    <row r="944" spans="1:24" ht="0.75" customHeight="1" x14ac:dyDescent="0.2"/>
    <row r="945" spans="1:24" ht="13.5" customHeight="1" x14ac:dyDescent="0.2">
      <c r="A945" s="530" t="s">
        <v>857</v>
      </c>
      <c r="B945" s="530"/>
      <c r="C945" s="531" t="s">
        <v>858</v>
      </c>
      <c r="D945" s="531"/>
      <c r="E945" s="531"/>
      <c r="F945" s="531"/>
      <c r="G945" s="531"/>
      <c r="I945" s="532">
        <v>42559</v>
      </c>
      <c r="J945" s="532"/>
      <c r="K945" s="533">
        <v>12100.24</v>
      </c>
      <c r="L945" s="533"/>
      <c r="M945" s="533">
        <v>9116.24</v>
      </c>
      <c r="N945" s="533"/>
      <c r="O945" s="533">
        <v>0</v>
      </c>
      <c r="P945" s="533"/>
      <c r="Q945" s="533">
        <v>0</v>
      </c>
      <c r="R945" s="533"/>
      <c r="S945" s="1">
        <v>13.33</v>
      </c>
      <c r="T945" s="2" t="s">
        <v>289</v>
      </c>
      <c r="U945" s="533">
        <v>510</v>
      </c>
      <c r="V945" s="533"/>
      <c r="W945" s="533">
        <v>8606.24</v>
      </c>
      <c r="X945" s="533"/>
    </row>
    <row r="946" spans="1:24" ht="0.75" customHeight="1" x14ac:dyDescent="0.2"/>
    <row r="947" spans="1:24" ht="13.5" customHeight="1" x14ac:dyDescent="0.2">
      <c r="A947" s="530" t="s">
        <v>859</v>
      </c>
      <c r="B947" s="530"/>
      <c r="C947" s="531" t="s">
        <v>860</v>
      </c>
      <c r="D947" s="531"/>
      <c r="E947" s="531"/>
      <c r="F947" s="531"/>
      <c r="G947" s="531"/>
      <c r="I947" s="532">
        <v>42559</v>
      </c>
      <c r="J947" s="532"/>
      <c r="K947" s="533">
        <v>12063.04</v>
      </c>
      <c r="L947" s="533"/>
      <c r="M947" s="533">
        <v>9087.0400000000009</v>
      </c>
      <c r="N947" s="533"/>
      <c r="O947" s="533">
        <v>0</v>
      </c>
      <c r="P947" s="533"/>
      <c r="Q947" s="533">
        <v>0</v>
      </c>
      <c r="R947" s="533"/>
      <c r="S947" s="1">
        <v>13.33</v>
      </c>
      <c r="T947" s="2" t="s">
        <v>289</v>
      </c>
      <c r="U947" s="533">
        <v>508</v>
      </c>
      <c r="V947" s="533"/>
      <c r="W947" s="533">
        <v>8579.0400000000009</v>
      </c>
      <c r="X947" s="533"/>
    </row>
    <row r="948" spans="1:24" ht="0.75" customHeight="1" x14ac:dyDescent="0.2"/>
    <row r="949" spans="1:24" ht="13.5" customHeight="1" x14ac:dyDescent="0.2">
      <c r="A949" s="530" t="s">
        <v>861</v>
      </c>
      <c r="B949" s="530"/>
      <c r="C949" s="531" t="s">
        <v>862</v>
      </c>
      <c r="D949" s="531"/>
      <c r="E949" s="531"/>
      <c r="F949" s="531"/>
      <c r="G949" s="531"/>
      <c r="I949" s="532">
        <v>42559</v>
      </c>
      <c r="J949" s="532"/>
      <c r="K949" s="533">
        <v>9762.02</v>
      </c>
      <c r="L949" s="533"/>
      <c r="M949" s="533">
        <v>7354.02</v>
      </c>
      <c r="N949" s="533"/>
      <c r="O949" s="533">
        <v>0</v>
      </c>
      <c r="P949" s="533"/>
      <c r="Q949" s="533">
        <v>0</v>
      </c>
      <c r="R949" s="533"/>
      <c r="S949" s="1">
        <v>13.33</v>
      </c>
      <c r="T949" s="2" t="s">
        <v>289</v>
      </c>
      <c r="U949" s="533">
        <v>411</v>
      </c>
      <c r="V949" s="533"/>
      <c r="W949" s="533">
        <v>6943.02</v>
      </c>
      <c r="X949" s="533"/>
    </row>
    <row r="950" spans="1:24" ht="0.75" customHeight="1" x14ac:dyDescent="0.2"/>
    <row r="951" spans="1:24" ht="13.5" customHeight="1" x14ac:dyDescent="0.2">
      <c r="A951" s="530" t="s">
        <v>863</v>
      </c>
      <c r="B951" s="530"/>
      <c r="C951" s="531" t="s">
        <v>864</v>
      </c>
      <c r="D951" s="531"/>
      <c r="E951" s="531"/>
      <c r="F951" s="531"/>
      <c r="G951" s="531"/>
      <c r="I951" s="532">
        <v>42559</v>
      </c>
      <c r="J951" s="532"/>
      <c r="K951" s="533">
        <v>14643.04</v>
      </c>
      <c r="L951" s="533"/>
      <c r="M951" s="533">
        <v>11031.04</v>
      </c>
      <c r="N951" s="533"/>
      <c r="O951" s="533">
        <v>0</v>
      </c>
      <c r="P951" s="533"/>
      <c r="Q951" s="533">
        <v>0</v>
      </c>
      <c r="R951" s="533"/>
      <c r="S951" s="1">
        <v>13.33</v>
      </c>
      <c r="T951" s="2" t="s">
        <v>289</v>
      </c>
      <c r="U951" s="533">
        <v>617</v>
      </c>
      <c r="V951" s="533"/>
      <c r="W951" s="533">
        <v>10414.040000000001</v>
      </c>
      <c r="X951" s="533"/>
    </row>
    <row r="952" spans="1:24" ht="0.75" customHeight="1" x14ac:dyDescent="0.2"/>
    <row r="953" spans="1:24" ht="13.5" customHeight="1" x14ac:dyDescent="0.2">
      <c r="A953" s="530" t="s">
        <v>865</v>
      </c>
      <c r="B953" s="530"/>
      <c r="C953" s="531" t="s">
        <v>866</v>
      </c>
      <c r="D953" s="531"/>
      <c r="E953" s="531"/>
      <c r="F953" s="531"/>
      <c r="G953" s="531"/>
      <c r="I953" s="532">
        <v>42559</v>
      </c>
      <c r="J953" s="532"/>
      <c r="K953" s="533">
        <v>15141.01</v>
      </c>
      <c r="L953" s="533"/>
      <c r="M953" s="533">
        <v>13208.01</v>
      </c>
      <c r="N953" s="533"/>
      <c r="O953" s="533">
        <v>0</v>
      </c>
      <c r="P953" s="533"/>
      <c r="Q953" s="533">
        <v>0</v>
      </c>
      <c r="R953" s="533"/>
      <c r="S953" s="1">
        <v>6.67</v>
      </c>
      <c r="T953" s="2" t="s">
        <v>289</v>
      </c>
      <c r="U953" s="533">
        <v>369</v>
      </c>
      <c r="V953" s="533"/>
      <c r="W953" s="533">
        <v>12839.01</v>
      </c>
      <c r="X953" s="533"/>
    </row>
    <row r="954" spans="1:24" ht="0.75" customHeight="1" x14ac:dyDescent="0.2"/>
    <row r="955" spans="1:24" ht="13.5" customHeight="1" x14ac:dyDescent="0.2">
      <c r="A955" s="530" t="s">
        <v>867</v>
      </c>
      <c r="B955" s="530"/>
      <c r="C955" s="531" t="s">
        <v>866</v>
      </c>
      <c r="D955" s="531"/>
      <c r="E955" s="531"/>
      <c r="F955" s="531"/>
      <c r="G955" s="531"/>
      <c r="I955" s="532">
        <v>42559</v>
      </c>
      <c r="J955" s="532"/>
      <c r="K955" s="533">
        <v>15141.01</v>
      </c>
      <c r="L955" s="533"/>
      <c r="M955" s="533">
        <v>9737.01</v>
      </c>
      <c r="N955" s="533"/>
      <c r="O955" s="533">
        <v>0</v>
      </c>
      <c r="P955" s="533"/>
      <c r="Q955" s="533">
        <v>0</v>
      </c>
      <c r="R955" s="533"/>
      <c r="S955" s="1">
        <v>20</v>
      </c>
      <c r="T955" s="2" t="s">
        <v>289</v>
      </c>
      <c r="U955" s="533">
        <v>816</v>
      </c>
      <c r="V955" s="533"/>
      <c r="W955" s="533">
        <v>8921.01</v>
      </c>
      <c r="X955" s="533"/>
    </row>
    <row r="956" spans="1:24" ht="0.75" customHeight="1" x14ac:dyDescent="0.2"/>
    <row r="957" spans="1:24" ht="13.5" customHeight="1" x14ac:dyDescent="0.2">
      <c r="A957" s="530" t="s">
        <v>868</v>
      </c>
      <c r="B957" s="530"/>
      <c r="C957" s="531" t="s">
        <v>866</v>
      </c>
      <c r="D957" s="531"/>
      <c r="E957" s="531"/>
      <c r="F957" s="531"/>
      <c r="G957" s="531"/>
      <c r="I957" s="532">
        <v>42559</v>
      </c>
      <c r="J957" s="532"/>
      <c r="K957" s="533">
        <v>15141.01</v>
      </c>
      <c r="L957" s="533"/>
      <c r="M957" s="533">
        <v>13208.01</v>
      </c>
      <c r="N957" s="533"/>
      <c r="O957" s="533">
        <v>0</v>
      </c>
      <c r="P957" s="533"/>
      <c r="Q957" s="533">
        <v>0</v>
      </c>
      <c r="R957" s="533"/>
      <c r="S957" s="1">
        <v>6.67</v>
      </c>
      <c r="T957" s="2" t="s">
        <v>289</v>
      </c>
      <c r="U957" s="533">
        <v>369</v>
      </c>
      <c r="V957" s="533"/>
      <c r="W957" s="533">
        <v>12839.01</v>
      </c>
      <c r="X957" s="533"/>
    </row>
    <row r="958" spans="1:24" ht="0.75" customHeight="1" x14ac:dyDescent="0.2"/>
    <row r="959" spans="1:24" ht="13.5" customHeight="1" x14ac:dyDescent="0.2">
      <c r="A959" s="530" t="s">
        <v>869</v>
      </c>
      <c r="B959" s="530"/>
      <c r="C959" s="531" t="s">
        <v>866</v>
      </c>
      <c r="D959" s="531"/>
      <c r="E959" s="531"/>
      <c r="F959" s="531"/>
      <c r="G959" s="531"/>
      <c r="I959" s="532">
        <v>42559</v>
      </c>
      <c r="J959" s="532"/>
      <c r="K959" s="533">
        <v>15141.01</v>
      </c>
      <c r="L959" s="533"/>
      <c r="M959" s="533">
        <v>13208.01</v>
      </c>
      <c r="N959" s="533"/>
      <c r="O959" s="533">
        <v>0</v>
      </c>
      <c r="P959" s="533"/>
      <c r="Q959" s="533">
        <v>0</v>
      </c>
      <c r="R959" s="533"/>
      <c r="S959" s="1">
        <v>6.67</v>
      </c>
      <c r="T959" s="2" t="s">
        <v>289</v>
      </c>
      <c r="U959" s="533">
        <v>369</v>
      </c>
      <c r="V959" s="533"/>
      <c r="W959" s="533">
        <v>12839.01</v>
      </c>
      <c r="X959" s="533"/>
    </row>
    <row r="960" spans="1:24" ht="0.75" customHeight="1" x14ac:dyDescent="0.2"/>
    <row r="961" spans="1:24" ht="13.5" customHeight="1" x14ac:dyDescent="0.2">
      <c r="A961" s="530" t="s">
        <v>870</v>
      </c>
      <c r="B961" s="530"/>
      <c r="C961" s="531" t="s">
        <v>866</v>
      </c>
      <c r="D961" s="531"/>
      <c r="E961" s="531"/>
      <c r="F961" s="531"/>
      <c r="G961" s="531"/>
      <c r="I961" s="532">
        <v>42559</v>
      </c>
      <c r="J961" s="532"/>
      <c r="K961" s="533">
        <v>15141.02</v>
      </c>
      <c r="L961" s="533"/>
      <c r="M961" s="533">
        <v>13208.02</v>
      </c>
      <c r="N961" s="533"/>
      <c r="O961" s="533">
        <v>0</v>
      </c>
      <c r="P961" s="533"/>
      <c r="Q961" s="533">
        <v>0</v>
      </c>
      <c r="R961" s="533"/>
      <c r="S961" s="1">
        <v>6.67</v>
      </c>
      <c r="T961" s="2" t="s">
        <v>289</v>
      </c>
      <c r="U961" s="533">
        <v>369</v>
      </c>
      <c r="V961" s="533"/>
      <c r="W961" s="533">
        <v>12839.02</v>
      </c>
      <c r="X961" s="533"/>
    </row>
    <row r="962" spans="1:24" ht="0.75" customHeight="1" x14ac:dyDescent="0.2"/>
    <row r="963" spans="1:24" ht="13.5" customHeight="1" x14ac:dyDescent="0.2">
      <c r="A963" s="530" t="s">
        <v>871</v>
      </c>
      <c r="B963" s="530"/>
      <c r="C963" s="531" t="s">
        <v>872</v>
      </c>
      <c r="D963" s="531"/>
      <c r="E963" s="531"/>
      <c r="F963" s="531"/>
      <c r="G963" s="531"/>
      <c r="I963" s="532">
        <v>42559</v>
      </c>
      <c r="J963" s="532"/>
      <c r="K963" s="533">
        <v>20581.010000000002</v>
      </c>
      <c r="L963" s="533"/>
      <c r="M963" s="533">
        <v>17953.010000000002</v>
      </c>
      <c r="N963" s="533"/>
      <c r="O963" s="533">
        <v>0</v>
      </c>
      <c r="P963" s="533"/>
      <c r="Q963" s="533">
        <v>0</v>
      </c>
      <c r="R963" s="533"/>
      <c r="S963" s="1">
        <v>6.67</v>
      </c>
      <c r="T963" s="2" t="s">
        <v>289</v>
      </c>
      <c r="U963" s="533">
        <v>502</v>
      </c>
      <c r="V963" s="533"/>
      <c r="W963" s="533">
        <v>17451.010000000002</v>
      </c>
      <c r="X963" s="533"/>
    </row>
    <row r="964" spans="1:24" ht="0.75" customHeight="1" x14ac:dyDescent="0.2"/>
    <row r="965" spans="1:24" ht="13.5" customHeight="1" x14ac:dyDescent="0.2">
      <c r="A965" s="530" t="s">
        <v>873</v>
      </c>
      <c r="B965" s="530"/>
      <c r="C965" s="531" t="s">
        <v>872</v>
      </c>
      <c r="D965" s="531"/>
      <c r="E965" s="531"/>
      <c r="F965" s="531"/>
      <c r="G965" s="531"/>
      <c r="I965" s="532">
        <v>42559</v>
      </c>
      <c r="J965" s="532"/>
      <c r="K965" s="533">
        <v>20581.010000000002</v>
      </c>
      <c r="L965" s="533"/>
      <c r="M965" s="533">
        <v>17953.010000000002</v>
      </c>
      <c r="N965" s="533"/>
      <c r="O965" s="533">
        <v>0</v>
      </c>
      <c r="P965" s="533"/>
      <c r="Q965" s="533">
        <v>0</v>
      </c>
      <c r="R965" s="533"/>
      <c r="S965" s="1">
        <v>6.67</v>
      </c>
      <c r="T965" s="2" t="s">
        <v>289</v>
      </c>
      <c r="U965" s="533">
        <v>502</v>
      </c>
      <c r="V965" s="533"/>
      <c r="W965" s="533">
        <v>17451.010000000002</v>
      </c>
      <c r="X965" s="533"/>
    </row>
    <row r="966" spans="1:24" ht="0.75" customHeight="1" x14ac:dyDescent="0.2"/>
    <row r="967" spans="1:24" ht="13.5" customHeight="1" x14ac:dyDescent="0.2">
      <c r="A967" s="530" t="s">
        <v>874</v>
      </c>
      <c r="B967" s="530"/>
      <c r="C967" s="531" t="s">
        <v>872</v>
      </c>
      <c r="D967" s="531"/>
      <c r="E967" s="531"/>
      <c r="F967" s="531"/>
      <c r="G967" s="531"/>
      <c r="I967" s="532">
        <v>42559</v>
      </c>
      <c r="J967" s="532"/>
      <c r="K967" s="533">
        <v>20581.010000000002</v>
      </c>
      <c r="L967" s="533"/>
      <c r="M967" s="533">
        <v>17953.010000000002</v>
      </c>
      <c r="N967" s="533"/>
      <c r="O967" s="533">
        <v>0</v>
      </c>
      <c r="P967" s="533"/>
      <c r="Q967" s="533">
        <v>0</v>
      </c>
      <c r="R967" s="533"/>
      <c r="S967" s="1">
        <v>6.67</v>
      </c>
      <c r="T967" s="2" t="s">
        <v>289</v>
      </c>
      <c r="U967" s="533">
        <v>502</v>
      </c>
      <c r="V967" s="533"/>
      <c r="W967" s="533">
        <v>17451.010000000002</v>
      </c>
      <c r="X967" s="533"/>
    </row>
    <row r="968" spans="1:24" ht="0.75" customHeight="1" x14ac:dyDescent="0.2"/>
    <row r="969" spans="1:24" ht="13.5" customHeight="1" x14ac:dyDescent="0.2">
      <c r="A969" s="530" t="s">
        <v>875</v>
      </c>
      <c r="B969" s="530"/>
      <c r="C969" s="531" t="s">
        <v>872</v>
      </c>
      <c r="D969" s="531"/>
      <c r="E969" s="531"/>
      <c r="F969" s="531"/>
      <c r="G969" s="531"/>
      <c r="I969" s="532">
        <v>42559</v>
      </c>
      <c r="J969" s="532"/>
      <c r="K969" s="533">
        <v>20581.010000000002</v>
      </c>
      <c r="L969" s="533"/>
      <c r="M969" s="533">
        <v>17953.010000000002</v>
      </c>
      <c r="N969" s="533"/>
      <c r="O969" s="533">
        <v>0</v>
      </c>
      <c r="P969" s="533"/>
      <c r="Q969" s="533">
        <v>0</v>
      </c>
      <c r="R969" s="533"/>
      <c r="S969" s="1">
        <v>6.67</v>
      </c>
      <c r="T969" s="2" t="s">
        <v>289</v>
      </c>
      <c r="U969" s="533">
        <v>502</v>
      </c>
      <c r="V969" s="533"/>
      <c r="W969" s="533">
        <v>17451.010000000002</v>
      </c>
      <c r="X969" s="533"/>
    </row>
    <row r="970" spans="1:24" ht="0.75" customHeight="1" x14ac:dyDescent="0.2"/>
    <row r="971" spans="1:24" ht="13.5" customHeight="1" x14ac:dyDescent="0.2">
      <c r="A971" s="530" t="s">
        <v>876</v>
      </c>
      <c r="B971" s="530"/>
      <c r="C971" s="531" t="s">
        <v>872</v>
      </c>
      <c r="D971" s="531"/>
      <c r="E971" s="531"/>
      <c r="F971" s="531"/>
      <c r="G971" s="531"/>
      <c r="I971" s="532">
        <v>42559</v>
      </c>
      <c r="J971" s="532"/>
      <c r="K971" s="533">
        <v>20581.010000000002</v>
      </c>
      <c r="L971" s="533"/>
      <c r="M971" s="533">
        <v>17953.010000000002</v>
      </c>
      <c r="N971" s="533"/>
      <c r="O971" s="533">
        <v>0</v>
      </c>
      <c r="P971" s="533"/>
      <c r="Q971" s="533">
        <v>0</v>
      </c>
      <c r="R971" s="533"/>
      <c r="S971" s="1">
        <v>6.67</v>
      </c>
      <c r="T971" s="2" t="s">
        <v>289</v>
      </c>
      <c r="U971" s="533">
        <v>502</v>
      </c>
      <c r="V971" s="533"/>
      <c r="W971" s="533">
        <v>17451.010000000002</v>
      </c>
      <c r="X971" s="533"/>
    </row>
    <row r="972" spans="1:24" ht="0.75" customHeight="1" x14ac:dyDescent="0.2"/>
    <row r="973" spans="1:24" ht="13.5" customHeight="1" x14ac:dyDescent="0.2">
      <c r="A973" s="530" t="s">
        <v>877</v>
      </c>
      <c r="B973" s="530"/>
      <c r="C973" s="531" t="s">
        <v>872</v>
      </c>
      <c r="D973" s="531"/>
      <c r="E973" s="531"/>
      <c r="F973" s="531"/>
      <c r="G973" s="531"/>
      <c r="I973" s="532">
        <v>42559</v>
      </c>
      <c r="J973" s="532"/>
      <c r="K973" s="533">
        <v>20581.010000000002</v>
      </c>
      <c r="L973" s="533"/>
      <c r="M973" s="533">
        <v>17953.010000000002</v>
      </c>
      <c r="N973" s="533"/>
      <c r="O973" s="533">
        <v>0</v>
      </c>
      <c r="P973" s="533"/>
      <c r="Q973" s="533">
        <v>0</v>
      </c>
      <c r="R973" s="533"/>
      <c r="S973" s="1">
        <v>6.67</v>
      </c>
      <c r="T973" s="2" t="s">
        <v>289</v>
      </c>
      <c r="U973" s="533">
        <v>502</v>
      </c>
      <c r="V973" s="533"/>
      <c r="W973" s="533">
        <v>17451.010000000002</v>
      </c>
      <c r="X973" s="533"/>
    </row>
    <row r="974" spans="1:24" ht="0.75" customHeight="1" x14ac:dyDescent="0.2"/>
    <row r="975" spans="1:24" ht="13.5" customHeight="1" x14ac:dyDescent="0.2">
      <c r="A975" s="530" t="s">
        <v>878</v>
      </c>
      <c r="B975" s="530"/>
      <c r="C975" s="531" t="s">
        <v>872</v>
      </c>
      <c r="D975" s="531"/>
      <c r="E975" s="531"/>
      <c r="F975" s="531"/>
      <c r="G975" s="531"/>
      <c r="I975" s="532">
        <v>42559</v>
      </c>
      <c r="J975" s="532"/>
      <c r="K975" s="533">
        <v>20581.010000000002</v>
      </c>
      <c r="L975" s="533"/>
      <c r="M975" s="533">
        <v>17953.010000000002</v>
      </c>
      <c r="N975" s="533"/>
      <c r="O975" s="533">
        <v>0</v>
      </c>
      <c r="P975" s="533"/>
      <c r="Q975" s="533">
        <v>0</v>
      </c>
      <c r="R975" s="533"/>
      <c r="S975" s="1">
        <v>6.67</v>
      </c>
      <c r="T975" s="2" t="s">
        <v>289</v>
      </c>
      <c r="U975" s="533">
        <v>502</v>
      </c>
      <c r="V975" s="533"/>
      <c r="W975" s="533">
        <v>17451.010000000002</v>
      </c>
      <c r="X975" s="533"/>
    </row>
    <row r="976" spans="1:24" ht="0.75" customHeight="1" x14ac:dyDescent="0.2"/>
    <row r="977" spans="1:24" ht="13.5" customHeight="1" x14ac:dyDescent="0.2">
      <c r="A977" s="530" t="s">
        <v>879</v>
      </c>
      <c r="B977" s="530"/>
      <c r="C977" s="531" t="s">
        <v>872</v>
      </c>
      <c r="D977" s="531"/>
      <c r="E977" s="531"/>
      <c r="F977" s="531"/>
      <c r="G977" s="531"/>
      <c r="I977" s="532">
        <v>42559</v>
      </c>
      <c r="J977" s="532"/>
      <c r="K977" s="533">
        <v>20581.010000000002</v>
      </c>
      <c r="L977" s="533"/>
      <c r="M977" s="533">
        <v>17953.010000000002</v>
      </c>
      <c r="N977" s="533"/>
      <c r="O977" s="533">
        <v>0</v>
      </c>
      <c r="P977" s="533"/>
      <c r="Q977" s="533">
        <v>0</v>
      </c>
      <c r="R977" s="533"/>
      <c r="S977" s="1">
        <v>6.67</v>
      </c>
      <c r="T977" s="2" t="s">
        <v>289</v>
      </c>
      <c r="U977" s="533">
        <v>502</v>
      </c>
      <c r="V977" s="533"/>
      <c r="W977" s="533">
        <v>17451.010000000002</v>
      </c>
      <c r="X977" s="533"/>
    </row>
    <row r="978" spans="1:24" ht="0.75" customHeight="1" x14ac:dyDescent="0.2"/>
    <row r="979" spans="1:24" ht="13.5" customHeight="1" x14ac:dyDescent="0.2">
      <c r="A979" s="530" t="s">
        <v>880</v>
      </c>
      <c r="B979" s="530"/>
      <c r="C979" s="531" t="s">
        <v>872</v>
      </c>
      <c r="D979" s="531"/>
      <c r="E979" s="531"/>
      <c r="F979" s="531"/>
      <c r="G979" s="531"/>
      <c r="I979" s="532">
        <v>42559</v>
      </c>
      <c r="J979" s="532"/>
      <c r="K979" s="533">
        <v>20581.010000000002</v>
      </c>
      <c r="L979" s="533"/>
      <c r="M979" s="533">
        <v>17953.010000000002</v>
      </c>
      <c r="N979" s="533"/>
      <c r="O979" s="533">
        <v>0</v>
      </c>
      <c r="P979" s="533"/>
      <c r="Q979" s="533">
        <v>0</v>
      </c>
      <c r="R979" s="533"/>
      <c r="S979" s="1">
        <v>6.67</v>
      </c>
      <c r="T979" s="2" t="s">
        <v>289</v>
      </c>
      <c r="U979" s="533">
        <v>502</v>
      </c>
      <c r="V979" s="533"/>
      <c r="W979" s="533">
        <v>17451.010000000002</v>
      </c>
      <c r="X979" s="533"/>
    </row>
    <row r="980" spans="1:24" ht="0.75" customHeight="1" x14ac:dyDescent="0.2"/>
    <row r="981" spans="1:24" ht="13.5" customHeight="1" x14ac:dyDescent="0.2">
      <c r="A981" s="530" t="s">
        <v>881</v>
      </c>
      <c r="B981" s="530"/>
      <c r="C981" s="531" t="s">
        <v>872</v>
      </c>
      <c r="D981" s="531"/>
      <c r="E981" s="531"/>
      <c r="F981" s="531"/>
      <c r="G981" s="531"/>
      <c r="I981" s="532">
        <v>42559</v>
      </c>
      <c r="J981" s="532"/>
      <c r="K981" s="533">
        <v>20581.03</v>
      </c>
      <c r="L981" s="533"/>
      <c r="M981" s="533">
        <v>17953.03</v>
      </c>
      <c r="N981" s="533"/>
      <c r="O981" s="533">
        <v>0</v>
      </c>
      <c r="P981" s="533"/>
      <c r="Q981" s="533">
        <v>0</v>
      </c>
      <c r="R981" s="533"/>
      <c r="S981" s="1">
        <v>6.67</v>
      </c>
      <c r="T981" s="2" t="s">
        <v>289</v>
      </c>
      <c r="U981" s="533">
        <v>502</v>
      </c>
      <c r="V981" s="533"/>
      <c r="W981" s="533">
        <v>17451.03</v>
      </c>
      <c r="X981" s="533"/>
    </row>
    <row r="982" spans="1:24" ht="0.75" customHeight="1" x14ac:dyDescent="0.2"/>
    <row r="983" spans="1:24" ht="13.5" customHeight="1" x14ac:dyDescent="0.2">
      <c r="A983" s="530" t="s">
        <v>882</v>
      </c>
      <c r="B983" s="530"/>
      <c r="C983" s="531" t="s">
        <v>872</v>
      </c>
      <c r="D983" s="531"/>
      <c r="E983" s="531"/>
      <c r="F983" s="531"/>
      <c r="G983" s="531"/>
      <c r="I983" s="532">
        <v>42559</v>
      </c>
      <c r="J983" s="532"/>
      <c r="K983" s="533">
        <v>16011.01</v>
      </c>
      <c r="L983" s="533"/>
      <c r="M983" s="533">
        <v>13966.01</v>
      </c>
      <c r="N983" s="533"/>
      <c r="O983" s="533">
        <v>0</v>
      </c>
      <c r="P983" s="533"/>
      <c r="Q983" s="533">
        <v>0</v>
      </c>
      <c r="R983" s="533"/>
      <c r="S983" s="1">
        <v>6.67</v>
      </c>
      <c r="T983" s="2" t="s">
        <v>289</v>
      </c>
      <c r="U983" s="533">
        <v>390</v>
      </c>
      <c r="V983" s="533"/>
      <c r="W983" s="533">
        <v>13576.01</v>
      </c>
      <c r="X983" s="533"/>
    </row>
    <row r="984" spans="1:24" ht="0.75" customHeight="1" x14ac:dyDescent="0.2"/>
    <row r="985" spans="1:24" ht="13.5" customHeight="1" x14ac:dyDescent="0.2">
      <c r="A985" s="530" t="s">
        <v>883</v>
      </c>
      <c r="B985" s="530"/>
      <c r="C985" s="531" t="s">
        <v>872</v>
      </c>
      <c r="D985" s="531"/>
      <c r="E985" s="531"/>
      <c r="F985" s="531"/>
      <c r="G985" s="531"/>
      <c r="I985" s="532">
        <v>42559</v>
      </c>
      <c r="J985" s="532"/>
      <c r="K985" s="533">
        <v>16011.01</v>
      </c>
      <c r="L985" s="533"/>
      <c r="M985" s="533">
        <v>13966.01</v>
      </c>
      <c r="N985" s="533"/>
      <c r="O985" s="533">
        <v>0</v>
      </c>
      <c r="P985" s="533"/>
      <c r="Q985" s="533">
        <v>0</v>
      </c>
      <c r="R985" s="533"/>
      <c r="S985" s="1">
        <v>6.67</v>
      </c>
      <c r="T985" s="2" t="s">
        <v>289</v>
      </c>
      <c r="U985" s="533">
        <v>390</v>
      </c>
      <c r="V985" s="533"/>
      <c r="W985" s="533">
        <v>13576.01</v>
      </c>
      <c r="X985" s="533"/>
    </row>
    <row r="986" spans="1:24" ht="15" customHeight="1" x14ac:dyDescent="0.2">
      <c r="A986" s="534" t="s">
        <v>285</v>
      </c>
      <c r="B986" s="534"/>
      <c r="D986" s="534" t="s">
        <v>286</v>
      </c>
      <c r="E986" s="534"/>
      <c r="F986" s="534"/>
      <c r="G986" s="534"/>
      <c r="H986" s="534"/>
      <c r="I986" s="534"/>
      <c r="J986" s="534"/>
      <c r="K986" s="534"/>
      <c r="L986" s="534"/>
      <c r="M986" s="534"/>
      <c r="N986" s="534"/>
      <c r="O986" s="534"/>
      <c r="P986" s="534"/>
      <c r="Q986" s="534"/>
      <c r="R986" s="534"/>
      <c r="S986" s="534"/>
      <c r="T986" s="534"/>
      <c r="U986" s="534"/>
      <c r="V986" s="534"/>
    </row>
    <row r="987" spans="1:24" ht="0.75" customHeight="1" x14ac:dyDescent="0.2"/>
    <row r="988" spans="1:24" ht="13.5" customHeight="1" x14ac:dyDescent="0.2">
      <c r="A988" s="530" t="s">
        <v>884</v>
      </c>
      <c r="B988" s="530"/>
      <c r="C988" s="531" t="s">
        <v>872</v>
      </c>
      <c r="D988" s="531"/>
      <c r="E988" s="531"/>
      <c r="F988" s="531"/>
      <c r="G988" s="531"/>
      <c r="I988" s="532">
        <v>42559</v>
      </c>
      <c r="J988" s="532"/>
      <c r="K988" s="533">
        <v>16011.01</v>
      </c>
      <c r="L988" s="533"/>
      <c r="M988" s="533">
        <v>13966.01</v>
      </c>
      <c r="N988" s="533"/>
      <c r="O988" s="533">
        <v>0</v>
      </c>
      <c r="P988" s="533"/>
      <c r="Q988" s="533">
        <v>0</v>
      </c>
      <c r="R988" s="533"/>
      <c r="S988" s="1">
        <v>6.67</v>
      </c>
      <c r="T988" s="2" t="s">
        <v>289</v>
      </c>
      <c r="U988" s="533">
        <v>390</v>
      </c>
      <c r="V988" s="533"/>
      <c r="W988" s="533">
        <v>13576.01</v>
      </c>
      <c r="X988" s="533"/>
    </row>
    <row r="989" spans="1:24" ht="0.75" customHeight="1" x14ac:dyDescent="0.2"/>
    <row r="990" spans="1:24" ht="13.5" customHeight="1" x14ac:dyDescent="0.2">
      <c r="A990" s="530" t="s">
        <v>885</v>
      </c>
      <c r="B990" s="530"/>
      <c r="C990" s="531" t="s">
        <v>872</v>
      </c>
      <c r="D990" s="531"/>
      <c r="E990" s="531"/>
      <c r="F990" s="531"/>
      <c r="G990" s="531"/>
      <c r="I990" s="532">
        <v>42559</v>
      </c>
      <c r="J990" s="532"/>
      <c r="K990" s="533">
        <v>16011.01</v>
      </c>
      <c r="L990" s="533"/>
      <c r="M990" s="533">
        <v>13966.01</v>
      </c>
      <c r="N990" s="533"/>
      <c r="O990" s="533">
        <v>0</v>
      </c>
      <c r="P990" s="533"/>
      <c r="Q990" s="533">
        <v>0</v>
      </c>
      <c r="R990" s="533"/>
      <c r="S990" s="1">
        <v>6.67</v>
      </c>
      <c r="T990" s="2" t="s">
        <v>289</v>
      </c>
      <c r="U990" s="533">
        <v>390</v>
      </c>
      <c r="V990" s="533"/>
      <c r="W990" s="533">
        <v>13576.01</v>
      </c>
      <c r="X990" s="533"/>
    </row>
    <row r="991" spans="1:24" ht="0.75" customHeight="1" x14ac:dyDescent="0.2"/>
    <row r="992" spans="1:24" ht="13.5" customHeight="1" x14ac:dyDescent="0.2">
      <c r="A992" s="530" t="s">
        <v>886</v>
      </c>
      <c r="B992" s="530"/>
      <c r="C992" s="531" t="s">
        <v>872</v>
      </c>
      <c r="D992" s="531"/>
      <c r="E992" s="531"/>
      <c r="F992" s="531"/>
      <c r="G992" s="531"/>
      <c r="I992" s="532">
        <v>42559</v>
      </c>
      <c r="J992" s="532"/>
      <c r="K992" s="533">
        <v>16011.01</v>
      </c>
      <c r="L992" s="533"/>
      <c r="M992" s="533">
        <v>13966.01</v>
      </c>
      <c r="N992" s="533"/>
      <c r="O992" s="533">
        <v>0</v>
      </c>
      <c r="P992" s="533"/>
      <c r="Q992" s="533">
        <v>0</v>
      </c>
      <c r="R992" s="533"/>
      <c r="S992" s="1">
        <v>6.67</v>
      </c>
      <c r="T992" s="2" t="s">
        <v>289</v>
      </c>
      <c r="U992" s="533">
        <v>390</v>
      </c>
      <c r="V992" s="533"/>
      <c r="W992" s="533">
        <v>13576.01</v>
      </c>
      <c r="X992" s="533"/>
    </row>
    <row r="993" spans="1:24" ht="0.75" customHeight="1" x14ac:dyDescent="0.2"/>
    <row r="994" spans="1:24" ht="13.5" customHeight="1" x14ac:dyDescent="0.2">
      <c r="A994" s="530" t="s">
        <v>887</v>
      </c>
      <c r="B994" s="530"/>
      <c r="C994" s="531" t="s">
        <v>872</v>
      </c>
      <c r="D994" s="531"/>
      <c r="E994" s="531"/>
      <c r="F994" s="531"/>
      <c r="G994" s="531"/>
      <c r="I994" s="532">
        <v>42559</v>
      </c>
      <c r="J994" s="532"/>
      <c r="K994" s="533">
        <v>16011.01</v>
      </c>
      <c r="L994" s="533"/>
      <c r="M994" s="533">
        <v>13966.01</v>
      </c>
      <c r="N994" s="533"/>
      <c r="O994" s="533">
        <v>0</v>
      </c>
      <c r="P994" s="533"/>
      <c r="Q994" s="533">
        <v>0</v>
      </c>
      <c r="R994" s="533"/>
      <c r="S994" s="1">
        <v>6.67</v>
      </c>
      <c r="T994" s="2" t="s">
        <v>289</v>
      </c>
      <c r="U994" s="533">
        <v>390</v>
      </c>
      <c r="V994" s="533"/>
      <c r="W994" s="533">
        <v>13576.01</v>
      </c>
      <c r="X994" s="533"/>
    </row>
    <row r="995" spans="1:24" ht="0.75" customHeight="1" x14ac:dyDescent="0.2"/>
    <row r="996" spans="1:24" ht="13.5" customHeight="1" x14ac:dyDescent="0.2">
      <c r="A996" s="530" t="s">
        <v>888</v>
      </c>
      <c r="B996" s="530"/>
      <c r="C996" s="531" t="s">
        <v>872</v>
      </c>
      <c r="D996" s="531"/>
      <c r="E996" s="531"/>
      <c r="F996" s="531"/>
      <c r="G996" s="531"/>
      <c r="I996" s="532">
        <v>42559</v>
      </c>
      <c r="J996" s="532"/>
      <c r="K996" s="533">
        <v>16011.01</v>
      </c>
      <c r="L996" s="533"/>
      <c r="M996" s="533">
        <v>13966.01</v>
      </c>
      <c r="N996" s="533"/>
      <c r="O996" s="533">
        <v>0</v>
      </c>
      <c r="P996" s="533"/>
      <c r="Q996" s="533">
        <v>0</v>
      </c>
      <c r="R996" s="533"/>
      <c r="S996" s="1">
        <v>6.67</v>
      </c>
      <c r="T996" s="2" t="s">
        <v>289</v>
      </c>
      <c r="U996" s="533">
        <v>390</v>
      </c>
      <c r="V996" s="533"/>
      <c r="W996" s="533">
        <v>13576.01</v>
      </c>
      <c r="X996" s="533"/>
    </row>
    <row r="997" spans="1:24" ht="0.75" customHeight="1" x14ac:dyDescent="0.2"/>
    <row r="998" spans="1:24" ht="13.5" customHeight="1" x14ac:dyDescent="0.2">
      <c r="A998" s="530" t="s">
        <v>889</v>
      </c>
      <c r="B998" s="530"/>
      <c r="C998" s="531" t="s">
        <v>872</v>
      </c>
      <c r="D998" s="531"/>
      <c r="E998" s="531"/>
      <c r="F998" s="531"/>
      <c r="G998" s="531"/>
      <c r="I998" s="532">
        <v>42559</v>
      </c>
      <c r="J998" s="532"/>
      <c r="K998" s="533">
        <v>16011.01</v>
      </c>
      <c r="L998" s="533"/>
      <c r="M998" s="533">
        <v>13966.01</v>
      </c>
      <c r="N998" s="533"/>
      <c r="O998" s="533">
        <v>0</v>
      </c>
      <c r="P998" s="533"/>
      <c r="Q998" s="533">
        <v>0</v>
      </c>
      <c r="R998" s="533"/>
      <c r="S998" s="1">
        <v>6.67</v>
      </c>
      <c r="T998" s="2" t="s">
        <v>289</v>
      </c>
      <c r="U998" s="533">
        <v>390</v>
      </c>
      <c r="V998" s="533"/>
      <c r="W998" s="533">
        <v>13576.01</v>
      </c>
      <c r="X998" s="533"/>
    </row>
    <row r="999" spans="1:24" ht="0.75" customHeight="1" x14ac:dyDescent="0.2"/>
    <row r="1000" spans="1:24" ht="13.5" customHeight="1" x14ac:dyDescent="0.2">
      <c r="A1000" s="530" t="s">
        <v>890</v>
      </c>
      <c r="B1000" s="530"/>
      <c r="C1000" s="531" t="s">
        <v>872</v>
      </c>
      <c r="D1000" s="531"/>
      <c r="E1000" s="531"/>
      <c r="F1000" s="531"/>
      <c r="G1000" s="531"/>
      <c r="I1000" s="532">
        <v>42559</v>
      </c>
      <c r="J1000" s="532"/>
      <c r="K1000" s="533">
        <v>16011.01</v>
      </c>
      <c r="L1000" s="533"/>
      <c r="M1000" s="533">
        <v>13966.01</v>
      </c>
      <c r="N1000" s="533"/>
      <c r="O1000" s="533">
        <v>0</v>
      </c>
      <c r="P1000" s="533"/>
      <c r="Q1000" s="533">
        <v>0</v>
      </c>
      <c r="R1000" s="533"/>
      <c r="S1000" s="1">
        <v>6.67</v>
      </c>
      <c r="T1000" s="2" t="s">
        <v>289</v>
      </c>
      <c r="U1000" s="533">
        <v>390</v>
      </c>
      <c r="V1000" s="533"/>
      <c r="W1000" s="533">
        <v>13576.01</v>
      </c>
      <c r="X1000" s="533"/>
    </row>
    <row r="1001" spans="1:24" ht="0.75" customHeight="1" x14ac:dyDescent="0.2"/>
    <row r="1002" spans="1:24" ht="13.5" customHeight="1" x14ac:dyDescent="0.2">
      <c r="A1002" s="530" t="s">
        <v>891</v>
      </c>
      <c r="B1002" s="530"/>
      <c r="C1002" s="531" t="s">
        <v>872</v>
      </c>
      <c r="D1002" s="531"/>
      <c r="E1002" s="531"/>
      <c r="F1002" s="531"/>
      <c r="G1002" s="531"/>
      <c r="I1002" s="532">
        <v>42559</v>
      </c>
      <c r="J1002" s="532"/>
      <c r="K1002" s="533">
        <v>16011.03</v>
      </c>
      <c r="L1002" s="533"/>
      <c r="M1002" s="533">
        <v>13966.03</v>
      </c>
      <c r="N1002" s="533"/>
      <c r="O1002" s="533">
        <v>0</v>
      </c>
      <c r="P1002" s="533"/>
      <c r="Q1002" s="533">
        <v>0</v>
      </c>
      <c r="R1002" s="533"/>
      <c r="S1002" s="1">
        <v>6.67</v>
      </c>
      <c r="T1002" s="2" t="s">
        <v>289</v>
      </c>
      <c r="U1002" s="533">
        <v>390</v>
      </c>
      <c r="V1002" s="533"/>
      <c r="W1002" s="533">
        <v>13576.03</v>
      </c>
      <c r="X1002" s="533"/>
    </row>
    <row r="1003" spans="1:24" ht="0.75" customHeight="1" x14ac:dyDescent="0.2"/>
    <row r="1004" spans="1:24" ht="13.5" customHeight="1" x14ac:dyDescent="0.2">
      <c r="A1004" s="530" t="s">
        <v>892</v>
      </c>
      <c r="B1004" s="530"/>
      <c r="C1004" s="531" t="s">
        <v>893</v>
      </c>
      <c r="D1004" s="531"/>
      <c r="E1004" s="531"/>
      <c r="F1004" s="531"/>
      <c r="G1004" s="531"/>
      <c r="I1004" s="532">
        <v>42559</v>
      </c>
      <c r="J1004" s="532"/>
      <c r="K1004" s="533">
        <v>14261.01</v>
      </c>
      <c r="L1004" s="533"/>
      <c r="M1004" s="533">
        <v>12439.01</v>
      </c>
      <c r="N1004" s="533"/>
      <c r="O1004" s="533">
        <v>0</v>
      </c>
      <c r="P1004" s="533"/>
      <c r="Q1004" s="533">
        <v>0</v>
      </c>
      <c r="R1004" s="533"/>
      <c r="S1004" s="1">
        <v>6.67</v>
      </c>
      <c r="T1004" s="2" t="s">
        <v>289</v>
      </c>
      <c r="U1004" s="533">
        <v>348</v>
      </c>
      <c r="V1004" s="533"/>
      <c r="W1004" s="533">
        <v>12091.01</v>
      </c>
      <c r="X1004" s="533"/>
    </row>
    <row r="1005" spans="1:24" ht="0.75" customHeight="1" x14ac:dyDescent="0.2"/>
    <row r="1006" spans="1:24" ht="13.5" customHeight="1" x14ac:dyDescent="0.2">
      <c r="A1006" s="530" t="s">
        <v>894</v>
      </c>
      <c r="B1006" s="530"/>
      <c r="C1006" s="531" t="s">
        <v>895</v>
      </c>
      <c r="D1006" s="531"/>
      <c r="E1006" s="531"/>
      <c r="F1006" s="531"/>
      <c r="G1006" s="531"/>
      <c r="I1006" s="532">
        <v>42634</v>
      </c>
      <c r="J1006" s="532"/>
      <c r="K1006" s="533">
        <v>7161.01</v>
      </c>
      <c r="L1006" s="533"/>
      <c r="M1006" s="533">
        <v>5565.01</v>
      </c>
      <c r="N1006" s="533"/>
      <c r="O1006" s="533">
        <v>0</v>
      </c>
      <c r="P1006" s="533"/>
      <c r="Q1006" s="533">
        <v>0</v>
      </c>
      <c r="R1006" s="533"/>
      <c r="S1006" s="1">
        <v>13.33</v>
      </c>
      <c r="T1006" s="2" t="s">
        <v>289</v>
      </c>
      <c r="U1006" s="533">
        <v>311</v>
      </c>
      <c r="V1006" s="533"/>
      <c r="W1006" s="533">
        <v>5254.01</v>
      </c>
      <c r="X1006" s="533"/>
    </row>
    <row r="1007" spans="1:24" ht="0.75" customHeight="1" x14ac:dyDescent="0.2"/>
    <row r="1008" spans="1:24" ht="13.5" customHeight="1" x14ac:dyDescent="0.2">
      <c r="A1008" s="530" t="s">
        <v>896</v>
      </c>
      <c r="B1008" s="530"/>
      <c r="C1008" s="531" t="s">
        <v>897</v>
      </c>
      <c r="D1008" s="531"/>
      <c r="E1008" s="531"/>
      <c r="F1008" s="531"/>
      <c r="G1008" s="531"/>
      <c r="I1008" s="532">
        <v>42782</v>
      </c>
      <c r="J1008" s="532"/>
      <c r="K1008" s="533">
        <v>4493.01</v>
      </c>
      <c r="L1008" s="533"/>
      <c r="M1008" s="533">
        <v>4090.01</v>
      </c>
      <c r="N1008" s="533"/>
      <c r="O1008" s="533">
        <v>0</v>
      </c>
      <c r="P1008" s="533"/>
      <c r="Q1008" s="533">
        <v>0</v>
      </c>
      <c r="R1008" s="533"/>
      <c r="S1008" s="1">
        <v>6.67</v>
      </c>
      <c r="T1008" s="2" t="s">
        <v>289</v>
      </c>
      <c r="U1008" s="533">
        <v>114</v>
      </c>
      <c r="V1008" s="533"/>
      <c r="W1008" s="533">
        <v>3976.01</v>
      </c>
      <c r="X1008" s="533"/>
    </row>
    <row r="1009" spans="1:24" ht="0.75" customHeight="1" x14ac:dyDescent="0.2"/>
    <row r="1010" spans="1:24" ht="13.5" customHeight="1" x14ac:dyDescent="0.2">
      <c r="A1010" s="530" t="s">
        <v>898</v>
      </c>
      <c r="B1010" s="530"/>
      <c r="C1010" s="531" t="s">
        <v>899</v>
      </c>
      <c r="D1010" s="531"/>
      <c r="E1010" s="531"/>
      <c r="F1010" s="531"/>
      <c r="G1010" s="531"/>
      <c r="I1010" s="532">
        <v>42782</v>
      </c>
      <c r="J1010" s="532"/>
      <c r="K1010" s="533">
        <v>10161.01</v>
      </c>
      <c r="L1010" s="533"/>
      <c r="M1010" s="533">
        <v>8372.01</v>
      </c>
      <c r="N1010" s="533"/>
      <c r="O1010" s="533">
        <v>0</v>
      </c>
      <c r="P1010" s="533"/>
      <c r="Q1010" s="533">
        <v>0</v>
      </c>
      <c r="R1010" s="533"/>
      <c r="S1010" s="1">
        <v>13.33</v>
      </c>
      <c r="T1010" s="2" t="s">
        <v>289</v>
      </c>
      <c r="U1010" s="533">
        <v>468</v>
      </c>
      <c r="V1010" s="533"/>
      <c r="W1010" s="533">
        <v>7904.01</v>
      </c>
      <c r="X1010" s="533"/>
    </row>
    <row r="1011" spans="1:24" ht="0.75" customHeight="1" x14ac:dyDescent="0.2"/>
    <row r="1012" spans="1:24" ht="13.5" customHeight="1" x14ac:dyDescent="0.2">
      <c r="A1012" s="530" t="s">
        <v>900</v>
      </c>
      <c r="B1012" s="530"/>
      <c r="C1012" s="531" t="s">
        <v>899</v>
      </c>
      <c r="D1012" s="531"/>
      <c r="E1012" s="531"/>
      <c r="F1012" s="531"/>
      <c r="G1012" s="531"/>
      <c r="I1012" s="532">
        <v>42782</v>
      </c>
      <c r="J1012" s="532"/>
      <c r="K1012" s="533">
        <v>10161.01</v>
      </c>
      <c r="L1012" s="533"/>
      <c r="M1012" s="533">
        <v>8372.01</v>
      </c>
      <c r="N1012" s="533"/>
      <c r="O1012" s="533">
        <v>0</v>
      </c>
      <c r="P1012" s="533"/>
      <c r="Q1012" s="533">
        <v>0</v>
      </c>
      <c r="R1012" s="533"/>
      <c r="S1012" s="1">
        <v>13.33</v>
      </c>
      <c r="T1012" s="2" t="s">
        <v>289</v>
      </c>
      <c r="U1012" s="533">
        <v>468</v>
      </c>
      <c r="V1012" s="533"/>
      <c r="W1012" s="533">
        <v>7904.01</v>
      </c>
      <c r="X1012" s="533"/>
    </row>
    <row r="1013" spans="1:24" ht="0.75" customHeight="1" x14ac:dyDescent="0.2"/>
    <row r="1014" spans="1:24" ht="13.5" customHeight="1" x14ac:dyDescent="0.2">
      <c r="A1014" s="530" t="s">
        <v>901</v>
      </c>
      <c r="B1014" s="530"/>
      <c r="C1014" s="531" t="s">
        <v>899</v>
      </c>
      <c r="D1014" s="531"/>
      <c r="E1014" s="531"/>
      <c r="F1014" s="531"/>
      <c r="G1014" s="531"/>
      <c r="I1014" s="532">
        <v>42782</v>
      </c>
      <c r="J1014" s="532"/>
      <c r="K1014" s="533">
        <v>10161.02</v>
      </c>
      <c r="L1014" s="533"/>
      <c r="M1014" s="533">
        <v>8372.02</v>
      </c>
      <c r="N1014" s="533"/>
      <c r="O1014" s="533">
        <v>0</v>
      </c>
      <c r="P1014" s="533"/>
      <c r="Q1014" s="533">
        <v>0</v>
      </c>
      <c r="R1014" s="533"/>
      <c r="S1014" s="1">
        <v>13.33</v>
      </c>
      <c r="T1014" s="2" t="s">
        <v>289</v>
      </c>
      <c r="U1014" s="533">
        <v>468</v>
      </c>
      <c r="V1014" s="533"/>
      <c r="W1014" s="533">
        <v>7904.02</v>
      </c>
      <c r="X1014" s="533"/>
    </row>
    <row r="1015" spans="1:24" ht="0.75" customHeight="1" x14ac:dyDescent="0.2"/>
    <row r="1016" spans="1:24" ht="13.5" customHeight="1" x14ac:dyDescent="0.2">
      <c r="A1016" s="530" t="s">
        <v>902</v>
      </c>
      <c r="B1016" s="530"/>
      <c r="C1016" s="531" t="s">
        <v>903</v>
      </c>
      <c r="D1016" s="531"/>
      <c r="E1016" s="531"/>
      <c r="F1016" s="531"/>
      <c r="G1016" s="531"/>
      <c r="I1016" s="532">
        <v>42879</v>
      </c>
      <c r="J1016" s="532"/>
      <c r="K1016" s="533">
        <v>103895.25</v>
      </c>
      <c r="L1016" s="533"/>
      <c r="M1016" s="533">
        <v>92532.25</v>
      </c>
      <c r="N1016" s="533"/>
      <c r="O1016" s="533">
        <v>0</v>
      </c>
      <c r="P1016" s="533"/>
      <c r="Q1016" s="533">
        <v>0</v>
      </c>
      <c r="R1016" s="533"/>
      <c r="S1016" s="1">
        <v>10</v>
      </c>
      <c r="T1016" s="2" t="s">
        <v>289</v>
      </c>
      <c r="U1016" s="533">
        <v>3879</v>
      </c>
      <c r="V1016" s="533"/>
      <c r="W1016" s="533">
        <v>88653.25</v>
      </c>
      <c r="X1016" s="533"/>
    </row>
    <row r="1017" spans="1:24" ht="0.75" customHeight="1" x14ac:dyDescent="0.2"/>
    <row r="1018" spans="1:24" ht="13.5" customHeight="1" x14ac:dyDescent="0.2">
      <c r="A1018" s="530" t="s">
        <v>904</v>
      </c>
      <c r="B1018" s="530"/>
      <c r="C1018" s="531" t="s">
        <v>905</v>
      </c>
      <c r="D1018" s="531"/>
      <c r="E1018" s="531"/>
      <c r="F1018" s="531"/>
      <c r="G1018" s="531"/>
      <c r="I1018" s="532">
        <v>42698</v>
      </c>
      <c r="J1018" s="532"/>
      <c r="K1018" s="533">
        <v>190864.32</v>
      </c>
      <c r="L1018" s="533"/>
      <c r="M1018" s="533">
        <v>152182.32</v>
      </c>
      <c r="N1018" s="533"/>
      <c r="O1018" s="533">
        <v>0</v>
      </c>
      <c r="P1018" s="533"/>
      <c r="Q1018" s="533">
        <v>0</v>
      </c>
      <c r="R1018" s="533"/>
      <c r="S1018" s="1">
        <v>13.33</v>
      </c>
      <c r="T1018" s="2" t="s">
        <v>289</v>
      </c>
      <c r="U1018" s="533">
        <v>8506</v>
      </c>
      <c r="V1018" s="533"/>
      <c r="W1018" s="533">
        <v>143676.32</v>
      </c>
      <c r="X1018" s="533"/>
    </row>
    <row r="1019" spans="1:24" ht="0.75" customHeight="1" x14ac:dyDescent="0.2"/>
    <row r="1020" spans="1:24" ht="13.5" customHeight="1" x14ac:dyDescent="0.2">
      <c r="A1020" s="530" t="s">
        <v>906</v>
      </c>
      <c r="B1020" s="530"/>
      <c r="C1020" s="531" t="s">
        <v>907</v>
      </c>
      <c r="D1020" s="531"/>
      <c r="E1020" s="531"/>
      <c r="F1020" s="531"/>
      <c r="G1020" s="531"/>
      <c r="I1020" s="532">
        <v>42611</v>
      </c>
      <c r="J1020" s="532"/>
      <c r="K1020" s="533">
        <v>24295.25</v>
      </c>
      <c r="L1020" s="533"/>
      <c r="M1020" s="533">
        <v>18702.25</v>
      </c>
      <c r="N1020" s="533"/>
      <c r="O1020" s="533">
        <v>0</v>
      </c>
      <c r="P1020" s="533"/>
      <c r="Q1020" s="533">
        <v>0</v>
      </c>
      <c r="R1020" s="533"/>
      <c r="S1020" s="1">
        <v>13.33</v>
      </c>
      <c r="T1020" s="2" t="s">
        <v>289</v>
      </c>
      <c r="U1020" s="533">
        <v>1045</v>
      </c>
      <c r="V1020" s="533"/>
      <c r="W1020" s="533">
        <v>17657.25</v>
      </c>
      <c r="X1020" s="533"/>
    </row>
    <row r="1021" spans="1:24" ht="0.75" customHeight="1" x14ac:dyDescent="0.2"/>
    <row r="1022" spans="1:24" ht="13.5" customHeight="1" x14ac:dyDescent="0.2">
      <c r="A1022" s="530" t="s">
        <v>908</v>
      </c>
      <c r="B1022" s="530"/>
      <c r="C1022" s="531" t="s">
        <v>909</v>
      </c>
      <c r="D1022" s="531"/>
      <c r="E1022" s="531"/>
      <c r="F1022" s="531"/>
      <c r="G1022" s="531"/>
      <c r="I1022" s="532">
        <v>42829</v>
      </c>
      <c r="J1022" s="532"/>
      <c r="K1022" s="533">
        <v>27978.93</v>
      </c>
      <c r="L1022" s="533"/>
      <c r="M1022" s="533">
        <v>23468.93</v>
      </c>
      <c r="N1022" s="533"/>
      <c r="O1022" s="533">
        <v>0</v>
      </c>
      <c r="P1022" s="533"/>
      <c r="Q1022" s="533">
        <v>0</v>
      </c>
      <c r="R1022" s="533"/>
      <c r="S1022" s="1">
        <v>13.33</v>
      </c>
      <c r="T1022" s="2" t="s">
        <v>289</v>
      </c>
      <c r="U1022" s="533">
        <v>1312</v>
      </c>
      <c r="V1022" s="533"/>
      <c r="W1022" s="533">
        <v>22156.93</v>
      </c>
      <c r="X1022" s="533"/>
    </row>
    <row r="1023" spans="1:24" ht="0.75" customHeight="1" x14ac:dyDescent="0.2"/>
    <row r="1024" spans="1:24" ht="13.5" customHeight="1" x14ac:dyDescent="0.2">
      <c r="A1024" s="530" t="s">
        <v>910</v>
      </c>
      <c r="B1024" s="530"/>
      <c r="C1024" s="525" t="s">
        <v>911</v>
      </c>
      <c r="D1024" s="525"/>
      <c r="E1024" s="525"/>
      <c r="F1024" s="525"/>
      <c r="G1024" s="525"/>
      <c r="I1024" s="532">
        <v>42735</v>
      </c>
      <c r="J1024" s="532"/>
      <c r="K1024" s="533">
        <v>26028</v>
      </c>
      <c r="L1024" s="533"/>
      <c r="M1024" s="533">
        <v>18746</v>
      </c>
      <c r="N1024" s="533"/>
      <c r="O1024" s="533">
        <v>0</v>
      </c>
      <c r="P1024" s="533"/>
      <c r="Q1024" s="533">
        <v>0</v>
      </c>
      <c r="R1024" s="533"/>
      <c r="S1024" s="1">
        <v>20</v>
      </c>
      <c r="T1024" s="2" t="s">
        <v>289</v>
      </c>
      <c r="U1024" s="533">
        <v>1572</v>
      </c>
      <c r="V1024" s="533"/>
      <c r="W1024" s="533">
        <v>17174</v>
      </c>
      <c r="X1024" s="533"/>
    </row>
    <row r="1025" spans="1:24" ht="12" customHeight="1" x14ac:dyDescent="0.2">
      <c r="C1025" s="525"/>
      <c r="D1025" s="525"/>
      <c r="E1025" s="525"/>
      <c r="F1025" s="525"/>
      <c r="G1025" s="525"/>
    </row>
    <row r="1026" spans="1:24" ht="13.5" customHeight="1" x14ac:dyDescent="0.2">
      <c r="A1026" s="530" t="s">
        <v>912</v>
      </c>
      <c r="B1026" s="530"/>
      <c r="C1026" s="531" t="s">
        <v>913</v>
      </c>
      <c r="D1026" s="531"/>
      <c r="E1026" s="531"/>
      <c r="F1026" s="531"/>
      <c r="G1026" s="531"/>
      <c r="I1026" s="532">
        <v>42792</v>
      </c>
      <c r="J1026" s="532"/>
      <c r="K1026" s="533">
        <v>2180</v>
      </c>
      <c r="L1026" s="533"/>
      <c r="M1026" s="533">
        <v>1625</v>
      </c>
      <c r="N1026" s="533"/>
      <c r="O1026" s="533">
        <v>0</v>
      </c>
      <c r="P1026" s="533"/>
      <c r="Q1026" s="533">
        <v>0</v>
      </c>
      <c r="R1026" s="533"/>
      <c r="S1026" s="1">
        <v>20</v>
      </c>
      <c r="T1026" s="2" t="s">
        <v>289</v>
      </c>
      <c r="U1026" s="533">
        <v>136</v>
      </c>
      <c r="V1026" s="533"/>
      <c r="W1026" s="533">
        <v>1489</v>
      </c>
      <c r="X1026" s="533"/>
    </row>
    <row r="1027" spans="1:24" ht="0.75" customHeight="1" x14ac:dyDescent="0.2"/>
    <row r="1028" spans="1:24" ht="13.5" customHeight="1" x14ac:dyDescent="0.2">
      <c r="A1028" s="530" t="s">
        <v>914</v>
      </c>
      <c r="B1028" s="530"/>
      <c r="C1028" s="531" t="s">
        <v>915</v>
      </c>
      <c r="D1028" s="531"/>
      <c r="E1028" s="531"/>
      <c r="F1028" s="531"/>
      <c r="G1028" s="531"/>
      <c r="I1028" s="532">
        <v>42792</v>
      </c>
      <c r="J1028" s="532"/>
      <c r="K1028" s="533">
        <v>2740</v>
      </c>
      <c r="L1028" s="533"/>
      <c r="M1028" s="533">
        <v>2042</v>
      </c>
      <c r="N1028" s="533"/>
      <c r="O1028" s="533">
        <v>0</v>
      </c>
      <c r="P1028" s="533"/>
      <c r="Q1028" s="533">
        <v>0</v>
      </c>
      <c r="R1028" s="533"/>
      <c r="S1028" s="1">
        <v>20</v>
      </c>
      <c r="T1028" s="2" t="s">
        <v>289</v>
      </c>
      <c r="U1028" s="533">
        <v>171</v>
      </c>
      <c r="V1028" s="533"/>
      <c r="W1028" s="533">
        <v>1871</v>
      </c>
      <c r="X1028" s="533"/>
    </row>
    <row r="1029" spans="1:24" ht="0.75" customHeight="1" x14ac:dyDescent="0.2"/>
    <row r="1030" spans="1:24" ht="13.5" customHeight="1" x14ac:dyDescent="0.2">
      <c r="A1030" s="530" t="s">
        <v>916</v>
      </c>
      <c r="B1030" s="530"/>
      <c r="C1030" s="525" t="s">
        <v>917</v>
      </c>
      <c r="D1030" s="525"/>
      <c r="E1030" s="525"/>
      <c r="F1030" s="525"/>
      <c r="G1030" s="525"/>
      <c r="I1030" s="532">
        <v>42792</v>
      </c>
      <c r="J1030" s="532"/>
      <c r="K1030" s="533">
        <v>2000</v>
      </c>
      <c r="L1030" s="533"/>
      <c r="M1030" s="533">
        <v>1490</v>
      </c>
      <c r="N1030" s="533"/>
      <c r="O1030" s="533">
        <v>0</v>
      </c>
      <c r="P1030" s="533"/>
      <c r="Q1030" s="533">
        <v>0</v>
      </c>
      <c r="R1030" s="533"/>
      <c r="S1030" s="1">
        <v>20</v>
      </c>
      <c r="T1030" s="2" t="s">
        <v>289</v>
      </c>
      <c r="U1030" s="533">
        <v>125</v>
      </c>
      <c r="V1030" s="533"/>
      <c r="W1030" s="533">
        <v>1365</v>
      </c>
      <c r="X1030" s="533"/>
    </row>
    <row r="1031" spans="1:24" ht="12" customHeight="1" x14ac:dyDescent="0.2">
      <c r="C1031" s="525"/>
      <c r="D1031" s="525"/>
      <c r="E1031" s="525"/>
      <c r="F1031" s="525"/>
      <c r="G1031" s="525"/>
    </row>
    <row r="1032" spans="1:24" ht="13.5" customHeight="1" x14ac:dyDescent="0.2">
      <c r="A1032" s="530" t="s">
        <v>918</v>
      </c>
      <c r="B1032" s="530"/>
      <c r="C1032" s="531" t="s">
        <v>919</v>
      </c>
      <c r="D1032" s="531"/>
      <c r="E1032" s="531"/>
      <c r="F1032" s="531"/>
      <c r="G1032" s="531"/>
      <c r="I1032" s="532">
        <v>42818</v>
      </c>
      <c r="J1032" s="532"/>
      <c r="K1032" s="533">
        <v>5512</v>
      </c>
      <c r="L1032" s="533"/>
      <c r="M1032" s="533">
        <v>4170</v>
      </c>
      <c r="N1032" s="533"/>
      <c r="O1032" s="533">
        <v>0</v>
      </c>
      <c r="P1032" s="533"/>
      <c r="Q1032" s="533">
        <v>0</v>
      </c>
      <c r="R1032" s="533"/>
      <c r="S1032" s="1">
        <v>20</v>
      </c>
      <c r="T1032" s="2" t="s">
        <v>289</v>
      </c>
      <c r="U1032" s="533">
        <v>350</v>
      </c>
      <c r="V1032" s="533"/>
      <c r="W1032" s="533">
        <v>3820</v>
      </c>
      <c r="X1032" s="533"/>
    </row>
    <row r="1033" spans="1:24" ht="0.75" customHeight="1" x14ac:dyDescent="0.2"/>
    <row r="1034" spans="1:24" ht="13.5" customHeight="1" x14ac:dyDescent="0.2">
      <c r="A1034" s="530" t="s">
        <v>920</v>
      </c>
      <c r="B1034" s="530"/>
      <c r="C1034" s="531" t="s">
        <v>921</v>
      </c>
      <c r="D1034" s="531"/>
      <c r="E1034" s="531"/>
      <c r="F1034" s="531"/>
      <c r="G1034" s="531"/>
      <c r="I1034" s="532">
        <v>42816</v>
      </c>
      <c r="J1034" s="532"/>
      <c r="K1034" s="533">
        <v>4772</v>
      </c>
      <c r="L1034" s="533"/>
      <c r="M1034" s="533">
        <v>2546</v>
      </c>
      <c r="N1034" s="533"/>
      <c r="O1034" s="533">
        <v>0</v>
      </c>
      <c r="P1034" s="533"/>
      <c r="Q1034" s="533">
        <v>0</v>
      </c>
      <c r="R1034" s="533"/>
      <c r="S1034" s="1">
        <v>40</v>
      </c>
      <c r="T1034" s="2" t="s">
        <v>289</v>
      </c>
      <c r="U1034" s="533">
        <v>427</v>
      </c>
      <c r="V1034" s="533"/>
      <c r="W1034" s="533">
        <v>2119</v>
      </c>
      <c r="X1034" s="533"/>
    </row>
    <row r="1035" spans="1:24" ht="0.75" customHeight="1" x14ac:dyDescent="0.2"/>
    <row r="1036" spans="1:24" ht="13.5" customHeight="1" x14ac:dyDescent="0.2">
      <c r="A1036" s="530" t="s">
        <v>922</v>
      </c>
      <c r="B1036" s="530"/>
      <c r="C1036" s="531" t="s">
        <v>923</v>
      </c>
      <c r="D1036" s="531"/>
      <c r="E1036" s="531"/>
      <c r="F1036" s="531"/>
      <c r="G1036" s="531"/>
      <c r="I1036" s="532">
        <v>42822</v>
      </c>
      <c r="J1036" s="532"/>
      <c r="K1036" s="533">
        <v>19447.55</v>
      </c>
      <c r="L1036" s="533"/>
      <c r="M1036" s="533">
        <v>16269.550000000001</v>
      </c>
      <c r="N1036" s="533"/>
      <c r="O1036" s="533">
        <v>0</v>
      </c>
      <c r="P1036" s="533"/>
      <c r="Q1036" s="533">
        <v>0</v>
      </c>
      <c r="R1036" s="533"/>
      <c r="S1036" s="1">
        <v>13.33</v>
      </c>
      <c r="T1036" s="2" t="s">
        <v>289</v>
      </c>
      <c r="U1036" s="533">
        <v>909</v>
      </c>
      <c r="V1036" s="533"/>
      <c r="W1036" s="533">
        <v>15360.550000000001</v>
      </c>
      <c r="X1036" s="533"/>
    </row>
    <row r="1037" spans="1:24" ht="0.75" customHeight="1" x14ac:dyDescent="0.2"/>
    <row r="1038" spans="1:24" ht="13.5" customHeight="1" x14ac:dyDescent="0.2">
      <c r="A1038" s="530" t="s">
        <v>924</v>
      </c>
      <c r="B1038" s="530"/>
      <c r="C1038" s="531" t="s">
        <v>923</v>
      </c>
      <c r="D1038" s="531"/>
      <c r="E1038" s="531"/>
      <c r="F1038" s="531"/>
      <c r="G1038" s="531"/>
      <c r="I1038" s="532">
        <v>42822</v>
      </c>
      <c r="J1038" s="532"/>
      <c r="K1038" s="533">
        <v>19447.560000000001</v>
      </c>
      <c r="L1038" s="533"/>
      <c r="M1038" s="533">
        <v>16269.56</v>
      </c>
      <c r="N1038" s="533"/>
      <c r="O1038" s="533">
        <v>0</v>
      </c>
      <c r="P1038" s="533"/>
      <c r="Q1038" s="533">
        <v>0</v>
      </c>
      <c r="R1038" s="533"/>
      <c r="S1038" s="1">
        <v>13.33</v>
      </c>
      <c r="T1038" s="2" t="s">
        <v>289</v>
      </c>
      <c r="U1038" s="533">
        <v>909</v>
      </c>
      <c r="V1038" s="533"/>
      <c r="W1038" s="533">
        <v>15360.56</v>
      </c>
      <c r="X1038" s="533"/>
    </row>
    <row r="1039" spans="1:24" ht="0.75" customHeight="1" x14ac:dyDescent="0.2"/>
    <row r="1040" spans="1:24" ht="13.5" customHeight="1" x14ac:dyDescent="0.2">
      <c r="A1040" s="530" t="s">
        <v>925</v>
      </c>
      <c r="B1040" s="530"/>
      <c r="C1040" s="531" t="s">
        <v>926</v>
      </c>
      <c r="D1040" s="531"/>
      <c r="E1040" s="531"/>
      <c r="F1040" s="531"/>
      <c r="G1040" s="531"/>
      <c r="I1040" s="532">
        <v>42873</v>
      </c>
      <c r="J1040" s="532"/>
      <c r="K1040" s="533">
        <v>5826.29</v>
      </c>
      <c r="L1040" s="533"/>
      <c r="M1040" s="533">
        <v>3327.29</v>
      </c>
      <c r="N1040" s="533"/>
      <c r="O1040" s="533">
        <v>0</v>
      </c>
      <c r="P1040" s="533"/>
      <c r="Q1040" s="533">
        <v>0</v>
      </c>
      <c r="R1040" s="533"/>
      <c r="S1040" s="1">
        <v>40</v>
      </c>
      <c r="T1040" s="2" t="s">
        <v>289</v>
      </c>
      <c r="U1040" s="533">
        <v>558</v>
      </c>
      <c r="V1040" s="533"/>
      <c r="W1040" s="533">
        <v>2769.29</v>
      </c>
      <c r="X1040" s="533"/>
    </row>
    <row r="1041" spans="1:24" ht="0.75" customHeight="1" x14ac:dyDescent="0.2"/>
    <row r="1042" spans="1:24" ht="13.5" customHeight="1" x14ac:dyDescent="0.2">
      <c r="A1042" s="530" t="s">
        <v>927</v>
      </c>
      <c r="B1042" s="530"/>
      <c r="C1042" s="531" t="s">
        <v>928</v>
      </c>
      <c r="D1042" s="531"/>
      <c r="E1042" s="531"/>
      <c r="F1042" s="531"/>
      <c r="G1042" s="531"/>
      <c r="I1042" s="532">
        <v>42552</v>
      </c>
      <c r="J1042" s="532"/>
      <c r="K1042" s="533">
        <v>893.86</v>
      </c>
      <c r="L1042" s="533"/>
      <c r="M1042" s="533">
        <v>98.86</v>
      </c>
      <c r="N1042" s="533"/>
      <c r="O1042" s="533">
        <v>0</v>
      </c>
      <c r="P1042" s="533"/>
      <c r="Q1042" s="533">
        <v>0</v>
      </c>
      <c r="R1042" s="533"/>
      <c r="S1042" s="1">
        <v>66.67</v>
      </c>
      <c r="T1042" s="2" t="s">
        <v>289</v>
      </c>
      <c r="U1042" s="533">
        <v>28</v>
      </c>
      <c r="V1042" s="533"/>
      <c r="W1042" s="533">
        <v>70.86</v>
      </c>
      <c r="X1042" s="533"/>
    </row>
    <row r="1043" spans="1:24" ht="0.75" customHeight="1" x14ac:dyDescent="0.2"/>
    <row r="1044" spans="1:24" ht="13.5" customHeight="1" x14ac:dyDescent="0.2">
      <c r="A1044" s="530" t="s">
        <v>929</v>
      </c>
      <c r="B1044" s="530"/>
      <c r="C1044" s="531" t="s">
        <v>930</v>
      </c>
      <c r="D1044" s="531"/>
      <c r="E1044" s="531"/>
      <c r="F1044" s="531"/>
      <c r="G1044" s="531"/>
      <c r="I1044" s="532">
        <v>42590</v>
      </c>
      <c r="J1044" s="532"/>
      <c r="K1044" s="533">
        <v>30000</v>
      </c>
      <c r="L1044" s="533"/>
      <c r="M1044" s="533">
        <v>20547</v>
      </c>
      <c r="N1044" s="533"/>
      <c r="O1044" s="533">
        <v>0</v>
      </c>
      <c r="P1044" s="533"/>
      <c r="Q1044" s="533">
        <v>0</v>
      </c>
      <c r="R1044" s="533"/>
      <c r="S1044" s="1">
        <v>18.18</v>
      </c>
      <c r="T1044" s="2" t="s">
        <v>289</v>
      </c>
      <c r="U1044" s="533">
        <v>1566</v>
      </c>
      <c r="V1044" s="533"/>
      <c r="W1044" s="533">
        <v>18981</v>
      </c>
      <c r="X1044" s="533"/>
    </row>
    <row r="1045" spans="1:24" ht="0.75" customHeight="1" x14ac:dyDescent="0.2"/>
    <row r="1046" spans="1:24" ht="13.5" customHeight="1" x14ac:dyDescent="0.2">
      <c r="A1046" s="530" t="s">
        <v>931</v>
      </c>
      <c r="B1046" s="530"/>
      <c r="C1046" s="525" t="s">
        <v>932</v>
      </c>
      <c r="D1046" s="525"/>
      <c r="E1046" s="525"/>
      <c r="F1046" s="525"/>
      <c r="G1046" s="525"/>
      <c r="I1046" s="532">
        <v>42641</v>
      </c>
      <c r="J1046" s="532"/>
      <c r="K1046" s="533">
        <v>6750</v>
      </c>
      <c r="L1046" s="533"/>
      <c r="M1046" s="533">
        <v>4583</v>
      </c>
      <c r="N1046" s="533"/>
      <c r="O1046" s="533">
        <v>0</v>
      </c>
      <c r="P1046" s="533"/>
      <c r="Q1046" s="533">
        <v>0</v>
      </c>
      <c r="R1046" s="533"/>
      <c r="S1046" s="1">
        <v>20</v>
      </c>
      <c r="T1046" s="2" t="s">
        <v>289</v>
      </c>
      <c r="U1046" s="533">
        <v>384</v>
      </c>
      <c r="V1046" s="533"/>
      <c r="W1046" s="533">
        <v>4199</v>
      </c>
      <c r="X1046" s="533"/>
    </row>
    <row r="1047" spans="1:24" ht="12" customHeight="1" x14ac:dyDescent="0.2">
      <c r="C1047" s="525"/>
      <c r="D1047" s="525"/>
      <c r="E1047" s="525"/>
      <c r="F1047" s="525"/>
      <c r="G1047" s="525"/>
    </row>
    <row r="1048" spans="1:24" ht="13.5" customHeight="1" x14ac:dyDescent="0.2">
      <c r="A1048" s="530" t="s">
        <v>933</v>
      </c>
      <c r="B1048" s="530"/>
      <c r="C1048" s="531" t="s">
        <v>934</v>
      </c>
      <c r="D1048" s="531"/>
      <c r="E1048" s="531"/>
      <c r="F1048" s="531"/>
      <c r="G1048" s="531"/>
      <c r="I1048" s="532">
        <v>42648</v>
      </c>
      <c r="J1048" s="532"/>
      <c r="K1048" s="533">
        <v>4500</v>
      </c>
      <c r="L1048" s="533"/>
      <c r="M1048" s="533">
        <v>3751</v>
      </c>
      <c r="N1048" s="533"/>
      <c r="O1048" s="533">
        <v>0</v>
      </c>
      <c r="P1048" s="533"/>
      <c r="Q1048" s="533">
        <v>0</v>
      </c>
      <c r="R1048" s="533"/>
      <c r="S1048" s="1">
        <v>10</v>
      </c>
      <c r="T1048" s="2" t="s">
        <v>289</v>
      </c>
      <c r="U1048" s="533">
        <v>157</v>
      </c>
      <c r="V1048" s="533"/>
      <c r="W1048" s="533">
        <v>3594</v>
      </c>
      <c r="X1048" s="533"/>
    </row>
    <row r="1049" spans="1:24" ht="0.75" customHeight="1" x14ac:dyDescent="0.2"/>
    <row r="1050" spans="1:24" ht="13.5" customHeight="1" x14ac:dyDescent="0.2">
      <c r="A1050" s="530" t="s">
        <v>935</v>
      </c>
      <c r="B1050" s="530"/>
      <c r="C1050" s="531" t="s">
        <v>936</v>
      </c>
      <c r="D1050" s="531"/>
      <c r="E1050" s="531"/>
      <c r="F1050" s="531"/>
      <c r="G1050" s="531"/>
      <c r="I1050" s="532">
        <v>42664</v>
      </c>
      <c r="J1050" s="532"/>
      <c r="K1050" s="533">
        <v>817.27</v>
      </c>
      <c r="L1050" s="533"/>
      <c r="M1050" s="533">
        <v>563.27</v>
      </c>
      <c r="N1050" s="533"/>
      <c r="O1050" s="533">
        <v>0</v>
      </c>
      <c r="P1050" s="533"/>
      <c r="Q1050" s="533">
        <v>0</v>
      </c>
      <c r="R1050" s="533"/>
      <c r="S1050" s="1">
        <v>20</v>
      </c>
      <c r="T1050" s="2" t="s">
        <v>289</v>
      </c>
      <c r="U1050" s="533">
        <v>47</v>
      </c>
      <c r="V1050" s="533"/>
      <c r="W1050" s="533">
        <v>516.27</v>
      </c>
      <c r="X1050" s="533"/>
    </row>
    <row r="1051" spans="1:24" ht="0.75" customHeight="1" x14ac:dyDescent="0.2"/>
    <row r="1052" spans="1:24" ht="13.5" customHeight="1" x14ac:dyDescent="0.2">
      <c r="A1052" s="530" t="s">
        <v>937</v>
      </c>
      <c r="B1052" s="530"/>
      <c r="C1052" s="531" t="s">
        <v>938</v>
      </c>
      <c r="D1052" s="531"/>
      <c r="E1052" s="531"/>
      <c r="F1052" s="531"/>
      <c r="G1052" s="531"/>
      <c r="I1052" s="532">
        <v>42677</v>
      </c>
      <c r="J1052" s="532"/>
      <c r="K1052" s="533">
        <v>754.38</v>
      </c>
      <c r="L1052" s="533"/>
      <c r="M1052" s="533">
        <v>524.38</v>
      </c>
      <c r="N1052" s="533"/>
      <c r="O1052" s="533">
        <v>0</v>
      </c>
      <c r="P1052" s="533"/>
      <c r="Q1052" s="533">
        <v>0</v>
      </c>
      <c r="R1052" s="533"/>
      <c r="S1052" s="1">
        <v>20</v>
      </c>
      <c r="T1052" s="2" t="s">
        <v>289</v>
      </c>
      <c r="U1052" s="533">
        <v>44</v>
      </c>
      <c r="V1052" s="533"/>
      <c r="W1052" s="533">
        <v>480.38</v>
      </c>
      <c r="X1052" s="533"/>
    </row>
    <row r="1053" spans="1:24" ht="0.75" customHeight="1" x14ac:dyDescent="0.2"/>
    <row r="1054" spans="1:24" ht="13.5" customHeight="1" x14ac:dyDescent="0.2">
      <c r="A1054" s="530" t="s">
        <v>939</v>
      </c>
      <c r="B1054" s="530"/>
      <c r="C1054" s="531" t="s">
        <v>940</v>
      </c>
      <c r="D1054" s="531"/>
      <c r="E1054" s="531"/>
      <c r="F1054" s="531"/>
      <c r="G1054" s="531"/>
      <c r="I1054" s="532">
        <v>42744</v>
      </c>
      <c r="J1054" s="532"/>
      <c r="K1054" s="533">
        <v>4545.45</v>
      </c>
      <c r="L1054" s="533"/>
      <c r="M1054" s="533">
        <v>2210.4500000000003</v>
      </c>
      <c r="N1054" s="533"/>
      <c r="O1054" s="533">
        <v>0</v>
      </c>
      <c r="P1054" s="533"/>
      <c r="Q1054" s="533">
        <v>0</v>
      </c>
      <c r="R1054" s="533"/>
      <c r="S1054" s="1">
        <v>40</v>
      </c>
      <c r="T1054" s="2" t="s">
        <v>289</v>
      </c>
      <c r="U1054" s="533">
        <v>371</v>
      </c>
      <c r="V1054" s="533"/>
      <c r="W1054" s="533">
        <v>1839.45</v>
      </c>
      <c r="X1054" s="533"/>
    </row>
    <row r="1055" spans="1:24" ht="0.75" customHeight="1" x14ac:dyDescent="0.2"/>
    <row r="1056" spans="1:24" ht="13.5" customHeight="1" x14ac:dyDescent="0.2">
      <c r="A1056" s="530" t="s">
        <v>941</v>
      </c>
      <c r="B1056" s="530"/>
      <c r="C1056" s="531" t="s">
        <v>942</v>
      </c>
      <c r="D1056" s="531"/>
      <c r="E1056" s="531"/>
      <c r="F1056" s="531"/>
      <c r="G1056" s="531"/>
      <c r="I1056" s="532">
        <v>42766</v>
      </c>
      <c r="J1056" s="532"/>
      <c r="K1056" s="533">
        <v>2208.23</v>
      </c>
      <c r="L1056" s="533"/>
      <c r="M1056" s="533">
        <v>1620.23</v>
      </c>
      <c r="N1056" s="533"/>
      <c r="O1056" s="533">
        <v>0</v>
      </c>
      <c r="P1056" s="533"/>
      <c r="Q1056" s="533">
        <v>0</v>
      </c>
      <c r="R1056" s="533"/>
      <c r="S1056" s="1">
        <v>20</v>
      </c>
      <c r="T1056" s="2" t="s">
        <v>289</v>
      </c>
      <c r="U1056" s="533">
        <v>136</v>
      </c>
      <c r="V1056" s="533"/>
      <c r="W1056" s="533">
        <v>1484.23</v>
      </c>
      <c r="X1056" s="533"/>
    </row>
    <row r="1057" spans="1:24" ht="15" customHeight="1" x14ac:dyDescent="0.2">
      <c r="A1057" s="534" t="s">
        <v>285</v>
      </c>
      <c r="B1057" s="534"/>
      <c r="D1057" s="534" t="s">
        <v>286</v>
      </c>
      <c r="E1057" s="534"/>
      <c r="F1057" s="534"/>
      <c r="G1057" s="534"/>
      <c r="H1057" s="534"/>
      <c r="I1057" s="534"/>
      <c r="J1057" s="534"/>
      <c r="K1057" s="534"/>
      <c r="L1057" s="534"/>
      <c r="M1057" s="534"/>
      <c r="N1057" s="534"/>
      <c r="O1057" s="534"/>
      <c r="P1057" s="534"/>
      <c r="Q1057" s="534"/>
      <c r="R1057" s="534"/>
      <c r="S1057" s="534"/>
      <c r="T1057" s="534"/>
      <c r="U1057" s="534"/>
      <c r="V1057" s="534"/>
    </row>
    <row r="1058" spans="1:24" ht="0.75" customHeight="1" x14ac:dyDescent="0.2"/>
    <row r="1059" spans="1:24" ht="13.5" customHeight="1" x14ac:dyDescent="0.2">
      <c r="A1059" s="530" t="s">
        <v>943</v>
      </c>
      <c r="B1059" s="530"/>
      <c r="C1059" s="531" t="s">
        <v>944</v>
      </c>
      <c r="D1059" s="531"/>
      <c r="E1059" s="531"/>
      <c r="F1059" s="531"/>
      <c r="G1059" s="531"/>
      <c r="I1059" s="532">
        <v>42775</v>
      </c>
      <c r="J1059" s="532"/>
      <c r="K1059" s="533">
        <v>14147.26</v>
      </c>
      <c r="L1059" s="533"/>
      <c r="M1059" s="533">
        <v>12237.26</v>
      </c>
      <c r="N1059" s="533"/>
      <c r="O1059" s="533">
        <v>0</v>
      </c>
      <c r="P1059" s="533"/>
      <c r="Q1059" s="533">
        <v>0</v>
      </c>
      <c r="R1059" s="533"/>
      <c r="S1059" s="1">
        <v>10</v>
      </c>
      <c r="T1059" s="2" t="s">
        <v>289</v>
      </c>
      <c r="U1059" s="533">
        <v>513</v>
      </c>
      <c r="V1059" s="533"/>
      <c r="W1059" s="533">
        <v>11724.26</v>
      </c>
      <c r="X1059" s="533"/>
    </row>
    <row r="1060" spans="1:24" ht="0.75" customHeight="1" x14ac:dyDescent="0.2"/>
    <row r="1061" spans="1:24" ht="13.5" customHeight="1" x14ac:dyDescent="0.2">
      <c r="A1061" s="530" t="s">
        <v>945</v>
      </c>
      <c r="B1061" s="530"/>
      <c r="C1061" s="531" t="s">
        <v>946</v>
      </c>
      <c r="D1061" s="531"/>
      <c r="E1061" s="531"/>
      <c r="F1061" s="531"/>
      <c r="G1061" s="531"/>
      <c r="I1061" s="532">
        <v>42837</v>
      </c>
      <c r="J1061" s="532"/>
      <c r="K1061" s="533">
        <v>5000</v>
      </c>
      <c r="L1061" s="533"/>
      <c r="M1061" s="533">
        <v>3348</v>
      </c>
      <c r="N1061" s="533"/>
      <c r="O1061" s="533">
        <v>0</v>
      </c>
      <c r="P1061" s="533"/>
      <c r="Q1061" s="533">
        <v>0</v>
      </c>
      <c r="R1061" s="533"/>
      <c r="S1061" s="1">
        <v>28.57</v>
      </c>
      <c r="T1061" s="2" t="s">
        <v>289</v>
      </c>
      <c r="U1061" s="533">
        <v>401</v>
      </c>
      <c r="V1061" s="533"/>
      <c r="W1061" s="533">
        <v>2947</v>
      </c>
      <c r="X1061" s="533"/>
    </row>
    <row r="1062" spans="1:24" ht="0.75" customHeight="1" x14ac:dyDescent="0.2"/>
    <row r="1063" spans="1:24" ht="13.5" customHeight="1" x14ac:dyDescent="0.2">
      <c r="A1063" s="530" t="s">
        <v>947</v>
      </c>
      <c r="B1063" s="530"/>
      <c r="C1063" s="531" t="s">
        <v>948</v>
      </c>
      <c r="D1063" s="531"/>
      <c r="E1063" s="531"/>
      <c r="F1063" s="531"/>
      <c r="G1063" s="531"/>
      <c r="I1063" s="532">
        <v>42905</v>
      </c>
      <c r="J1063" s="532"/>
      <c r="K1063" s="533">
        <v>3505.09</v>
      </c>
      <c r="L1063" s="533"/>
      <c r="M1063" s="533">
        <v>2075.09</v>
      </c>
      <c r="N1063" s="533"/>
      <c r="O1063" s="533">
        <v>0</v>
      </c>
      <c r="P1063" s="533"/>
      <c r="Q1063" s="533">
        <v>0</v>
      </c>
      <c r="R1063" s="533"/>
      <c r="S1063" s="1">
        <v>40</v>
      </c>
      <c r="T1063" s="2" t="s">
        <v>289</v>
      </c>
      <c r="U1063" s="533">
        <v>348</v>
      </c>
      <c r="V1063" s="533"/>
      <c r="W1063" s="533">
        <v>1727.0900000000001</v>
      </c>
      <c r="X1063" s="533"/>
    </row>
    <row r="1064" spans="1:24" ht="0.75" customHeight="1" x14ac:dyDescent="0.2"/>
    <row r="1065" spans="1:24" ht="13.5" customHeight="1" x14ac:dyDescent="0.2">
      <c r="A1065" s="530" t="s">
        <v>949</v>
      </c>
      <c r="B1065" s="530"/>
      <c r="C1065" s="531" t="s">
        <v>950</v>
      </c>
      <c r="D1065" s="531"/>
      <c r="E1065" s="531"/>
      <c r="F1065" s="531"/>
      <c r="G1065" s="531"/>
      <c r="I1065" s="532">
        <v>42916</v>
      </c>
      <c r="J1065" s="532"/>
      <c r="K1065" s="533">
        <v>3906</v>
      </c>
      <c r="L1065" s="533"/>
      <c r="M1065" s="533">
        <v>3384</v>
      </c>
      <c r="N1065" s="533"/>
      <c r="O1065" s="533">
        <v>0</v>
      </c>
      <c r="P1065" s="533"/>
      <c r="Q1065" s="533">
        <v>0</v>
      </c>
      <c r="R1065" s="533"/>
      <c r="S1065" s="1">
        <v>13.33</v>
      </c>
      <c r="T1065" s="2" t="s">
        <v>289</v>
      </c>
      <c r="U1065" s="533">
        <v>189</v>
      </c>
      <c r="V1065" s="533"/>
      <c r="W1065" s="533">
        <v>3195</v>
      </c>
      <c r="X1065" s="533"/>
    </row>
    <row r="1066" spans="1:24" ht="0.75" customHeight="1" x14ac:dyDescent="0.2"/>
    <row r="1067" spans="1:24" ht="13.5" customHeight="1" x14ac:dyDescent="0.2">
      <c r="A1067" s="530" t="s">
        <v>951</v>
      </c>
      <c r="B1067" s="530"/>
      <c r="C1067" s="531" t="s">
        <v>952</v>
      </c>
      <c r="D1067" s="531"/>
      <c r="E1067" s="531"/>
      <c r="F1067" s="531"/>
      <c r="G1067" s="531"/>
      <c r="I1067" s="532">
        <v>42864</v>
      </c>
      <c r="J1067" s="532"/>
      <c r="K1067" s="533">
        <v>9572.5</v>
      </c>
      <c r="L1067" s="533"/>
      <c r="M1067" s="533">
        <v>7435.5</v>
      </c>
      <c r="N1067" s="533"/>
      <c r="O1067" s="533">
        <v>0</v>
      </c>
      <c r="P1067" s="533"/>
      <c r="Q1067" s="533">
        <v>0</v>
      </c>
      <c r="R1067" s="533"/>
      <c r="S1067" s="1">
        <v>20</v>
      </c>
      <c r="T1067" s="2" t="s">
        <v>289</v>
      </c>
      <c r="U1067" s="533">
        <v>623</v>
      </c>
      <c r="V1067" s="533"/>
      <c r="W1067" s="533">
        <v>6812.5</v>
      </c>
      <c r="X1067" s="533"/>
    </row>
    <row r="1068" spans="1:24" ht="0.75" customHeight="1" x14ac:dyDescent="0.2"/>
    <row r="1069" spans="1:24" ht="13.5" customHeight="1" x14ac:dyDescent="0.2">
      <c r="A1069" s="530" t="s">
        <v>953</v>
      </c>
      <c r="B1069" s="530"/>
      <c r="C1069" s="531" t="s">
        <v>954</v>
      </c>
      <c r="D1069" s="531"/>
      <c r="E1069" s="531"/>
      <c r="F1069" s="531"/>
      <c r="G1069" s="531"/>
      <c r="I1069" s="532">
        <v>42803</v>
      </c>
      <c r="J1069" s="532"/>
      <c r="K1069" s="533">
        <v>1170</v>
      </c>
      <c r="L1069" s="533"/>
      <c r="M1069" s="533">
        <v>614</v>
      </c>
      <c r="N1069" s="533"/>
      <c r="O1069" s="533">
        <v>0</v>
      </c>
      <c r="P1069" s="533"/>
      <c r="Q1069" s="533">
        <v>0</v>
      </c>
      <c r="R1069" s="533"/>
      <c r="S1069" s="1">
        <v>40</v>
      </c>
      <c r="T1069" s="2" t="s">
        <v>289</v>
      </c>
      <c r="U1069" s="533">
        <v>103</v>
      </c>
      <c r="V1069" s="533"/>
      <c r="W1069" s="533">
        <v>511</v>
      </c>
      <c r="X1069" s="533"/>
    </row>
    <row r="1070" spans="1:24" ht="0.75" customHeight="1" x14ac:dyDescent="0.2"/>
    <row r="1071" spans="1:24" ht="13.5" customHeight="1" x14ac:dyDescent="0.2">
      <c r="A1071" s="530" t="s">
        <v>955</v>
      </c>
      <c r="B1071" s="530"/>
      <c r="C1071" s="531" t="s">
        <v>956</v>
      </c>
      <c r="D1071" s="531"/>
      <c r="E1071" s="531"/>
      <c r="F1071" s="531"/>
      <c r="G1071" s="531"/>
      <c r="I1071" s="532">
        <v>42803</v>
      </c>
      <c r="J1071" s="532"/>
      <c r="K1071" s="533">
        <v>1320</v>
      </c>
      <c r="L1071" s="533"/>
      <c r="M1071" s="533">
        <v>693</v>
      </c>
      <c r="N1071" s="533"/>
      <c r="O1071" s="533">
        <v>0</v>
      </c>
      <c r="P1071" s="533"/>
      <c r="Q1071" s="533">
        <v>0</v>
      </c>
      <c r="R1071" s="533"/>
      <c r="S1071" s="1">
        <v>40</v>
      </c>
      <c r="T1071" s="2" t="s">
        <v>289</v>
      </c>
      <c r="U1071" s="533">
        <v>116</v>
      </c>
      <c r="V1071" s="533"/>
      <c r="W1071" s="533">
        <v>577</v>
      </c>
      <c r="X1071" s="533"/>
    </row>
    <row r="1072" spans="1:24" ht="0.75" customHeight="1" x14ac:dyDescent="0.2"/>
    <row r="1073" spans="1:24" ht="13.5" customHeight="1" x14ac:dyDescent="0.2">
      <c r="A1073" s="530" t="s">
        <v>957</v>
      </c>
      <c r="B1073" s="530"/>
      <c r="C1073" s="531" t="s">
        <v>958</v>
      </c>
      <c r="D1073" s="531"/>
      <c r="E1073" s="531"/>
      <c r="F1073" s="531"/>
      <c r="G1073" s="531"/>
      <c r="I1073" s="532">
        <v>42803</v>
      </c>
      <c r="J1073" s="532"/>
      <c r="K1073" s="533">
        <v>1192.5</v>
      </c>
      <c r="L1073" s="533"/>
      <c r="M1073" s="533">
        <v>626.5</v>
      </c>
      <c r="N1073" s="533"/>
      <c r="O1073" s="533">
        <v>0</v>
      </c>
      <c r="P1073" s="533"/>
      <c r="Q1073" s="533">
        <v>0</v>
      </c>
      <c r="R1073" s="533"/>
      <c r="S1073" s="1">
        <v>40</v>
      </c>
      <c r="T1073" s="2" t="s">
        <v>289</v>
      </c>
      <c r="U1073" s="533">
        <v>105</v>
      </c>
      <c r="V1073" s="533"/>
      <c r="W1073" s="533">
        <v>521.5</v>
      </c>
      <c r="X1073" s="533"/>
    </row>
    <row r="1074" spans="1:24" ht="0.75" customHeight="1" x14ac:dyDescent="0.2"/>
    <row r="1075" spans="1:24" ht="13.5" customHeight="1" x14ac:dyDescent="0.2">
      <c r="A1075" s="530" t="s">
        <v>959</v>
      </c>
      <c r="B1075" s="530"/>
      <c r="C1075" s="531" t="s">
        <v>960</v>
      </c>
      <c r="D1075" s="531"/>
      <c r="E1075" s="531"/>
      <c r="F1075" s="531"/>
      <c r="G1075" s="531"/>
      <c r="I1075" s="532">
        <v>42978</v>
      </c>
      <c r="J1075" s="532"/>
      <c r="K1075" s="533">
        <v>3300</v>
      </c>
      <c r="L1075" s="533"/>
      <c r="M1075" s="533">
        <v>2934</v>
      </c>
      <c r="N1075" s="533"/>
      <c r="O1075" s="533">
        <v>0</v>
      </c>
      <c r="P1075" s="533"/>
      <c r="Q1075" s="533">
        <v>0</v>
      </c>
      <c r="R1075" s="533"/>
      <c r="S1075" s="1">
        <v>13.33</v>
      </c>
      <c r="T1075" s="2" t="s">
        <v>289</v>
      </c>
      <c r="U1075" s="533">
        <v>164</v>
      </c>
      <c r="V1075" s="533"/>
      <c r="W1075" s="533">
        <v>2770</v>
      </c>
      <c r="X1075" s="533"/>
    </row>
    <row r="1076" spans="1:24" ht="0.75" customHeight="1" x14ac:dyDescent="0.2"/>
    <row r="1077" spans="1:24" ht="13.5" customHeight="1" x14ac:dyDescent="0.2">
      <c r="A1077" s="530" t="s">
        <v>961</v>
      </c>
      <c r="B1077" s="530"/>
      <c r="C1077" s="531" t="s">
        <v>962</v>
      </c>
      <c r="D1077" s="531"/>
      <c r="E1077" s="531"/>
      <c r="F1077" s="531"/>
      <c r="G1077" s="531"/>
      <c r="I1077" s="532">
        <v>43057</v>
      </c>
      <c r="J1077" s="532"/>
      <c r="K1077" s="533">
        <v>7000</v>
      </c>
      <c r="L1077" s="533"/>
      <c r="M1077" s="533">
        <v>6425</v>
      </c>
      <c r="N1077" s="533"/>
      <c r="O1077" s="533">
        <v>0</v>
      </c>
      <c r="P1077" s="533"/>
      <c r="Q1077" s="533">
        <v>0</v>
      </c>
      <c r="R1077" s="533"/>
      <c r="S1077" s="1">
        <v>13.33</v>
      </c>
      <c r="T1077" s="2" t="s">
        <v>289</v>
      </c>
      <c r="U1077" s="533">
        <v>359</v>
      </c>
      <c r="V1077" s="533"/>
      <c r="W1077" s="533">
        <v>6066</v>
      </c>
      <c r="X1077" s="533"/>
    </row>
    <row r="1078" spans="1:24" ht="0.75" customHeight="1" x14ac:dyDescent="0.2"/>
    <row r="1079" spans="1:24" ht="13.5" customHeight="1" x14ac:dyDescent="0.2">
      <c r="A1079" s="530" t="s">
        <v>963</v>
      </c>
      <c r="B1079" s="530"/>
      <c r="C1079" s="531" t="s">
        <v>964</v>
      </c>
      <c r="D1079" s="531"/>
      <c r="E1079" s="531"/>
      <c r="F1079" s="531"/>
      <c r="G1079" s="531"/>
      <c r="I1079" s="532">
        <v>43088</v>
      </c>
      <c r="J1079" s="532"/>
      <c r="K1079" s="533">
        <v>30000</v>
      </c>
      <c r="L1079" s="533"/>
      <c r="M1079" s="533">
        <v>27874</v>
      </c>
      <c r="N1079" s="533"/>
      <c r="O1079" s="533">
        <v>0</v>
      </c>
      <c r="P1079" s="533"/>
      <c r="Q1079" s="533">
        <v>0</v>
      </c>
      <c r="R1079" s="533"/>
      <c r="S1079" s="1">
        <v>13.33</v>
      </c>
      <c r="T1079" s="2" t="s">
        <v>289</v>
      </c>
      <c r="U1079" s="533">
        <v>1558</v>
      </c>
      <c r="V1079" s="533"/>
      <c r="W1079" s="533">
        <v>26316</v>
      </c>
      <c r="X1079" s="533"/>
    </row>
    <row r="1080" spans="1:24" ht="0.75" customHeight="1" x14ac:dyDescent="0.2"/>
    <row r="1081" spans="1:24" ht="13.5" customHeight="1" x14ac:dyDescent="0.2">
      <c r="A1081" s="530" t="s">
        <v>965</v>
      </c>
      <c r="B1081" s="530"/>
      <c r="C1081" s="531" t="s">
        <v>966</v>
      </c>
      <c r="D1081" s="531"/>
      <c r="E1081" s="531"/>
      <c r="F1081" s="531"/>
      <c r="G1081" s="531"/>
      <c r="I1081" s="532">
        <v>43147</v>
      </c>
      <c r="J1081" s="532"/>
      <c r="K1081" s="533">
        <v>10000</v>
      </c>
      <c r="L1081" s="533"/>
      <c r="M1081" s="533">
        <v>9507</v>
      </c>
      <c r="N1081" s="533"/>
      <c r="O1081" s="533">
        <v>0</v>
      </c>
      <c r="P1081" s="533"/>
      <c r="Q1081" s="533">
        <v>0</v>
      </c>
      <c r="R1081" s="533"/>
      <c r="S1081" s="1">
        <v>13.33</v>
      </c>
      <c r="T1081" s="2" t="s">
        <v>289</v>
      </c>
      <c r="U1081" s="533">
        <v>531</v>
      </c>
      <c r="V1081" s="533"/>
      <c r="W1081" s="533">
        <v>8976</v>
      </c>
      <c r="X1081" s="533"/>
    </row>
    <row r="1082" spans="1:24" ht="0.75" customHeight="1" x14ac:dyDescent="0.2"/>
    <row r="1083" spans="1:24" ht="13.5" customHeight="1" x14ac:dyDescent="0.2">
      <c r="A1083" s="530" t="s">
        <v>967</v>
      </c>
      <c r="B1083" s="530"/>
      <c r="C1083" s="531" t="s">
        <v>968</v>
      </c>
      <c r="D1083" s="531"/>
      <c r="E1083" s="531"/>
      <c r="F1083" s="531"/>
      <c r="G1083" s="531"/>
      <c r="I1083" s="532">
        <v>43223</v>
      </c>
      <c r="J1083" s="532"/>
      <c r="K1083" s="533">
        <v>12717</v>
      </c>
      <c r="L1083" s="533"/>
      <c r="M1083" s="533">
        <v>12443</v>
      </c>
      <c r="N1083" s="533"/>
      <c r="O1083" s="533">
        <v>0</v>
      </c>
      <c r="P1083" s="533"/>
      <c r="Q1083" s="533">
        <v>0</v>
      </c>
      <c r="R1083" s="533"/>
      <c r="S1083" s="1">
        <v>13.33</v>
      </c>
      <c r="T1083" s="2" t="s">
        <v>289</v>
      </c>
      <c r="U1083" s="533">
        <v>695</v>
      </c>
      <c r="V1083" s="533"/>
      <c r="W1083" s="533">
        <v>11748</v>
      </c>
      <c r="X1083" s="533"/>
    </row>
    <row r="1084" spans="1:24" ht="0.75" customHeight="1" x14ac:dyDescent="0.2"/>
    <row r="1085" spans="1:24" ht="13.5" customHeight="1" x14ac:dyDescent="0.2">
      <c r="A1085" s="530" t="s">
        <v>969</v>
      </c>
      <c r="B1085" s="530"/>
      <c r="C1085" s="531" t="s">
        <v>970</v>
      </c>
      <c r="D1085" s="531"/>
      <c r="E1085" s="531"/>
      <c r="F1085" s="531"/>
      <c r="G1085" s="531"/>
      <c r="I1085" s="532">
        <v>43223</v>
      </c>
      <c r="J1085" s="532"/>
      <c r="K1085" s="533">
        <v>12717</v>
      </c>
      <c r="L1085" s="533"/>
      <c r="M1085" s="533">
        <v>12443</v>
      </c>
      <c r="N1085" s="533"/>
      <c r="O1085" s="533">
        <v>0</v>
      </c>
      <c r="P1085" s="533"/>
      <c r="Q1085" s="533">
        <v>-1240</v>
      </c>
      <c r="R1085" s="533"/>
      <c r="S1085" s="1">
        <v>13.33</v>
      </c>
      <c r="T1085" s="2" t="s">
        <v>289</v>
      </c>
      <c r="U1085" s="533">
        <v>141</v>
      </c>
      <c r="V1085" s="533"/>
      <c r="W1085" s="533">
        <v>0</v>
      </c>
      <c r="X1085" s="533"/>
    </row>
    <row r="1086" spans="1:24" ht="13.5" customHeight="1" x14ac:dyDescent="0.2">
      <c r="I1086" s="537">
        <v>43312</v>
      </c>
      <c r="J1086" s="537"/>
      <c r="N1086" s="533">
        <v>-11062</v>
      </c>
      <c r="O1086" s="533"/>
    </row>
    <row r="1087" spans="1:24" ht="0.75" customHeight="1" x14ac:dyDescent="0.2"/>
    <row r="1088" spans="1:24" ht="13.5" customHeight="1" x14ac:dyDescent="0.2">
      <c r="A1088" s="530" t="s">
        <v>971</v>
      </c>
      <c r="B1088" s="530"/>
      <c r="C1088" s="531" t="s">
        <v>972</v>
      </c>
      <c r="D1088" s="531"/>
      <c r="E1088" s="531"/>
      <c r="F1088" s="531"/>
      <c r="G1088" s="531"/>
      <c r="I1088" s="532">
        <v>42917</v>
      </c>
      <c r="J1088" s="532"/>
      <c r="K1088" s="533">
        <v>1000</v>
      </c>
      <c r="L1088" s="533"/>
      <c r="M1088" s="533">
        <v>933</v>
      </c>
      <c r="N1088" s="533"/>
      <c r="O1088" s="533">
        <v>0</v>
      </c>
      <c r="P1088" s="533"/>
      <c r="Q1088" s="533">
        <v>0</v>
      </c>
      <c r="R1088" s="533"/>
      <c r="S1088" s="1">
        <v>6.67</v>
      </c>
      <c r="T1088" s="2" t="s">
        <v>289</v>
      </c>
      <c r="U1088" s="533">
        <v>26</v>
      </c>
      <c r="V1088" s="533"/>
      <c r="W1088" s="533">
        <v>907</v>
      </c>
      <c r="X1088" s="533"/>
    </row>
    <row r="1089" spans="1:24" ht="0.75" customHeight="1" x14ac:dyDescent="0.2"/>
    <row r="1090" spans="1:24" ht="13.5" customHeight="1" x14ac:dyDescent="0.2">
      <c r="A1090" s="530" t="s">
        <v>973</v>
      </c>
      <c r="B1090" s="530"/>
      <c r="C1090" s="531" t="s">
        <v>974</v>
      </c>
      <c r="D1090" s="531"/>
      <c r="E1090" s="531"/>
      <c r="F1090" s="531"/>
      <c r="G1090" s="531"/>
      <c r="I1090" s="532">
        <v>42917</v>
      </c>
      <c r="J1090" s="532"/>
      <c r="K1090" s="533">
        <v>2240</v>
      </c>
      <c r="L1090" s="533"/>
      <c r="M1090" s="533">
        <v>2091</v>
      </c>
      <c r="N1090" s="533"/>
      <c r="O1090" s="533">
        <v>0</v>
      </c>
      <c r="P1090" s="533"/>
      <c r="Q1090" s="533">
        <v>0</v>
      </c>
      <c r="R1090" s="533"/>
      <c r="S1090" s="1">
        <v>6.67</v>
      </c>
      <c r="T1090" s="2" t="s">
        <v>289</v>
      </c>
      <c r="U1090" s="533">
        <v>58</v>
      </c>
      <c r="V1090" s="533"/>
      <c r="W1090" s="533">
        <v>2033</v>
      </c>
      <c r="X1090" s="533"/>
    </row>
    <row r="1091" spans="1:24" ht="0.75" customHeight="1" x14ac:dyDescent="0.2"/>
    <row r="1092" spans="1:24" ht="13.5" customHeight="1" x14ac:dyDescent="0.2">
      <c r="A1092" s="530" t="s">
        <v>975</v>
      </c>
      <c r="B1092" s="530"/>
      <c r="C1092" s="531" t="s">
        <v>976</v>
      </c>
      <c r="D1092" s="531"/>
      <c r="E1092" s="531"/>
      <c r="F1092" s="531"/>
      <c r="G1092" s="531"/>
      <c r="I1092" s="532">
        <v>43008</v>
      </c>
      <c r="J1092" s="532"/>
      <c r="K1092" s="533">
        <v>1858.5</v>
      </c>
      <c r="L1092" s="533"/>
      <c r="M1092" s="533">
        <v>1672.5</v>
      </c>
      <c r="N1092" s="533"/>
      <c r="O1092" s="533">
        <v>0</v>
      </c>
      <c r="P1092" s="533"/>
      <c r="Q1092" s="533">
        <v>0</v>
      </c>
      <c r="R1092" s="533"/>
      <c r="S1092" s="1">
        <v>13.33</v>
      </c>
      <c r="T1092" s="2" t="s">
        <v>289</v>
      </c>
      <c r="U1092" s="533">
        <v>93</v>
      </c>
      <c r="V1092" s="533"/>
      <c r="W1092" s="533">
        <v>1579.5</v>
      </c>
      <c r="X1092" s="533"/>
    </row>
    <row r="1093" spans="1:24" ht="0.75" customHeight="1" x14ac:dyDescent="0.2"/>
    <row r="1094" spans="1:24" ht="13.5" customHeight="1" x14ac:dyDescent="0.2">
      <c r="A1094" s="530" t="s">
        <v>977</v>
      </c>
      <c r="B1094" s="530"/>
      <c r="C1094" s="531" t="s">
        <v>978</v>
      </c>
      <c r="D1094" s="531"/>
      <c r="E1094" s="531"/>
      <c r="F1094" s="531"/>
      <c r="G1094" s="531"/>
      <c r="I1094" s="532">
        <v>43069</v>
      </c>
      <c r="J1094" s="532"/>
      <c r="K1094" s="533">
        <v>3843</v>
      </c>
      <c r="L1094" s="533"/>
      <c r="M1094" s="533">
        <v>3544</v>
      </c>
      <c r="N1094" s="533"/>
      <c r="O1094" s="533">
        <v>0</v>
      </c>
      <c r="P1094" s="533"/>
      <c r="Q1094" s="533">
        <v>0</v>
      </c>
      <c r="R1094" s="533"/>
      <c r="S1094" s="1">
        <v>13.33</v>
      </c>
      <c r="T1094" s="2" t="s">
        <v>289</v>
      </c>
      <c r="U1094" s="533">
        <v>198</v>
      </c>
      <c r="V1094" s="533"/>
      <c r="W1094" s="533">
        <v>3346</v>
      </c>
      <c r="X1094" s="533"/>
    </row>
    <row r="1095" spans="1:24" ht="0.75" customHeight="1" x14ac:dyDescent="0.2"/>
    <row r="1096" spans="1:24" ht="13.5" customHeight="1" x14ac:dyDescent="0.2">
      <c r="A1096" s="530" t="s">
        <v>979</v>
      </c>
      <c r="B1096" s="530"/>
      <c r="C1096" s="525" t="s">
        <v>980</v>
      </c>
      <c r="D1096" s="525"/>
      <c r="E1096" s="525"/>
      <c r="F1096" s="525"/>
      <c r="G1096" s="525"/>
      <c r="I1096" s="532">
        <v>43131</v>
      </c>
      <c r="J1096" s="532"/>
      <c r="K1096" s="533">
        <v>3024</v>
      </c>
      <c r="L1096" s="533"/>
      <c r="M1096" s="533">
        <v>2774</v>
      </c>
      <c r="N1096" s="533"/>
      <c r="O1096" s="533">
        <v>0</v>
      </c>
      <c r="P1096" s="533"/>
      <c r="Q1096" s="533">
        <v>0</v>
      </c>
      <c r="R1096" s="533"/>
      <c r="S1096" s="1">
        <v>20</v>
      </c>
      <c r="T1096" s="2" t="s">
        <v>289</v>
      </c>
      <c r="U1096" s="533">
        <v>233</v>
      </c>
      <c r="V1096" s="533"/>
      <c r="W1096" s="533">
        <v>2541</v>
      </c>
      <c r="X1096" s="533"/>
    </row>
    <row r="1097" spans="1:24" ht="12" customHeight="1" x14ac:dyDescent="0.2">
      <c r="C1097" s="525"/>
      <c r="D1097" s="525"/>
      <c r="E1097" s="525"/>
      <c r="F1097" s="525"/>
      <c r="G1097" s="525"/>
    </row>
    <row r="1098" spans="1:24" ht="13.5" customHeight="1" x14ac:dyDescent="0.2">
      <c r="A1098" s="530" t="s">
        <v>981</v>
      </c>
      <c r="B1098" s="530"/>
      <c r="C1098" s="531" t="s">
        <v>982</v>
      </c>
      <c r="D1098" s="531"/>
      <c r="E1098" s="531"/>
      <c r="F1098" s="531"/>
      <c r="G1098" s="531"/>
      <c r="I1098" s="532">
        <v>43131</v>
      </c>
      <c r="J1098" s="532"/>
      <c r="K1098" s="533">
        <v>1386</v>
      </c>
      <c r="L1098" s="533"/>
      <c r="M1098" s="533">
        <v>1271</v>
      </c>
      <c r="N1098" s="533"/>
      <c r="O1098" s="533">
        <v>0</v>
      </c>
      <c r="P1098" s="533"/>
      <c r="Q1098" s="533">
        <v>0</v>
      </c>
      <c r="R1098" s="533"/>
      <c r="S1098" s="1">
        <v>20</v>
      </c>
      <c r="T1098" s="2" t="s">
        <v>289</v>
      </c>
      <c r="U1098" s="533">
        <v>107</v>
      </c>
      <c r="V1098" s="533"/>
      <c r="W1098" s="533">
        <v>1164</v>
      </c>
      <c r="X1098" s="533"/>
    </row>
    <row r="1099" spans="1:24" ht="0.75" customHeight="1" x14ac:dyDescent="0.2"/>
    <row r="1100" spans="1:24" ht="13.5" customHeight="1" x14ac:dyDescent="0.2">
      <c r="A1100" s="530" t="s">
        <v>983</v>
      </c>
      <c r="B1100" s="530"/>
      <c r="C1100" s="531" t="s">
        <v>984</v>
      </c>
      <c r="D1100" s="531"/>
      <c r="E1100" s="531"/>
      <c r="F1100" s="531"/>
      <c r="G1100" s="531"/>
      <c r="I1100" s="532">
        <v>43145</v>
      </c>
      <c r="J1100" s="532"/>
      <c r="K1100" s="533">
        <v>13800</v>
      </c>
      <c r="L1100" s="533"/>
      <c r="M1100" s="533">
        <v>13109</v>
      </c>
      <c r="N1100" s="533"/>
      <c r="O1100" s="533">
        <v>0</v>
      </c>
      <c r="P1100" s="533"/>
      <c r="Q1100" s="533">
        <v>0</v>
      </c>
      <c r="R1100" s="533"/>
      <c r="S1100" s="1">
        <v>13.33</v>
      </c>
      <c r="T1100" s="2" t="s">
        <v>289</v>
      </c>
      <c r="U1100" s="533">
        <v>733</v>
      </c>
      <c r="V1100" s="533"/>
      <c r="W1100" s="533">
        <v>12376</v>
      </c>
      <c r="X1100" s="533"/>
    </row>
    <row r="1101" spans="1:24" ht="0.75" customHeight="1" x14ac:dyDescent="0.2"/>
    <row r="1102" spans="1:24" ht="13.5" customHeight="1" x14ac:dyDescent="0.2">
      <c r="A1102" s="530" t="s">
        <v>985</v>
      </c>
      <c r="B1102" s="530"/>
      <c r="C1102" s="531" t="s">
        <v>986</v>
      </c>
      <c r="D1102" s="531"/>
      <c r="E1102" s="531"/>
      <c r="F1102" s="531"/>
      <c r="G1102" s="531"/>
      <c r="I1102" s="532">
        <v>43145</v>
      </c>
      <c r="J1102" s="532"/>
      <c r="K1102" s="533">
        <v>4469.54</v>
      </c>
      <c r="L1102" s="533"/>
      <c r="M1102" s="533">
        <v>4245.54</v>
      </c>
      <c r="N1102" s="533"/>
      <c r="O1102" s="533">
        <v>0</v>
      </c>
      <c r="P1102" s="533"/>
      <c r="Q1102" s="533">
        <v>0</v>
      </c>
      <c r="R1102" s="533"/>
      <c r="S1102" s="1">
        <v>13.33</v>
      </c>
      <c r="T1102" s="2" t="s">
        <v>289</v>
      </c>
      <c r="U1102" s="533">
        <v>237</v>
      </c>
      <c r="V1102" s="533"/>
      <c r="W1102" s="533">
        <v>4008.54</v>
      </c>
      <c r="X1102" s="533"/>
    </row>
    <row r="1103" spans="1:24" ht="0.75" customHeight="1" x14ac:dyDescent="0.2"/>
    <row r="1104" spans="1:24" ht="13.5" customHeight="1" x14ac:dyDescent="0.2">
      <c r="A1104" s="530" t="s">
        <v>987</v>
      </c>
      <c r="B1104" s="530"/>
      <c r="C1104" s="531" t="s">
        <v>988</v>
      </c>
      <c r="D1104" s="531"/>
      <c r="E1104" s="531"/>
      <c r="F1104" s="531"/>
      <c r="G1104" s="531"/>
      <c r="I1104" s="532">
        <v>43145</v>
      </c>
      <c r="J1104" s="532"/>
      <c r="K1104" s="533">
        <v>7285.6</v>
      </c>
      <c r="L1104" s="533"/>
      <c r="M1104" s="533">
        <v>6920.6</v>
      </c>
      <c r="N1104" s="533"/>
      <c r="O1104" s="533">
        <v>0</v>
      </c>
      <c r="P1104" s="533"/>
      <c r="Q1104" s="533">
        <v>0</v>
      </c>
      <c r="R1104" s="533"/>
      <c r="S1104" s="1">
        <v>13.33</v>
      </c>
      <c r="T1104" s="2" t="s">
        <v>289</v>
      </c>
      <c r="U1104" s="533">
        <v>387</v>
      </c>
      <c r="V1104" s="533"/>
      <c r="W1104" s="533">
        <v>6533.6</v>
      </c>
      <c r="X1104" s="533"/>
    </row>
    <row r="1105" spans="1:24" ht="0.75" customHeight="1" x14ac:dyDescent="0.2"/>
    <row r="1106" spans="1:24" ht="13.5" customHeight="1" x14ac:dyDescent="0.2">
      <c r="A1106" s="530" t="s">
        <v>989</v>
      </c>
      <c r="B1106" s="530"/>
      <c r="C1106" s="531" t="s">
        <v>990</v>
      </c>
      <c r="D1106" s="531"/>
      <c r="E1106" s="531"/>
      <c r="F1106" s="531"/>
      <c r="G1106" s="531"/>
      <c r="I1106" s="532">
        <v>43158</v>
      </c>
      <c r="J1106" s="532"/>
      <c r="K1106" s="533">
        <v>2072.7200000000003</v>
      </c>
      <c r="L1106" s="533"/>
      <c r="M1106" s="533">
        <v>1978.72</v>
      </c>
      <c r="N1106" s="533"/>
      <c r="O1106" s="533">
        <v>0</v>
      </c>
      <c r="P1106" s="533"/>
      <c r="Q1106" s="533">
        <v>0</v>
      </c>
      <c r="R1106" s="533"/>
      <c r="S1106" s="1">
        <v>13.33</v>
      </c>
      <c r="T1106" s="2" t="s">
        <v>289</v>
      </c>
      <c r="U1106" s="533">
        <v>111</v>
      </c>
      <c r="V1106" s="533"/>
      <c r="W1106" s="533">
        <v>1867.72</v>
      </c>
      <c r="X1106" s="533"/>
    </row>
    <row r="1107" spans="1:24" ht="0.75" customHeight="1" x14ac:dyDescent="0.2"/>
    <row r="1108" spans="1:24" ht="13.5" customHeight="1" x14ac:dyDescent="0.2">
      <c r="A1108" s="530" t="s">
        <v>991</v>
      </c>
      <c r="B1108" s="530"/>
      <c r="C1108" s="525" t="s">
        <v>992</v>
      </c>
      <c r="D1108" s="525"/>
      <c r="E1108" s="525"/>
      <c r="F1108" s="525"/>
      <c r="G1108" s="525"/>
      <c r="I1108" s="532">
        <v>43159</v>
      </c>
      <c r="J1108" s="532"/>
      <c r="K1108" s="533">
        <v>2976</v>
      </c>
      <c r="L1108" s="533"/>
      <c r="M1108" s="533">
        <v>2775</v>
      </c>
      <c r="N1108" s="533"/>
      <c r="O1108" s="533">
        <v>0</v>
      </c>
      <c r="P1108" s="533"/>
      <c r="Q1108" s="533">
        <v>0</v>
      </c>
      <c r="R1108" s="533"/>
      <c r="S1108" s="1">
        <v>20</v>
      </c>
      <c r="T1108" s="2" t="s">
        <v>289</v>
      </c>
      <c r="U1108" s="533">
        <v>233</v>
      </c>
      <c r="V1108" s="533"/>
      <c r="W1108" s="533">
        <v>2542</v>
      </c>
      <c r="X1108" s="533"/>
    </row>
    <row r="1109" spans="1:24" ht="12" customHeight="1" x14ac:dyDescent="0.2">
      <c r="C1109" s="525"/>
      <c r="D1109" s="525"/>
      <c r="E1109" s="525"/>
      <c r="F1109" s="525"/>
      <c r="G1109" s="525"/>
    </row>
    <row r="1110" spans="1:24" ht="13.5" customHeight="1" x14ac:dyDescent="0.2">
      <c r="A1110" s="530" t="s">
        <v>993</v>
      </c>
      <c r="B1110" s="530"/>
      <c r="C1110" s="525" t="s">
        <v>994</v>
      </c>
      <c r="D1110" s="525"/>
      <c r="E1110" s="525"/>
      <c r="F1110" s="525"/>
      <c r="G1110" s="525"/>
      <c r="I1110" s="532">
        <v>43159</v>
      </c>
      <c r="J1110" s="532"/>
      <c r="K1110" s="533">
        <v>1860</v>
      </c>
      <c r="L1110" s="533"/>
      <c r="M1110" s="533">
        <v>1735</v>
      </c>
      <c r="N1110" s="533"/>
      <c r="O1110" s="533">
        <v>0</v>
      </c>
      <c r="P1110" s="533"/>
      <c r="Q1110" s="533">
        <v>0</v>
      </c>
      <c r="R1110" s="533"/>
      <c r="S1110" s="1">
        <v>20</v>
      </c>
      <c r="T1110" s="2" t="s">
        <v>289</v>
      </c>
      <c r="U1110" s="533">
        <v>145</v>
      </c>
      <c r="V1110" s="533"/>
      <c r="W1110" s="533">
        <v>1590</v>
      </c>
      <c r="X1110" s="533"/>
    </row>
    <row r="1111" spans="1:24" ht="12" customHeight="1" x14ac:dyDescent="0.2">
      <c r="C1111" s="525"/>
      <c r="D1111" s="525"/>
      <c r="E1111" s="525"/>
      <c r="F1111" s="525"/>
      <c r="G1111" s="525"/>
    </row>
    <row r="1112" spans="1:24" ht="13.5" customHeight="1" x14ac:dyDescent="0.2">
      <c r="A1112" s="530" t="s">
        <v>995</v>
      </c>
      <c r="B1112" s="530"/>
      <c r="C1112" s="525" t="s">
        <v>996</v>
      </c>
      <c r="D1112" s="525"/>
      <c r="E1112" s="525"/>
      <c r="F1112" s="525"/>
      <c r="G1112" s="525"/>
      <c r="I1112" s="532">
        <v>43159</v>
      </c>
      <c r="J1112" s="532"/>
      <c r="K1112" s="533">
        <v>5650</v>
      </c>
      <c r="L1112" s="533"/>
      <c r="M1112" s="533">
        <v>5523</v>
      </c>
      <c r="N1112" s="533"/>
      <c r="O1112" s="533">
        <v>0</v>
      </c>
      <c r="P1112" s="533"/>
      <c r="Q1112" s="533">
        <v>0</v>
      </c>
      <c r="R1112" s="533"/>
      <c r="S1112" s="1">
        <v>6.67</v>
      </c>
      <c r="T1112" s="2" t="s">
        <v>289</v>
      </c>
      <c r="U1112" s="533">
        <v>154</v>
      </c>
      <c r="V1112" s="533"/>
      <c r="W1112" s="533">
        <v>5369</v>
      </c>
      <c r="X1112" s="533"/>
    </row>
    <row r="1113" spans="1:24" ht="12" customHeight="1" x14ac:dyDescent="0.2">
      <c r="C1113" s="525"/>
      <c r="D1113" s="525"/>
      <c r="E1113" s="525"/>
      <c r="F1113" s="525"/>
      <c r="G1113" s="525"/>
    </row>
    <row r="1114" spans="1:24" ht="13.5" customHeight="1" x14ac:dyDescent="0.2">
      <c r="A1114" s="530" t="s">
        <v>997</v>
      </c>
      <c r="B1114" s="530"/>
      <c r="C1114" s="525" t="s">
        <v>996</v>
      </c>
      <c r="D1114" s="525"/>
      <c r="E1114" s="525"/>
      <c r="F1114" s="525"/>
      <c r="G1114" s="525"/>
      <c r="I1114" s="532">
        <v>43159</v>
      </c>
      <c r="J1114" s="532"/>
      <c r="K1114" s="533">
        <v>9300</v>
      </c>
      <c r="L1114" s="533"/>
      <c r="M1114" s="533">
        <v>9091</v>
      </c>
      <c r="N1114" s="533"/>
      <c r="O1114" s="533">
        <v>0</v>
      </c>
      <c r="P1114" s="533"/>
      <c r="Q1114" s="533">
        <v>0</v>
      </c>
      <c r="R1114" s="533"/>
      <c r="S1114" s="1">
        <v>6.67</v>
      </c>
      <c r="T1114" s="2" t="s">
        <v>289</v>
      </c>
      <c r="U1114" s="533">
        <v>254</v>
      </c>
      <c r="V1114" s="533"/>
      <c r="W1114" s="533">
        <v>8837</v>
      </c>
      <c r="X1114" s="533"/>
    </row>
    <row r="1115" spans="1:24" ht="12" customHeight="1" x14ac:dyDescent="0.2">
      <c r="C1115" s="525"/>
      <c r="D1115" s="525"/>
      <c r="E1115" s="525"/>
      <c r="F1115" s="525"/>
      <c r="G1115" s="525"/>
    </row>
    <row r="1116" spans="1:24" ht="13.5" customHeight="1" x14ac:dyDescent="0.2">
      <c r="A1116" s="530" t="s">
        <v>998</v>
      </c>
      <c r="B1116" s="530"/>
      <c r="C1116" s="531" t="s">
        <v>999</v>
      </c>
      <c r="D1116" s="531"/>
      <c r="E1116" s="531"/>
      <c r="F1116" s="531"/>
      <c r="G1116" s="531"/>
      <c r="I1116" s="532">
        <v>43189</v>
      </c>
      <c r="J1116" s="532"/>
      <c r="K1116" s="533">
        <v>2542</v>
      </c>
      <c r="L1116" s="533"/>
      <c r="M1116" s="533">
        <v>2412</v>
      </c>
      <c r="N1116" s="533"/>
      <c r="O1116" s="533">
        <v>0</v>
      </c>
      <c r="P1116" s="533"/>
      <c r="Q1116" s="533">
        <v>0</v>
      </c>
      <c r="R1116" s="533"/>
      <c r="S1116" s="1">
        <v>20</v>
      </c>
      <c r="T1116" s="2" t="s">
        <v>289</v>
      </c>
      <c r="U1116" s="533">
        <v>202</v>
      </c>
      <c r="V1116" s="533"/>
      <c r="W1116" s="533">
        <v>2210</v>
      </c>
      <c r="X1116" s="533"/>
    </row>
    <row r="1117" spans="1:24" ht="0.75" customHeight="1" x14ac:dyDescent="0.2"/>
    <row r="1118" spans="1:24" ht="13.5" customHeight="1" x14ac:dyDescent="0.2">
      <c r="A1118" s="530" t="s">
        <v>1000</v>
      </c>
      <c r="B1118" s="530"/>
      <c r="C1118" s="531" t="s">
        <v>1001</v>
      </c>
      <c r="D1118" s="531"/>
      <c r="E1118" s="531"/>
      <c r="F1118" s="531"/>
      <c r="G1118" s="531"/>
      <c r="I1118" s="532">
        <v>43258</v>
      </c>
      <c r="J1118" s="532"/>
      <c r="K1118" s="533">
        <v>158048</v>
      </c>
      <c r="L1118" s="533"/>
      <c r="M1118" s="533">
        <v>156662</v>
      </c>
      <c r="N1118" s="533"/>
      <c r="O1118" s="533">
        <v>0</v>
      </c>
      <c r="P1118" s="533"/>
      <c r="Q1118" s="533">
        <v>0</v>
      </c>
      <c r="R1118" s="533"/>
      <c r="S1118" s="1">
        <v>13.33</v>
      </c>
      <c r="T1118" s="2" t="s">
        <v>289</v>
      </c>
      <c r="U1118" s="533">
        <v>8756</v>
      </c>
      <c r="V1118" s="533"/>
      <c r="W1118" s="533">
        <v>147906</v>
      </c>
      <c r="X1118" s="533"/>
    </row>
    <row r="1119" spans="1:24" ht="0.75" customHeight="1" x14ac:dyDescent="0.2"/>
    <row r="1120" spans="1:24" ht="13.5" customHeight="1" x14ac:dyDescent="0.2">
      <c r="A1120" s="530" t="s">
        <v>1002</v>
      </c>
      <c r="B1120" s="530"/>
      <c r="C1120" s="531" t="s">
        <v>1003</v>
      </c>
      <c r="D1120" s="531"/>
      <c r="E1120" s="531"/>
      <c r="F1120" s="531"/>
      <c r="G1120" s="531"/>
      <c r="I1120" s="532">
        <v>42924</v>
      </c>
      <c r="J1120" s="532"/>
      <c r="K1120" s="533">
        <v>1092.0999999999999</v>
      </c>
      <c r="L1120" s="533"/>
      <c r="M1120" s="533">
        <v>878.1</v>
      </c>
      <c r="N1120" s="533"/>
      <c r="O1120" s="533">
        <v>0</v>
      </c>
      <c r="P1120" s="533"/>
      <c r="Q1120" s="533">
        <v>0</v>
      </c>
      <c r="R1120" s="533"/>
      <c r="S1120" s="1">
        <v>20</v>
      </c>
      <c r="T1120" s="2" t="s">
        <v>289</v>
      </c>
      <c r="U1120" s="533">
        <v>74</v>
      </c>
      <c r="V1120" s="533"/>
      <c r="W1120" s="533">
        <v>804.1</v>
      </c>
      <c r="X1120" s="533"/>
    </row>
    <row r="1121" spans="1:24" ht="0.75" customHeight="1" x14ac:dyDescent="0.2"/>
    <row r="1122" spans="1:24" ht="13.5" customHeight="1" x14ac:dyDescent="0.2">
      <c r="A1122" s="530" t="s">
        <v>1004</v>
      </c>
      <c r="B1122" s="530"/>
      <c r="C1122" s="531" t="s">
        <v>1005</v>
      </c>
      <c r="D1122" s="531"/>
      <c r="E1122" s="531"/>
      <c r="F1122" s="531"/>
      <c r="G1122" s="531"/>
      <c r="I1122" s="532">
        <v>42933</v>
      </c>
      <c r="J1122" s="532"/>
      <c r="K1122" s="533">
        <v>2876.54</v>
      </c>
      <c r="L1122" s="533"/>
      <c r="M1122" s="533">
        <v>2326.54</v>
      </c>
      <c r="N1122" s="533"/>
      <c r="O1122" s="533">
        <v>0</v>
      </c>
      <c r="P1122" s="533"/>
      <c r="Q1122" s="533">
        <v>0</v>
      </c>
      <c r="R1122" s="533"/>
      <c r="S1122" s="1">
        <v>20</v>
      </c>
      <c r="T1122" s="2" t="s">
        <v>289</v>
      </c>
      <c r="U1122" s="533">
        <v>195</v>
      </c>
      <c r="V1122" s="533"/>
      <c r="W1122" s="533">
        <v>2131.54</v>
      </c>
      <c r="X1122" s="533"/>
    </row>
    <row r="1123" spans="1:24" ht="15" customHeight="1" x14ac:dyDescent="0.2">
      <c r="A1123" s="534" t="s">
        <v>285</v>
      </c>
      <c r="B1123" s="534"/>
      <c r="D1123" s="534" t="s">
        <v>286</v>
      </c>
      <c r="E1123" s="534"/>
      <c r="F1123" s="534"/>
      <c r="G1123" s="534"/>
      <c r="H1123" s="534"/>
      <c r="I1123" s="534"/>
      <c r="J1123" s="534"/>
      <c r="K1123" s="534"/>
      <c r="L1123" s="534"/>
      <c r="M1123" s="534"/>
      <c r="N1123" s="534"/>
      <c r="O1123" s="534"/>
      <c r="P1123" s="534"/>
      <c r="Q1123" s="534"/>
      <c r="R1123" s="534"/>
      <c r="S1123" s="534"/>
      <c r="T1123" s="534"/>
      <c r="U1123" s="534"/>
      <c r="V1123" s="534"/>
    </row>
    <row r="1124" spans="1:24" ht="0.75" customHeight="1" x14ac:dyDescent="0.2"/>
    <row r="1125" spans="1:24" ht="13.5" customHeight="1" x14ac:dyDescent="0.2">
      <c r="A1125" s="530" t="s">
        <v>1006</v>
      </c>
      <c r="B1125" s="530"/>
      <c r="C1125" s="531" t="s">
        <v>1007</v>
      </c>
      <c r="D1125" s="531"/>
      <c r="E1125" s="531"/>
      <c r="F1125" s="531"/>
      <c r="G1125" s="531"/>
      <c r="I1125" s="532">
        <v>42961</v>
      </c>
      <c r="J1125" s="532"/>
      <c r="K1125" s="533">
        <v>4662</v>
      </c>
      <c r="L1125" s="533"/>
      <c r="M1125" s="533">
        <v>3842</v>
      </c>
      <c r="N1125" s="533"/>
      <c r="O1125" s="533">
        <v>0</v>
      </c>
      <c r="P1125" s="533"/>
      <c r="Q1125" s="533">
        <v>0</v>
      </c>
      <c r="R1125" s="533"/>
      <c r="S1125" s="1">
        <v>20</v>
      </c>
      <c r="T1125" s="2" t="s">
        <v>289</v>
      </c>
      <c r="U1125" s="533">
        <v>322</v>
      </c>
      <c r="V1125" s="533"/>
      <c r="W1125" s="533">
        <v>3520</v>
      </c>
      <c r="X1125" s="533"/>
    </row>
    <row r="1126" spans="1:24" ht="0.75" customHeight="1" x14ac:dyDescent="0.2"/>
    <row r="1127" spans="1:24" ht="13.5" customHeight="1" x14ac:dyDescent="0.2">
      <c r="A1127" s="530" t="s">
        <v>1008</v>
      </c>
      <c r="B1127" s="530"/>
      <c r="C1127" s="531" t="s">
        <v>1009</v>
      </c>
      <c r="D1127" s="531"/>
      <c r="E1127" s="531"/>
      <c r="F1127" s="531"/>
      <c r="G1127" s="531"/>
      <c r="I1127" s="532">
        <v>43140</v>
      </c>
      <c r="J1127" s="532"/>
      <c r="K1127" s="533">
        <v>12750</v>
      </c>
      <c r="L1127" s="533"/>
      <c r="M1127" s="533">
        <v>12254</v>
      </c>
      <c r="N1127" s="533"/>
      <c r="O1127" s="533">
        <v>0</v>
      </c>
      <c r="P1127" s="533"/>
      <c r="Q1127" s="533">
        <v>0</v>
      </c>
      <c r="R1127" s="533"/>
      <c r="S1127" s="1">
        <v>10</v>
      </c>
      <c r="T1127" s="2" t="s">
        <v>289</v>
      </c>
      <c r="U1127" s="533">
        <v>514</v>
      </c>
      <c r="V1127" s="533"/>
      <c r="W1127" s="533">
        <v>11740</v>
      </c>
      <c r="X1127" s="533"/>
    </row>
    <row r="1128" spans="1:24" ht="0.75" customHeight="1" x14ac:dyDescent="0.2"/>
    <row r="1129" spans="1:24" ht="13.5" customHeight="1" x14ac:dyDescent="0.2">
      <c r="A1129" s="530" t="s">
        <v>1010</v>
      </c>
      <c r="B1129" s="530"/>
      <c r="C1129" s="531" t="s">
        <v>1011</v>
      </c>
      <c r="D1129" s="531"/>
      <c r="E1129" s="531"/>
      <c r="F1129" s="531"/>
      <c r="G1129" s="531"/>
      <c r="I1129" s="532">
        <v>42978</v>
      </c>
      <c r="J1129" s="532"/>
      <c r="K1129" s="533">
        <v>1638</v>
      </c>
      <c r="L1129" s="533"/>
      <c r="M1129" s="533">
        <v>1365</v>
      </c>
      <c r="N1129" s="533"/>
      <c r="O1129" s="533">
        <v>0</v>
      </c>
      <c r="P1129" s="533"/>
      <c r="Q1129" s="533">
        <v>0</v>
      </c>
      <c r="R1129" s="533"/>
      <c r="S1129" s="1">
        <v>20</v>
      </c>
      <c r="T1129" s="2" t="s">
        <v>289</v>
      </c>
      <c r="U1129" s="533">
        <v>114</v>
      </c>
      <c r="V1129" s="533"/>
      <c r="W1129" s="533">
        <v>1251</v>
      </c>
      <c r="X1129" s="533"/>
    </row>
    <row r="1130" spans="1:24" ht="0.75" customHeight="1" x14ac:dyDescent="0.2"/>
    <row r="1131" spans="1:24" ht="13.5" customHeight="1" x14ac:dyDescent="0.2">
      <c r="A1131" s="530" t="s">
        <v>1012</v>
      </c>
      <c r="B1131" s="530"/>
      <c r="C1131" s="531" t="s">
        <v>1013</v>
      </c>
      <c r="D1131" s="531"/>
      <c r="E1131" s="531"/>
      <c r="F1131" s="531"/>
      <c r="G1131" s="531"/>
      <c r="I1131" s="532">
        <v>42978</v>
      </c>
      <c r="J1131" s="532"/>
      <c r="K1131" s="533">
        <v>104498.59</v>
      </c>
      <c r="L1131" s="533"/>
      <c r="M1131" s="533">
        <v>95795.59</v>
      </c>
      <c r="N1131" s="533"/>
      <c r="O1131" s="533">
        <v>0</v>
      </c>
      <c r="P1131" s="533"/>
      <c r="Q1131" s="533">
        <v>0</v>
      </c>
      <c r="R1131" s="533"/>
      <c r="S1131" s="1">
        <v>10</v>
      </c>
      <c r="T1131" s="2" t="s">
        <v>289</v>
      </c>
      <c r="U1131" s="533">
        <v>4016</v>
      </c>
      <c r="V1131" s="533"/>
      <c r="W1131" s="533">
        <v>91779.59</v>
      </c>
      <c r="X1131" s="533"/>
    </row>
    <row r="1132" spans="1:24" ht="0.75" customHeight="1" x14ac:dyDescent="0.2"/>
    <row r="1133" spans="1:24" ht="13.5" customHeight="1" x14ac:dyDescent="0.2">
      <c r="A1133" s="530" t="s">
        <v>1014</v>
      </c>
      <c r="B1133" s="530"/>
      <c r="C1133" s="525" t="s">
        <v>1015</v>
      </c>
      <c r="D1133" s="525"/>
      <c r="E1133" s="525"/>
      <c r="F1133" s="525"/>
      <c r="G1133" s="525"/>
      <c r="I1133" s="532">
        <v>43100</v>
      </c>
      <c r="J1133" s="532"/>
      <c r="K1133" s="533">
        <v>1953</v>
      </c>
      <c r="L1133" s="533"/>
      <c r="M1133" s="533">
        <v>1758</v>
      </c>
      <c r="N1133" s="533"/>
      <c r="O1133" s="533">
        <v>0</v>
      </c>
      <c r="P1133" s="533"/>
      <c r="Q1133" s="533">
        <v>0</v>
      </c>
      <c r="R1133" s="533"/>
      <c r="S1133" s="1">
        <v>20</v>
      </c>
      <c r="T1133" s="2" t="s">
        <v>289</v>
      </c>
      <c r="U1133" s="533">
        <v>147</v>
      </c>
      <c r="V1133" s="533"/>
      <c r="W1133" s="533">
        <v>1611</v>
      </c>
      <c r="X1133" s="533"/>
    </row>
    <row r="1134" spans="1:24" ht="12" customHeight="1" x14ac:dyDescent="0.2">
      <c r="C1134" s="525"/>
      <c r="D1134" s="525"/>
      <c r="E1134" s="525"/>
      <c r="F1134" s="525"/>
      <c r="G1134" s="525"/>
    </row>
    <row r="1135" spans="1:24" ht="13.5" customHeight="1" x14ac:dyDescent="0.2">
      <c r="A1135" s="530" t="s">
        <v>1016</v>
      </c>
      <c r="B1135" s="530"/>
      <c r="C1135" s="531" t="s">
        <v>1017</v>
      </c>
      <c r="D1135" s="531"/>
      <c r="E1135" s="531"/>
      <c r="F1135" s="531"/>
      <c r="G1135" s="531"/>
      <c r="I1135" s="532">
        <v>43188</v>
      </c>
      <c r="J1135" s="532"/>
      <c r="K1135" s="533">
        <v>1143.76</v>
      </c>
      <c r="L1135" s="533"/>
      <c r="M1135" s="533">
        <v>1084.76</v>
      </c>
      <c r="N1135" s="533"/>
      <c r="O1135" s="533">
        <v>0</v>
      </c>
      <c r="P1135" s="533"/>
      <c r="Q1135" s="533">
        <v>0</v>
      </c>
      <c r="R1135" s="533"/>
      <c r="S1135" s="1">
        <v>20</v>
      </c>
      <c r="T1135" s="2" t="s">
        <v>289</v>
      </c>
      <c r="U1135" s="533">
        <v>91</v>
      </c>
      <c r="V1135" s="533"/>
      <c r="W1135" s="533">
        <v>993.76</v>
      </c>
      <c r="X1135" s="533"/>
    </row>
    <row r="1136" spans="1:24" ht="0.75" customHeight="1" x14ac:dyDescent="0.2"/>
    <row r="1137" spans="1:24" ht="13.5" customHeight="1" x14ac:dyDescent="0.2">
      <c r="A1137" s="530" t="s">
        <v>1018</v>
      </c>
      <c r="B1137" s="530"/>
      <c r="C1137" s="531" t="s">
        <v>1019</v>
      </c>
      <c r="D1137" s="531"/>
      <c r="E1137" s="531"/>
      <c r="F1137" s="531"/>
      <c r="G1137" s="531"/>
      <c r="I1137" s="532">
        <v>43189</v>
      </c>
      <c r="J1137" s="532"/>
      <c r="K1137" s="533">
        <v>1798</v>
      </c>
      <c r="L1137" s="533"/>
      <c r="M1137" s="533">
        <v>1706</v>
      </c>
      <c r="N1137" s="533"/>
      <c r="O1137" s="533">
        <v>0</v>
      </c>
      <c r="P1137" s="533"/>
      <c r="Q1137" s="533">
        <v>0</v>
      </c>
      <c r="R1137" s="533"/>
      <c r="S1137" s="1">
        <v>20</v>
      </c>
      <c r="T1137" s="2" t="s">
        <v>289</v>
      </c>
      <c r="U1137" s="533">
        <v>143</v>
      </c>
      <c r="V1137" s="533"/>
      <c r="W1137" s="533">
        <v>1563</v>
      </c>
      <c r="X1137" s="533"/>
    </row>
    <row r="1138" spans="1:24" ht="0.75" customHeight="1" x14ac:dyDescent="0.2"/>
    <row r="1139" spans="1:24" ht="13.5" customHeight="1" x14ac:dyDescent="0.2">
      <c r="A1139" s="530" t="s">
        <v>1020</v>
      </c>
      <c r="B1139" s="530"/>
      <c r="C1139" s="531" t="s">
        <v>1021</v>
      </c>
      <c r="D1139" s="531"/>
      <c r="E1139" s="531"/>
      <c r="F1139" s="531"/>
      <c r="G1139" s="531"/>
      <c r="I1139" s="532">
        <v>43281</v>
      </c>
      <c r="J1139" s="532"/>
      <c r="K1139" s="533">
        <v>1240</v>
      </c>
      <c r="L1139" s="533"/>
      <c r="M1139" s="533">
        <v>1239</v>
      </c>
      <c r="N1139" s="533"/>
      <c r="O1139" s="533">
        <v>0</v>
      </c>
      <c r="P1139" s="533"/>
      <c r="Q1139" s="533">
        <v>0</v>
      </c>
      <c r="R1139" s="533"/>
      <c r="S1139" s="1">
        <v>10</v>
      </c>
      <c r="T1139" s="2" t="s">
        <v>289</v>
      </c>
      <c r="U1139" s="533">
        <v>52</v>
      </c>
      <c r="V1139" s="533"/>
      <c r="W1139" s="533">
        <v>1187</v>
      </c>
      <c r="X1139" s="533"/>
    </row>
    <row r="1140" spans="1:24" ht="0.75" customHeight="1" x14ac:dyDescent="0.2"/>
    <row r="1141" spans="1:24" ht="13.5" customHeight="1" x14ac:dyDescent="0.2">
      <c r="A1141" s="530" t="s">
        <v>1022</v>
      </c>
      <c r="B1141" s="530"/>
      <c r="C1141" s="525" t="s">
        <v>1023</v>
      </c>
      <c r="D1141" s="525"/>
      <c r="E1141" s="525"/>
      <c r="F1141" s="525"/>
      <c r="G1141" s="525"/>
      <c r="I1141" s="532">
        <v>43251</v>
      </c>
      <c r="J1141" s="532"/>
      <c r="K1141" s="533">
        <v>1178</v>
      </c>
      <c r="L1141" s="533"/>
      <c r="M1141" s="533">
        <v>1158</v>
      </c>
      <c r="N1141" s="533"/>
      <c r="O1141" s="533">
        <v>0</v>
      </c>
      <c r="P1141" s="533"/>
      <c r="Q1141" s="533">
        <v>0</v>
      </c>
      <c r="R1141" s="533"/>
      <c r="S1141" s="1">
        <v>20</v>
      </c>
      <c r="T1141" s="2" t="s">
        <v>289</v>
      </c>
      <c r="U1141" s="533">
        <v>97</v>
      </c>
      <c r="V1141" s="533"/>
      <c r="W1141" s="533">
        <v>1061</v>
      </c>
      <c r="X1141" s="533"/>
    </row>
    <row r="1142" spans="1:24" ht="12" customHeight="1" x14ac:dyDescent="0.2">
      <c r="C1142" s="525"/>
      <c r="D1142" s="525"/>
      <c r="E1142" s="525"/>
      <c r="F1142" s="525"/>
      <c r="G1142" s="525"/>
    </row>
    <row r="1143" spans="1:24" ht="13.5" customHeight="1" x14ac:dyDescent="0.2">
      <c r="A1143" s="530" t="s">
        <v>1024</v>
      </c>
      <c r="B1143" s="530"/>
      <c r="C1143" s="531" t="s">
        <v>1025</v>
      </c>
      <c r="D1143" s="531"/>
      <c r="E1143" s="531"/>
      <c r="F1143" s="531"/>
      <c r="G1143" s="531"/>
      <c r="I1143" s="532">
        <v>43014</v>
      </c>
      <c r="J1143" s="532"/>
      <c r="K1143" s="533">
        <v>7187.29</v>
      </c>
      <c r="L1143" s="533"/>
      <c r="M1143" s="533">
        <v>6132.29</v>
      </c>
      <c r="N1143" s="533"/>
      <c r="O1143" s="533">
        <v>0</v>
      </c>
      <c r="P1143" s="533"/>
      <c r="Q1143" s="533">
        <v>0</v>
      </c>
      <c r="R1143" s="533"/>
      <c r="S1143" s="1">
        <v>20</v>
      </c>
      <c r="T1143" s="2" t="s">
        <v>289</v>
      </c>
      <c r="U1143" s="533">
        <v>514</v>
      </c>
      <c r="V1143" s="533"/>
      <c r="W1143" s="533">
        <v>5618.29</v>
      </c>
      <c r="X1143" s="533"/>
    </row>
    <row r="1144" spans="1:24" ht="0.75" customHeight="1" x14ac:dyDescent="0.2"/>
    <row r="1145" spans="1:24" ht="13.5" customHeight="1" x14ac:dyDescent="0.2">
      <c r="A1145" s="530" t="s">
        <v>1026</v>
      </c>
      <c r="B1145" s="530"/>
      <c r="C1145" s="531" t="s">
        <v>1027</v>
      </c>
      <c r="D1145" s="531"/>
      <c r="E1145" s="531"/>
      <c r="F1145" s="531"/>
      <c r="G1145" s="531"/>
      <c r="I1145" s="532">
        <v>43022</v>
      </c>
      <c r="J1145" s="532"/>
      <c r="K1145" s="533">
        <v>4195.2</v>
      </c>
      <c r="L1145" s="533"/>
      <c r="M1145" s="533">
        <v>3597.2000000000003</v>
      </c>
      <c r="N1145" s="533"/>
      <c r="O1145" s="533">
        <v>0</v>
      </c>
      <c r="P1145" s="533"/>
      <c r="Q1145" s="533">
        <v>0</v>
      </c>
      <c r="R1145" s="533"/>
      <c r="S1145" s="1">
        <v>20</v>
      </c>
      <c r="T1145" s="2" t="s">
        <v>289</v>
      </c>
      <c r="U1145" s="533">
        <v>302</v>
      </c>
      <c r="V1145" s="533"/>
      <c r="W1145" s="533">
        <v>3295.2000000000003</v>
      </c>
      <c r="X1145" s="533"/>
    </row>
    <row r="1146" spans="1:24" ht="0.75" customHeight="1" x14ac:dyDescent="0.2"/>
    <row r="1147" spans="1:24" ht="13.5" customHeight="1" x14ac:dyDescent="0.2">
      <c r="A1147" s="530" t="s">
        <v>1028</v>
      </c>
      <c r="B1147" s="530"/>
      <c r="C1147" s="531" t="s">
        <v>1029</v>
      </c>
      <c r="D1147" s="531"/>
      <c r="E1147" s="531"/>
      <c r="F1147" s="531"/>
      <c r="G1147" s="531"/>
      <c r="I1147" s="532">
        <v>43188</v>
      </c>
      <c r="J1147" s="532"/>
      <c r="K1147" s="533">
        <v>1128</v>
      </c>
      <c r="L1147" s="533"/>
      <c r="M1147" s="533">
        <v>1070</v>
      </c>
      <c r="N1147" s="533"/>
      <c r="O1147" s="533">
        <v>0</v>
      </c>
      <c r="P1147" s="533"/>
      <c r="Q1147" s="533">
        <v>0</v>
      </c>
      <c r="R1147" s="533"/>
      <c r="S1147" s="1">
        <v>20</v>
      </c>
      <c r="T1147" s="2" t="s">
        <v>289</v>
      </c>
      <c r="U1147" s="533">
        <v>90</v>
      </c>
      <c r="V1147" s="533"/>
      <c r="W1147" s="533">
        <v>980</v>
      </c>
      <c r="X1147" s="533"/>
    </row>
    <row r="1148" spans="1:24" ht="0.75" customHeight="1" x14ac:dyDescent="0.2"/>
    <row r="1149" spans="1:24" ht="13.5" customHeight="1" x14ac:dyDescent="0.2">
      <c r="A1149" s="530" t="s">
        <v>1030</v>
      </c>
      <c r="B1149" s="530"/>
      <c r="C1149" s="531" t="s">
        <v>1031</v>
      </c>
      <c r="D1149" s="531"/>
      <c r="E1149" s="531"/>
      <c r="F1149" s="531"/>
      <c r="G1149" s="531"/>
      <c r="I1149" s="532">
        <v>43191</v>
      </c>
      <c r="J1149" s="532"/>
      <c r="K1149" s="533">
        <v>5451</v>
      </c>
      <c r="L1149" s="533"/>
      <c r="M1149" s="533">
        <v>5179</v>
      </c>
      <c r="N1149" s="533"/>
      <c r="O1149" s="533">
        <v>0</v>
      </c>
      <c r="P1149" s="533"/>
      <c r="Q1149" s="533">
        <v>0</v>
      </c>
      <c r="R1149" s="533"/>
      <c r="S1149" s="1">
        <v>20</v>
      </c>
      <c r="T1149" s="2" t="s">
        <v>289</v>
      </c>
      <c r="U1149" s="533">
        <v>434</v>
      </c>
      <c r="V1149" s="533"/>
      <c r="W1149" s="533">
        <v>4745</v>
      </c>
      <c r="X1149" s="533"/>
    </row>
    <row r="1150" spans="1:24" ht="0.75" customHeight="1" x14ac:dyDescent="0.2"/>
    <row r="1151" spans="1:24" ht="13.5" customHeight="1" x14ac:dyDescent="0.2">
      <c r="A1151" s="530" t="s">
        <v>1032</v>
      </c>
      <c r="B1151" s="530"/>
      <c r="C1151" s="531" t="s">
        <v>1033</v>
      </c>
      <c r="D1151" s="531"/>
      <c r="E1151" s="531"/>
      <c r="F1151" s="531"/>
      <c r="G1151" s="531"/>
      <c r="I1151" s="532">
        <v>43108</v>
      </c>
      <c r="J1151" s="532"/>
      <c r="K1151" s="533">
        <v>7200</v>
      </c>
      <c r="L1151" s="533"/>
      <c r="M1151" s="533">
        <v>6514</v>
      </c>
      <c r="N1151" s="533"/>
      <c r="O1151" s="533">
        <v>0</v>
      </c>
      <c r="P1151" s="533"/>
      <c r="Q1151" s="533">
        <v>0</v>
      </c>
      <c r="R1151" s="533"/>
      <c r="S1151" s="1">
        <v>20</v>
      </c>
      <c r="T1151" s="2" t="s">
        <v>289</v>
      </c>
      <c r="U1151" s="533">
        <v>546</v>
      </c>
      <c r="V1151" s="533"/>
      <c r="W1151" s="533">
        <v>5968</v>
      </c>
      <c r="X1151" s="533"/>
    </row>
    <row r="1152" spans="1:24" ht="0.75" customHeight="1" x14ac:dyDescent="0.2"/>
    <row r="1153" spans="1:24" ht="13.5" customHeight="1" x14ac:dyDescent="0.2">
      <c r="A1153" s="530" t="s">
        <v>1034</v>
      </c>
      <c r="B1153" s="530"/>
      <c r="C1153" s="531" t="s">
        <v>1035</v>
      </c>
      <c r="D1153" s="531"/>
      <c r="E1153" s="531"/>
      <c r="F1153" s="531"/>
      <c r="G1153" s="531"/>
      <c r="I1153" s="532">
        <v>43145</v>
      </c>
      <c r="J1153" s="532"/>
      <c r="K1153" s="533">
        <v>4000</v>
      </c>
      <c r="L1153" s="533"/>
      <c r="M1153" s="533">
        <v>3700</v>
      </c>
      <c r="N1153" s="533"/>
      <c r="O1153" s="533">
        <v>0</v>
      </c>
      <c r="P1153" s="533"/>
      <c r="Q1153" s="533">
        <v>0</v>
      </c>
      <c r="R1153" s="533"/>
      <c r="S1153" s="1">
        <v>20</v>
      </c>
      <c r="T1153" s="2" t="s">
        <v>289</v>
      </c>
      <c r="U1153" s="533">
        <v>310</v>
      </c>
      <c r="V1153" s="533"/>
      <c r="W1153" s="533">
        <v>3390</v>
      </c>
      <c r="X1153" s="533"/>
    </row>
    <row r="1154" spans="1:24" ht="0.75" customHeight="1" x14ac:dyDescent="0.2"/>
    <row r="1155" spans="1:24" ht="13.5" customHeight="1" x14ac:dyDescent="0.2">
      <c r="A1155" s="530" t="s">
        <v>1036</v>
      </c>
      <c r="B1155" s="530"/>
      <c r="C1155" s="531" t="s">
        <v>1037</v>
      </c>
      <c r="D1155" s="531"/>
      <c r="E1155" s="531"/>
      <c r="F1155" s="531"/>
      <c r="G1155" s="531"/>
      <c r="I1155" s="532">
        <v>43273</v>
      </c>
      <c r="J1155" s="532"/>
      <c r="K1155" s="533">
        <v>4727.2700000000004</v>
      </c>
      <c r="L1155" s="533"/>
      <c r="M1155" s="533">
        <v>4704.2700000000004</v>
      </c>
      <c r="N1155" s="533"/>
      <c r="O1155" s="533">
        <v>0</v>
      </c>
      <c r="P1155" s="533"/>
      <c r="Q1155" s="533">
        <v>0</v>
      </c>
      <c r="R1155" s="533"/>
      <c r="S1155" s="1">
        <v>20</v>
      </c>
      <c r="T1155" s="2" t="s">
        <v>289</v>
      </c>
      <c r="U1155" s="533">
        <v>394</v>
      </c>
      <c r="V1155" s="533"/>
      <c r="W1155" s="533">
        <v>4310.2700000000004</v>
      </c>
      <c r="X1155" s="533"/>
    </row>
    <row r="1156" spans="1:24" ht="0.75" customHeight="1" x14ac:dyDescent="0.2"/>
    <row r="1157" spans="1:24" ht="13.5" customHeight="1" x14ac:dyDescent="0.2">
      <c r="A1157" s="530" t="s">
        <v>1038</v>
      </c>
      <c r="B1157" s="530"/>
      <c r="C1157" s="531" t="s">
        <v>1039</v>
      </c>
      <c r="D1157" s="531"/>
      <c r="E1157" s="531"/>
      <c r="F1157" s="531"/>
      <c r="G1157" s="531"/>
      <c r="I1157" s="532">
        <v>43213</v>
      </c>
      <c r="J1157" s="532"/>
      <c r="K1157" s="533">
        <v>1186.04</v>
      </c>
      <c r="L1157" s="533"/>
      <c r="M1157" s="533">
        <v>1141.04</v>
      </c>
      <c r="N1157" s="533"/>
      <c r="O1157" s="533">
        <v>0</v>
      </c>
      <c r="P1157" s="533"/>
      <c r="Q1157" s="533">
        <v>0</v>
      </c>
      <c r="R1157" s="533"/>
      <c r="S1157" s="1">
        <v>20</v>
      </c>
      <c r="T1157" s="2" t="s">
        <v>289</v>
      </c>
      <c r="U1157" s="533">
        <v>96</v>
      </c>
      <c r="V1157" s="533"/>
      <c r="W1157" s="533">
        <v>1045.04</v>
      </c>
      <c r="X1157" s="533"/>
    </row>
    <row r="1158" spans="1:24" ht="0.75" customHeight="1" x14ac:dyDescent="0.2"/>
    <row r="1159" spans="1:24" ht="13.5" customHeight="1" x14ac:dyDescent="0.2">
      <c r="A1159" s="530" t="s">
        <v>1040</v>
      </c>
      <c r="B1159" s="530"/>
      <c r="C1159" s="525" t="s">
        <v>1041</v>
      </c>
      <c r="D1159" s="525"/>
      <c r="E1159" s="525"/>
      <c r="F1159" s="525"/>
      <c r="G1159" s="525"/>
      <c r="I1159" s="532">
        <v>42956</v>
      </c>
      <c r="J1159" s="532"/>
      <c r="K1159" s="533">
        <v>5700</v>
      </c>
      <c r="L1159" s="533"/>
      <c r="M1159" s="533">
        <v>5191</v>
      </c>
      <c r="N1159" s="533"/>
      <c r="O1159" s="533">
        <v>0</v>
      </c>
      <c r="P1159" s="533"/>
      <c r="Q1159" s="533">
        <v>0</v>
      </c>
      <c r="R1159" s="533"/>
      <c r="S1159" s="1">
        <v>10</v>
      </c>
      <c r="T1159" s="2" t="s">
        <v>289</v>
      </c>
      <c r="U1159" s="533">
        <v>218</v>
      </c>
      <c r="V1159" s="533"/>
      <c r="W1159" s="533">
        <v>4973</v>
      </c>
      <c r="X1159" s="533"/>
    </row>
    <row r="1160" spans="1:24" ht="12" customHeight="1" x14ac:dyDescent="0.2">
      <c r="C1160" s="525"/>
      <c r="D1160" s="525"/>
      <c r="E1160" s="525"/>
      <c r="F1160" s="525"/>
      <c r="G1160" s="525"/>
    </row>
    <row r="1161" spans="1:24" ht="13.5" customHeight="1" x14ac:dyDescent="0.2">
      <c r="A1161" s="530" t="s">
        <v>1042</v>
      </c>
      <c r="B1161" s="530"/>
      <c r="C1161" s="531" t="s">
        <v>1043</v>
      </c>
      <c r="D1161" s="531"/>
      <c r="E1161" s="531"/>
      <c r="F1161" s="531"/>
      <c r="G1161" s="531"/>
      <c r="I1161" s="532">
        <v>43047</v>
      </c>
      <c r="J1161" s="532"/>
      <c r="K1161" s="533">
        <v>21755.040000000001</v>
      </c>
      <c r="L1161" s="533"/>
      <c r="M1161" s="533">
        <v>20354.04</v>
      </c>
      <c r="N1161" s="533"/>
      <c r="O1161" s="533">
        <v>0</v>
      </c>
      <c r="P1161" s="533"/>
      <c r="Q1161" s="533">
        <v>0</v>
      </c>
      <c r="R1161" s="533"/>
      <c r="S1161" s="1">
        <v>10</v>
      </c>
      <c r="T1161" s="2" t="s">
        <v>289</v>
      </c>
      <c r="U1161" s="533">
        <v>853</v>
      </c>
      <c r="V1161" s="533"/>
      <c r="W1161" s="533">
        <v>19501.04</v>
      </c>
      <c r="X1161" s="533"/>
    </row>
    <row r="1162" spans="1:24" ht="0.75" customHeight="1" x14ac:dyDescent="0.2"/>
    <row r="1163" spans="1:24" ht="13.5" customHeight="1" x14ac:dyDescent="0.2">
      <c r="A1163" s="530" t="s">
        <v>1044</v>
      </c>
      <c r="B1163" s="530"/>
      <c r="C1163" s="531" t="s">
        <v>1045</v>
      </c>
      <c r="D1163" s="531"/>
      <c r="E1163" s="531"/>
      <c r="F1163" s="531"/>
      <c r="G1163" s="531"/>
      <c r="I1163" s="532">
        <v>43154</v>
      </c>
      <c r="J1163" s="532"/>
      <c r="K1163" s="533">
        <v>2305</v>
      </c>
      <c r="L1163" s="533"/>
      <c r="M1163" s="533">
        <v>2224</v>
      </c>
      <c r="N1163" s="533"/>
      <c r="O1163" s="533">
        <v>0</v>
      </c>
      <c r="P1163" s="533"/>
      <c r="Q1163" s="533">
        <v>0</v>
      </c>
      <c r="R1163" s="533"/>
      <c r="S1163" s="1">
        <v>10</v>
      </c>
      <c r="T1163" s="2" t="s">
        <v>289</v>
      </c>
      <c r="U1163" s="533">
        <v>93</v>
      </c>
      <c r="V1163" s="533"/>
      <c r="W1163" s="533">
        <v>2131</v>
      </c>
      <c r="X1163" s="533"/>
    </row>
    <row r="1164" spans="1:24" ht="0.75" customHeight="1" x14ac:dyDescent="0.2"/>
    <row r="1165" spans="1:24" ht="13.5" customHeight="1" x14ac:dyDescent="0.2">
      <c r="A1165" s="530" t="s">
        <v>1046</v>
      </c>
      <c r="B1165" s="530"/>
      <c r="C1165" s="531" t="s">
        <v>1047</v>
      </c>
      <c r="D1165" s="531"/>
      <c r="E1165" s="531"/>
      <c r="F1165" s="531"/>
      <c r="G1165" s="531"/>
      <c r="I1165" s="532">
        <v>43159</v>
      </c>
      <c r="J1165" s="532"/>
      <c r="K1165" s="533">
        <v>1408</v>
      </c>
      <c r="L1165" s="533"/>
      <c r="M1165" s="533">
        <v>1313</v>
      </c>
      <c r="N1165" s="533"/>
      <c r="O1165" s="533">
        <v>0</v>
      </c>
      <c r="P1165" s="533"/>
      <c r="Q1165" s="533">
        <v>0</v>
      </c>
      <c r="R1165" s="533"/>
      <c r="S1165" s="1">
        <v>20</v>
      </c>
      <c r="T1165" s="2" t="s">
        <v>289</v>
      </c>
      <c r="U1165" s="533">
        <v>110</v>
      </c>
      <c r="V1165" s="533"/>
      <c r="W1165" s="533">
        <v>1203</v>
      </c>
      <c r="X1165" s="533"/>
    </row>
    <row r="1166" spans="1:24" ht="0.75" customHeight="1" x14ac:dyDescent="0.2"/>
    <row r="1167" spans="1:24" ht="13.5" customHeight="1" x14ac:dyDescent="0.2">
      <c r="A1167" s="530" t="s">
        <v>1048</v>
      </c>
      <c r="B1167" s="530"/>
      <c r="C1167" s="531" t="s">
        <v>1045</v>
      </c>
      <c r="D1167" s="531"/>
      <c r="E1167" s="531"/>
      <c r="F1167" s="531"/>
      <c r="G1167" s="531"/>
      <c r="I1167" s="532">
        <v>43173</v>
      </c>
      <c r="J1167" s="532"/>
      <c r="K1167" s="533">
        <v>2305</v>
      </c>
      <c r="L1167" s="533"/>
      <c r="M1167" s="533">
        <v>2236</v>
      </c>
      <c r="N1167" s="533"/>
      <c r="O1167" s="533">
        <v>0</v>
      </c>
      <c r="P1167" s="533"/>
      <c r="Q1167" s="533">
        <v>0</v>
      </c>
      <c r="R1167" s="533"/>
      <c r="S1167" s="1">
        <v>10</v>
      </c>
      <c r="T1167" s="2" t="s">
        <v>289</v>
      </c>
      <c r="U1167" s="533">
        <v>94</v>
      </c>
      <c r="V1167" s="533"/>
      <c r="W1167" s="533">
        <v>2142</v>
      </c>
      <c r="X1167" s="533"/>
    </row>
    <row r="1168" spans="1:24" ht="0.75" customHeight="1" x14ac:dyDescent="0.2"/>
    <row r="1169" spans="1:24" ht="13.5" customHeight="1" x14ac:dyDescent="0.2">
      <c r="A1169" s="530" t="s">
        <v>1049</v>
      </c>
      <c r="B1169" s="530"/>
      <c r="C1169" s="531" t="s">
        <v>1050</v>
      </c>
      <c r="D1169" s="531"/>
      <c r="E1169" s="531"/>
      <c r="F1169" s="531"/>
      <c r="G1169" s="531"/>
      <c r="I1169" s="532">
        <v>43241</v>
      </c>
      <c r="J1169" s="532"/>
      <c r="K1169" s="533">
        <v>18636.36</v>
      </c>
      <c r="L1169" s="533"/>
      <c r="M1169" s="533">
        <v>18217.36</v>
      </c>
      <c r="N1169" s="533"/>
      <c r="O1169" s="533">
        <v>0</v>
      </c>
      <c r="P1169" s="533"/>
      <c r="Q1169" s="533">
        <v>0</v>
      </c>
      <c r="R1169" s="533"/>
      <c r="S1169" s="1">
        <v>20</v>
      </c>
      <c r="T1169" s="2" t="s">
        <v>289</v>
      </c>
      <c r="U1169" s="533">
        <v>1527</v>
      </c>
      <c r="V1169" s="533"/>
      <c r="W1169" s="533">
        <v>16690.36</v>
      </c>
      <c r="X1169" s="533"/>
    </row>
    <row r="1170" spans="1:24" ht="0.75" customHeight="1" x14ac:dyDescent="0.2"/>
    <row r="1171" spans="1:24" ht="13.5" customHeight="1" x14ac:dyDescent="0.2">
      <c r="A1171" s="530" t="s">
        <v>1051</v>
      </c>
      <c r="B1171" s="530"/>
      <c r="C1171" s="531" t="s">
        <v>1052</v>
      </c>
      <c r="D1171" s="531"/>
      <c r="E1171" s="531"/>
      <c r="F1171" s="531"/>
      <c r="G1171" s="531"/>
      <c r="I1171" s="532">
        <v>43264</v>
      </c>
      <c r="J1171" s="532"/>
      <c r="K1171" s="533">
        <v>50099</v>
      </c>
      <c r="L1171" s="533"/>
      <c r="M1171" s="533">
        <v>49852</v>
      </c>
      <c r="N1171" s="533"/>
      <c r="O1171" s="533">
        <v>0</v>
      </c>
      <c r="P1171" s="533"/>
      <c r="Q1171" s="533">
        <v>0</v>
      </c>
      <c r="R1171" s="533"/>
      <c r="S1171" s="1">
        <v>10</v>
      </c>
      <c r="T1171" s="2" t="s">
        <v>289</v>
      </c>
      <c r="U1171" s="533">
        <v>2090</v>
      </c>
      <c r="V1171" s="533"/>
      <c r="W1171" s="533">
        <v>47762</v>
      </c>
      <c r="X1171" s="533"/>
    </row>
    <row r="1172" spans="1:24" ht="0.75" customHeight="1" x14ac:dyDescent="0.2"/>
    <row r="1173" spans="1:24" ht="13.5" customHeight="1" x14ac:dyDescent="0.2">
      <c r="A1173" s="530" t="s">
        <v>1053</v>
      </c>
      <c r="B1173" s="530"/>
      <c r="C1173" s="531" t="s">
        <v>1054</v>
      </c>
      <c r="D1173" s="531"/>
      <c r="E1173" s="531"/>
      <c r="F1173" s="531"/>
      <c r="G1173" s="531"/>
      <c r="I1173" s="532">
        <v>43146</v>
      </c>
      <c r="J1173" s="532"/>
      <c r="K1173" s="533">
        <v>2340</v>
      </c>
      <c r="L1173" s="533"/>
      <c r="M1173" s="533">
        <v>2166</v>
      </c>
      <c r="N1173" s="533"/>
      <c r="O1173" s="533">
        <v>0</v>
      </c>
      <c r="P1173" s="533"/>
      <c r="Q1173" s="533">
        <v>0</v>
      </c>
      <c r="R1173" s="533"/>
      <c r="S1173" s="1">
        <v>20</v>
      </c>
      <c r="T1173" s="2" t="s">
        <v>289</v>
      </c>
      <c r="U1173" s="533">
        <v>182</v>
      </c>
      <c r="V1173" s="533"/>
      <c r="W1173" s="533">
        <v>1984</v>
      </c>
      <c r="X1173" s="533"/>
    </row>
    <row r="1174" spans="1:24" ht="0.75" customHeight="1" x14ac:dyDescent="0.2"/>
    <row r="1175" spans="1:24" ht="13.5" customHeight="1" x14ac:dyDescent="0.2">
      <c r="A1175" s="530" t="s">
        <v>1055</v>
      </c>
      <c r="B1175" s="530"/>
      <c r="C1175" s="531" t="s">
        <v>1056</v>
      </c>
      <c r="D1175" s="531"/>
      <c r="E1175" s="531"/>
      <c r="F1175" s="531"/>
      <c r="G1175" s="531"/>
      <c r="I1175" s="532">
        <v>43146</v>
      </c>
      <c r="J1175" s="532"/>
      <c r="K1175" s="533">
        <v>3960</v>
      </c>
      <c r="L1175" s="533"/>
      <c r="M1175" s="533">
        <v>3665</v>
      </c>
      <c r="N1175" s="533"/>
      <c r="O1175" s="533">
        <v>0</v>
      </c>
      <c r="P1175" s="533"/>
      <c r="Q1175" s="533">
        <v>0</v>
      </c>
      <c r="R1175" s="533"/>
      <c r="S1175" s="1">
        <v>20</v>
      </c>
      <c r="T1175" s="2" t="s">
        <v>289</v>
      </c>
      <c r="U1175" s="533">
        <v>307</v>
      </c>
      <c r="V1175" s="533"/>
      <c r="W1175" s="533">
        <v>3358</v>
      </c>
      <c r="X1175" s="533"/>
    </row>
    <row r="1176" spans="1:24" ht="0.75" customHeight="1" x14ac:dyDescent="0.2"/>
    <row r="1177" spans="1:24" ht="13.5" customHeight="1" x14ac:dyDescent="0.2">
      <c r="A1177" s="530" t="s">
        <v>1057</v>
      </c>
      <c r="B1177" s="530"/>
      <c r="C1177" s="531" t="s">
        <v>1058</v>
      </c>
      <c r="D1177" s="531"/>
      <c r="E1177" s="531"/>
      <c r="F1177" s="531"/>
      <c r="G1177" s="531"/>
      <c r="I1177" s="532">
        <v>43318</v>
      </c>
      <c r="J1177" s="532"/>
      <c r="K1177" s="533">
        <v>25000</v>
      </c>
      <c r="L1177" s="533"/>
      <c r="M1177" s="533">
        <v>0</v>
      </c>
      <c r="N1177" s="533"/>
      <c r="O1177" s="533">
        <v>25000</v>
      </c>
      <c r="P1177" s="533"/>
      <c r="Q1177" s="533">
        <v>0</v>
      </c>
      <c r="R1177" s="533"/>
      <c r="S1177" s="1">
        <v>13.33</v>
      </c>
      <c r="T1177" s="2" t="s">
        <v>289</v>
      </c>
      <c r="U1177" s="533">
        <v>1068</v>
      </c>
      <c r="V1177" s="533"/>
      <c r="W1177" s="533">
        <v>23932</v>
      </c>
      <c r="X1177" s="533"/>
    </row>
    <row r="1178" spans="1:24" ht="0.75" customHeight="1" x14ac:dyDescent="0.2"/>
    <row r="1179" spans="1:24" ht="13.5" customHeight="1" x14ac:dyDescent="0.2">
      <c r="A1179" s="530" t="s">
        <v>1059</v>
      </c>
      <c r="B1179" s="530"/>
      <c r="C1179" s="531" t="s">
        <v>1060</v>
      </c>
      <c r="D1179" s="531"/>
      <c r="E1179" s="531"/>
      <c r="F1179" s="531"/>
      <c r="G1179" s="531"/>
      <c r="I1179" s="532">
        <v>43342</v>
      </c>
      <c r="J1179" s="532"/>
      <c r="K1179" s="533">
        <v>361854</v>
      </c>
      <c r="L1179" s="533"/>
      <c r="M1179" s="533">
        <v>0</v>
      </c>
      <c r="N1179" s="533"/>
      <c r="O1179" s="533">
        <v>361854</v>
      </c>
      <c r="P1179" s="533"/>
      <c r="Q1179" s="533">
        <v>0</v>
      </c>
      <c r="R1179" s="533"/>
      <c r="S1179" s="1">
        <v>6.67</v>
      </c>
      <c r="T1179" s="2" t="s">
        <v>289</v>
      </c>
      <c r="U1179" s="533">
        <v>6150</v>
      </c>
      <c r="V1179" s="533"/>
      <c r="W1179" s="533">
        <v>355704</v>
      </c>
      <c r="X1179" s="533"/>
    </row>
    <row r="1180" spans="1:24" ht="0.75" customHeight="1" x14ac:dyDescent="0.2"/>
    <row r="1181" spans="1:24" ht="13.5" customHeight="1" x14ac:dyDescent="0.2">
      <c r="A1181" s="530" t="s">
        <v>1061</v>
      </c>
      <c r="B1181" s="530"/>
      <c r="C1181" s="531" t="s">
        <v>1062</v>
      </c>
      <c r="D1181" s="531"/>
      <c r="E1181" s="531"/>
      <c r="F1181" s="531"/>
      <c r="G1181" s="531"/>
      <c r="I1181" s="532">
        <v>43342</v>
      </c>
      <c r="J1181" s="532"/>
      <c r="K1181" s="533">
        <v>33926</v>
      </c>
      <c r="L1181" s="533"/>
      <c r="M1181" s="533">
        <v>0</v>
      </c>
      <c r="N1181" s="533"/>
      <c r="O1181" s="533">
        <v>33926</v>
      </c>
      <c r="P1181" s="533"/>
      <c r="Q1181" s="533">
        <v>0</v>
      </c>
      <c r="R1181" s="533"/>
      <c r="S1181" s="1">
        <v>6.67</v>
      </c>
      <c r="T1181" s="2" t="s">
        <v>289</v>
      </c>
      <c r="U1181" s="533">
        <v>577</v>
      </c>
      <c r="V1181" s="533"/>
      <c r="W1181" s="533">
        <v>33349</v>
      </c>
      <c r="X1181" s="533"/>
    </row>
    <row r="1182" spans="1:24" ht="0.75" customHeight="1" x14ac:dyDescent="0.2"/>
    <row r="1183" spans="1:24" ht="13.5" customHeight="1" x14ac:dyDescent="0.2">
      <c r="A1183" s="530" t="s">
        <v>1063</v>
      </c>
      <c r="B1183" s="530"/>
      <c r="C1183" s="531" t="s">
        <v>1064</v>
      </c>
      <c r="D1183" s="531"/>
      <c r="E1183" s="531"/>
      <c r="F1183" s="531"/>
      <c r="G1183" s="531"/>
      <c r="I1183" s="532">
        <v>43342</v>
      </c>
      <c r="J1183" s="532"/>
      <c r="K1183" s="533">
        <v>26846</v>
      </c>
      <c r="L1183" s="533"/>
      <c r="M1183" s="533">
        <v>0</v>
      </c>
      <c r="N1183" s="533"/>
      <c r="O1183" s="533">
        <v>26846</v>
      </c>
      <c r="P1183" s="533"/>
      <c r="Q1183" s="533">
        <v>0</v>
      </c>
      <c r="R1183" s="533"/>
      <c r="S1183" s="1">
        <v>6.67</v>
      </c>
      <c r="T1183" s="2" t="s">
        <v>289</v>
      </c>
      <c r="U1183" s="533">
        <v>456</v>
      </c>
      <c r="V1183" s="533"/>
      <c r="W1183" s="533">
        <v>26390</v>
      </c>
      <c r="X1183" s="533"/>
    </row>
    <row r="1184" spans="1:24" ht="0.75" customHeight="1" x14ac:dyDescent="0.2"/>
    <row r="1185" spans="1:24" ht="13.5" customHeight="1" x14ac:dyDescent="0.2">
      <c r="A1185" s="530" t="s">
        <v>1065</v>
      </c>
      <c r="B1185" s="530"/>
      <c r="C1185" s="531" t="s">
        <v>1066</v>
      </c>
      <c r="D1185" s="531"/>
      <c r="E1185" s="531"/>
      <c r="F1185" s="531"/>
      <c r="G1185" s="531"/>
      <c r="I1185" s="532">
        <v>43342</v>
      </c>
      <c r="J1185" s="532"/>
      <c r="K1185" s="533">
        <v>53006</v>
      </c>
      <c r="L1185" s="533"/>
      <c r="M1185" s="533">
        <v>0</v>
      </c>
      <c r="N1185" s="533"/>
      <c r="O1185" s="533">
        <v>53006</v>
      </c>
      <c r="P1185" s="533"/>
      <c r="Q1185" s="533">
        <v>0</v>
      </c>
      <c r="R1185" s="533"/>
      <c r="S1185" s="1">
        <v>6.67</v>
      </c>
      <c r="T1185" s="2" t="s">
        <v>289</v>
      </c>
      <c r="U1185" s="533">
        <v>901</v>
      </c>
      <c r="V1185" s="533"/>
      <c r="W1185" s="533">
        <v>52105</v>
      </c>
      <c r="X1185" s="533"/>
    </row>
    <row r="1186" spans="1:24" ht="0.75" customHeight="1" x14ac:dyDescent="0.2"/>
    <row r="1187" spans="1:24" ht="13.5" customHeight="1" x14ac:dyDescent="0.2">
      <c r="A1187" s="530" t="s">
        <v>1067</v>
      </c>
      <c r="B1187" s="530"/>
      <c r="C1187" s="531" t="s">
        <v>1068</v>
      </c>
      <c r="D1187" s="531"/>
      <c r="E1187" s="531"/>
      <c r="F1187" s="531"/>
      <c r="G1187" s="531"/>
      <c r="I1187" s="532">
        <v>43374</v>
      </c>
      <c r="J1187" s="532"/>
      <c r="K1187" s="533">
        <v>74600</v>
      </c>
      <c r="L1187" s="533"/>
      <c r="M1187" s="533">
        <v>0</v>
      </c>
      <c r="N1187" s="533"/>
      <c r="O1187" s="533">
        <v>74600</v>
      </c>
      <c r="P1187" s="533"/>
      <c r="Q1187" s="533">
        <v>0</v>
      </c>
      <c r="R1187" s="533"/>
      <c r="S1187" s="1">
        <v>13.33</v>
      </c>
      <c r="T1187" s="2" t="s">
        <v>289</v>
      </c>
      <c r="U1187" s="533">
        <v>1662</v>
      </c>
      <c r="V1187" s="533"/>
      <c r="W1187" s="533">
        <v>72938</v>
      </c>
      <c r="X1187" s="533"/>
    </row>
    <row r="1188" spans="1:24" ht="0.75" customHeight="1" x14ac:dyDescent="0.2"/>
    <row r="1189" spans="1:24" ht="13.5" customHeight="1" x14ac:dyDescent="0.2">
      <c r="A1189" s="530" t="s">
        <v>1069</v>
      </c>
      <c r="B1189" s="530"/>
      <c r="C1189" s="531" t="s">
        <v>1070</v>
      </c>
      <c r="D1189" s="531"/>
      <c r="E1189" s="531"/>
      <c r="F1189" s="531"/>
      <c r="G1189" s="531"/>
      <c r="I1189" s="532">
        <v>43374</v>
      </c>
      <c r="J1189" s="532"/>
      <c r="K1189" s="533">
        <v>80600</v>
      </c>
      <c r="L1189" s="533"/>
      <c r="M1189" s="533">
        <v>0</v>
      </c>
      <c r="N1189" s="533"/>
      <c r="O1189" s="533">
        <v>80600</v>
      </c>
      <c r="P1189" s="533"/>
      <c r="Q1189" s="533">
        <v>0</v>
      </c>
      <c r="R1189" s="533"/>
      <c r="S1189" s="1">
        <v>13.33</v>
      </c>
      <c r="T1189" s="2" t="s">
        <v>289</v>
      </c>
      <c r="U1189" s="533">
        <v>1796</v>
      </c>
      <c r="V1189" s="533"/>
      <c r="W1189" s="533">
        <v>78804</v>
      </c>
      <c r="X1189" s="533"/>
    </row>
    <row r="1190" spans="1:24" ht="0.75" customHeight="1" x14ac:dyDescent="0.2"/>
    <row r="1191" spans="1:24" ht="13.5" customHeight="1" x14ac:dyDescent="0.2">
      <c r="A1191" s="530" t="s">
        <v>1071</v>
      </c>
      <c r="B1191" s="530"/>
      <c r="C1191" s="525" t="s">
        <v>1072</v>
      </c>
      <c r="D1191" s="525"/>
      <c r="E1191" s="525"/>
      <c r="F1191" s="525"/>
      <c r="G1191" s="525"/>
      <c r="I1191" s="532">
        <v>43299</v>
      </c>
      <c r="J1191" s="532"/>
      <c r="K1191" s="533">
        <v>616</v>
      </c>
      <c r="L1191" s="533"/>
      <c r="M1191" s="533">
        <v>0</v>
      </c>
      <c r="N1191" s="533"/>
      <c r="O1191" s="533">
        <v>616</v>
      </c>
      <c r="P1191" s="533"/>
      <c r="Q1191" s="533">
        <v>0</v>
      </c>
      <c r="R1191" s="533"/>
      <c r="S1191" s="1">
        <v>20</v>
      </c>
      <c r="T1191" s="2" t="s">
        <v>289</v>
      </c>
      <c r="U1191" s="533">
        <v>46</v>
      </c>
      <c r="V1191" s="533"/>
      <c r="W1191" s="533">
        <v>570</v>
      </c>
      <c r="X1191" s="533"/>
    </row>
    <row r="1192" spans="1:24" ht="12" customHeight="1" x14ac:dyDescent="0.2">
      <c r="C1192" s="525"/>
      <c r="D1192" s="525"/>
      <c r="E1192" s="525"/>
      <c r="F1192" s="525"/>
      <c r="G1192" s="525"/>
    </row>
    <row r="1193" spans="1:24" ht="15" customHeight="1" x14ac:dyDescent="0.2">
      <c r="A1193" s="534" t="s">
        <v>285</v>
      </c>
      <c r="B1193" s="534"/>
      <c r="D1193" s="534" t="s">
        <v>286</v>
      </c>
      <c r="E1193" s="534"/>
      <c r="F1193" s="534"/>
      <c r="G1193" s="534"/>
      <c r="H1193" s="534"/>
      <c r="I1193" s="534"/>
      <c r="J1193" s="534"/>
      <c r="K1193" s="534"/>
      <c r="L1193" s="534"/>
      <c r="M1193" s="534"/>
      <c r="N1193" s="534"/>
      <c r="O1193" s="534"/>
      <c r="P1193" s="534"/>
      <c r="Q1193" s="534"/>
      <c r="R1193" s="534"/>
      <c r="S1193" s="534"/>
      <c r="T1193" s="534"/>
      <c r="U1193" s="534"/>
      <c r="V1193" s="534"/>
    </row>
    <row r="1194" spans="1:24" ht="0.75" customHeight="1" x14ac:dyDescent="0.2"/>
    <row r="1195" spans="1:24" ht="13.5" customHeight="1" x14ac:dyDescent="0.2">
      <c r="A1195" s="530" t="s">
        <v>1073</v>
      </c>
      <c r="B1195" s="530"/>
      <c r="C1195" s="525" t="s">
        <v>1074</v>
      </c>
      <c r="D1195" s="525"/>
      <c r="E1195" s="525"/>
      <c r="F1195" s="525"/>
      <c r="G1195" s="525"/>
      <c r="I1195" s="532">
        <v>43299</v>
      </c>
      <c r="J1195" s="532"/>
      <c r="K1195" s="533">
        <v>556</v>
      </c>
      <c r="L1195" s="533"/>
      <c r="M1195" s="533">
        <v>0</v>
      </c>
      <c r="N1195" s="533"/>
      <c r="O1195" s="533">
        <v>556</v>
      </c>
      <c r="P1195" s="533"/>
      <c r="Q1195" s="533">
        <v>0</v>
      </c>
      <c r="R1195" s="533"/>
      <c r="S1195" s="1">
        <v>20</v>
      </c>
      <c r="T1195" s="2" t="s">
        <v>289</v>
      </c>
      <c r="U1195" s="533">
        <v>41</v>
      </c>
      <c r="V1195" s="533"/>
      <c r="W1195" s="533">
        <v>515</v>
      </c>
      <c r="X1195" s="533"/>
    </row>
    <row r="1196" spans="1:24" ht="12" customHeight="1" x14ac:dyDescent="0.2">
      <c r="C1196" s="525"/>
      <c r="D1196" s="525"/>
      <c r="E1196" s="525"/>
      <c r="F1196" s="525"/>
      <c r="G1196" s="525"/>
    </row>
    <row r="1197" spans="1:24" ht="13.5" customHeight="1" x14ac:dyDescent="0.2">
      <c r="A1197" s="530" t="s">
        <v>1075</v>
      </c>
      <c r="B1197" s="530"/>
      <c r="C1197" s="531" t="s">
        <v>1076</v>
      </c>
      <c r="D1197" s="531"/>
      <c r="E1197" s="531"/>
      <c r="F1197" s="531"/>
      <c r="G1197" s="531"/>
      <c r="I1197" s="532">
        <v>43312</v>
      </c>
      <c r="J1197" s="532"/>
      <c r="K1197" s="533">
        <v>434</v>
      </c>
      <c r="L1197" s="533"/>
      <c r="M1197" s="533">
        <v>0</v>
      </c>
      <c r="N1197" s="533"/>
      <c r="O1197" s="533">
        <v>434</v>
      </c>
      <c r="P1197" s="533"/>
      <c r="Q1197" s="533">
        <v>0</v>
      </c>
      <c r="R1197" s="533"/>
      <c r="S1197" s="1">
        <v>20</v>
      </c>
      <c r="T1197" s="2" t="s">
        <v>289</v>
      </c>
      <c r="U1197" s="533">
        <v>29</v>
      </c>
      <c r="V1197" s="533"/>
      <c r="W1197" s="533">
        <v>405</v>
      </c>
      <c r="X1197" s="533"/>
    </row>
    <row r="1198" spans="1:24" ht="0.75" customHeight="1" x14ac:dyDescent="0.2"/>
    <row r="1199" spans="1:24" ht="13.5" customHeight="1" x14ac:dyDescent="0.2">
      <c r="A1199" s="530" t="s">
        <v>1077</v>
      </c>
      <c r="B1199" s="530"/>
      <c r="C1199" s="531" t="s">
        <v>1078</v>
      </c>
      <c r="D1199" s="531"/>
      <c r="E1199" s="531"/>
      <c r="F1199" s="531"/>
      <c r="G1199" s="531"/>
      <c r="I1199" s="532">
        <v>43313</v>
      </c>
      <c r="J1199" s="532"/>
      <c r="K1199" s="533">
        <v>367.09000000000003</v>
      </c>
      <c r="L1199" s="533"/>
      <c r="M1199" s="533">
        <v>0</v>
      </c>
      <c r="N1199" s="533"/>
      <c r="O1199" s="533">
        <v>367.09000000000003</v>
      </c>
      <c r="P1199" s="533"/>
      <c r="Q1199" s="533">
        <v>0</v>
      </c>
      <c r="R1199" s="533"/>
      <c r="S1199" s="1">
        <v>13.33</v>
      </c>
      <c r="T1199" s="2" t="s">
        <v>289</v>
      </c>
      <c r="U1199" s="533">
        <v>16</v>
      </c>
      <c r="V1199" s="533"/>
      <c r="W1199" s="533">
        <v>351.09000000000003</v>
      </c>
      <c r="X1199" s="533"/>
    </row>
    <row r="1200" spans="1:24" ht="0.75" customHeight="1" x14ac:dyDescent="0.2"/>
    <row r="1201" spans="1:24" ht="13.5" customHeight="1" x14ac:dyDescent="0.2">
      <c r="A1201" s="530" t="s">
        <v>1079</v>
      </c>
      <c r="B1201" s="530"/>
      <c r="C1201" s="531" t="s">
        <v>1080</v>
      </c>
      <c r="D1201" s="531"/>
      <c r="E1201" s="531"/>
      <c r="F1201" s="531"/>
      <c r="G1201" s="531"/>
      <c r="I1201" s="532">
        <v>43326</v>
      </c>
      <c r="J1201" s="532"/>
      <c r="K1201" s="533">
        <v>20080.14</v>
      </c>
      <c r="L1201" s="533"/>
      <c r="M1201" s="533">
        <v>0</v>
      </c>
      <c r="N1201" s="533"/>
      <c r="O1201" s="533">
        <v>20080.14</v>
      </c>
      <c r="P1201" s="533"/>
      <c r="Q1201" s="533">
        <v>0</v>
      </c>
      <c r="R1201" s="533"/>
      <c r="S1201" s="1">
        <v>13.33</v>
      </c>
      <c r="T1201" s="2" t="s">
        <v>289</v>
      </c>
      <c r="U1201" s="533">
        <v>799</v>
      </c>
      <c r="V1201" s="533"/>
      <c r="W1201" s="533">
        <v>19281.14</v>
      </c>
      <c r="X1201" s="533"/>
    </row>
    <row r="1202" spans="1:24" ht="0.75" customHeight="1" x14ac:dyDescent="0.2"/>
    <row r="1203" spans="1:24" ht="13.5" customHeight="1" x14ac:dyDescent="0.2">
      <c r="A1203" s="530" t="s">
        <v>1081</v>
      </c>
      <c r="B1203" s="530"/>
      <c r="C1203" s="531" t="s">
        <v>1082</v>
      </c>
      <c r="D1203" s="531"/>
      <c r="E1203" s="531"/>
      <c r="F1203" s="531"/>
      <c r="G1203" s="531"/>
      <c r="I1203" s="532">
        <v>43339</v>
      </c>
      <c r="J1203" s="532"/>
      <c r="K1203" s="533">
        <v>975.30000000000007</v>
      </c>
      <c r="L1203" s="533"/>
      <c r="M1203" s="533">
        <v>0</v>
      </c>
      <c r="N1203" s="533"/>
      <c r="O1203" s="533">
        <v>975.30000000000007</v>
      </c>
      <c r="P1203" s="533"/>
      <c r="Q1203" s="533">
        <v>0</v>
      </c>
      <c r="R1203" s="533"/>
      <c r="S1203" s="1">
        <v>13.33</v>
      </c>
      <c r="T1203" s="2" t="s">
        <v>289</v>
      </c>
      <c r="U1203" s="533">
        <v>34</v>
      </c>
      <c r="V1203" s="533"/>
      <c r="W1203" s="533">
        <v>941.30000000000007</v>
      </c>
      <c r="X1203" s="533"/>
    </row>
    <row r="1204" spans="1:24" ht="0.75" customHeight="1" x14ac:dyDescent="0.2"/>
    <row r="1205" spans="1:24" ht="13.5" customHeight="1" x14ac:dyDescent="0.2">
      <c r="A1205" s="530" t="s">
        <v>1083</v>
      </c>
      <c r="B1205" s="530"/>
      <c r="C1205" s="531" t="s">
        <v>1084</v>
      </c>
      <c r="D1205" s="531"/>
      <c r="E1205" s="531"/>
      <c r="F1205" s="531"/>
      <c r="G1205" s="531"/>
      <c r="I1205" s="532">
        <v>43342</v>
      </c>
      <c r="J1205" s="532"/>
      <c r="K1205" s="533">
        <v>3844</v>
      </c>
      <c r="L1205" s="533"/>
      <c r="M1205" s="533">
        <v>0</v>
      </c>
      <c r="N1205" s="533"/>
      <c r="O1205" s="533">
        <v>3844</v>
      </c>
      <c r="P1205" s="533"/>
      <c r="Q1205" s="533">
        <v>0</v>
      </c>
      <c r="R1205" s="533"/>
      <c r="S1205" s="1">
        <v>13.33</v>
      </c>
      <c r="T1205" s="2" t="s">
        <v>289</v>
      </c>
      <c r="U1205" s="533">
        <v>131</v>
      </c>
      <c r="V1205" s="533"/>
      <c r="W1205" s="533">
        <v>3713</v>
      </c>
      <c r="X1205" s="533"/>
    </row>
    <row r="1206" spans="1:24" ht="0.75" customHeight="1" x14ac:dyDescent="0.2"/>
    <row r="1207" spans="1:24" ht="13.5" customHeight="1" x14ac:dyDescent="0.2">
      <c r="A1207" s="530" t="s">
        <v>1085</v>
      </c>
      <c r="B1207" s="530"/>
      <c r="C1207" s="525" t="s">
        <v>1086</v>
      </c>
      <c r="D1207" s="525"/>
      <c r="E1207" s="525"/>
      <c r="F1207" s="525"/>
      <c r="G1207" s="525"/>
      <c r="I1207" s="532">
        <v>43331</v>
      </c>
      <c r="J1207" s="532"/>
      <c r="K1207" s="533">
        <v>960</v>
      </c>
      <c r="L1207" s="533"/>
      <c r="M1207" s="533">
        <v>0</v>
      </c>
      <c r="N1207" s="533"/>
      <c r="O1207" s="533">
        <v>960</v>
      </c>
      <c r="P1207" s="533"/>
      <c r="Q1207" s="533">
        <v>0</v>
      </c>
      <c r="R1207" s="533"/>
      <c r="S1207" s="1">
        <v>13.33</v>
      </c>
      <c r="T1207" s="2" t="s">
        <v>289</v>
      </c>
      <c r="U1207" s="533">
        <v>36</v>
      </c>
      <c r="V1207" s="533"/>
      <c r="W1207" s="533">
        <v>924</v>
      </c>
      <c r="X1207" s="533"/>
    </row>
    <row r="1208" spans="1:24" ht="12" customHeight="1" x14ac:dyDescent="0.2">
      <c r="C1208" s="525"/>
      <c r="D1208" s="525"/>
      <c r="E1208" s="525"/>
      <c r="F1208" s="525"/>
      <c r="G1208" s="525"/>
    </row>
    <row r="1209" spans="1:24" ht="13.5" customHeight="1" x14ac:dyDescent="0.2">
      <c r="A1209" s="530" t="s">
        <v>1087</v>
      </c>
      <c r="B1209" s="530"/>
      <c r="C1209" s="531" t="s">
        <v>1088</v>
      </c>
      <c r="D1209" s="531"/>
      <c r="E1209" s="531"/>
      <c r="F1209" s="531"/>
      <c r="G1209" s="531"/>
      <c r="I1209" s="532">
        <v>43312</v>
      </c>
      <c r="J1209" s="532"/>
      <c r="K1209" s="533">
        <v>1364</v>
      </c>
      <c r="L1209" s="533"/>
      <c r="M1209" s="533">
        <v>0</v>
      </c>
      <c r="N1209" s="533"/>
      <c r="O1209" s="533">
        <v>1364</v>
      </c>
      <c r="P1209" s="533"/>
      <c r="Q1209" s="533">
        <v>0</v>
      </c>
      <c r="R1209" s="533"/>
      <c r="S1209" s="1">
        <v>10</v>
      </c>
      <c r="T1209" s="2" t="s">
        <v>289</v>
      </c>
      <c r="U1209" s="533">
        <v>46</v>
      </c>
      <c r="V1209" s="533"/>
      <c r="W1209" s="533">
        <v>1318</v>
      </c>
      <c r="X1209" s="533"/>
    </row>
    <row r="1210" spans="1:24" ht="0.75" customHeight="1" x14ac:dyDescent="0.2"/>
    <row r="1211" spans="1:24" ht="13.5" customHeight="1" x14ac:dyDescent="0.2">
      <c r="A1211" s="530" t="s">
        <v>1089</v>
      </c>
      <c r="B1211" s="530"/>
      <c r="C1211" s="531" t="s">
        <v>1090</v>
      </c>
      <c r="D1211" s="531"/>
      <c r="E1211" s="531"/>
      <c r="F1211" s="531"/>
      <c r="G1211" s="531"/>
      <c r="I1211" s="532">
        <v>43343</v>
      </c>
      <c r="J1211" s="532"/>
      <c r="K1211" s="533">
        <v>4658</v>
      </c>
      <c r="L1211" s="533"/>
      <c r="M1211" s="533">
        <v>0</v>
      </c>
      <c r="N1211" s="533"/>
      <c r="O1211" s="533">
        <v>4658</v>
      </c>
      <c r="P1211" s="533"/>
      <c r="Q1211" s="533">
        <v>0</v>
      </c>
      <c r="R1211" s="533"/>
      <c r="S1211" s="1">
        <v>10</v>
      </c>
      <c r="T1211" s="2" t="s">
        <v>289</v>
      </c>
      <c r="U1211" s="533">
        <v>117</v>
      </c>
      <c r="V1211" s="533"/>
      <c r="W1211" s="533">
        <v>4541</v>
      </c>
      <c r="X1211" s="533"/>
    </row>
    <row r="1212" spans="1:24" ht="0.75" customHeight="1" x14ac:dyDescent="0.2"/>
    <row r="1213" spans="1:24" ht="13.5" customHeight="1" x14ac:dyDescent="0.2">
      <c r="A1213" s="530" t="s">
        <v>1091</v>
      </c>
      <c r="B1213" s="530"/>
      <c r="C1213" s="531" t="s">
        <v>1092</v>
      </c>
      <c r="D1213" s="531"/>
      <c r="E1213" s="531"/>
      <c r="F1213" s="531"/>
      <c r="G1213" s="531"/>
      <c r="I1213" s="532">
        <v>43343</v>
      </c>
      <c r="J1213" s="532"/>
      <c r="K1213" s="533">
        <v>172.5</v>
      </c>
      <c r="L1213" s="533"/>
      <c r="M1213" s="533">
        <v>0</v>
      </c>
      <c r="N1213" s="533"/>
      <c r="O1213" s="533">
        <v>172.5</v>
      </c>
      <c r="P1213" s="533"/>
      <c r="Q1213" s="533">
        <v>650.5</v>
      </c>
      <c r="R1213" s="533"/>
      <c r="S1213" s="1">
        <v>10</v>
      </c>
      <c r="T1213" s="2" t="s">
        <v>289</v>
      </c>
      <c r="U1213" s="533">
        <v>3</v>
      </c>
      <c r="V1213" s="533"/>
      <c r="W1213" s="533">
        <v>0</v>
      </c>
      <c r="X1213" s="533"/>
    </row>
    <row r="1214" spans="1:24" ht="13.5" customHeight="1" x14ac:dyDescent="0.2">
      <c r="I1214" s="537">
        <v>43396</v>
      </c>
      <c r="J1214" s="537"/>
      <c r="N1214" s="533">
        <v>-820</v>
      </c>
      <c r="O1214" s="533"/>
    </row>
    <row r="1215" spans="1:24" ht="0.75" customHeight="1" x14ac:dyDescent="0.2"/>
    <row r="1216" spans="1:24" ht="13.5" customHeight="1" x14ac:dyDescent="0.2">
      <c r="A1216" s="530" t="s">
        <v>1093</v>
      </c>
      <c r="B1216" s="530"/>
      <c r="C1216" s="531" t="s">
        <v>1094</v>
      </c>
      <c r="D1216" s="531"/>
      <c r="E1216" s="531"/>
      <c r="F1216" s="531"/>
      <c r="G1216" s="531"/>
      <c r="I1216" s="532">
        <v>43290</v>
      </c>
      <c r="J1216" s="532"/>
      <c r="K1216" s="533">
        <v>10454.550000000001</v>
      </c>
      <c r="L1216" s="533"/>
      <c r="M1216" s="533">
        <v>0</v>
      </c>
      <c r="N1216" s="533"/>
      <c r="O1216" s="533">
        <v>10454.550000000001</v>
      </c>
      <c r="P1216" s="533"/>
      <c r="Q1216" s="533">
        <v>0</v>
      </c>
      <c r="R1216" s="533"/>
      <c r="S1216" s="1">
        <v>20</v>
      </c>
      <c r="T1216" s="2" t="s">
        <v>289</v>
      </c>
      <c r="U1216" s="533">
        <v>831</v>
      </c>
      <c r="V1216" s="533"/>
      <c r="W1216" s="533">
        <v>9623.5500000000011</v>
      </c>
      <c r="X1216" s="533"/>
    </row>
    <row r="1217" spans="1:24" ht="0.75" customHeight="1" x14ac:dyDescent="0.2"/>
    <row r="1218" spans="1:24" ht="13.5" customHeight="1" x14ac:dyDescent="0.2">
      <c r="A1218" s="530" t="s">
        <v>1095</v>
      </c>
      <c r="B1218" s="530"/>
      <c r="C1218" s="531" t="s">
        <v>1096</v>
      </c>
      <c r="D1218" s="531"/>
      <c r="E1218" s="531"/>
      <c r="F1218" s="531"/>
      <c r="G1218" s="531"/>
      <c r="I1218" s="532">
        <v>43298</v>
      </c>
      <c r="J1218" s="532"/>
      <c r="K1218" s="533">
        <v>1512.73</v>
      </c>
      <c r="L1218" s="533"/>
      <c r="M1218" s="533">
        <v>0</v>
      </c>
      <c r="N1218" s="533"/>
      <c r="O1218" s="533">
        <v>1512.73</v>
      </c>
      <c r="P1218" s="533"/>
      <c r="Q1218" s="533">
        <v>0</v>
      </c>
      <c r="R1218" s="533"/>
      <c r="S1218" s="1">
        <v>20</v>
      </c>
      <c r="T1218" s="2" t="s">
        <v>289</v>
      </c>
      <c r="U1218" s="533">
        <v>114</v>
      </c>
      <c r="V1218" s="533"/>
      <c r="W1218" s="533">
        <v>1398.73</v>
      </c>
      <c r="X1218" s="533"/>
    </row>
    <row r="1219" spans="1:24" ht="0.75" customHeight="1" x14ac:dyDescent="0.2"/>
    <row r="1220" spans="1:24" ht="13.5" customHeight="1" x14ac:dyDescent="0.2">
      <c r="A1220" s="530" t="s">
        <v>1097</v>
      </c>
      <c r="B1220" s="530"/>
      <c r="C1220" s="531" t="s">
        <v>1098</v>
      </c>
      <c r="D1220" s="531"/>
      <c r="E1220" s="531"/>
      <c r="F1220" s="531"/>
      <c r="G1220" s="531"/>
      <c r="I1220" s="532">
        <v>43298</v>
      </c>
      <c r="J1220" s="532"/>
      <c r="K1220" s="533">
        <v>3528.1800000000003</v>
      </c>
      <c r="L1220" s="533"/>
      <c r="M1220" s="533">
        <v>0</v>
      </c>
      <c r="N1220" s="533"/>
      <c r="O1220" s="533">
        <v>3528.1800000000003</v>
      </c>
      <c r="P1220" s="533"/>
      <c r="Q1220" s="533">
        <v>0</v>
      </c>
      <c r="R1220" s="533"/>
      <c r="S1220" s="1">
        <v>20</v>
      </c>
      <c r="T1220" s="2" t="s">
        <v>289</v>
      </c>
      <c r="U1220" s="533">
        <v>265</v>
      </c>
      <c r="V1220" s="533"/>
      <c r="W1220" s="533">
        <v>3263.1800000000003</v>
      </c>
      <c r="X1220" s="533"/>
    </row>
    <row r="1221" spans="1:24" ht="0.75" customHeight="1" x14ac:dyDescent="0.2"/>
    <row r="1222" spans="1:24" ht="13.5" customHeight="1" x14ac:dyDescent="0.2">
      <c r="A1222" s="530" t="s">
        <v>1099</v>
      </c>
      <c r="B1222" s="530"/>
      <c r="C1222" s="531" t="s">
        <v>1100</v>
      </c>
      <c r="D1222" s="531"/>
      <c r="E1222" s="531"/>
      <c r="F1222" s="531"/>
      <c r="G1222" s="531"/>
      <c r="I1222" s="532">
        <v>43319</v>
      </c>
      <c r="J1222" s="532"/>
      <c r="K1222" s="533">
        <v>1747.32</v>
      </c>
      <c r="L1222" s="533"/>
      <c r="M1222" s="533">
        <v>0</v>
      </c>
      <c r="N1222" s="533"/>
      <c r="O1222" s="533">
        <v>1747.32</v>
      </c>
      <c r="P1222" s="533"/>
      <c r="Q1222" s="533">
        <v>0</v>
      </c>
      <c r="R1222" s="533"/>
      <c r="S1222" s="1">
        <v>20</v>
      </c>
      <c r="T1222" s="2" t="s">
        <v>289</v>
      </c>
      <c r="U1222" s="533">
        <v>111</v>
      </c>
      <c r="V1222" s="533"/>
      <c r="W1222" s="533">
        <v>1636.32</v>
      </c>
      <c r="X1222" s="533"/>
    </row>
    <row r="1223" spans="1:24" ht="0.75" customHeight="1" x14ac:dyDescent="0.2"/>
    <row r="1224" spans="1:24" ht="13.5" customHeight="1" x14ac:dyDescent="0.2">
      <c r="A1224" s="530" t="s">
        <v>1101</v>
      </c>
      <c r="B1224" s="530"/>
      <c r="C1224" s="531" t="s">
        <v>1102</v>
      </c>
      <c r="D1224" s="531"/>
      <c r="E1224" s="531"/>
      <c r="F1224" s="531"/>
      <c r="G1224" s="531"/>
      <c r="I1224" s="532">
        <v>43383</v>
      </c>
      <c r="J1224" s="532"/>
      <c r="K1224" s="533">
        <v>1715.45</v>
      </c>
      <c r="L1224" s="533"/>
      <c r="M1224" s="533">
        <v>0</v>
      </c>
      <c r="N1224" s="533"/>
      <c r="O1224" s="533">
        <v>1715.45</v>
      </c>
      <c r="P1224" s="533"/>
      <c r="Q1224" s="533">
        <v>0</v>
      </c>
      <c r="R1224" s="533"/>
      <c r="S1224" s="1">
        <v>20</v>
      </c>
      <c r="T1224" s="2" t="s">
        <v>289</v>
      </c>
      <c r="U1224" s="533">
        <v>49</v>
      </c>
      <c r="V1224" s="533"/>
      <c r="W1224" s="533">
        <v>1666.45</v>
      </c>
      <c r="X1224" s="533"/>
    </row>
    <row r="1225" spans="1:24" ht="0.75" customHeight="1" x14ac:dyDescent="0.2"/>
    <row r="1226" spans="1:24" ht="13.5" customHeight="1" x14ac:dyDescent="0.2">
      <c r="A1226" s="530" t="s">
        <v>1103</v>
      </c>
      <c r="B1226" s="530"/>
      <c r="C1226" s="531" t="s">
        <v>1104</v>
      </c>
      <c r="D1226" s="531"/>
      <c r="E1226" s="531"/>
      <c r="F1226" s="531"/>
      <c r="G1226" s="531"/>
      <c r="I1226" s="532">
        <v>43395</v>
      </c>
      <c r="J1226" s="532"/>
      <c r="K1226" s="533">
        <v>30000</v>
      </c>
      <c r="L1226" s="533"/>
      <c r="M1226" s="533">
        <v>0</v>
      </c>
      <c r="N1226" s="533"/>
      <c r="O1226" s="533">
        <v>30000</v>
      </c>
      <c r="P1226" s="533"/>
      <c r="Q1226" s="533">
        <v>0</v>
      </c>
      <c r="R1226" s="533"/>
      <c r="S1226" s="1">
        <v>10</v>
      </c>
      <c r="T1226" s="2" t="s">
        <v>289</v>
      </c>
      <c r="U1226" s="533">
        <v>329</v>
      </c>
      <c r="V1226" s="533"/>
      <c r="W1226" s="533">
        <v>29671</v>
      </c>
      <c r="X1226" s="533"/>
    </row>
    <row r="1227" spans="1:24" ht="0.75" customHeight="1" x14ac:dyDescent="0.2"/>
    <row r="1228" spans="1:24" ht="13.5" customHeight="1" x14ac:dyDescent="0.2">
      <c r="A1228" s="530" t="s">
        <v>1105</v>
      </c>
      <c r="B1228" s="530"/>
      <c r="C1228" s="531" t="s">
        <v>1106</v>
      </c>
      <c r="D1228" s="531"/>
      <c r="E1228" s="531"/>
      <c r="F1228" s="531"/>
      <c r="G1228" s="531"/>
      <c r="I1228" s="532">
        <v>43374</v>
      </c>
      <c r="J1228" s="532"/>
      <c r="K1228" s="533">
        <v>1060</v>
      </c>
      <c r="L1228" s="533"/>
      <c r="M1228" s="533">
        <v>0</v>
      </c>
      <c r="N1228" s="533"/>
      <c r="O1228" s="533">
        <v>1060</v>
      </c>
      <c r="P1228" s="533"/>
      <c r="Q1228" s="533">
        <v>0</v>
      </c>
      <c r="R1228" s="533"/>
      <c r="S1228" s="1">
        <v>20</v>
      </c>
      <c r="T1228" s="2" t="s">
        <v>289</v>
      </c>
      <c r="U1228" s="533">
        <v>35</v>
      </c>
      <c r="V1228" s="533"/>
      <c r="W1228" s="533">
        <v>1025</v>
      </c>
      <c r="X1228" s="533"/>
    </row>
    <row r="1229" spans="1:24" ht="0.75" customHeight="1" x14ac:dyDescent="0.2"/>
    <row r="1230" spans="1:24" ht="13.5" customHeight="1" x14ac:dyDescent="0.2">
      <c r="A1230" s="530" t="s">
        <v>1107</v>
      </c>
      <c r="B1230" s="530"/>
      <c r="C1230" s="531" t="s">
        <v>1108</v>
      </c>
      <c r="D1230" s="531"/>
      <c r="E1230" s="531"/>
      <c r="F1230" s="531"/>
      <c r="G1230" s="531"/>
      <c r="I1230" s="532">
        <v>43406</v>
      </c>
      <c r="J1230" s="532"/>
      <c r="K1230" s="533">
        <v>2036.3600000000001</v>
      </c>
      <c r="L1230" s="533"/>
      <c r="M1230" s="533">
        <v>0</v>
      </c>
      <c r="N1230" s="533"/>
      <c r="O1230" s="533">
        <v>2036.3600000000001</v>
      </c>
      <c r="P1230" s="533"/>
      <c r="Q1230" s="533">
        <v>0</v>
      </c>
      <c r="R1230" s="533"/>
      <c r="S1230" s="1">
        <v>20</v>
      </c>
      <c r="T1230" s="2" t="s">
        <v>289</v>
      </c>
      <c r="U1230" s="533">
        <v>32</v>
      </c>
      <c r="V1230" s="533"/>
      <c r="W1230" s="533">
        <v>2004.3600000000001</v>
      </c>
      <c r="X1230" s="533"/>
    </row>
    <row r="1231" spans="1:24" ht="0.75" customHeight="1" x14ac:dyDescent="0.2"/>
    <row r="1232" spans="1:24" ht="13.5" customHeight="1" x14ac:dyDescent="0.2">
      <c r="A1232" s="530" t="s">
        <v>1109</v>
      </c>
      <c r="B1232" s="530"/>
      <c r="C1232" s="531" t="s">
        <v>1110</v>
      </c>
      <c r="D1232" s="531"/>
      <c r="E1232" s="531"/>
      <c r="F1232" s="531"/>
      <c r="G1232" s="531"/>
      <c r="I1232" s="532">
        <v>43410</v>
      </c>
      <c r="J1232" s="532"/>
      <c r="K1232" s="533">
        <v>545.45000000000005</v>
      </c>
      <c r="L1232" s="533"/>
      <c r="M1232" s="533">
        <v>0</v>
      </c>
      <c r="N1232" s="533"/>
      <c r="O1232" s="533">
        <v>545.45000000000005</v>
      </c>
      <c r="P1232" s="533"/>
      <c r="Q1232" s="533">
        <v>0</v>
      </c>
      <c r="R1232" s="533"/>
      <c r="S1232" s="1">
        <v>20</v>
      </c>
      <c r="T1232" s="2" t="s">
        <v>289</v>
      </c>
      <c r="U1232" s="533">
        <v>7</v>
      </c>
      <c r="V1232" s="533"/>
      <c r="W1232" s="533">
        <v>538.45000000000005</v>
      </c>
      <c r="X1232" s="533"/>
    </row>
    <row r="1233" spans="1:24" ht="0.75" customHeight="1" x14ac:dyDescent="0.2"/>
    <row r="1234" spans="1:24" ht="13.5" customHeight="1" x14ac:dyDescent="0.2">
      <c r="A1234" s="530" t="s">
        <v>1111</v>
      </c>
      <c r="B1234" s="530"/>
      <c r="C1234" s="531" t="s">
        <v>1112</v>
      </c>
      <c r="D1234" s="531"/>
      <c r="E1234" s="531"/>
      <c r="F1234" s="531"/>
      <c r="G1234" s="531"/>
      <c r="I1234" s="532">
        <v>43410</v>
      </c>
      <c r="J1234" s="532"/>
      <c r="K1234" s="533">
        <v>690.73</v>
      </c>
      <c r="L1234" s="533"/>
      <c r="M1234" s="533">
        <v>0</v>
      </c>
      <c r="N1234" s="533"/>
      <c r="O1234" s="533">
        <v>690.73</v>
      </c>
      <c r="P1234" s="533"/>
      <c r="Q1234" s="533">
        <v>0</v>
      </c>
      <c r="R1234" s="533"/>
      <c r="S1234" s="1">
        <v>20</v>
      </c>
      <c r="T1234" s="2" t="s">
        <v>289</v>
      </c>
      <c r="U1234" s="533">
        <v>9</v>
      </c>
      <c r="V1234" s="533"/>
      <c r="W1234" s="533">
        <v>681.73</v>
      </c>
      <c r="X1234" s="533"/>
    </row>
    <row r="1235" spans="1:24" ht="0.75" customHeight="1" x14ac:dyDescent="0.2"/>
    <row r="1236" spans="1:24" ht="13.5" customHeight="1" x14ac:dyDescent="0.2">
      <c r="A1236" s="530" t="s">
        <v>1113</v>
      </c>
      <c r="B1236" s="530"/>
      <c r="C1236" s="525" t="s">
        <v>1114</v>
      </c>
      <c r="D1236" s="525"/>
      <c r="E1236" s="525"/>
      <c r="F1236" s="525"/>
      <c r="G1236" s="525"/>
      <c r="I1236" s="532">
        <v>43427</v>
      </c>
      <c r="J1236" s="532"/>
      <c r="K1236" s="533">
        <v>11137.12</v>
      </c>
      <c r="L1236" s="533"/>
      <c r="M1236" s="533">
        <v>0</v>
      </c>
      <c r="N1236" s="533"/>
      <c r="O1236" s="533">
        <v>11137.12</v>
      </c>
      <c r="P1236" s="533"/>
      <c r="Q1236" s="533">
        <v>0</v>
      </c>
      <c r="R1236" s="533"/>
      <c r="S1236" s="1">
        <v>20</v>
      </c>
      <c r="T1236" s="2" t="s">
        <v>289</v>
      </c>
      <c r="U1236" s="533">
        <v>49</v>
      </c>
      <c r="V1236" s="533"/>
      <c r="W1236" s="533">
        <v>11088.12</v>
      </c>
      <c r="X1236" s="533"/>
    </row>
    <row r="1237" spans="1:24" ht="12" customHeight="1" x14ac:dyDescent="0.2">
      <c r="C1237" s="525"/>
      <c r="D1237" s="525"/>
      <c r="E1237" s="525"/>
      <c r="F1237" s="525"/>
      <c r="G1237" s="525"/>
    </row>
    <row r="1238" spans="1:24" ht="13.5" customHeight="1" x14ac:dyDescent="0.2">
      <c r="A1238" s="530" t="s">
        <v>1115</v>
      </c>
      <c r="B1238" s="530"/>
      <c r="C1238" s="531" t="s">
        <v>1116</v>
      </c>
      <c r="D1238" s="531"/>
      <c r="E1238" s="531"/>
      <c r="F1238" s="531"/>
      <c r="G1238" s="531"/>
      <c r="I1238" s="532">
        <v>43432</v>
      </c>
      <c r="J1238" s="532"/>
      <c r="K1238" s="533">
        <v>7168.75</v>
      </c>
      <c r="L1238" s="533"/>
      <c r="M1238" s="533">
        <v>0</v>
      </c>
      <c r="N1238" s="533"/>
      <c r="O1238" s="533">
        <v>7168.75</v>
      </c>
      <c r="P1238" s="533"/>
      <c r="Q1238" s="533">
        <v>0</v>
      </c>
      <c r="R1238" s="533"/>
      <c r="S1238" s="1">
        <v>20</v>
      </c>
      <c r="T1238" s="2" t="s">
        <v>289</v>
      </c>
      <c r="U1238" s="533">
        <v>12</v>
      </c>
      <c r="V1238" s="533"/>
      <c r="W1238" s="533">
        <v>7156.75</v>
      </c>
      <c r="X1238" s="533"/>
    </row>
    <row r="1239" spans="1:24" ht="13.5" customHeight="1" x14ac:dyDescent="0.2">
      <c r="K1239" s="535">
        <v>4315281.25</v>
      </c>
      <c r="L1239" s="535"/>
    </row>
    <row r="1240" spans="1:24" ht="12.75" hidden="1" customHeight="1" x14ac:dyDescent="0.2">
      <c r="K1240" s="535"/>
      <c r="L1240" s="535"/>
    </row>
    <row r="1241" spans="1:24" ht="13.5" customHeight="1" x14ac:dyDescent="0.2">
      <c r="A1241" s="538" t="s">
        <v>1117</v>
      </c>
      <c r="B1241" s="538"/>
      <c r="C1241" s="538"/>
      <c r="K1241" s="535">
        <v>59539.5</v>
      </c>
      <c r="L1241" s="535"/>
    </row>
    <row r="1242" spans="1:24" ht="12" customHeight="1" x14ac:dyDescent="0.2"/>
    <row r="1243" spans="1:24" ht="0.75" customHeight="1" x14ac:dyDescent="0.2"/>
    <row r="1244" spans="1:24" ht="13.5" customHeight="1" x14ac:dyDescent="0.2">
      <c r="J1244" s="535">
        <v>4255741.75</v>
      </c>
      <c r="K1244" s="535"/>
      <c r="L1244" s="535"/>
      <c r="M1244" s="536">
        <v>2334575.8881999999</v>
      </c>
      <c r="N1244" s="536"/>
      <c r="O1244" s="535">
        <v>706573.67</v>
      </c>
      <c r="P1244" s="535"/>
      <c r="Q1244" s="536">
        <v>18489.288799999998</v>
      </c>
      <c r="R1244" s="536"/>
      <c r="S1244" s="536">
        <v>131913</v>
      </c>
      <c r="T1244" s="536"/>
      <c r="U1244" s="536">
        <v>2927725.8470000001</v>
      </c>
      <c r="V1244" s="536"/>
    </row>
    <row r="1245" spans="1:24" ht="15" customHeight="1" x14ac:dyDescent="0.2">
      <c r="A1245" s="534" t="s">
        <v>1118</v>
      </c>
      <c r="B1245" s="534"/>
      <c r="D1245" s="534" t="s">
        <v>1119</v>
      </c>
      <c r="E1245" s="534"/>
      <c r="F1245" s="534"/>
      <c r="G1245" s="534"/>
      <c r="H1245" s="534"/>
      <c r="I1245" s="534"/>
      <c r="J1245" s="534"/>
      <c r="K1245" s="534"/>
      <c r="L1245" s="534"/>
      <c r="M1245" s="534"/>
      <c r="N1245" s="534"/>
      <c r="O1245" s="534"/>
      <c r="P1245" s="534"/>
      <c r="Q1245" s="534"/>
      <c r="R1245" s="534"/>
      <c r="S1245" s="534"/>
      <c r="T1245" s="534"/>
      <c r="U1245" s="534"/>
      <c r="V1245" s="534"/>
    </row>
    <row r="1246" spans="1:24" ht="0.75" customHeight="1" x14ac:dyDescent="0.2"/>
    <row r="1247" spans="1:24" ht="13.5" customHeight="1" x14ac:dyDescent="0.2">
      <c r="A1247" s="530" t="s">
        <v>1120</v>
      </c>
      <c r="B1247" s="530"/>
      <c r="C1247" s="531" t="s">
        <v>630</v>
      </c>
      <c r="D1247" s="531"/>
      <c r="E1247" s="531"/>
      <c r="F1247" s="531"/>
      <c r="G1247" s="531"/>
      <c r="I1247" s="532">
        <v>39973</v>
      </c>
      <c r="J1247" s="532"/>
      <c r="K1247" s="533">
        <v>17499</v>
      </c>
      <c r="L1247" s="533"/>
      <c r="M1247" s="533">
        <v>2841</v>
      </c>
      <c r="N1247" s="533"/>
      <c r="O1247" s="533">
        <v>0</v>
      </c>
      <c r="P1247" s="533"/>
      <c r="Q1247" s="533">
        <v>0</v>
      </c>
      <c r="R1247" s="533"/>
      <c r="S1247" s="1">
        <v>18.18</v>
      </c>
      <c r="T1247" s="2" t="s">
        <v>289</v>
      </c>
      <c r="U1247" s="533">
        <v>217</v>
      </c>
      <c r="V1247" s="533"/>
      <c r="W1247" s="533">
        <v>2624</v>
      </c>
      <c r="X1247" s="533"/>
    </row>
    <row r="1248" spans="1:24" ht="0.75" customHeight="1" x14ac:dyDescent="0.2"/>
    <row r="1249" spans="1:24" ht="13.5" customHeight="1" x14ac:dyDescent="0.2">
      <c r="A1249" s="530" t="s">
        <v>1121</v>
      </c>
      <c r="B1249" s="530"/>
      <c r="C1249" s="531" t="s">
        <v>1122</v>
      </c>
      <c r="D1249" s="531"/>
      <c r="E1249" s="531"/>
      <c r="F1249" s="531"/>
      <c r="G1249" s="531"/>
      <c r="I1249" s="532">
        <v>40268</v>
      </c>
      <c r="J1249" s="532"/>
      <c r="K1249" s="533">
        <v>13034.44</v>
      </c>
      <c r="L1249" s="533"/>
      <c r="M1249" s="533">
        <v>2495.2600000000002</v>
      </c>
      <c r="N1249" s="533"/>
      <c r="O1249" s="533">
        <v>0</v>
      </c>
      <c r="P1249" s="533"/>
      <c r="Q1249" s="533">
        <v>0</v>
      </c>
      <c r="R1249" s="533"/>
      <c r="S1249" s="1">
        <v>18.18</v>
      </c>
      <c r="T1249" s="2" t="s">
        <v>289</v>
      </c>
      <c r="U1249" s="533">
        <v>190</v>
      </c>
      <c r="V1249" s="533"/>
      <c r="W1249" s="533">
        <v>2305.2600000000002</v>
      </c>
      <c r="X1249" s="533"/>
    </row>
    <row r="1250" spans="1:24" ht="0.75" customHeight="1" x14ac:dyDescent="0.2"/>
    <row r="1251" spans="1:24" ht="13.5" customHeight="1" x14ac:dyDescent="0.2">
      <c r="A1251" s="530" t="s">
        <v>1123</v>
      </c>
      <c r="B1251" s="530"/>
      <c r="C1251" s="525" t="s">
        <v>1124</v>
      </c>
      <c r="D1251" s="525"/>
      <c r="E1251" s="525"/>
      <c r="F1251" s="525"/>
      <c r="G1251" s="525"/>
      <c r="I1251" s="532">
        <v>41611</v>
      </c>
      <c r="J1251" s="532"/>
      <c r="K1251" s="533">
        <v>37380.36</v>
      </c>
      <c r="L1251" s="533"/>
      <c r="M1251" s="533">
        <v>16295.36</v>
      </c>
      <c r="N1251" s="533"/>
      <c r="O1251" s="533">
        <v>0</v>
      </c>
      <c r="P1251" s="533"/>
      <c r="Q1251" s="533">
        <v>0</v>
      </c>
      <c r="R1251" s="533"/>
      <c r="S1251" s="1">
        <v>16.66</v>
      </c>
      <c r="T1251" s="2" t="s">
        <v>289</v>
      </c>
      <c r="U1251" s="533">
        <v>1138</v>
      </c>
      <c r="V1251" s="533"/>
      <c r="W1251" s="533">
        <v>15157.36</v>
      </c>
      <c r="X1251" s="533"/>
    </row>
    <row r="1252" spans="1:24" ht="12" customHeight="1" x14ac:dyDescent="0.2">
      <c r="C1252" s="525"/>
      <c r="D1252" s="525"/>
      <c r="E1252" s="525"/>
      <c r="F1252" s="525"/>
      <c r="G1252" s="525"/>
    </row>
    <row r="1253" spans="1:24" ht="13.5" customHeight="1" x14ac:dyDescent="0.2">
      <c r="A1253" s="530" t="s">
        <v>1125</v>
      </c>
      <c r="B1253" s="530"/>
      <c r="C1253" s="531" t="s">
        <v>1126</v>
      </c>
      <c r="D1253" s="531"/>
      <c r="E1253" s="531"/>
      <c r="F1253" s="531"/>
      <c r="G1253" s="531"/>
      <c r="I1253" s="532">
        <v>41779</v>
      </c>
      <c r="J1253" s="532"/>
      <c r="K1253" s="533">
        <v>5000</v>
      </c>
      <c r="L1253" s="533"/>
      <c r="M1253" s="533">
        <v>2777</v>
      </c>
      <c r="N1253" s="533"/>
      <c r="O1253" s="533">
        <v>0</v>
      </c>
      <c r="P1253" s="533"/>
      <c r="Q1253" s="533">
        <v>-2776</v>
      </c>
      <c r="R1253" s="533"/>
      <c r="S1253" s="1">
        <v>13.33</v>
      </c>
      <c r="T1253" s="2" t="s">
        <v>289</v>
      </c>
      <c r="U1253" s="533">
        <v>1</v>
      </c>
      <c r="V1253" s="533"/>
      <c r="W1253" s="533">
        <v>0</v>
      </c>
      <c r="X1253" s="533"/>
    </row>
    <row r="1254" spans="1:24" ht="13.5" customHeight="1" x14ac:dyDescent="0.2">
      <c r="I1254" s="537">
        <v>43282</v>
      </c>
      <c r="J1254" s="537"/>
      <c r="N1254" s="533">
        <v>0</v>
      </c>
      <c r="O1254" s="533"/>
    </row>
    <row r="1255" spans="1:24" ht="0.75" customHeight="1" x14ac:dyDescent="0.2"/>
    <row r="1256" spans="1:24" ht="13.5" customHeight="1" x14ac:dyDescent="0.2">
      <c r="A1256" s="530" t="s">
        <v>1127</v>
      </c>
      <c r="B1256" s="530"/>
      <c r="C1256" s="531" t="s">
        <v>1128</v>
      </c>
      <c r="D1256" s="531"/>
      <c r="E1256" s="531"/>
      <c r="F1256" s="531"/>
      <c r="G1256" s="531"/>
      <c r="I1256" s="532">
        <v>42125</v>
      </c>
      <c r="J1256" s="532"/>
      <c r="K1256" s="533">
        <v>19272</v>
      </c>
      <c r="L1256" s="533"/>
      <c r="M1256" s="533">
        <v>7783</v>
      </c>
      <c r="N1256" s="533"/>
      <c r="O1256" s="533">
        <v>0</v>
      </c>
      <c r="P1256" s="533"/>
      <c r="Q1256" s="533">
        <v>0</v>
      </c>
      <c r="R1256" s="533"/>
      <c r="S1256" s="1">
        <v>25</v>
      </c>
      <c r="T1256" s="2" t="s">
        <v>289</v>
      </c>
      <c r="U1256" s="533">
        <v>816</v>
      </c>
      <c r="V1256" s="533"/>
      <c r="W1256" s="533">
        <v>6967</v>
      </c>
      <c r="X1256" s="533"/>
    </row>
    <row r="1257" spans="1:24" ht="0.75" customHeight="1" x14ac:dyDescent="0.2"/>
    <row r="1258" spans="1:24" ht="13.5" customHeight="1" x14ac:dyDescent="0.2">
      <c r="A1258" s="530" t="s">
        <v>1129</v>
      </c>
      <c r="B1258" s="530"/>
      <c r="C1258" s="525" t="s">
        <v>1130</v>
      </c>
      <c r="D1258" s="525"/>
      <c r="E1258" s="525"/>
      <c r="F1258" s="525"/>
      <c r="G1258" s="525"/>
      <c r="I1258" s="532">
        <v>42229</v>
      </c>
      <c r="J1258" s="532"/>
      <c r="K1258" s="533">
        <v>41117.03</v>
      </c>
      <c r="L1258" s="533"/>
      <c r="M1258" s="533">
        <v>18012.03</v>
      </c>
      <c r="N1258" s="533"/>
      <c r="O1258" s="533">
        <v>0</v>
      </c>
      <c r="P1258" s="533"/>
      <c r="Q1258" s="533">
        <v>0</v>
      </c>
      <c r="R1258" s="533"/>
      <c r="S1258" s="1">
        <v>25</v>
      </c>
      <c r="T1258" s="2" t="s">
        <v>289</v>
      </c>
      <c r="U1258" s="533">
        <v>1888</v>
      </c>
      <c r="V1258" s="533"/>
      <c r="W1258" s="533">
        <v>16124.03</v>
      </c>
      <c r="X1258" s="533"/>
    </row>
    <row r="1259" spans="1:24" ht="12" customHeight="1" x14ac:dyDescent="0.2">
      <c r="C1259" s="525"/>
      <c r="D1259" s="525"/>
      <c r="E1259" s="525"/>
      <c r="F1259" s="525"/>
      <c r="G1259" s="525"/>
    </row>
    <row r="1260" spans="1:24" ht="15" customHeight="1" x14ac:dyDescent="0.2">
      <c r="A1260" s="534" t="s">
        <v>1118</v>
      </c>
      <c r="B1260" s="534"/>
      <c r="D1260" s="534" t="s">
        <v>1119</v>
      </c>
      <c r="E1260" s="534"/>
      <c r="F1260" s="534"/>
      <c r="G1260" s="534"/>
      <c r="H1260" s="534"/>
      <c r="I1260" s="534"/>
      <c r="J1260" s="534"/>
      <c r="K1260" s="534"/>
      <c r="L1260" s="534"/>
      <c r="M1260" s="534"/>
      <c r="N1260" s="534"/>
      <c r="O1260" s="534"/>
      <c r="P1260" s="534"/>
      <c r="Q1260" s="534"/>
      <c r="R1260" s="534"/>
      <c r="S1260" s="534"/>
      <c r="T1260" s="534"/>
      <c r="U1260" s="534"/>
      <c r="V1260" s="534"/>
    </row>
    <row r="1261" spans="1:24" ht="0.75" customHeight="1" x14ac:dyDescent="0.2"/>
    <row r="1262" spans="1:24" ht="13.5" customHeight="1" x14ac:dyDescent="0.2">
      <c r="A1262" s="530" t="s">
        <v>1131</v>
      </c>
      <c r="B1262" s="530"/>
      <c r="C1262" s="531" t="s">
        <v>1132</v>
      </c>
      <c r="D1262" s="531"/>
      <c r="E1262" s="531"/>
      <c r="F1262" s="531"/>
      <c r="G1262" s="531"/>
      <c r="I1262" s="532">
        <v>42360</v>
      </c>
      <c r="J1262" s="532"/>
      <c r="K1262" s="533">
        <v>37434</v>
      </c>
      <c r="L1262" s="533"/>
      <c r="M1262" s="533">
        <v>19042</v>
      </c>
      <c r="N1262" s="533"/>
      <c r="O1262" s="533">
        <v>0</v>
      </c>
      <c r="P1262" s="533"/>
      <c r="Q1262" s="533">
        <v>0</v>
      </c>
      <c r="R1262" s="533"/>
      <c r="S1262" s="1">
        <v>25</v>
      </c>
      <c r="T1262" s="2" t="s">
        <v>289</v>
      </c>
      <c r="U1262" s="533">
        <v>1995</v>
      </c>
      <c r="V1262" s="533"/>
      <c r="W1262" s="533">
        <v>17047</v>
      </c>
      <c r="X1262" s="533"/>
    </row>
    <row r="1263" spans="1:24" ht="0.75" customHeight="1" x14ac:dyDescent="0.2"/>
    <row r="1264" spans="1:24" ht="13.5" customHeight="1" x14ac:dyDescent="0.2">
      <c r="A1264" s="530" t="s">
        <v>1133</v>
      </c>
      <c r="B1264" s="530"/>
      <c r="C1264" s="531" t="s">
        <v>1134</v>
      </c>
      <c r="D1264" s="531"/>
      <c r="E1264" s="531"/>
      <c r="F1264" s="531"/>
      <c r="G1264" s="531"/>
      <c r="I1264" s="532">
        <v>42387</v>
      </c>
      <c r="J1264" s="532"/>
      <c r="K1264" s="533">
        <v>2100</v>
      </c>
      <c r="L1264" s="533"/>
      <c r="M1264" s="533">
        <v>1084</v>
      </c>
      <c r="N1264" s="533"/>
      <c r="O1264" s="533">
        <v>0</v>
      </c>
      <c r="P1264" s="533"/>
      <c r="Q1264" s="533">
        <v>0</v>
      </c>
      <c r="R1264" s="533"/>
      <c r="S1264" s="1">
        <v>25</v>
      </c>
      <c r="T1264" s="2" t="s">
        <v>289</v>
      </c>
      <c r="U1264" s="533">
        <v>114</v>
      </c>
      <c r="V1264" s="533"/>
      <c r="W1264" s="533">
        <v>970</v>
      </c>
      <c r="X1264" s="533"/>
    </row>
    <row r="1265" spans="1:24" ht="0.75" customHeight="1" x14ac:dyDescent="0.2"/>
    <row r="1266" spans="1:24" ht="13.5" customHeight="1" x14ac:dyDescent="0.2">
      <c r="A1266" s="530" t="s">
        <v>1135</v>
      </c>
      <c r="B1266" s="530"/>
      <c r="C1266" s="531" t="s">
        <v>1136</v>
      </c>
      <c r="D1266" s="531"/>
      <c r="E1266" s="531"/>
      <c r="F1266" s="531"/>
      <c r="G1266" s="531"/>
      <c r="I1266" s="532">
        <v>42678</v>
      </c>
      <c r="J1266" s="532"/>
      <c r="K1266" s="533">
        <v>95298.62</v>
      </c>
      <c r="L1266" s="533"/>
      <c r="M1266" s="533">
        <v>59773.62</v>
      </c>
      <c r="N1266" s="533"/>
      <c r="O1266" s="533">
        <v>0</v>
      </c>
      <c r="P1266" s="533"/>
      <c r="Q1266" s="533">
        <v>0</v>
      </c>
      <c r="R1266" s="533"/>
      <c r="S1266" s="1">
        <v>25</v>
      </c>
      <c r="T1266" s="2" t="s">
        <v>289</v>
      </c>
      <c r="U1266" s="533">
        <v>6264</v>
      </c>
      <c r="V1266" s="533"/>
      <c r="W1266" s="533">
        <v>53509.62</v>
      </c>
      <c r="X1266" s="533"/>
    </row>
    <row r="1267" spans="1:24" ht="0.75" customHeight="1" x14ac:dyDescent="0.2"/>
    <row r="1268" spans="1:24" ht="13.5" customHeight="1" x14ac:dyDescent="0.2">
      <c r="A1268" s="530" t="s">
        <v>1137</v>
      </c>
      <c r="B1268" s="530"/>
      <c r="C1268" s="531" t="s">
        <v>1138</v>
      </c>
      <c r="D1268" s="531"/>
      <c r="E1268" s="531"/>
      <c r="F1268" s="531"/>
      <c r="G1268" s="531"/>
      <c r="I1268" s="532">
        <v>42829</v>
      </c>
      <c r="J1268" s="532"/>
      <c r="K1268" s="533">
        <v>51566.81</v>
      </c>
      <c r="L1268" s="533"/>
      <c r="M1268" s="533">
        <v>36343.81</v>
      </c>
      <c r="N1268" s="533"/>
      <c r="O1268" s="533">
        <v>0</v>
      </c>
      <c r="P1268" s="533"/>
      <c r="Q1268" s="533">
        <v>0</v>
      </c>
      <c r="R1268" s="533"/>
      <c r="S1268" s="1">
        <v>25</v>
      </c>
      <c r="T1268" s="2" t="s">
        <v>289</v>
      </c>
      <c r="U1268" s="533">
        <v>3809</v>
      </c>
      <c r="V1268" s="533"/>
      <c r="W1268" s="533">
        <v>32534.81</v>
      </c>
      <c r="X1268" s="533"/>
    </row>
    <row r="1269" spans="1:24" ht="0.75" customHeight="1" x14ac:dyDescent="0.2"/>
    <row r="1270" spans="1:24" ht="13.5" customHeight="1" x14ac:dyDescent="0.2">
      <c r="A1270" s="530" t="s">
        <v>1139</v>
      </c>
      <c r="B1270" s="530"/>
      <c r="C1270" s="531" t="s">
        <v>1140</v>
      </c>
      <c r="D1270" s="531"/>
      <c r="E1270" s="531"/>
      <c r="F1270" s="531"/>
      <c r="G1270" s="531"/>
      <c r="I1270" s="532">
        <v>43159</v>
      </c>
      <c r="J1270" s="532"/>
      <c r="K1270" s="533">
        <v>98531.82</v>
      </c>
      <c r="L1270" s="533"/>
      <c r="M1270" s="533">
        <v>90230.82</v>
      </c>
      <c r="N1270" s="533"/>
      <c r="O1270" s="533">
        <v>0</v>
      </c>
      <c r="P1270" s="533"/>
      <c r="Q1270" s="533">
        <v>0</v>
      </c>
      <c r="R1270" s="533"/>
      <c r="S1270" s="1">
        <v>25</v>
      </c>
      <c r="T1270" s="2" t="s">
        <v>289</v>
      </c>
      <c r="U1270" s="533">
        <v>9456</v>
      </c>
      <c r="V1270" s="533"/>
      <c r="W1270" s="533">
        <v>80774.820000000007</v>
      </c>
      <c r="X1270" s="533"/>
    </row>
    <row r="1271" spans="1:24" ht="13.5" customHeight="1" x14ac:dyDescent="0.2">
      <c r="K1271" s="535">
        <v>418234.08</v>
      </c>
      <c r="L1271" s="535"/>
    </row>
    <row r="1272" spans="1:24" ht="12.75" hidden="1" customHeight="1" x14ac:dyDescent="0.2">
      <c r="K1272" s="535"/>
      <c r="L1272" s="535"/>
    </row>
    <row r="1273" spans="1:24" ht="13.5" customHeight="1" x14ac:dyDescent="0.2">
      <c r="A1273" s="538" t="s">
        <v>1117</v>
      </c>
      <c r="B1273" s="538"/>
      <c r="C1273" s="538"/>
      <c r="K1273" s="535">
        <v>5000</v>
      </c>
      <c r="L1273" s="535"/>
    </row>
    <row r="1274" spans="1:24" ht="12" customHeight="1" x14ac:dyDescent="0.2"/>
    <row r="1275" spans="1:24" ht="0.75" customHeight="1" x14ac:dyDescent="0.2"/>
    <row r="1276" spans="1:24" ht="13.5" customHeight="1" x14ac:dyDescent="0.2">
      <c r="J1276" s="535">
        <v>413234.08</v>
      </c>
      <c r="K1276" s="535"/>
      <c r="L1276" s="535"/>
      <c r="M1276" s="536">
        <v>256677.9</v>
      </c>
      <c r="N1276" s="536"/>
      <c r="O1276" s="535">
        <v>0</v>
      </c>
      <c r="P1276" s="535"/>
      <c r="Q1276" s="536">
        <v>-2776</v>
      </c>
      <c r="R1276" s="536"/>
      <c r="S1276" s="536">
        <v>25888</v>
      </c>
      <c r="T1276" s="536"/>
      <c r="U1276" s="536">
        <v>228013.9</v>
      </c>
      <c r="V1276" s="536"/>
    </row>
    <row r="1277" spans="1:24" ht="15" customHeight="1" x14ac:dyDescent="0.2">
      <c r="A1277" s="534" t="s">
        <v>1141</v>
      </c>
      <c r="B1277" s="534"/>
      <c r="D1277" s="534" t="s">
        <v>1142</v>
      </c>
      <c r="E1277" s="534"/>
      <c r="F1277" s="534"/>
      <c r="G1277" s="534"/>
      <c r="H1277" s="534"/>
      <c r="I1277" s="534"/>
      <c r="J1277" s="534"/>
      <c r="K1277" s="534"/>
      <c r="L1277" s="534"/>
      <c r="M1277" s="534"/>
      <c r="N1277" s="534"/>
      <c r="O1277" s="534"/>
      <c r="P1277" s="534"/>
      <c r="Q1277" s="534"/>
      <c r="R1277" s="534"/>
      <c r="S1277" s="534"/>
      <c r="T1277" s="534"/>
      <c r="U1277" s="534"/>
      <c r="V1277" s="534"/>
    </row>
    <row r="1278" spans="1:24" ht="0.75" customHeight="1" x14ac:dyDescent="0.2"/>
    <row r="1279" spans="1:24" ht="13.5" customHeight="1" x14ac:dyDescent="0.2">
      <c r="A1279" s="530" t="s">
        <v>1143</v>
      </c>
      <c r="B1279" s="530"/>
      <c r="C1279" s="531" t="s">
        <v>1144</v>
      </c>
      <c r="D1279" s="531"/>
      <c r="E1279" s="531"/>
      <c r="F1279" s="531"/>
      <c r="G1279" s="531"/>
      <c r="I1279" s="532">
        <v>42453</v>
      </c>
      <c r="J1279" s="532"/>
      <c r="K1279" s="533">
        <v>8580</v>
      </c>
      <c r="L1279" s="533"/>
      <c r="M1279" s="533">
        <v>1854</v>
      </c>
      <c r="N1279" s="533"/>
      <c r="O1279" s="533">
        <v>0</v>
      </c>
      <c r="P1279" s="533"/>
      <c r="Q1279" s="533">
        <v>0</v>
      </c>
      <c r="R1279" s="533"/>
      <c r="S1279" s="1">
        <v>50</v>
      </c>
      <c r="T1279" s="2" t="s">
        <v>289</v>
      </c>
      <c r="U1279" s="533">
        <v>389</v>
      </c>
      <c r="V1279" s="533"/>
      <c r="W1279" s="533">
        <v>1465</v>
      </c>
      <c r="X1279" s="533"/>
    </row>
    <row r="1280" spans="1:24" ht="0.75" customHeight="1" x14ac:dyDescent="0.2"/>
    <row r="1281" spans="1:24" ht="13.5" customHeight="1" x14ac:dyDescent="0.2">
      <c r="A1281" s="530" t="s">
        <v>1145</v>
      </c>
      <c r="B1281" s="530"/>
      <c r="C1281" s="531" t="s">
        <v>1146</v>
      </c>
      <c r="D1281" s="531"/>
      <c r="E1281" s="531"/>
      <c r="F1281" s="531"/>
      <c r="G1281" s="531"/>
      <c r="I1281" s="532">
        <v>42452</v>
      </c>
      <c r="J1281" s="532"/>
      <c r="K1281" s="533">
        <v>10536</v>
      </c>
      <c r="L1281" s="533"/>
      <c r="M1281" s="533">
        <v>2273</v>
      </c>
      <c r="N1281" s="533"/>
      <c r="O1281" s="533">
        <v>0</v>
      </c>
      <c r="P1281" s="533"/>
      <c r="Q1281" s="533">
        <v>0</v>
      </c>
      <c r="R1281" s="533"/>
      <c r="S1281" s="1">
        <v>50</v>
      </c>
      <c r="T1281" s="2" t="s">
        <v>289</v>
      </c>
      <c r="U1281" s="533">
        <v>476</v>
      </c>
      <c r="V1281" s="533"/>
      <c r="W1281" s="533">
        <v>1797</v>
      </c>
      <c r="X1281" s="533"/>
    </row>
    <row r="1282" spans="1:24" ht="0.75" customHeight="1" x14ac:dyDescent="0.2"/>
    <row r="1283" spans="1:24" ht="13.5" customHeight="1" x14ac:dyDescent="0.2">
      <c r="A1283" s="530" t="s">
        <v>1147</v>
      </c>
      <c r="B1283" s="530"/>
      <c r="C1283" s="531" t="s">
        <v>1148</v>
      </c>
      <c r="D1283" s="531"/>
      <c r="E1283" s="531"/>
      <c r="F1283" s="531"/>
      <c r="G1283" s="531"/>
      <c r="I1283" s="532">
        <v>39496</v>
      </c>
      <c r="J1283" s="532"/>
      <c r="K1283" s="533">
        <v>1298</v>
      </c>
      <c r="L1283" s="533"/>
      <c r="M1283" s="533">
        <v>0</v>
      </c>
      <c r="N1283" s="533"/>
      <c r="O1283" s="533">
        <v>0</v>
      </c>
      <c r="P1283" s="533"/>
      <c r="Q1283" s="533">
        <v>0</v>
      </c>
      <c r="R1283" s="533"/>
      <c r="S1283" s="1">
        <v>66.66</v>
      </c>
      <c r="T1283" s="2" t="s">
        <v>289</v>
      </c>
      <c r="U1283" s="533">
        <v>0</v>
      </c>
      <c r="V1283" s="533"/>
      <c r="W1283" s="533">
        <v>0</v>
      </c>
      <c r="X1283" s="533"/>
    </row>
    <row r="1284" spans="1:24" ht="0.75" customHeight="1" x14ac:dyDescent="0.2"/>
    <row r="1285" spans="1:24" ht="13.5" customHeight="1" x14ac:dyDescent="0.2">
      <c r="A1285" s="530" t="s">
        <v>1149</v>
      </c>
      <c r="B1285" s="530"/>
      <c r="C1285" s="531" t="s">
        <v>1150</v>
      </c>
      <c r="D1285" s="531"/>
      <c r="E1285" s="531"/>
      <c r="F1285" s="531"/>
      <c r="G1285" s="531"/>
      <c r="I1285" s="532">
        <v>39497</v>
      </c>
      <c r="J1285" s="532"/>
      <c r="K1285" s="533">
        <v>2600</v>
      </c>
      <c r="L1285" s="533"/>
      <c r="M1285" s="533">
        <v>0</v>
      </c>
      <c r="N1285" s="533"/>
      <c r="O1285" s="533">
        <v>0</v>
      </c>
      <c r="P1285" s="533"/>
      <c r="Q1285" s="533">
        <v>0</v>
      </c>
      <c r="R1285" s="533"/>
      <c r="S1285" s="1">
        <v>66.66</v>
      </c>
      <c r="T1285" s="2" t="s">
        <v>289</v>
      </c>
      <c r="U1285" s="533">
        <v>0</v>
      </c>
      <c r="V1285" s="533"/>
      <c r="W1285" s="533">
        <v>0</v>
      </c>
      <c r="X1285" s="533"/>
    </row>
    <row r="1286" spans="1:24" ht="0.75" customHeight="1" x14ac:dyDescent="0.2"/>
    <row r="1287" spans="1:24" ht="13.5" customHeight="1" x14ac:dyDescent="0.2">
      <c r="A1287" s="530" t="s">
        <v>1151</v>
      </c>
      <c r="B1287" s="530"/>
      <c r="C1287" s="531" t="s">
        <v>1152</v>
      </c>
      <c r="D1287" s="531"/>
      <c r="E1287" s="531"/>
      <c r="F1287" s="531"/>
      <c r="G1287" s="531"/>
      <c r="I1287" s="532">
        <v>39539</v>
      </c>
      <c r="J1287" s="532"/>
      <c r="K1287" s="533">
        <v>2800</v>
      </c>
      <c r="L1287" s="533"/>
      <c r="M1287" s="533">
        <v>0</v>
      </c>
      <c r="N1287" s="533"/>
      <c r="O1287" s="533">
        <v>0</v>
      </c>
      <c r="P1287" s="533"/>
      <c r="Q1287" s="533">
        <v>0</v>
      </c>
      <c r="R1287" s="533"/>
      <c r="S1287" s="1">
        <v>66.66</v>
      </c>
      <c r="T1287" s="2" t="s">
        <v>289</v>
      </c>
      <c r="U1287" s="533">
        <v>0</v>
      </c>
      <c r="V1287" s="533"/>
      <c r="W1287" s="533">
        <v>0</v>
      </c>
      <c r="X1287" s="533"/>
    </row>
    <row r="1288" spans="1:24" ht="0.75" customHeight="1" x14ac:dyDescent="0.2"/>
    <row r="1289" spans="1:24" ht="13.5" customHeight="1" x14ac:dyDescent="0.2">
      <c r="A1289" s="530" t="s">
        <v>1153</v>
      </c>
      <c r="B1289" s="530"/>
      <c r="C1289" s="531" t="s">
        <v>1150</v>
      </c>
      <c r="D1289" s="531"/>
      <c r="E1289" s="531"/>
      <c r="F1289" s="531"/>
      <c r="G1289" s="531"/>
      <c r="I1289" s="532">
        <v>39539</v>
      </c>
      <c r="J1289" s="532"/>
      <c r="K1289" s="533">
        <v>2634.63</v>
      </c>
      <c r="L1289" s="533"/>
      <c r="M1289" s="533">
        <v>0</v>
      </c>
      <c r="N1289" s="533"/>
      <c r="O1289" s="533">
        <v>0</v>
      </c>
      <c r="P1289" s="533"/>
      <c r="Q1289" s="533">
        <v>0</v>
      </c>
      <c r="R1289" s="533"/>
      <c r="S1289" s="1">
        <v>66.66</v>
      </c>
      <c r="T1289" s="2" t="s">
        <v>289</v>
      </c>
      <c r="U1289" s="533">
        <v>0</v>
      </c>
      <c r="V1289" s="533"/>
      <c r="W1289" s="533">
        <v>0</v>
      </c>
      <c r="X1289" s="533"/>
    </row>
    <row r="1290" spans="1:24" ht="0.75" customHeight="1" x14ac:dyDescent="0.2"/>
    <row r="1291" spans="1:24" ht="13.5" customHeight="1" x14ac:dyDescent="0.2">
      <c r="A1291" s="530" t="s">
        <v>1154</v>
      </c>
      <c r="B1291" s="530"/>
      <c r="C1291" s="531" t="s">
        <v>1155</v>
      </c>
      <c r="D1291" s="531"/>
      <c r="E1291" s="531"/>
      <c r="F1291" s="531"/>
      <c r="G1291" s="531"/>
      <c r="I1291" s="532">
        <v>39553</v>
      </c>
      <c r="J1291" s="532"/>
      <c r="K1291" s="533">
        <v>11943</v>
      </c>
      <c r="L1291" s="533"/>
      <c r="M1291" s="533">
        <v>0</v>
      </c>
      <c r="N1291" s="533"/>
      <c r="O1291" s="533">
        <v>0</v>
      </c>
      <c r="P1291" s="533"/>
      <c r="Q1291" s="533">
        <v>0</v>
      </c>
      <c r="R1291" s="533"/>
      <c r="S1291" s="1">
        <v>66.66</v>
      </c>
      <c r="T1291" s="2" t="s">
        <v>289</v>
      </c>
      <c r="U1291" s="533">
        <v>0</v>
      </c>
      <c r="V1291" s="533"/>
      <c r="W1291" s="533">
        <v>0</v>
      </c>
      <c r="X1291" s="533"/>
    </row>
    <row r="1292" spans="1:24" ht="0.75" customHeight="1" x14ac:dyDescent="0.2"/>
    <row r="1293" spans="1:24" ht="13.5" customHeight="1" x14ac:dyDescent="0.2">
      <c r="A1293" s="530" t="s">
        <v>1156</v>
      </c>
      <c r="B1293" s="530"/>
      <c r="C1293" s="531" t="s">
        <v>1152</v>
      </c>
      <c r="D1293" s="531"/>
      <c r="E1293" s="531"/>
      <c r="F1293" s="531"/>
      <c r="G1293" s="531"/>
      <c r="I1293" s="532">
        <v>39553</v>
      </c>
      <c r="J1293" s="532"/>
      <c r="K1293" s="533">
        <v>5456</v>
      </c>
      <c r="L1293" s="533"/>
      <c r="M1293" s="533">
        <v>0</v>
      </c>
      <c r="N1293" s="533"/>
      <c r="O1293" s="533">
        <v>0</v>
      </c>
      <c r="P1293" s="533"/>
      <c r="Q1293" s="533">
        <v>0</v>
      </c>
      <c r="R1293" s="533"/>
      <c r="S1293" s="1">
        <v>66.66</v>
      </c>
      <c r="T1293" s="2" t="s">
        <v>289</v>
      </c>
      <c r="U1293" s="533">
        <v>0</v>
      </c>
      <c r="V1293" s="533"/>
      <c r="W1293" s="533">
        <v>0</v>
      </c>
      <c r="X1293" s="533"/>
    </row>
    <row r="1294" spans="1:24" ht="0.75" customHeight="1" x14ac:dyDescent="0.2"/>
    <row r="1295" spans="1:24" ht="13.5" customHeight="1" x14ac:dyDescent="0.2">
      <c r="A1295" s="530" t="s">
        <v>1157</v>
      </c>
      <c r="B1295" s="530"/>
      <c r="C1295" s="531" t="s">
        <v>1158</v>
      </c>
      <c r="D1295" s="531"/>
      <c r="E1295" s="531"/>
      <c r="F1295" s="531"/>
      <c r="G1295" s="531"/>
      <c r="I1295" s="532">
        <v>39553</v>
      </c>
      <c r="J1295" s="532"/>
      <c r="K1295" s="533">
        <v>5295</v>
      </c>
      <c r="L1295" s="533"/>
      <c r="M1295" s="533">
        <v>0</v>
      </c>
      <c r="N1295" s="533"/>
      <c r="O1295" s="533">
        <v>0</v>
      </c>
      <c r="P1295" s="533"/>
      <c r="Q1295" s="533">
        <v>0</v>
      </c>
      <c r="R1295" s="533"/>
      <c r="S1295" s="1">
        <v>66.66</v>
      </c>
      <c r="T1295" s="2" t="s">
        <v>289</v>
      </c>
      <c r="U1295" s="533">
        <v>0</v>
      </c>
      <c r="V1295" s="533"/>
      <c r="W1295" s="533">
        <v>0</v>
      </c>
      <c r="X1295" s="533"/>
    </row>
    <row r="1296" spans="1:24" ht="0.75" customHeight="1" x14ac:dyDescent="0.2"/>
    <row r="1297" spans="1:24" ht="13.5" customHeight="1" x14ac:dyDescent="0.2">
      <c r="A1297" s="530" t="s">
        <v>1159</v>
      </c>
      <c r="B1297" s="530"/>
      <c r="C1297" s="531" t="s">
        <v>1160</v>
      </c>
      <c r="D1297" s="531"/>
      <c r="E1297" s="531"/>
      <c r="F1297" s="531"/>
      <c r="G1297" s="531"/>
      <c r="I1297" s="532">
        <v>39895</v>
      </c>
      <c r="J1297" s="532"/>
      <c r="K1297" s="533">
        <v>7050</v>
      </c>
      <c r="L1297" s="533"/>
      <c r="M1297" s="533">
        <v>0</v>
      </c>
      <c r="N1297" s="533"/>
      <c r="O1297" s="533">
        <v>0</v>
      </c>
      <c r="P1297" s="533"/>
      <c r="Q1297" s="533">
        <v>0</v>
      </c>
      <c r="R1297" s="533"/>
      <c r="S1297" s="1">
        <v>66.66</v>
      </c>
      <c r="T1297" s="2" t="s">
        <v>289</v>
      </c>
      <c r="U1297" s="533">
        <v>0</v>
      </c>
      <c r="V1297" s="533"/>
      <c r="W1297" s="533">
        <v>0</v>
      </c>
      <c r="X1297" s="533"/>
    </row>
    <row r="1298" spans="1:24" ht="0.75" customHeight="1" x14ac:dyDescent="0.2"/>
    <row r="1299" spans="1:24" ht="13.5" customHeight="1" x14ac:dyDescent="0.2">
      <c r="A1299" s="530" t="s">
        <v>1161</v>
      </c>
      <c r="B1299" s="530"/>
      <c r="C1299" s="531" t="s">
        <v>1162</v>
      </c>
      <c r="D1299" s="531"/>
      <c r="E1299" s="531"/>
      <c r="F1299" s="531"/>
      <c r="G1299" s="531"/>
      <c r="I1299" s="532">
        <v>39895</v>
      </c>
      <c r="J1299" s="532"/>
      <c r="K1299" s="533">
        <v>11200</v>
      </c>
      <c r="L1299" s="533"/>
      <c r="M1299" s="533">
        <v>0</v>
      </c>
      <c r="N1299" s="533"/>
      <c r="O1299" s="533">
        <v>0</v>
      </c>
      <c r="P1299" s="533"/>
      <c r="Q1299" s="533">
        <v>0</v>
      </c>
      <c r="R1299" s="533"/>
      <c r="S1299" s="1">
        <v>66.66</v>
      </c>
      <c r="T1299" s="2" t="s">
        <v>289</v>
      </c>
      <c r="U1299" s="533">
        <v>0</v>
      </c>
      <c r="V1299" s="533"/>
      <c r="W1299" s="533">
        <v>0</v>
      </c>
      <c r="X1299" s="533"/>
    </row>
    <row r="1300" spans="1:24" ht="0.75" customHeight="1" x14ac:dyDescent="0.2"/>
    <row r="1301" spans="1:24" ht="13.5" customHeight="1" x14ac:dyDescent="0.2">
      <c r="A1301" s="530" t="s">
        <v>1163</v>
      </c>
      <c r="B1301" s="530"/>
      <c r="C1301" s="531" t="s">
        <v>1164</v>
      </c>
      <c r="D1301" s="531"/>
      <c r="E1301" s="531"/>
      <c r="F1301" s="531"/>
      <c r="G1301" s="531"/>
      <c r="I1301" s="532">
        <v>39902</v>
      </c>
      <c r="J1301" s="532"/>
      <c r="K1301" s="533">
        <v>2676</v>
      </c>
      <c r="L1301" s="533"/>
      <c r="M1301" s="533">
        <v>0</v>
      </c>
      <c r="N1301" s="533"/>
      <c r="O1301" s="533">
        <v>0</v>
      </c>
      <c r="P1301" s="533"/>
      <c r="Q1301" s="533">
        <v>0</v>
      </c>
      <c r="R1301" s="533"/>
      <c r="S1301" s="1">
        <v>66.66</v>
      </c>
      <c r="T1301" s="2" t="s">
        <v>289</v>
      </c>
      <c r="U1301" s="533">
        <v>0</v>
      </c>
      <c r="V1301" s="533"/>
      <c r="W1301" s="533">
        <v>0</v>
      </c>
      <c r="X1301" s="533"/>
    </row>
    <row r="1302" spans="1:24" ht="0.75" customHeight="1" x14ac:dyDescent="0.2"/>
    <row r="1303" spans="1:24" ht="13.5" customHeight="1" x14ac:dyDescent="0.2">
      <c r="A1303" s="530" t="s">
        <v>1165</v>
      </c>
      <c r="B1303" s="530"/>
      <c r="C1303" s="531" t="s">
        <v>1166</v>
      </c>
      <c r="D1303" s="531"/>
      <c r="E1303" s="531"/>
      <c r="F1303" s="531"/>
      <c r="G1303" s="531"/>
      <c r="I1303" s="532">
        <v>39911</v>
      </c>
      <c r="J1303" s="532"/>
      <c r="K1303" s="533">
        <v>3320</v>
      </c>
      <c r="L1303" s="533"/>
      <c r="M1303" s="533">
        <v>0</v>
      </c>
      <c r="N1303" s="533"/>
      <c r="O1303" s="533">
        <v>0</v>
      </c>
      <c r="P1303" s="533"/>
      <c r="Q1303" s="533">
        <v>0</v>
      </c>
      <c r="R1303" s="533"/>
      <c r="S1303" s="1">
        <v>66.66</v>
      </c>
      <c r="T1303" s="2" t="s">
        <v>289</v>
      </c>
      <c r="U1303" s="533">
        <v>0</v>
      </c>
      <c r="V1303" s="533"/>
      <c r="W1303" s="533">
        <v>0</v>
      </c>
      <c r="X1303" s="533"/>
    </row>
    <row r="1304" spans="1:24" ht="0.75" customHeight="1" x14ac:dyDescent="0.2"/>
    <row r="1305" spans="1:24" ht="13.5" customHeight="1" x14ac:dyDescent="0.2">
      <c r="A1305" s="530" t="s">
        <v>1167</v>
      </c>
      <c r="B1305" s="530"/>
      <c r="C1305" s="531" t="s">
        <v>1168</v>
      </c>
      <c r="D1305" s="531"/>
      <c r="E1305" s="531"/>
      <c r="F1305" s="531"/>
      <c r="G1305" s="531"/>
      <c r="I1305" s="532">
        <v>39911</v>
      </c>
      <c r="J1305" s="532"/>
      <c r="K1305" s="533">
        <v>5710.76</v>
      </c>
      <c r="L1305" s="533"/>
      <c r="M1305" s="533">
        <v>0</v>
      </c>
      <c r="N1305" s="533"/>
      <c r="O1305" s="533">
        <v>0</v>
      </c>
      <c r="P1305" s="533"/>
      <c r="Q1305" s="533">
        <v>0</v>
      </c>
      <c r="R1305" s="533"/>
      <c r="S1305" s="1">
        <v>66.66</v>
      </c>
      <c r="T1305" s="2" t="s">
        <v>289</v>
      </c>
      <c r="U1305" s="533">
        <v>0</v>
      </c>
      <c r="V1305" s="533"/>
      <c r="W1305" s="533">
        <v>0</v>
      </c>
      <c r="X1305" s="533"/>
    </row>
    <row r="1306" spans="1:24" ht="0.75" customHeight="1" x14ac:dyDescent="0.2"/>
    <row r="1307" spans="1:24" ht="13.5" customHeight="1" x14ac:dyDescent="0.2">
      <c r="A1307" s="530" t="s">
        <v>1169</v>
      </c>
      <c r="B1307" s="530"/>
      <c r="C1307" s="531" t="s">
        <v>1166</v>
      </c>
      <c r="D1307" s="531"/>
      <c r="E1307" s="531"/>
      <c r="F1307" s="531"/>
      <c r="G1307" s="531"/>
      <c r="I1307" s="532">
        <v>39930</v>
      </c>
      <c r="J1307" s="532"/>
      <c r="K1307" s="533">
        <v>3320</v>
      </c>
      <c r="L1307" s="533"/>
      <c r="M1307" s="533">
        <v>0</v>
      </c>
      <c r="N1307" s="533"/>
      <c r="O1307" s="533">
        <v>0</v>
      </c>
      <c r="P1307" s="533"/>
      <c r="Q1307" s="533">
        <v>0</v>
      </c>
      <c r="R1307" s="533"/>
      <c r="S1307" s="1">
        <v>66.66</v>
      </c>
      <c r="T1307" s="2" t="s">
        <v>289</v>
      </c>
      <c r="U1307" s="533">
        <v>0</v>
      </c>
      <c r="V1307" s="533"/>
      <c r="W1307" s="533">
        <v>0</v>
      </c>
      <c r="X1307" s="533"/>
    </row>
    <row r="1308" spans="1:24" ht="0.75" customHeight="1" x14ac:dyDescent="0.2"/>
    <row r="1309" spans="1:24" ht="13.5" customHeight="1" x14ac:dyDescent="0.2">
      <c r="A1309" s="530" t="s">
        <v>1170</v>
      </c>
      <c r="B1309" s="530"/>
      <c r="C1309" s="531" t="s">
        <v>1164</v>
      </c>
      <c r="D1309" s="531"/>
      <c r="E1309" s="531"/>
      <c r="F1309" s="531"/>
      <c r="G1309" s="531"/>
      <c r="I1309" s="532">
        <v>39932</v>
      </c>
      <c r="J1309" s="532"/>
      <c r="K1309" s="533">
        <v>2000</v>
      </c>
      <c r="L1309" s="533"/>
      <c r="M1309" s="533">
        <v>0</v>
      </c>
      <c r="N1309" s="533"/>
      <c r="O1309" s="533">
        <v>0</v>
      </c>
      <c r="P1309" s="533"/>
      <c r="Q1309" s="533">
        <v>0</v>
      </c>
      <c r="R1309" s="533"/>
      <c r="S1309" s="1">
        <v>66.66</v>
      </c>
      <c r="T1309" s="2" t="s">
        <v>289</v>
      </c>
      <c r="U1309" s="533">
        <v>0</v>
      </c>
      <c r="V1309" s="533"/>
      <c r="W1309" s="533">
        <v>0</v>
      </c>
      <c r="X1309" s="533"/>
    </row>
    <row r="1310" spans="1:24" ht="0.75" customHeight="1" x14ac:dyDescent="0.2"/>
    <row r="1311" spans="1:24" ht="13.5" customHeight="1" x14ac:dyDescent="0.2">
      <c r="A1311" s="530" t="s">
        <v>1171</v>
      </c>
      <c r="B1311" s="530"/>
      <c r="C1311" s="531" t="s">
        <v>1172</v>
      </c>
      <c r="D1311" s="531"/>
      <c r="E1311" s="531"/>
      <c r="F1311" s="531"/>
      <c r="G1311" s="531"/>
      <c r="I1311" s="532">
        <v>39983</v>
      </c>
      <c r="J1311" s="532"/>
      <c r="K1311" s="533">
        <v>2350</v>
      </c>
      <c r="L1311" s="533"/>
      <c r="M1311" s="533">
        <v>0</v>
      </c>
      <c r="N1311" s="533"/>
      <c r="O1311" s="533">
        <v>0</v>
      </c>
      <c r="P1311" s="533"/>
      <c r="Q1311" s="533">
        <v>0</v>
      </c>
      <c r="R1311" s="533"/>
      <c r="S1311" s="1">
        <v>66.66</v>
      </c>
      <c r="T1311" s="2" t="s">
        <v>289</v>
      </c>
      <c r="U1311" s="533">
        <v>0</v>
      </c>
      <c r="V1311" s="533"/>
      <c r="W1311" s="533">
        <v>0</v>
      </c>
      <c r="X1311" s="533"/>
    </row>
    <row r="1312" spans="1:24" ht="0.75" customHeight="1" x14ac:dyDescent="0.2"/>
    <row r="1313" spans="1:24" ht="13.5" customHeight="1" x14ac:dyDescent="0.2">
      <c r="A1313" s="530" t="s">
        <v>1173</v>
      </c>
      <c r="B1313" s="530"/>
      <c r="C1313" s="531" t="s">
        <v>506</v>
      </c>
      <c r="D1313" s="531"/>
      <c r="E1313" s="531"/>
      <c r="F1313" s="531"/>
      <c r="G1313" s="531"/>
      <c r="I1313" s="532">
        <v>38112</v>
      </c>
      <c r="J1313" s="532"/>
      <c r="K1313" s="533">
        <v>1261.8</v>
      </c>
      <c r="L1313" s="533"/>
      <c r="M1313" s="533">
        <v>0</v>
      </c>
      <c r="N1313" s="533"/>
      <c r="O1313" s="533">
        <v>0</v>
      </c>
      <c r="P1313" s="533"/>
      <c r="Q1313" s="533">
        <v>0</v>
      </c>
      <c r="R1313" s="533"/>
      <c r="S1313" s="1">
        <v>33.33</v>
      </c>
      <c r="T1313" s="2" t="s">
        <v>289</v>
      </c>
      <c r="U1313" s="533">
        <v>0</v>
      </c>
      <c r="V1313" s="533"/>
      <c r="W1313" s="533">
        <v>0</v>
      </c>
      <c r="X1313" s="533"/>
    </row>
    <row r="1314" spans="1:24" ht="0.75" customHeight="1" x14ac:dyDescent="0.2"/>
    <row r="1315" spans="1:24" ht="13.5" customHeight="1" x14ac:dyDescent="0.2">
      <c r="A1315" s="530" t="s">
        <v>1174</v>
      </c>
      <c r="B1315" s="530"/>
      <c r="C1315" s="531" t="s">
        <v>1175</v>
      </c>
      <c r="D1315" s="531"/>
      <c r="E1315" s="531"/>
      <c r="F1315" s="531"/>
      <c r="G1315" s="531"/>
      <c r="I1315" s="532">
        <v>40053</v>
      </c>
      <c r="J1315" s="532"/>
      <c r="K1315" s="533">
        <v>2770</v>
      </c>
      <c r="L1315" s="533"/>
      <c r="M1315" s="533">
        <v>0</v>
      </c>
      <c r="N1315" s="533"/>
      <c r="O1315" s="533">
        <v>0</v>
      </c>
      <c r="P1315" s="533"/>
      <c r="Q1315" s="533">
        <v>0</v>
      </c>
      <c r="R1315" s="533"/>
      <c r="S1315" s="1">
        <v>50</v>
      </c>
      <c r="T1315" s="2" t="s">
        <v>289</v>
      </c>
      <c r="U1315" s="533">
        <v>0</v>
      </c>
      <c r="V1315" s="533"/>
      <c r="W1315" s="533">
        <v>0</v>
      </c>
      <c r="X1315" s="533"/>
    </row>
    <row r="1316" spans="1:24" ht="0.75" customHeight="1" x14ac:dyDescent="0.2"/>
    <row r="1317" spans="1:24" ht="13.5" customHeight="1" x14ac:dyDescent="0.2">
      <c r="A1317" s="530" t="s">
        <v>1176</v>
      </c>
      <c r="B1317" s="530"/>
      <c r="C1317" s="531" t="s">
        <v>1177</v>
      </c>
      <c r="D1317" s="531"/>
      <c r="E1317" s="531"/>
      <c r="F1317" s="531"/>
      <c r="G1317" s="531"/>
      <c r="I1317" s="532">
        <v>40232</v>
      </c>
      <c r="J1317" s="532"/>
      <c r="K1317" s="533">
        <v>3560</v>
      </c>
      <c r="L1317" s="533"/>
      <c r="M1317" s="533">
        <v>0</v>
      </c>
      <c r="N1317" s="533"/>
      <c r="O1317" s="533">
        <v>0</v>
      </c>
      <c r="P1317" s="533"/>
      <c r="Q1317" s="533">
        <v>0</v>
      </c>
      <c r="R1317" s="533"/>
      <c r="S1317" s="1">
        <v>50</v>
      </c>
      <c r="T1317" s="2" t="s">
        <v>289</v>
      </c>
      <c r="U1317" s="533">
        <v>0</v>
      </c>
      <c r="V1317" s="533"/>
      <c r="W1317" s="533">
        <v>0</v>
      </c>
      <c r="X1317" s="533"/>
    </row>
    <row r="1318" spans="1:24" ht="0.75" customHeight="1" x14ac:dyDescent="0.2"/>
    <row r="1319" spans="1:24" ht="13.5" customHeight="1" x14ac:dyDescent="0.2">
      <c r="A1319" s="530" t="s">
        <v>1178</v>
      </c>
      <c r="B1319" s="530"/>
      <c r="C1319" s="531" t="s">
        <v>1179</v>
      </c>
      <c r="D1319" s="531"/>
      <c r="E1319" s="531"/>
      <c r="F1319" s="531"/>
      <c r="G1319" s="531"/>
      <c r="I1319" s="532">
        <v>40232</v>
      </c>
      <c r="J1319" s="532"/>
      <c r="K1319" s="533">
        <v>950</v>
      </c>
      <c r="L1319" s="533"/>
      <c r="M1319" s="533">
        <v>0</v>
      </c>
      <c r="N1319" s="533"/>
      <c r="O1319" s="533">
        <v>0</v>
      </c>
      <c r="P1319" s="533"/>
      <c r="Q1319" s="533">
        <v>0</v>
      </c>
      <c r="R1319" s="533"/>
      <c r="S1319" s="1">
        <v>50</v>
      </c>
      <c r="T1319" s="2" t="s">
        <v>289</v>
      </c>
      <c r="U1319" s="533">
        <v>0</v>
      </c>
      <c r="V1319" s="533"/>
      <c r="W1319" s="533">
        <v>0</v>
      </c>
      <c r="X1319" s="533"/>
    </row>
    <row r="1320" spans="1:24" ht="0.75" customHeight="1" x14ac:dyDescent="0.2"/>
    <row r="1321" spans="1:24" ht="13.5" customHeight="1" x14ac:dyDescent="0.2">
      <c r="A1321" s="530" t="s">
        <v>1180</v>
      </c>
      <c r="B1321" s="530"/>
      <c r="C1321" s="531" t="s">
        <v>1181</v>
      </c>
      <c r="D1321" s="531"/>
      <c r="E1321" s="531"/>
      <c r="F1321" s="531"/>
      <c r="G1321" s="531"/>
      <c r="I1321" s="532">
        <v>40232</v>
      </c>
      <c r="J1321" s="532"/>
      <c r="K1321" s="533">
        <v>1480</v>
      </c>
      <c r="L1321" s="533"/>
      <c r="M1321" s="533">
        <v>0</v>
      </c>
      <c r="N1321" s="533"/>
      <c r="O1321" s="533">
        <v>0</v>
      </c>
      <c r="P1321" s="533"/>
      <c r="Q1321" s="533">
        <v>0</v>
      </c>
      <c r="R1321" s="533"/>
      <c r="S1321" s="1">
        <v>50</v>
      </c>
      <c r="T1321" s="2" t="s">
        <v>289</v>
      </c>
      <c r="U1321" s="533">
        <v>0</v>
      </c>
      <c r="V1321" s="533"/>
      <c r="W1321" s="533">
        <v>0</v>
      </c>
      <c r="X1321" s="533"/>
    </row>
    <row r="1322" spans="1:24" ht="0.75" customHeight="1" x14ac:dyDescent="0.2"/>
    <row r="1323" spans="1:24" ht="13.5" customHeight="1" x14ac:dyDescent="0.2">
      <c r="A1323" s="530" t="s">
        <v>1182</v>
      </c>
      <c r="B1323" s="530"/>
      <c r="C1323" s="531" t="s">
        <v>1183</v>
      </c>
      <c r="D1323" s="531"/>
      <c r="E1323" s="531"/>
      <c r="F1323" s="531"/>
      <c r="G1323" s="531"/>
      <c r="I1323" s="532">
        <v>40232</v>
      </c>
      <c r="J1323" s="532"/>
      <c r="K1323" s="533">
        <v>1425</v>
      </c>
      <c r="L1323" s="533"/>
      <c r="M1323" s="533">
        <v>0</v>
      </c>
      <c r="N1323" s="533"/>
      <c r="O1323" s="533">
        <v>0</v>
      </c>
      <c r="P1323" s="533"/>
      <c r="Q1323" s="533">
        <v>0</v>
      </c>
      <c r="R1323" s="533"/>
      <c r="S1323" s="1">
        <v>50</v>
      </c>
      <c r="T1323" s="2" t="s">
        <v>289</v>
      </c>
      <c r="U1323" s="533">
        <v>0</v>
      </c>
      <c r="V1323" s="533"/>
      <c r="W1323" s="533">
        <v>0</v>
      </c>
      <c r="X1323" s="533"/>
    </row>
    <row r="1324" spans="1:24" ht="0.75" customHeight="1" x14ac:dyDescent="0.2"/>
    <row r="1325" spans="1:24" ht="13.5" customHeight="1" x14ac:dyDescent="0.2">
      <c r="A1325" s="530" t="s">
        <v>1184</v>
      </c>
      <c r="B1325" s="530"/>
      <c r="C1325" s="531" t="s">
        <v>1185</v>
      </c>
      <c r="D1325" s="531"/>
      <c r="E1325" s="531"/>
      <c r="F1325" s="531"/>
      <c r="G1325" s="531"/>
      <c r="I1325" s="532">
        <v>40260</v>
      </c>
      <c r="J1325" s="532"/>
      <c r="K1325" s="533">
        <v>2400</v>
      </c>
      <c r="L1325" s="533"/>
      <c r="M1325" s="533">
        <v>0</v>
      </c>
      <c r="N1325" s="533"/>
      <c r="O1325" s="533">
        <v>0</v>
      </c>
      <c r="P1325" s="533"/>
      <c r="Q1325" s="533">
        <v>0</v>
      </c>
      <c r="R1325" s="533"/>
      <c r="S1325" s="1">
        <v>50</v>
      </c>
      <c r="T1325" s="2" t="s">
        <v>289</v>
      </c>
      <c r="U1325" s="533">
        <v>0</v>
      </c>
      <c r="V1325" s="533"/>
      <c r="W1325" s="533">
        <v>0</v>
      </c>
      <c r="X1325" s="533"/>
    </row>
    <row r="1326" spans="1:24" ht="0.75" customHeight="1" x14ac:dyDescent="0.2"/>
    <row r="1327" spans="1:24" ht="13.5" customHeight="1" x14ac:dyDescent="0.2">
      <c r="A1327" s="530" t="s">
        <v>1186</v>
      </c>
      <c r="B1327" s="530"/>
      <c r="C1327" s="525" t="s">
        <v>1187</v>
      </c>
      <c r="D1327" s="525"/>
      <c r="E1327" s="525"/>
      <c r="F1327" s="525"/>
      <c r="G1327" s="525"/>
      <c r="I1327" s="532">
        <v>40574</v>
      </c>
      <c r="J1327" s="532"/>
      <c r="K1327" s="533">
        <v>982.80000000000007</v>
      </c>
      <c r="L1327" s="533"/>
      <c r="M1327" s="533">
        <v>0</v>
      </c>
      <c r="N1327" s="533"/>
      <c r="O1327" s="533">
        <v>0</v>
      </c>
      <c r="P1327" s="533"/>
      <c r="Q1327" s="533">
        <v>0</v>
      </c>
      <c r="R1327" s="533"/>
      <c r="S1327" s="1">
        <v>66.66</v>
      </c>
      <c r="T1327" s="2" t="s">
        <v>289</v>
      </c>
      <c r="U1327" s="533">
        <v>0</v>
      </c>
      <c r="V1327" s="533"/>
      <c r="W1327" s="533">
        <v>0</v>
      </c>
      <c r="X1327" s="533"/>
    </row>
    <row r="1328" spans="1:24" ht="12" customHeight="1" x14ac:dyDescent="0.2">
      <c r="C1328" s="525"/>
      <c r="D1328" s="525"/>
      <c r="E1328" s="525"/>
      <c r="F1328" s="525"/>
      <c r="G1328" s="525"/>
    </row>
    <row r="1329" spans="1:24" ht="13.5" customHeight="1" x14ac:dyDescent="0.2">
      <c r="A1329" s="530" t="s">
        <v>1188</v>
      </c>
      <c r="B1329" s="530"/>
      <c r="C1329" s="525" t="s">
        <v>1189</v>
      </c>
      <c r="D1329" s="525"/>
      <c r="E1329" s="525"/>
      <c r="F1329" s="525"/>
      <c r="G1329" s="525"/>
      <c r="I1329" s="532">
        <v>40596</v>
      </c>
      <c r="J1329" s="532"/>
      <c r="K1329" s="533">
        <v>2740</v>
      </c>
      <c r="L1329" s="533"/>
      <c r="M1329" s="533">
        <v>0</v>
      </c>
      <c r="N1329" s="533"/>
      <c r="O1329" s="533">
        <v>0</v>
      </c>
      <c r="P1329" s="533"/>
      <c r="Q1329" s="533">
        <v>0</v>
      </c>
      <c r="R1329" s="533"/>
      <c r="S1329" s="1">
        <v>66.66</v>
      </c>
      <c r="T1329" s="2" t="s">
        <v>289</v>
      </c>
      <c r="U1329" s="533">
        <v>0</v>
      </c>
      <c r="V1329" s="533"/>
      <c r="W1329" s="533">
        <v>0</v>
      </c>
      <c r="X1329" s="533"/>
    </row>
    <row r="1330" spans="1:24" ht="12" customHeight="1" x14ac:dyDescent="0.2">
      <c r="C1330" s="525"/>
      <c r="D1330" s="525"/>
      <c r="E1330" s="525"/>
      <c r="F1330" s="525"/>
      <c r="G1330" s="525"/>
    </row>
    <row r="1331" spans="1:24" ht="13.5" customHeight="1" x14ac:dyDescent="0.2">
      <c r="A1331" s="530" t="s">
        <v>1190</v>
      </c>
      <c r="B1331" s="530"/>
      <c r="C1331" s="531" t="s">
        <v>1191</v>
      </c>
      <c r="D1331" s="531"/>
      <c r="E1331" s="531"/>
      <c r="F1331" s="531"/>
      <c r="G1331" s="531"/>
      <c r="I1331" s="532">
        <v>40609</v>
      </c>
      <c r="J1331" s="532"/>
      <c r="K1331" s="533">
        <v>1635</v>
      </c>
      <c r="L1331" s="533"/>
      <c r="M1331" s="533">
        <v>0</v>
      </c>
      <c r="N1331" s="533"/>
      <c r="O1331" s="533">
        <v>0</v>
      </c>
      <c r="P1331" s="533"/>
      <c r="Q1331" s="533">
        <v>0</v>
      </c>
      <c r="R1331" s="533"/>
      <c r="S1331" s="1">
        <v>66.66</v>
      </c>
      <c r="T1331" s="2" t="s">
        <v>289</v>
      </c>
      <c r="U1331" s="533">
        <v>0</v>
      </c>
      <c r="V1331" s="533"/>
      <c r="W1331" s="533">
        <v>0</v>
      </c>
      <c r="X1331" s="533"/>
    </row>
    <row r="1332" spans="1:24" ht="15" customHeight="1" x14ac:dyDescent="0.2">
      <c r="A1332" s="534" t="s">
        <v>1141</v>
      </c>
      <c r="B1332" s="534"/>
      <c r="D1332" s="534" t="s">
        <v>1142</v>
      </c>
      <c r="E1332" s="534"/>
      <c r="F1332" s="534"/>
      <c r="G1332" s="534"/>
      <c r="H1332" s="534"/>
      <c r="I1332" s="534"/>
      <c r="J1332" s="534"/>
      <c r="K1332" s="534"/>
      <c r="L1332" s="534"/>
      <c r="M1332" s="534"/>
      <c r="N1332" s="534"/>
      <c r="O1332" s="534"/>
      <c r="P1332" s="534"/>
      <c r="Q1332" s="534"/>
      <c r="R1332" s="534"/>
      <c r="S1332" s="534"/>
      <c r="T1332" s="534"/>
      <c r="U1332" s="534"/>
      <c r="V1332" s="534"/>
    </row>
    <row r="1333" spans="1:24" ht="0.75" customHeight="1" x14ac:dyDescent="0.2"/>
    <row r="1334" spans="1:24" ht="13.5" customHeight="1" x14ac:dyDescent="0.2">
      <c r="A1334" s="530" t="s">
        <v>1192</v>
      </c>
      <c r="B1334" s="530"/>
      <c r="C1334" s="531" t="s">
        <v>1193</v>
      </c>
      <c r="D1334" s="531"/>
      <c r="E1334" s="531"/>
      <c r="F1334" s="531"/>
      <c r="G1334" s="531"/>
      <c r="I1334" s="532">
        <v>40625</v>
      </c>
      <c r="J1334" s="532"/>
      <c r="K1334" s="533">
        <v>3618.2400000000002</v>
      </c>
      <c r="L1334" s="533"/>
      <c r="M1334" s="533">
        <v>0</v>
      </c>
      <c r="N1334" s="533"/>
      <c r="O1334" s="533">
        <v>0</v>
      </c>
      <c r="P1334" s="533"/>
      <c r="Q1334" s="533">
        <v>0</v>
      </c>
      <c r="R1334" s="533"/>
      <c r="S1334" s="1">
        <v>66.66</v>
      </c>
      <c r="T1334" s="2" t="s">
        <v>289</v>
      </c>
      <c r="U1334" s="533">
        <v>0</v>
      </c>
      <c r="V1334" s="533"/>
      <c r="W1334" s="533">
        <v>0</v>
      </c>
      <c r="X1334" s="533"/>
    </row>
    <row r="1335" spans="1:24" ht="0.75" customHeight="1" x14ac:dyDescent="0.2"/>
    <row r="1336" spans="1:24" ht="13.5" customHeight="1" x14ac:dyDescent="0.2">
      <c r="A1336" s="530" t="s">
        <v>1194</v>
      </c>
      <c r="B1336" s="530"/>
      <c r="C1336" s="531" t="s">
        <v>1195</v>
      </c>
      <c r="D1336" s="531"/>
      <c r="E1336" s="531"/>
      <c r="F1336" s="531"/>
      <c r="G1336" s="531"/>
      <c r="I1336" s="532">
        <v>40644</v>
      </c>
      <c r="J1336" s="532"/>
      <c r="K1336" s="533">
        <v>3200</v>
      </c>
      <c r="L1336" s="533"/>
      <c r="M1336" s="533">
        <v>0</v>
      </c>
      <c r="N1336" s="533"/>
      <c r="O1336" s="533">
        <v>0</v>
      </c>
      <c r="P1336" s="533"/>
      <c r="Q1336" s="533">
        <v>0</v>
      </c>
      <c r="R1336" s="533"/>
      <c r="S1336" s="1">
        <v>66.66</v>
      </c>
      <c r="T1336" s="2" t="s">
        <v>289</v>
      </c>
      <c r="U1336" s="533">
        <v>0</v>
      </c>
      <c r="V1336" s="533"/>
      <c r="W1336" s="533">
        <v>0</v>
      </c>
      <c r="X1336" s="533"/>
    </row>
    <row r="1337" spans="1:24" ht="0.75" customHeight="1" x14ac:dyDescent="0.2"/>
    <row r="1338" spans="1:24" ht="13.5" customHeight="1" x14ac:dyDescent="0.2">
      <c r="A1338" s="530" t="s">
        <v>1196</v>
      </c>
      <c r="B1338" s="530"/>
      <c r="C1338" s="525" t="s">
        <v>1197</v>
      </c>
      <c r="D1338" s="525"/>
      <c r="E1338" s="525"/>
      <c r="F1338" s="525"/>
      <c r="G1338" s="525"/>
      <c r="I1338" s="532">
        <v>40653</v>
      </c>
      <c r="J1338" s="532"/>
      <c r="K1338" s="533">
        <v>2520</v>
      </c>
      <c r="L1338" s="533"/>
      <c r="M1338" s="533">
        <v>0</v>
      </c>
      <c r="N1338" s="533"/>
      <c r="O1338" s="533">
        <v>0</v>
      </c>
      <c r="P1338" s="533"/>
      <c r="Q1338" s="533">
        <v>0</v>
      </c>
      <c r="R1338" s="533"/>
      <c r="S1338" s="1">
        <v>66.66</v>
      </c>
      <c r="T1338" s="2" t="s">
        <v>289</v>
      </c>
      <c r="U1338" s="533">
        <v>0</v>
      </c>
      <c r="V1338" s="533"/>
      <c r="W1338" s="533">
        <v>0</v>
      </c>
      <c r="X1338" s="533"/>
    </row>
    <row r="1339" spans="1:24" ht="12" customHeight="1" x14ac:dyDescent="0.2">
      <c r="C1339" s="525"/>
      <c r="D1339" s="525"/>
      <c r="E1339" s="525"/>
      <c r="F1339" s="525"/>
      <c r="G1339" s="525"/>
    </row>
    <row r="1340" spans="1:24" ht="13.5" customHeight="1" x14ac:dyDescent="0.2">
      <c r="A1340" s="530" t="s">
        <v>1198</v>
      </c>
      <c r="B1340" s="530"/>
      <c r="C1340" s="531" t="s">
        <v>506</v>
      </c>
      <c r="D1340" s="531"/>
      <c r="E1340" s="531"/>
      <c r="F1340" s="531"/>
      <c r="G1340" s="531"/>
      <c r="I1340" s="532">
        <v>38097</v>
      </c>
      <c r="J1340" s="532"/>
      <c r="K1340" s="533">
        <v>3427.5</v>
      </c>
      <c r="L1340" s="533"/>
      <c r="M1340" s="533">
        <v>0</v>
      </c>
      <c r="N1340" s="533"/>
      <c r="O1340" s="533">
        <v>0</v>
      </c>
      <c r="P1340" s="533"/>
      <c r="Q1340" s="533">
        <v>0</v>
      </c>
      <c r="R1340" s="533"/>
      <c r="S1340" s="1">
        <v>33.33</v>
      </c>
      <c r="T1340" s="2" t="s">
        <v>289</v>
      </c>
      <c r="U1340" s="533">
        <v>0</v>
      </c>
      <c r="V1340" s="533"/>
      <c r="W1340" s="533">
        <v>0</v>
      </c>
      <c r="X1340" s="533"/>
    </row>
    <row r="1341" spans="1:24" ht="0.75" customHeight="1" x14ac:dyDescent="0.2"/>
    <row r="1342" spans="1:24" ht="13.5" customHeight="1" x14ac:dyDescent="0.2">
      <c r="A1342" s="530" t="s">
        <v>1199</v>
      </c>
      <c r="B1342" s="530"/>
      <c r="C1342" s="531" t="s">
        <v>1200</v>
      </c>
      <c r="D1342" s="531"/>
      <c r="E1342" s="531"/>
      <c r="F1342" s="531"/>
      <c r="G1342" s="531"/>
      <c r="I1342" s="532">
        <v>38288</v>
      </c>
      <c r="J1342" s="532"/>
      <c r="K1342" s="533">
        <v>2405.2600000000002</v>
      </c>
      <c r="L1342" s="533"/>
      <c r="M1342" s="533">
        <v>0</v>
      </c>
      <c r="N1342" s="533"/>
      <c r="O1342" s="533">
        <v>0</v>
      </c>
      <c r="P1342" s="533"/>
      <c r="Q1342" s="533">
        <v>0</v>
      </c>
      <c r="R1342" s="533"/>
      <c r="S1342" s="1">
        <v>33.33</v>
      </c>
      <c r="T1342" s="2" t="s">
        <v>289</v>
      </c>
      <c r="U1342" s="533">
        <v>0</v>
      </c>
      <c r="V1342" s="533"/>
      <c r="W1342" s="533">
        <v>0</v>
      </c>
      <c r="X1342" s="533"/>
    </row>
    <row r="1343" spans="1:24" ht="0.75" customHeight="1" x14ac:dyDescent="0.2"/>
    <row r="1344" spans="1:24" ht="13.5" customHeight="1" x14ac:dyDescent="0.2">
      <c r="A1344" s="530" t="s">
        <v>1201</v>
      </c>
      <c r="B1344" s="530"/>
      <c r="C1344" s="531" t="s">
        <v>1202</v>
      </c>
      <c r="D1344" s="531"/>
      <c r="E1344" s="531"/>
      <c r="F1344" s="531"/>
      <c r="G1344" s="531"/>
      <c r="I1344" s="532">
        <v>38336</v>
      </c>
      <c r="J1344" s="532"/>
      <c r="K1344" s="533">
        <v>1200</v>
      </c>
      <c r="L1344" s="533"/>
      <c r="M1344" s="533">
        <v>0</v>
      </c>
      <c r="N1344" s="533"/>
      <c r="O1344" s="533">
        <v>0</v>
      </c>
      <c r="P1344" s="533"/>
      <c r="Q1344" s="533">
        <v>0</v>
      </c>
      <c r="R1344" s="533"/>
      <c r="S1344" s="1">
        <v>33.33</v>
      </c>
      <c r="T1344" s="2" t="s">
        <v>289</v>
      </c>
      <c r="U1344" s="533">
        <v>0</v>
      </c>
      <c r="V1344" s="533"/>
      <c r="W1344" s="533">
        <v>0</v>
      </c>
      <c r="X1344" s="533"/>
    </row>
    <row r="1345" spans="1:24" ht="0.75" customHeight="1" x14ac:dyDescent="0.2"/>
    <row r="1346" spans="1:24" ht="13.5" customHeight="1" x14ac:dyDescent="0.2">
      <c r="A1346" s="530" t="s">
        <v>1203</v>
      </c>
      <c r="B1346" s="530"/>
      <c r="C1346" s="531" t="s">
        <v>1204</v>
      </c>
      <c r="D1346" s="531"/>
      <c r="E1346" s="531"/>
      <c r="F1346" s="531"/>
      <c r="G1346" s="531"/>
      <c r="I1346" s="532">
        <v>38411</v>
      </c>
      <c r="J1346" s="532"/>
      <c r="K1346" s="533">
        <v>825</v>
      </c>
      <c r="L1346" s="533"/>
      <c r="M1346" s="533">
        <v>0</v>
      </c>
      <c r="N1346" s="533"/>
      <c r="O1346" s="533">
        <v>0</v>
      </c>
      <c r="P1346" s="533"/>
      <c r="Q1346" s="533">
        <v>0</v>
      </c>
      <c r="R1346" s="533"/>
      <c r="S1346" s="1">
        <v>33.33</v>
      </c>
      <c r="T1346" s="2" t="s">
        <v>289</v>
      </c>
      <c r="U1346" s="533">
        <v>0</v>
      </c>
      <c r="V1346" s="533"/>
      <c r="W1346" s="533">
        <v>0</v>
      </c>
      <c r="X1346" s="533"/>
    </row>
    <row r="1347" spans="1:24" ht="0.75" customHeight="1" x14ac:dyDescent="0.2"/>
    <row r="1348" spans="1:24" ht="13.5" customHeight="1" x14ac:dyDescent="0.2">
      <c r="A1348" s="530" t="s">
        <v>1205</v>
      </c>
      <c r="B1348" s="530"/>
      <c r="C1348" s="531" t="s">
        <v>1206</v>
      </c>
      <c r="D1348" s="531"/>
      <c r="E1348" s="531"/>
      <c r="F1348" s="531"/>
      <c r="G1348" s="531"/>
      <c r="I1348" s="532">
        <v>38415</v>
      </c>
      <c r="J1348" s="532"/>
      <c r="K1348" s="533">
        <v>2626.92</v>
      </c>
      <c r="L1348" s="533"/>
      <c r="M1348" s="533">
        <v>0</v>
      </c>
      <c r="N1348" s="533"/>
      <c r="O1348" s="533">
        <v>0</v>
      </c>
      <c r="P1348" s="533"/>
      <c r="Q1348" s="533">
        <v>0</v>
      </c>
      <c r="R1348" s="533"/>
      <c r="S1348" s="1">
        <v>33.33</v>
      </c>
      <c r="T1348" s="2" t="s">
        <v>289</v>
      </c>
      <c r="U1348" s="533">
        <v>0</v>
      </c>
      <c r="V1348" s="533"/>
      <c r="W1348" s="533">
        <v>0</v>
      </c>
      <c r="X1348" s="533"/>
    </row>
    <row r="1349" spans="1:24" ht="0.75" customHeight="1" x14ac:dyDescent="0.2"/>
    <row r="1350" spans="1:24" ht="13.5" customHeight="1" x14ac:dyDescent="0.2">
      <c r="A1350" s="530" t="s">
        <v>1207</v>
      </c>
      <c r="B1350" s="530"/>
      <c r="C1350" s="531" t="s">
        <v>1208</v>
      </c>
      <c r="D1350" s="531"/>
      <c r="E1350" s="531"/>
      <c r="F1350" s="531"/>
      <c r="G1350" s="531"/>
      <c r="I1350" s="532">
        <v>38426</v>
      </c>
      <c r="J1350" s="532"/>
      <c r="K1350" s="533">
        <v>1290</v>
      </c>
      <c r="L1350" s="533"/>
      <c r="M1350" s="533">
        <v>0</v>
      </c>
      <c r="N1350" s="533"/>
      <c r="O1350" s="533">
        <v>0</v>
      </c>
      <c r="P1350" s="533"/>
      <c r="Q1350" s="533">
        <v>0</v>
      </c>
      <c r="R1350" s="533"/>
      <c r="S1350" s="1">
        <v>33.33</v>
      </c>
      <c r="T1350" s="2" t="s">
        <v>289</v>
      </c>
      <c r="U1350" s="533">
        <v>0</v>
      </c>
      <c r="V1350" s="533"/>
      <c r="W1350" s="533">
        <v>0</v>
      </c>
      <c r="X1350" s="533"/>
    </row>
    <row r="1351" spans="1:24" ht="0.75" customHeight="1" x14ac:dyDescent="0.2"/>
    <row r="1352" spans="1:24" ht="13.5" customHeight="1" x14ac:dyDescent="0.2">
      <c r="A1352" s="530" t="s">
        <v>1209</v>
      </c>
      <c r="B1352" s="530"/>
      <c r="C1352" s="531" t="s">
        <v>1210</v>
      </c>
      <c r="D1352" s="531"/>
      <c r="E1352" s="531"/>
      <c r="F1352" s="531"/>
      <c r="G1352" s="531"/>
      <c r="I1352" s="532">
        <v>38427</v>
      </c>
      <c r="J1352" s="532"/>
      <c r="K1352" s="533">
        <v>2310</v>
      </c>
      <c r="L1352" s="533"/>
      <c r="M1352" s="533">
        <v>0</v>
      </c>
      <c r="N1352" s="533"/>
      <c r="O1352" s="533">
        <v>0</v>
      </c>
      <c r="P1352" s="533"/>
      <c r="Q1352" s="533">
        <v>0</v>
      </c>
      <c r="R1352" s="533"/>
      <c r="S1352" s="1">
        <v>33.33</v>
      </c>
      <c r="T1352" s="2" t="s">
        <v>289</v>
      </c>
      <c r="U1352" s="533">
        <v>0</v>
      </c>
      <c r="V1352" s="533"/>
      <c r="W1352" s="533">
        <v>0</v>
      </c>
      <c r="X1352" s="533"/>
    </row>
    <row r="1353" spans="1:24" ht="0.75" customHeight="1" x14ac:dyDescent="0.2"/>
    <row r="1354" spans="1:24" ht="13.5" customHeight="1" x14ac:dyDescent="0.2">
      <c r="A1354" s="530" t="s">
        <v>1211</v>
      </c>
      <c r="B1354" s="530"/>
      <c r="C1354" s="531" t="s">
        <v>1212</v>
      </c>
      <c r="D1354" s="531"/>
      <c r="E1354" s="531"/>
      <c r="F1354" s="531"/>
      <c r="G1354" s="531"/>
      <c r="I1354" s="532">
        <v>38427</v>
      </c>
      <c r="J1354" s="532"/>
      <c r="K1354" s="533">
        <v>900</v>
      </c>
      <c r="L1354" s="533"/>
      <c r="M1354" s="533">
        <v>0</v>
      </c>
      <c r="N1354" s="533"/>
      <c r="O1354" s="533">
        <v>0</v>
      </c>
      <c r="P1354" s="533"/>
      <c r="Q1354" s="533">
        <v>0</v>
      </c>
      <c r="R1354" s="533"/>
      <c r="S1354" s="1">
        <v>33.33</v>
      </c>
      <c r="T1354" s="2" t="s">
        <v>289</v>
      </c>
      <c r="U1354" s="533">
        <v>0</v>
      </c>
      <c r="V1354" s="533"/>
      <c r="W1354" s="533">
        <v>0</v>
      </c>
      <c r="X1354" s="533"/>
    </row>
    <row r="1355" spans="1:24" ht="0.75" customHeight="1" x14ac:dyDescent="0.2"/>
    <row r="1356" spans="1:24" ht="13.5" customHeight="1" x14ac:dyDescent="0.2">
      <c r="A1356" s="530" t="s">
        <v>1213</v>
      </c>
      <c r="B1356" s="530"/>
      <c r="C1356" s="531" t="s">
        <v>1206</v>
      </c>
      <c r="D1356" s="531"/>
      <c r="E1356" s="531"/>
      <c r="F1356" s="531"/>
      <c r="G1356" s="531"/>
      <c r="I1356" s="532">
        <v>38431</v>
      </c>
      <c r="J1356" s="532"/>
      <c r="K1356" s="533">
        <v>2552.84</v>
      </c>
      <c r="L1356" s="533"/>
      <c r="M1356" s="533">
        <v>0</v>
      </c>
      <c r="N1356" s="533"/>
      <c r="O1356" s="533">
        <v>0</v>
      </c>
      <c r="P1356" s="533"/>
      <c r="Q1356" s="533">
        <v>0</v>
      </c>
      <c r="R1356" s="533"/>
      <c r="S1356" s="1">
        <v>33.33</v>
      </c>
      <c r="T1356" s="2" t="s">
        <v>289</v>
      </c>
      <c r="U1356" s="533">
        <v>0</v>
      </c>
      <c r="V1356" s="533"/>
      <c r="W1356" s="533">
        <v>0</v>
      </c>
      <c r="X1356" s="533"/>
    </row>
    <row r="1357" spans="1:24" ht="0.75" customHeight="1" x14ac:dyDescent="0.2"/>
    <row r="1358" spans="1:24" ht="13.5" customHeight="1" x14ac:dyDescent="0.2">
      <c r="A1358" s="530" t="s">
        <v>1214</v>
      </c>
      <c r="B1358" s="530"/>
      <c r="C1358" s="531" t="s">
        <v>1212</v>
      </c>
      <c r="D1358" s="531"/>
      <c r="E1358" s="531"/>
      <c r="F1358" s="531"/>
      <c r="G1358" s="531"/>
      <c r="I1358" s="532">
        <v>38431</v>
      </c>
      <c r="J1358" s="532"/>
      <c r="K1358" s="533">
        <v>1851.23</v>
      </c>
      <c r="L1358" s="533"/>
      <c r="M1358" s="533">
        <v>0</v>
      </c>
      <c r="N1358" s="533"/>
      <c r="O1358" s="533">
        <v>0</v>
      </c>
      <c r="P1358" s="533"/>
      <c r="Q1358" s="533">
        <v>0</v>
      </c>
      <c r="R1358" s="533"/>
      <c r="S1358" s="1">
        <v>33.33</v>
      </c>
      <c r="T1358" s="2" t="s">
        <v>289</v>
      </c>
      <c r="U1358" s="533">
        <v>0</v>
      </c>
      <c r="V1358" s="533"/>
      <c r="W1358" s="533">
        <v>0</v>
      </c>
      <c r="X1358" s="533"/>
    </row>
    <row r="1359" spans="1:24" ht="0.75" customHeight="1" x14ac:dyDescent="0.2"/>
    <row r="1360" spans="1:24" ht="13.5" customHeight="1" x14ac:dyDescent="0.2">
      <c r="A1360" s="530" t="s">
        <v>1215</v>
      </c>
      <c r="B1360" s="530"/>
      <c r="C1360" s="531" t="s">
        <v>1206</v>
      </c>
      <c r="D1360" s="531"/>
      <c r="E1360" s="531"/>
      <c r="F1360" s="531"/>
      <c r="G1360" s="531"/>
      <c r="I1360" s="532">
        <v>38444</v>
      </c>
      <c r="J1360" s="532"/>
      <c r="K1360" s="533">
        <v>1390</v>
      </c>
      <c r="L1360" s="533"/>
      <c r="M1360" s="533">
        <v>0</v>
      </c>
      <c r="N1360" s="533"/>
      <c r="O1360" s="533">
        <v>0</v>
      </c>
      <c r="P1360" s="533"/>
      <c r="Q1360" s="533">
        <v>0</v>
      </c>
      <c r="R1360" s="533"/>
      <c r="S1360" s="1">
        <v>33.33</v>
      </c>
      <c r="T1360" s="2" t="s">
        <v>289</v>
      </c>
      <c r="U1360" s="533">
        <v>0</v>
      </c>
      <c r="V1360" s="533"/>
      <c r="W1360" s="533">
        <v>0</v>
      </c>
      <c r="X1360" s="533"/>
    </row>
    <row r="1361" spans="1:24" ht="0.75" customHeight="1" x14ac:dyDescent="0.2"/>
    <row r="1362" spans="1:24" ht="13.5" customHeight="1" x14ac:dyDescent="0.2">
      <c r="A1362" s="530" t="s">
        <v>1216</v>
      </c>
      <c r="B1362" s="530"/>
      <c r="C1362" s="531" t="s">
        <v>1217</v>
      </c>
      <c r="D1362" s="531"/>
      <c r="E1362" s="531"/>
      <c r="F1362" s="531"/>
      <c r="G1362" s="531"/>
      <c r="I1362" s="532">
        <v>38454</v>
      </c>
      <c r="J1362" s="532"/>
      <c r="K1362" s="533">
        <v>1900</v>
      </c>
      <c r="L1362" s="533"/>
      <c r="M1362" s="533">
        <v>0</v>
      </c>
      <c r="N1362" s="533"/>
      <c r="O1362" s="533">
        <v>0</v>
      </c>
      <c r="P1362" s="533"/>
      <c r="Q1362" s="533">
        <v>0</v>
      </c>
      <c r="R1362" s="533"/>
      <c r="S1362" s="1">
        <v>33.33</v>
      </c>
      <c r="T1362" s="2" t="s">
        <v>289</v>
      </c>
      <c r="U1362" s="533">
        <v>0</v>
      </c>
      <c r="V1362" s="533"/>
      <c r="W1362" s="533">
        <v>0</v>
      </c>
      <c r="X1362" s="533"/>
    </row>
    <row r="1363" spans="1:24" ht="0.75" customHeight="1" x14ac:dyDescent="0.2"/>
    <row r="1364" spans="1:24" ht="13.5" customHeight="1" x14ac:dyDescent="0.2">
      <c r="A1364" s="530" t="s">
        <v>1218</v>
      </c>
      <c r="B1364" s="530"/>
      <c r="C1364" s="531" t="s">
        <v>1219</v>
      </c>
      <c r="D1364" s="531"/>
      <c r="E1364" s="531"/>
      <c r="F1364" s="531"/>
      <c r="G1364" s="531"/>
      <c r="I1364" s="532">
        <v>38534</v>
      </c>
      <c r="J1364" s="532"/>
      <c r="K1364" s="533">
        <v>1281.51</v>
      </c>
      <c r="L1364" s="533"/>
      <c r="M1364" s="533">
        <v>0</v>
      </c>
      <c r="N1364" s="533"/>
      <c r="O1364" s="533">
        <v>0</v>
      </c>
      <c r="P1364" s="533"/>
      <c r="Q1364" s="533">
        <v>0</v>
      </c>
      <c r="R1364" s="533"/>
      <c r="S1364" s="1">
        <v>33.33</v>
      </c>
      <c r="T1364" s="2" t="s">
        <v>289</v>
      </c>
      <c r="U1364" s="533">
        <v>0</v>
      </c>
      <c r="V1364" s="533"/>
      <c r="W1364" s="533">
        <v>0</v>
      </c>
      <c r="X1364" s="533"/>
    </row>
    <row r="1365" spans="1:24" ht="0.75" customHeight="1" x14ac:dyDescent="0.2"/>
    <row r="1366" spans="1:24" ht="13.5" customHeight="1" x14ac:dyDescent="0.2">
      <c r="A1366" s="530" t="s">
        <v>1220</v>
      </c>
      <c r="B1366" s="530"/>
      <c r="C1366" s="531" t="s">
        <v>1221</v>
      </c>
      <c r="D1366" s="531"/>
      <c r="E1366" s="531"/>
      <c r="F1366" s="531"/>
      <c r="G1366" s="531"/>
      <c r="I1366" s="532">
        <v>38558</v>
      </c>
      <c r="J1366" s="532"/>
      <c r="K1366" s="533">
        <v>1050</v>
      </c>
      <c r="L1366" s="533"/>
      <c r="M1366" s="533">
        <v>0</v>
      </c>
      <c r="N1366" s="533"/>
      <c r="O1366" s="533">
        <v>0</v>
      </c>
      <c r="P1366" s="533"/>
      <c r="Q1366" s="533">
        <v>0</v>
      </c>
      <c r="R1366" s="533"/>
      <c r="S1366" s="1">
        <v>33.33</v>
      </c>
      <c r="T1366" s="2" t="s">
        <v>289</v>
      </c>
      <c r="U1366" s="533">
        <v>0</v>
      </c>
      <c r="V1366" s="533"/>
      <c r="W1366" s="533">
        <v>0</v>
      </c>
      <c r="X1366" s="533"/>
    </row>
    <row r="1367" spans="1:24" ht="0.75" customHeight="1" x14ac:dyDescent="0.2"/>
    <row r="1368" spans="1:24" ht="13.5" customHeight="1" x14ac:dyDescent="0.2">
      <c r="A1368" s="530" t="s">
        <v>1222</v>
      </c>
      <c r="B1368" s="530"/>
      <c r="C1368" s="531" t="s">
        <v>1223</v>
      </c>
      <c r="D1368" s="531"/>
      <c r="E1368" s="531"/>
      <c r="F1368" s="531"/>
      <c r="G1368" s="531"/>
      <c r="I1368" s="532">
        <v>38561</v>
      </c>
      <c r="J1368" s="532"/>
      <c r="K1368" s="533">
        <v>545.45000000000005</v>
      </c>
      <c r="L1368" s="533"/>
      <c r="M1368" s="533">
        <v>0</v>
      </c>
      <c r="N1368" s="533"/>
      <c r="O1368" s="533">
        <v>0</v>
      </c>
      <c r="P1368" s="533"/>
      <c r="Q1368" s="533">
        <v>0</v>
      </c>
      <c r="R1368" s="533"/>
      <c r="S1368" s="1">
        <v>33.299999999999997</v>
      </c>
      <c r="T1368" s="2" t="s">
        <v>289</v>
      </c>
      <c r="U1368" s="533">
        <v>0</v>
      </c>
      <c r="V1368" s="533"/>
      <c r="W1368" s="533">
        <v>0</v>
      </c>
      <c r="X1368" s="533"/>
    </row>
    <row r="1369" spans="1:24" ht="0.75" customHeight="1" x14ac:dyDescent="0.2"/>
    <row r="1370" spans="1:24" ht="13.5" customHeight="1" x14ac:dyDescent="0.2">
      <c r="A1370" s="530" t="s">
        <v>1224</v>
      </c>
      <c r="B1370" s="530"/>
      <c r="C1370" s="531" t="s">
        <v>1225</v>
      </c>
      <c r="D1370" s="531"/>
      <c r="E1370" s="531"/>
      <c r="F1370" s="531"/>
      <c r="G1370" s="531"/>
      <c r="I1370" s="532">
        <v>38642</v>
      </c>
      <c r="J1370" s="532"/>
      <c r="K1370" s="533">
        <v>660</v>
      </c>
      <c r="L1370" s="533"/>
      <c r="M1370" s="533">
        <v>0</v>
      </c>
      <c r="N1370" s="533"/>
      <c r="O1370" s="533">
        <v>0</v>
      </c>
      <c r="P1370" s="533"/>
      <c r="Q1370" s="533">
        <v>0</v>
      </c>
      <c r="R1370" s="533"/>
      <c r="S1370" s="1">
        <v>33.33</v>
      </c>
      <c r="T1370" s="2" t="s">
        <v>289</v>
      </c>
      <c r="U1370" s="533">
        <v>0</v>
      </c>
      <c r="V1370" s="533"/>
      <c r="W1370" s="533">
        <v>0</v>
      </c>
      <c r="X1370" s="533"/>
    </row>
    <row r="1371" spans="1:24" ht="0.75" customHeight="1" x14ac:dyDescent="0.2"/>
    <row r="1372" spans="1:24" ht="13.5" customHeight="1" x14ac:dyDescent="0.2">
      <c r="A1372" s="530" t="s">
        <v>1226</v>
      </c>
      <c r="B1372" s="530"/>
      <c r="C1372" s="531" t="s">
        <v>1227</v>
      </c>
      <c r="D1372" s="531"/>
      <c r="E1372" s="531"/>
      <c r="F1372" s="531"/>
      <c r="G1372" s="531"/>
      <c r="I1372" s="532">
        <v>38720</v>
      </c>
      <c r="J1372" s="532"/>
      <c r="K1372" s="533">
        <v>2563.02</v>
      </c>
      <c r="L1372" s="533"/>
      <c r="M1372" s="533">
        <v>0</v>
      </c>
      <c r="N1372" s="533"/>
      <c r="O1372" s="533">
        <v>0</v>
      </c>
      <c r="P1372" s="533"/>
      <c r="Q1372" s="533">
        <v>0</v>
      </c>
      <c r="R1372" s="533"/>
      <c r="S1372" s="1">
        <v>33.33</v>
      </c>
      <c r="T1372" s="2" t="s">
        <v>289</v>
      </c>
      <c r="U1372" s="533">
        <v>0</v>
      </c>
      <c r="V1372" s="533"/>
      <c r="W1372" s="533">
        <v>0</v>
      </c>
      <c r="X1372" s="533"/>
    </row>
    <row r="1373" spans="1:24" ht="0.75" customHeight="1" x14ac:dyDescent="0.2"/>
    <row r="1374" spans="1:24" ht="13.5" customHeight="1" x14ac:dyDescent="0.2">
      <c r="A1374" s="530" t="s">
        <v>1228</v>
      </c>
      <c r="B1374" s="530"/>
      <c r="C1374" s="531" t="s">
        <v>1227</v>
      </c>
      <c r="D1374" s="531"/>
      <c r="E1374" s="531"/>
      <c r="F1374" s="531"/>
      <c r="G1374" s="531"/>
      <c r="I1374" s="532">
        <v>38736</v>
      </c>
      <c r="J1374" s="532"/>
      <c r="K1374" s="533">
        <v>1700</v>
      </c>
      <c r="L1374" s="533"/>
      <c r="M1374" s="533">
        <v>0</v>
      </c>
      <c r="N1374" s="533"/>
      <c r="O1374" s="533">
        <v>0</v>
      </c>
      <c r="P1374" s="533"/>
      <c r="Q1374" s="533">
        <v>0</v>
      </c>
      <c r="R1374" s="533"/>
      <c r="S1374" s="1">
        <v>33.33</v>
      </c>
      <c r="T1374" s="2" t="s">
        <v>289</v>
      </c>
      <c r="U1374" s="533">
        <v>0</v>
      </c>
      <c r="V1374" s="533"/>
      <c r="W1374" s="533">
        <v>0</v>
      </c>
      <c r="X1374" s="533"/>
    </row>
    <row r="1375" spans="1:24" ht="0.75" customHeight="1" x14ac:dyDescent="0.2"/>
    <row r="1376" spans="1:24" ht="13.5" customHeight="1" x14ac:dyDescent="0.2">
      <c r="A1376" s="530" t="s">
        <v>1229</v>
      </c>
      <c r="B1376" s="530"/>
      <c r="C1376" s="531" t="s">
        <v>1230</v>
      </c>
      <c r="D1376" s="531"/>
      <c r="E1376" s="531"/>
      <c r="F1376" s="531"/>
      <c r="G1376" s="531"/>
      <c r="I1376" s="532">
        <v>38741</v>
      </c>
      <c r="J1376" s="532"/>
      <c r="K1376" s="533">
        <v>1200</v>
      </c>
      <c r="L1376" s="533"/>
      <c r="M1376" s="533">
        <v>0</v>
      </c>
      <c r="N1376" s="533"/>
      <c r="O1376" s="533">
        <v>0</v>
      </c>
      <c r="P1376" s="533"/>
      <c r="Q1376" s="533">
        <v>0</v>
      </c>
      <c r="R1376" s="533"/>
      <c r="S1376" s="1">
        <v>33.33</v>
      </c>
      <c r="T1376" s="2" t="s">
        <v>289</v>
      </c>
      <c r="U1376" s="533">
        <v>0</v>
      </c>
      <c r="V1376" s="533"/>
      <c r="W1376" s="533">
        <v>0</v>
      </c>
      <c r="X1376" s="533"/>
    </row>
    <row r="1377" spans="1:24" ht="0.75" customHeight="1" x14ac:dyDescent="0.2"/>
    <row r="1378" spans="1:24" ht="13.5" customHeight="1" x14ac:dyDescent="0.2">
      <c r="A1378" s="530" t="s">
        <v>1231</v>
      </c>
      <c r="B1378" s="530"/>
      <c r="C1378" s="531" t="s">
        <v>1219</v>
      </c>
      <c r="D1378" s="531"/>
      <c r="E1378" s="531"/>
      <c r="F1378" s="531"/>
      <c r="G1378" s="531"/>
      <c r="I1378" s="532">
        <v>38799</v>
      </c>
      <c r="J1378" s="532"/>
      <c r="K1378" s="533">
        <v>1064.06</v>
      </c>
      <c r="L1378" s="533"/>
      <c r="M1378" s="533">
        <v>0</v>
      </c>
      <c r="N1378" s="533"/>
      <c r="O1378" s="533">
        <v>0</v>
      </c>
      <c r="P1378" s="533"/>
      <c r="Q1378" s="533">
        <v>0</v>
      </c>
      <c r="R1378" s="533"/>
      <c r="S1378" s="1">
        <v>33.33</v>
      </c>
      <c r="T1378" s="2" t="s">
        <v>289</v>
      </c>
      <c r="U1378" s="533">
        <v>0</v>
      </c>
      <c r="V1378" s="533"/>
      <c r="W1378" s="533">
        <v>0</v>
      </c>
      <c r="X1378" s="533"/>
    </row>
    <row r="1379" spans="1:24" ht="0.75" customHeight="1" x14ac:dyDescent="0.2"/>
    <row r="1380" spans="1:24" ht="13.5" customHeight="1" x14ac:dyDescent="0.2">
      <c r="A1380" s="530" t="s">
        <v>1232</v>
      </c>
      <c r="B1380" s="530"/>
      <c r="C1380" s="531" t="s">
        <v>1233</v>
      </c>
      <c r="D1380" s="531"/>
      <c r="E1380" s="531"/>
      <c r="F1380" s="531"/>
      <c r="G1380" s="531"/>
      <c r="I1380" s="532">
        <v>38799</v>
      </c>
      <c r="J1380" s="532"/>
      <c r="K1380" s="533">
        <v>1133.3900000000001</v>
      </c>
      <c r="L1380" s="533"/>
      <c r="M1380" s="533">
        <v>0</v>
      </c>
      <c r="N1380" s="533"/>
      <c r="O1380" s="533">
        <v>0</v>
      </c>
      <c r="P1380" s="533"/>
      <c r="Q1380" s="533">
        <v>0</v>
      </c>
      <c r="R1380" s="533"/>
      <c r="S1380" s="1">
        <v>33.33</v>
      </c>
      <c r="T1380" s="2" t="s">
        <v>289</v>
      </c>
      <c r="U1380" s="533">
        <v>0</v>
      </c>
      <c r="V1380" s="533"/>
      <c r="W1380" s="533">
        <v>0</v>
      </c>
      <c r="X1380" s="533"/>
    </row>
    <row r="1381" spans="1:24" ht="0.75" customHeight="1" x14ac:dyDescent="0.2"/>
    <row r="1382" spans="1:24" ht="13.5" customHeight="1" x14ac:dyDescent="0.2">
      <c r="A1382" s="530" t="s">
        <v>1234</v>
      </c>
      <c r="B1382" s="530"/>
      <c r="C1382" s="531" t="s">
        <v>1235</v>
      </c>
      <c r="D1382" s="531"/>
      <c r="E1382" s="531"/>
      <c r="F1382" s="531"/>
      <c r="G1382" s="531"/>
      <c r="I1382" s="532">
        <v>38807</v>
      </c>
      <c r="J1382" s="532"/>
      <c r="K1382" s="533">
        <v>262.5</v>
      </c>
      <c r="L1382" s="533"/>
      <c r="M1382" s="533">
        <v>0</v>
      </c>
      <c r="N1382" s="533"/>
      <c r="O1382" s="533">
        <v>0</v>
      </c>
      <c r="P1382" s="533"/>
      <c r="Q1382" s="533">
        <v>0</v>
      </c>
      <c r="R1382" s="533"/>
      <c r="S1382" s="1">
        <v>33.33</v>
      </c>
      <c r="T1382" s="2" t="s">
        <v>289</v>
      </c>
      <c r="U1382" s="533">
        <v>0</v>
      </c>
      <c r="V1382" s="533"/>
      <c r="W1382" s="533">
        <v>0</v>
      </c>
      <c r="X1382" s="533"/>
    </row>
    <row r="1383" spans="1:24" ht="0.75" customHeight="1" x14ac:dyDescent="0.2"/>
    <row r="1384" spans="1:24" ht="13.5" customHeight="1" x14ac:dyDescent="0.2">
      <c r="A1384" s="530" t="s">
        <v>1236</v>
      </c>
      <c r="B1384" s="530"/>
      <c r="C1384" s="531" t="s">
        <v>1237</v>
      </c>
      <c r="D1384" s="531"/>
      <c r="E1384" s="531"/>
      <c r="F1384" s="531"/>
      <c r="G1384" s="531"/>
      <c r="I1384" s="532">
        <v>37993</v>
      </c>
      <c r="J1384" s="532"/>
      <c r="K1384" s="533">
        <v>1295</v>
      </c>
      <c r="L1384" s="533"/>
      <c r="M1384" s="533">
        <v>0</v>
      </c>
      <c r="N1384" s="533"/>
      <c r="O1384" s="533">
        <v>0</v>
      </c>
      <c r="P1384" s="533"/>
      <c r="Q1384" s="533">
        <v>0</v>
      </c>
      <c r="R1384" s="533"/>
      <c r="S1384" s="1">
        <v>33.33</v>
      </c>
      <c r="T1384" s="2" t="s">
        <v>289</v>
      </c>
      <c r="U1384" s="533">
        <v>0</v>
      </c>
      <c r="V1384" s="533"/>
      <c r="W1384" s="533">
        <v>0</v>
      </c>
      <c r="X1384" s="533"/>
    </row>
    <row r="1385" spans="1:24" ht="0.75" customHeight="1" x14ac:dyDescent="0.2"/>
    <row r="1386" spans="1:24" ht="13.5" customHeight="1" x14ac:dyDescent="0.2">
      <c r="A1386" s="530" t="s">
        <v>1238</v>
      </c>
      <c r="B1386" s="530"/>
      <c r="C1386" s="531" t="s">
        <v>1239</v>
      </c>
      <c r="D1386" s="531"/>
      <c r="E1386" s="531"/>
      <c r="F1386" s="531"/>
      <c r="G1386" s="531"/>
      <c r="I1386" s="532">
        <v>40728</v>
      </c>
      <c r="J1386" s="532"/>
      <c r="K1386" s="533">
        <v>1090.9100000000001</v>
      </c>
      <c r="L1386" s="533"/>
      <c r="M1386" s="533">
        <v>0</v>
      </c>
      <c r="N1386" s="533"/>
      <c r="O1386" s="533">
        <v>0</v>
      </c>
      <c r="P1386" s="533"/>
      <c r="Q1386" s="533">
        <v>0</v>
      </c>
      <c r="R1386" s="533"/>
      <c r="S1386" s="1">
        <v>66.66</v>
      </c>
      <c r="T1386" s="2" t="s">
        <v>289</v>
      </c>
      <c r="U1386" s="533">
        <v>0</v>
      </c>
      <c r="V1386" s="533"/>
      <c r="W1386" s="533">
        <v>0</v>
      </c>
      <c r="X1386" s="533"/>
    </row>
    <row r="1387" spans="1:24" ht="0.75" customHeight="1" x14ac:dyDescent="0.2"/>
    <row r="1388" spans="1:24" ht="13.5" customHeight="1" x14ac:dyDescent="0.2">
      <c r="A1388" s="530" t="s">
        <v>1240</v>
      </c>
      <c r="B1388" s="530"/>
      <c r="C1388" s="531" t="s">
        <v>1241</v>
      </c>
      <c r="D1388" s="531"/>
      <c r="E1388" s="531"/>
      <c r="F1388" s="531"/>
      <c r="G1388" s="531"/>
      <c r="I1388" s="532">
        <v>40730</v>
      </c>
      <c r="J1388" s="532"/>
      <c r="K1388" s="533">
        <v>11492</v>
      </c>
      <c r="L1388" s="533"/>
      <c r="M1388" s="533">
        <v>5</v>
      </c>
      <c r="N1388" s="533"/>
      <c r="O1388" s="533">
        <v>0</v>
      </c>
      <c r="P1388" s="533"/>
      <c r="Q1388" s="533">
        <v>0</v>
      </c>
      <c r="R1388" s="533"/>
      <c r="S1388" s="1">
        <v>66.66</v>
      </c>
      <c r="T1388" s="2" t="s">
        <v>289</v>
      </c>
      <c r="U1388" s="533">
        <v>1</v>
      </c>
      <c r="V1388" s="533"/>
      <c r="W1388" s="533">
        <v>4</v>
      </c>
      <c r="X1388" s="533"/>
    </row>
    <row r="1389" spans="1:24" ht="0.75" customHeight="1" x14ac:dyDescent="0.2"/>
    <row r="1390" spans="1:24" ht="13.5" customHeight="1" x14ac:dyDescent="0.2">
      <c r="A1390" s="530" t="s">
        <v>1242</v>
      </c>
      <c r="B1390" s="530"/>
      <c r="C1390" s="531" t="s">
        <v>1243</v>
      </c>
      <c r="D1390" s="531"/>
      <c r="E1390" s="531"/>
      <c r="F1390" s="531"/>
      <c r="G1390" s="531"/>
      <c r="I1390" s="532">
        <v>40829</v>
      </c>
      <c r="J1390" s="532"/>
      <c r="K1390" s="533">
        <v>400</v>
      </c>
      <c r="L1390" s="533"/>
      <c r="M1390" s="533">
        <v>0</v>
      </c>
      <c r="N1390" s="533"/>
      <c r="O1390" s="533">
        <v>0</v>
      </c>
      <c r="P1390" s="533"/>
      <c r="Q1390" s="533">
        <v>0</v>
      </c>
      <c r="R1390" s="533"/>
      <c r="S1390" s="1">
        <v>66.66</v>
      </c>
      <c r="T1390" s="2" t="s">
        <v>289</v>
      </c>
      <c r="U1390" s="533">
        <v>0</v>
      </c>
      <c r="V1390" s="533"/>
      <c r="W1390" s="533">
        <v>0</v>
      </c>
      <c r="X1390" s="533"/>
    </row>
    <row r="1391" spans="1:24" ht="0.75" customHeight="1" x14ac:dyDescent="0.2"/>
    <row r="1392" spans="1:24" ht="13.5" customHeight="1" x14ac:dyDescent="0.2">
      <c r="A1392" s="530" t="s">
        <v>1244</v>
      </c>
      <c r="B1392" s="530"/>
      <c r="C1392" s="531" t="s">
        <v>1227</v>
      </c>
      <c r="D1392" s="531"/>
      <c r="E1392" s="531"/>
      <c r="F1392" s="531"/>
      <c r="G1392" s="531"/>
      <c r="I1392" s="532">
        <v>38810</v>
      </c>
      <c r="J1392" s="532"/>
      <c r="K1392" s="533">
        <v>1490</v>
      </c>
      <c r="L1392" s="533"/>
      <c r="M1392" s="533">
        <v>0</v>
      </c>
      <c r="N1392" s="533"/>
      <c r="O1392" s="533">
        <v>0</v>
      </c>
      <c r="P1392" s="533"/>
      <c r="Q1392" s="533">
        <v>0</v>
      </c>
      <c r="R1392" s="533"/>
      <c r="S1392" s="1">
        <v>33.33</v>
      </c>
      <c r="T1392" s="2" t="s">
        <v>289</v>
      </c>
      <c r="U1392" s="533">
        <v>0</v>
      </c>
      <c r="V1392" s="533"/>
      <c r="W1392" s="533">
        <v>0</v>
      </c>
      <c r="X1392" s="533"/>
    </row>
    <row r="1393" spans="1:24" ht="0.75" customHeight="1" x14ac:dyDescent="0.2"/>
    <row r="1394" spans="1:24" ht="13.5" customHeight="1" x14ac:dyDescent="0.2">
      <c r="A1394" s="530" t="s">
        <v>1245</v>
      </c>
      <c r="B1394" s="530"/>
      <c r="C1394" s="531" t="s">
        <v>1246</v>
      </c>
      <c r="D1394" s="531"/>
      <c r="E1394" s="531"/>
      <c r="F1394" s="531"/>
      <c r="G1394" s="531"/>
      <c r="I1394" s="532">
        <v>40832</v>
      </c>
      <c r="J1394" s="532"/>
      <c r="K1394" s="533">
        <v>3080</v>
      </c>
      <c r="L1394" s="533"/>
      <c r="M1394" s="533">
        <v>2</v>
      </c>
      <c r="N1394" s="533"/>
      <c r="O1394" s="533">
        <v>0</v>
      </c>
      <c r="P1394" s="533"/>
      <c r="Q1394" s="533">
        <v>0</v>
      </c>
      <c r="R1394" s="533"/>
      <c r="S1394" s="1">
        <v>66.66</v>
      </c>
      <c r="T1394" s="2" t="s">
        <v>289</v>
      </c>
      <c r="U1394" s="533">
        <v>1</v>
      </c>
      <c r="V1394" s="533"/>
      <c r="W1394" s="533">
        <v>1</v>
      </c>
      <c r="X1394" s="533"/>
    </row>
    <row r="1395" spans="1:24" ht="0.75" customHeight="1" x14ac:dyDescent="0.2"/>
    <row r="1396" spans="1:24" ht="13.5" customHeight="1" x14ac:dyDescent="0.2">
      <c r="A1396" s="530" t="s">
        <v>1247</v>
      </c>
      <c r="B1396" s="530"/>
      <c r="C1396" s="531" t="s">
        <v>1248</v>
      </c>
      <c r="D1396" s="531"/>
      <c r="E1396" s="531"/>
      <c r="F1396" s="531"/>
      <c r="G1396" s="531"/>
      <c r="I1396" s="532">
        <v>40840</v>
      </c>
      <c r="J1396" s="532"/>
      <c r="K1396" s="533">
        <v>1365</v>
      </c>
      <c r="L1396" s="533"/>
      <c r="M1396" s="533">
        <v>0</v>
      </c>
      <c r="N1396" s="533"/>
      <c r="O1396" s="533">
        <v>0</v>
      </c>
      <c r="P1396" s="533"/>
      <c r="Q1396" s="533">
        <v>0</v>
      </c>
      <c r="R1396" s="533"/>
      <c r="S1396" s="1">
        <v>66.66</v>
      </c>
      <c r="T1396" s="2" t="s">
        <v>289</v>
      </c>
      <c r="U1396" s="533">
        <v>0</v>
      </c>
      <c r="V1396" s="533"/>
      <c r="W1396" s="533">
        <v>0</v>
      </c>
      <c r="X1396" s="533"/>
    </row>
    <row r="1397" spans="1:24" ht="0.75" customHeight="1" x14ac:dyDescent="0.2"/>
    <row r="1398" spans="1:24" ht="13.5" customHeight="1" x14ac:dyDescent="0.2">
      <c r="A1398" s="530" t="s">
        <v>1249</v>
      </c>
      <c r="B1398" s="530"/>
      <c r="C1398" s="531" t="s">
        <v>1248</v>
      </c>
      <c r="D1398" s="531"/>
      <c r="E1398" s="531"/>
      <c r="F1398" s="531"/>
      <c r="G1398" s="531"/>
      <c r="I1398" s="532">
        <v>40840</v>
      </c>
      <c r="J1398" s="532"/>
      <c r="K1398" s="533">
        <v>1365</v>
      </c>
      <c r="L1398" s="533"/>
      <c r="M1398" s="533">
        <v>0</v>
      </c>
      <c r="N1398" s="533"/>
      <c r="O1398" s="533">
        <v>0</v>
      </c>
      <c r="P1398" s="533"/>
      <c r="Q1398" s="533">
        <v>0</v>
      </c>
      <c r="R1398" s="533"/>
      <c r="S1398" s="1">
        <v>66.66</v>
      </c>
      <c r="T1398" s="2" t="s">
        <v>289</v>
      </c>
      <c r="U1398" s="533">
        <v>0</v>
      </c>
      <c r="V1398" s="533"/>
      <c r="W1398" s="533">
        <v>0</v>
      </c>
      <c r="X1398" s="533"/>
    </row>
    <row r="1399" spans="1:24" ht="0.75" customHeight="1" x14ac:dyDescent="0.2"/>
    <row r="1400" spans="1:24" ht="13.5" customHeight="1" x14ac:dyDescent="0.2">
      <c r="A1400" s="530" t="s">
        <v>1250</v>
      </c>
      <c r="B1400" s="530"/>
      <c r="C1400" s="531" t="s">
        <v>1251</v>
      </c>
      <c r="D1400" s="531"/>
      <c r="E1400" s="531"/>
      <c r="F1400" s="531"/>
      <c r="G1400" s="531"/>
      <c r="I1400" s="532">
        <v>40849</v>
      </c>
      <c r="J1400" s="532"/>
      <c r="K1400" s="533">
        <v>2372</v>
      </c>
      <c r="L1400" s="533"/>
      <c r="M1400" s="533">
        <v>2</v>
      </c>
      <c r="N1400" s="533"/>
      <c r="O1400" s="533">
        <v>0</v>
      </c>
      <c r="P1400" s="533"/>
      <c r="Q1400" s="533">
        <v>0</v>
      </c>
      <c r="R1400" s="533"/>
      <c r="S1400" s="1">
        <v>66.66</v>
      </c>
      <c r="T1400" s="2" t="s">
        <v>289</v>
      </c>
      <c r="U1400" s="533">
        <v>1</v>
      </c>
      <c r="V1400" s="533"/>
      <c r="W1400" s="533">
        <v>1</v>
      </c>
      <c r="X1400" s="533"/>
    </row>
    <row r="1401" spans="1:24" ht="0.75" customHeight="1" x14ac:dyDescent="0.2"/>
    <row r="1402" spans="1:24" ht="13.5" customHeight="1" x14ac:dyDescent="0.2">
      <c r="A1402" s="530" t="s">
        <v>1252</v>
      </c>
      <c r="B1402" s="530"/>
      <c r="C1402" s="525" t="s">
        <v>1253</v>
      </c>
      <c r="D1402" s="525"/>
      <c r="E1402" s="525"/>
      <c r="F1402" s="525"/>
      <c r="G1402" s="525"/>
      <c r="I1402" s="532">
        <v>40952</v>
      </c>
      <c r="J1402" s="532"/>
      <c r="K1402" s="533">
        <v>2190</v>
      </c>
      <c r="L1402" s="533"/>
      <c r="M1402" s="533">
        <v>2</v>
      </c>
      <c r="N1402" s="533"/>
      <c r="O1402" s="533">
        <v>0</v>
      </c>
      <c r="P1402" s="533"/>
      <c r="Q1402" s="533">
        <v>0</v>
      </c>
      <c r="R1402" s="533"/>
      <c r="S1402" s="1">
        <v>66.66</v>
      </c>
      <c r="T1402" s="2" t="s">
        <v>289</v>
      </c>
      <c r="U1402" s="533">
        <v>1</v>
      </c>
      <c r="V1402" s="533"/>
      <c r="W1402" s="533">
        <v>1</v>
      </c>
      <c r="X1402" s="533"/>
    </row>
    <row r="1403" spans="1:24" ht="12" customHeight="1" x14ac:dyDescent="0.2">
      <c r="C1403" s="525"/>
      <c r="D1403" s="525"/>
      <c r="E1403" s="525"/>
      <c r="F1403" s="525"/>
      <c r="G1403" s="525"/>
    </row>
    <row r="1404" spans="1:24" ht="13.5" customHeight="1" x14ac:dyDescent="0.2">
      <c r="A1404" s="530" t="s">
        <v>1254</v>
      </c>
      <c r="B1404" s="530"/>
      <c r="C1404" s="531" t="s">
        <v>1255</v>
      </c>
      <c r="D1404" s="531"/>
      <c r="E1404" s="531"/>
      <c r="F1404" s="531"/>
      <c r="G1404" s="531"/>
      <c r="I1404" s="532">
        <v>40954</v>
      </c>
      <c r="J1404" s="532"/>
      <c r="K1404" s="533">
        <v>5280</v>
      </c>
      <c r="L1404" s="533"/>
      <c r="M1404" s="533">
        <v>5</v>
      </c>
      <c r="N1404" s="533"/>
      <c r="O1404" s="533">
        <v>0</v>
      </c>
      <c r="P1404" s="533"/>
      <c r="Q1404" s="533">
        <v>0</v>
      </c>
      <c r="R1404" s="533"/>
      <c r="S1404" s="1">
        <v>66.66</v>
      </c>
      <c r="T1404" s="2" t="s">
        <v>289</v>
      </c>
      <c r="U1404" s="533">
        <v>1</v>
      </c>
      <c r="V1404" s="533"/>
      <c r="W1404" s="533">
        <v>4</v>
      </c>
      <c r="X1404" s="533"/>
    </row>
    <row r="1405" spans="1:24" ht="15" customHeight="1" x14ac:dyDescent="0.2">
      <c r="A1405" s="534" t="s">
        <v>1141</v>
      </c>
      <c r="B1405" s="534"/>
      <c r="D1405" s="534" t="s">
        <v>1142</v>
      </c>
      <c r="E1405" s="534"/>
      <c r="F1405" s="534"/>
      <c r="G1405" s="534"/>
      <c r="H1405" s="534"/>
      <c r="I1405" s="534"/>
      <c r="J1405" s="534"/>
      <c r="K1405" s="534"/>
      <c r="L1405" s="534"/>
      <c r="M1405" s="534"/>
      <c r="N1405" s="534"/>
      <c r="O1405" s="534"/>
      <c r="P1405" s="534"/>
      <c r="Q1405" s="534"/>
      <c r="R1405" s="534"/>
      <c r="S1405" s="534"/>
      <c r="T1405" s="534"/>
      <c r="U1405" s="534"/>
      <c r="V1405" s="534"/>
    </row>
    <row r="1406" spans="1:24" ht="0.75" customHeight="1" x14ac:dyDescent="0.2"/>
    <row r="1407" spans="1:24" ht="13.5" customHeight="1" x14ac:dyDescent="0.2">
      <c r="A1407" s="530" t="s">
        <v>1256</v>
      </c>
      <c r="B1407" s="530"/>
      <c r="C1407" s="525" t="s">
        <v>1257</v>
      </c>
      <c r="D1407" s="525"/>
      <c r="E1407" s="525"/>
      <c r="F1407" s="525"/>
      <c r="G1407" s="525"/>
      <c r="I1407" s="532">
        <v>40962</v>
      </c>
      <c r="J1407" s="532"/>
      <c r="K1407" s="533">
        <v>26114</v>
      </c>
      <c r="L1407" s="533"/>
      <c r="M1407" s="533">
        <v>27</v>
      </c>
      <c r="N1407" s="533"/>
      <c r="O1407" s="533">
        <v>0</v>
      </c>
      <c r="P1407" s="533"/>
      <c r="Q1407" s="533">
        <v>0</v>
      </c>
      <c r="R1407" s="533"/>
      <c r="S1407" s="1">
        <v>66.66</v>
      </c>
      <c r="T1407" s="2" t="s">
        <v>289</v>
      </c>
      <c r="U1407" s="533">
        <v>8</v>
      </c>
      <c r="V1407" s="533"/>
      <c r="W1407" s="533">
        <v>19</v>
      </c>
      <c r="X1407" s="533"/>
    </row>
    <row r="1408" spans="1:24" ht="12" customHeight="1" x14ac:dyDescent="0.2">
      <c r="C1408" s="525"/>
      <c r="D1408" s="525"/>
      <c r="E1408" s="525"/>
      <c r="F1408" s="525"/>
      <c r="G1408" s="525"/>
    </row>
    <row r="1409" spans="1:24" ht="13.5" customHeight="1" x14ac:dyDescent="0.2">
      <c r="A1409" s="530" t="s">
        <v>1258</v>
      </c>
      <c r="B1409" s="530"/>
      <c r="C1409" s="531" t="s">
        <v>1259</v>
      </c>
      <c r="D1409" s="531"/>
      <c r="E1409" s="531"/>
      <c r="F1409" s="531"/>
      <c r="G1409" s="531"/>
      <c r="I1409" s="532">
        <v>40966</v>
      </c>
      <c r="J1409" s="532"/>
      <c r="K1409" s="533">
        <v>5920.95</v>
      </c>
      <c r="L1409" s="533"/>
      <c r="M1409" s="533">
        <v>5.95</v>
      </c>
      <c r="N1409" s="533"/>
      <c r="O1409" s="533">
        <v>0</v>
      </c>
      <c r="P1409" s="533"/>
      <c r="Q1409" s="533">
        <v>0</v>
      </c>
      <c r="R1409" s="533"/>
      <c r="S1409" s="1">
        <v>66.66</v>
      </c>
      <c r="T1409" s="2" t="s">
        <v>289</v>
      </c>
      <c r="U1409" s="533">
        <v>2</v>
      </c>
      <c r="V1409" s="533"/>
      <c r="W1409" s="533">
        <v>3.95</v>
      </c>
      <c r="X1409" s="533"/>
    </row>
    <row r="1410" spans="1:24" ht="0.75" customHeight="1" x14ac:dyDescent="0.2"/>
    <row r="1411" spans="1:24" ht="13.5" customHeight="1" x14ac:dyDescent="0.2">
      <c r="A1411" s="530" t="s">
        <v>1260</v>
      </c>
      <c r="B1411" s="530"/>
      <c r="C1411" s="531" t="s">
        <v>1261</v>
      </c>
      <c r="D1411" s="531"/>
      <c r="E1411" s="531"/>
      <c r="F1411" s="531"/>
      <c r="G1411" s="531"/>
      <c r="I1411" s="532">
        <v>40967</v>
      </c>
      <c r="J1411" s="532"/>
      <c r="K1411" s="533">
        <v>4930</v>
      </c>
      <c r="L1411" s="533"/>
      <c r="M1411" s="533">
        <v>5</v>
      </c>
      <c r="N1411" s="533"/>
      <c r="O1411" s="533">
        <v>0</v>
      </c>
      <c r="P1411" s="533"/>
      <c r="Q1411" s="533">
        <v>0</v>
      </c>
      <c r="R1411" s="533"/>
      <c r="S1411" s="1">
        <v>66.66</v>
      </c>
      <c r="T1411" s="2" t="s">
        <v>289</v>
      </c>
      <c r="U1411" s="533">
        <v>1</v>
      </c>
      <c r="V1411" s="533"/>
      <c r="W1411" s="533">
        <v>4</v>
      </c>
      <c r="X1411" s="533"/>
    </row>
    <row r="1412" spans="1:24" ht="0.75" customHeight="1" x14ac:dyDescent="0.2"/>
    <row r="1413" spans="1:24" ht="13.5" customHeight="1" x14ac:dyDescent="0.2">
      <c r="A1413" s="530" t="s">
        <v>1262</v>
      </c>
      <c r="B1413" s="530"/>
      <c r="C1413" s="525" t="s">
        <v>1263</v>
      </c>
      <c r="D1413" s="525"/>
      <c r="E1413" s="525"/>
      <c r="F1413" s="525"/>
      <c r="G1413" s="525"/>
      <c r="I1413" s="532">
        <v>40967</v>
      </c>
      <c r="J1413" s="532"/>
      <c r="K1413" s="533">
        <v>8100</v>
      </c>
      <c r="L1413" s="533"/>
      <c r="M1413" s="533">
        <v>9</v>
      </c>
      <c r="N1413" s="533"/>
      <c r="O1413" s="533">
        <v>0</v>
      </c>
      <c r="P1413" s="533"/>
      <c r="Q1413" s="533">
        <v>0</v>
      </c>
      <c r="R1413" s="533"/>
      <c r="S1413" s="1">
        <v>66.66</v>
      </c>
      <c r="T1413" s="2" t="s">
        <v>289</v>
      </c>
      <c r="U1413" s="533">
        <v>3</v>
      </c>
      <c r="V1413" s="533"/>
      <c r="W1413" s="533">
        <v>6</v>
      </c>
      <c r="X1413" s="533"/>
    </row>
    <row r="1414" spans="1:24" ht="12" customHeight="1" x14ac:dyDescent="0.2">
      <c r="C1414" s="525"/>
      <c r="D1414" s="525"/>
      <c r="E1414" s="525"/>
      <c r="F1414" s="525"/>
      <c r="G1414" s="525"/>
    </row>
    <row r="1415" spans="1:24" ht="13.5" customHeight="1" x14ac:dyDescent="0.2">
      <c r="A1415" s="530" t="s">
        <v>1264</v>
      </c>
      <c r="B1415" s="530"/>
      <c r="C1415" s="531" t="s">
        <v>1227</v>
      </c>
      <c r="D1415" s="531"/>
      <c r="E1415" s="531"/>
      <c r="F1415" s="531"/>
      <c r="G1415" s="531"/>
      <c r="I1415" s="532">
        <v>38813</v>
      </c>
      <c r="J1415" s="532"/>
      <c r="K1415" s="533">
        <v>2460</v>
      </c>
      <c r="L1415" s="533"/>
      <c r="M1415" s="533">
        <v>17</v>
      </c>
      <c r="N1415" s="533"/>
      <c r="O1415" s="533">
        <v>0</v>
      </c>
      <c r="P1415" s="533"/>
      <c r="Q1415" s="533">
        <v>0</v>
      </c>
      <c r="R1415" s="533"/>
      <c r="S1415" s="1">
        <v>33.33</v>
      </c>
      <c r="T1415" s="2" t="s">
        <v>289</v>
      </c>
      <c r="U1415" s="533">
        <v>2</v>
      </c>
      <c r="V1415" s="533"/>
      <c r="W1415" s="533">
        <v>15</v>
      </c>
      <c r="X1415" s="533"/>
    </row>
    <row r="1416" spans="1:24" ht="0.75" customHeight="1" x14ac:dyDescent="0.2"/>
    <row r="1417" spans="1:24" ht="13.5" customHeight="1" x14ac:dyDescent="0.2">
      <c r="A1417" s="530" t="s">
        <v>1265</v>
      </c>
      <c r="B1417" s="530"/>
      <c r="C1417" s="525" t="s">
        <v>1266</v>
      </c>
      <c r="D1417" s="525"/>
      <c r="E1417" s="525"/>
      <c r="F1417" s="525"/>
      <c r="G1417" s="525"/>
      <c r="I1417" s="532">
        <v>40972</v>
      </c>
      <c r="J1417" s="532"/>
      <c r="K1417" s="533">
        <v>22953.94</v>
      </c>
      <c r="L1417" s="533"/>
      <c r="M1417" s="533">
        <v>24.94</v>
      </c>
      <c r="N1417" s="533"/>
      <c r="O1417" s="533">
        <v>0</v>
      </c>
      <c r="P1417" s="533"/>
      <c r="Q1417" s="533">
        <v>0</v>
      </c>
      <c r="R1417" s="533"/>
      <c r="S1417" s="1">
        <v>66.66</v>
      </c>
      <c r="T1417" s="2" t="s">
        <v>289</v>
      </c>
      <c r="U1417" s="533">
        <v>7</v>
      </c>
      <c r="V1417" s="533"/>
      <c r="W1417" s="533">
        <v>17.940000000000001</v>
      </c>
      <c r="X1417" s="533"/>
    </row>
    <row r="1418" spans="1:24" ht="12" customHeight="1" x14ac:dyDescent="0.2">
      <c r="C1418" s="525"/>
      <c r="D1418" s="525"/>
      <c r="E1418" s="525"/>
      <c r="F1418" s="525"/>
      <c r="G1418" s="525"/>
    </row>
    <row r="1419" spans="1:24" ht="13.5" customHeight="1" x14ac:dyDescent="0.2">
      <c r="A1419" s="530" t="s">
        <v>1267</v>
      </c>
      <c r="B1419" s="530"/>
      <c r="C1419" s="525" t="s">
        <v>1268</v>
      </c>
      <c r="D1419" s="525"/>
      <c r="E1419" s="525"/>
      <c r="F1419" s="525"/>
      <c r="G1419" s="525"/>
      <c r="I1419" s="532">
        <v>40975</v>
      </c>
      <c r="J1419" s="532"/>
      <c r="K1419" s="533">
        <v>8629</v>
      </c>
      <c r="L1419" s="533"/>
      <c r="M1419" s="533">
        <v>9</v>
      </c>
      <c r="N1419" s="533"/>
      <c r="O1419" s="533">
        <v>0</v>
      </c>
      <c r="P1419" s="533"/>
      <c r="Q1419" s="533">
        <v>0</v>
      </c>
      <c r="R1419" s="533"/>
      <c r="S1419" s="1">
        <v>66.66</v>
      </c>
      <c r="T1419" s="2" t="s">
        <v>289</v>
      </c>
      <c r="U1419" s="533">
        <v>3</v>
      </c>
      <c r="V1419" s="533"/>
      <c r="W1419" s="533">
        <v>6</v>
      </c>
      <c r="X1419" s="533"/>
    </row>
    <row r="1420" spans="1:24" ht="12" customHeight="1" x14ac:dyDescent="0.2">
      <c r="C1420" s="525"/>
      <c r="D1420" s="525"/>
      <c r="E1420" s="525"/>
      <c r="F1420" s="525"/>
      <c r="G1420" s="525"/>
    </row>
    <row r="1421" spans="1:24" ht="13.5" customHeight="1" x14ac:dyDescent="0.2">
      <c r="A1421" s="530" t="s">
        <v>1269</v>
      </c>
      <c r="B1421" s="530"/>
      <c r="C1421" s="525" t="s">
        <v>1270</v>
      </c>
      <c r="D1421" s="525"/>
      <c r="E1421" s="525"/>
      <c r="F1421" s="525"/>
      <c r="G1421" s="525"/>
      <c r="I1421" s="532">
        <v>40975</v>
      </c>
      <c r="J1421" s="532"/>
      <c r="K1421" s="533">
        <v>10930</v>
      </c>
      <c r="L1421" s="533"/>
      <c r="M1421" s="533">
        <v>12</v>
      </c>
      <c r="N1421" s="533"/>
      <c r="O1421" s="533">
        <v>0</v>
      </c>
      <c r="P1421" s="533"/>
      <c r="Q1421" s="533">
        <v>0</v>
      </c>
      <c r="R1421" s="533"/>
      <c r="S1421" s="1">
        <v>66.66</v>
      </c>
      <c r="T1421" s="2" t="s">
        <v>289</v>
      </c>
      <c r="U1421" s="533">
        <v>3</v>
      </c>
      <c r="V1421" s="533"/>
      <c r="W1421" s="533">
        <v>9</v>
      </c>
      <c r="X1421" s="533"/>
    </row>
    <row r="1422" spans="1:24" ht="12" customHeight="1" x14ac:dyDescent="0.2">
      <c r="C1422" s="525"/>
      <c r="D1422" s="525"/>
      <c r="E1422" s="525"/>
      <c r="F1422" s="525"/>
      <c r="G1422" s="525"/>
    </row>
    <row r="1423" spans="1:24" ht="13.5" customHeight="1" x14ac:dyDescent="0.2">
      <c r="A1423" s="530" t="s">
        <v>1271</v>
      </c>
      <c r="B1423" s="530"/>
      <c r="C1423" s="525" t="s">
        <v>1272</v>
      </c>
      <c r="D1423" s="525"/>
      <c r="E1423" s="525"/>
      <c r="F1423" s="525"/>
      <c r="G1423" s="525"/>
      <c r="I1423" s="532">
        <v>40981</v>
      </c>
      <c r="J1423" s="532"/>
      <c r="K1423" s="533">
        <v>13238</v>
      </c>
      <c r="L1423" s="533"/>
      <c r="M1423" s="533">
        <v>15</v>
      </c>
      <c r="N1423" s="533"/>
      <c r="O1423" s="533">
        <v>0</v>
      </c>
      <c r="P1423" s="533"/>
      <c r="Q1423" s="533">
        <v>0</v>
      </c>
      <c r="R1423" s="533"/>
      <c r="S1423" s="1">
        <v>66.66</v>
      </c>
      <c r="T1423" s="2" t="s">
        <v>289</v>
      </c>
      <c r="U1423" s="533">
        <v>4</v>
      </c>
      <c r="V1423" s="533"/>
      <c r="W1423" s="533">
        <v>11</v>
      </c>
      <c r="X1423" s="533"/>
    </row>
    <row r="1424" spans="1:24" ht="12" customHeight="1" x14ac:dyDescent="0.2">
      <c r="C1424" s="525"/>
      <c r="D1424" s="525"/>
      <c r="E1424" s="525"/>
      <c r="F1424" s="525"/>
      <c r="G1424" s="525"/>
    </row>
    <row r="1425" spans="1:24" ht="13.5" customHeight="1" x14ac:dyDescent="0.2">
      <c r="A1425" s="530" t="s">
        <v>1273</v>
      </c>
      <c r="B1425" s="530"/>
      <c r="C1425" s="525" t="s">
        <v>1274</v>
      </c>
      <c r="D1425" s="525"/>
      <c r="E1425" s="525"/>
      <c r="F1425" s="525"/>
      <c r="G1425" s="525"/>
      <c r="I1425" s="532">
        <v>40989</v>
      </c>
      <c r="J1425" s="532"/>
      <c r="K1425" s="533">
        <v>18131.400000000001</v>
      </c>
      <c r="L1425" s="533"/>
      <c r="M1425" s="533">
        <v>20.400000000000002</v>
      </c>
      <c r="N1425" s="533"/>
      <c r="O1425" s="533">
        <v>0</v>
      </c>
      <c r="P1425" s="533"/>
      <c r="Q1425" s="533">
        <v>0</v>
      </c>
      <c r="R1425" s="533"/>
      <c r="S1425" s="1">
        <v>66.66</v>
      </c>
      <c r="T1425" s="2" t="s">
        <v>289</v>
      </c>
      <c r="U1425" s="533">
        <v>6</v>
      </c>
      <c r="V1425" s="533"/>
      <c r="W1425" s="533">
        <v>14.4</v>
      </c>
      <c r="X1425" s="533"/>
    </row>
    <row r="1426" spans="1:24" ht="12" customHeight="1" x14ac:dyDescent="0.2">
      <c r="C1426" s="525"/>
      <c r="D1426" s="525"/>
      <c r="E1426" s="525"/>
      <c r="F1426" s="525"/>
      <c r="G1426" s="525"/>
    </row>
    <row r="1427" spans="1:24" ht="13.5" customHeight="1" x14ac:dyDescent="0.2">
      <c r="A1427" s="530" t="s">
        <v>1275</v>
      </c>
      <c r="B1427" s="530"/>
      <c r="C1427" s="531" t="s">
        <v>1276</v>
      </c>
      <c r="D1427" s="531"/>
      <c r="E1427" s="531"/>
      <c r="F1427" s="531"/>
      <c r="G1427" s="531"/>
      <c r="I1427" s="532">
        <v>41051</v>
      </c>
      <c r="J1427" s="532"/>
      <c r="K1427" s="533">
        <v>2410</v>
      </c>
      <c r="L1427" s="533"/>
      <c r="M1427" s="533">
        <v>3</v>
      </c>
      <c r="N1427" s="533"/>
      <c r="O1427" s="533">
        <v>0</v>
      </c>
      <c r="P1427" s="533"/>
      <c r="Q1427" s="533">
        <v>0</v>
      </c>
      <c r="R1427" s="533"/>
      <c r="S1427" s="1">
        <v>66.66</v>
      </c>
      <c r="T1427" s="2" t="s">
        <v>289</v>
      </c>
      <c r="U1427" s="533">
        <v>1</v>
      </c>
      <c r="V1427" s="533"/>
      <c r="W1427" s="533">
        <v>2</v>
      </c>
      <c r="X1427" s="533"/>
    </row>
    <row r="1428" spans="1:24" ht="0.75" customHeight="1" x14ac:dyDescent="0.2"/>
    <row r="1429" spans="1:24" ht="13.5" customHeight="1" x14ac:dyDescent="0.2">
      <c r="A1429" s="530" t="s">
        <v>1277</v>
      </c>
      <c r="B1429" s="530"/>
      <c r="C1429" s="531" t="s">
        <v>1278</v>
      </c>
      <c r="D1429" s="531"/>
      <c r="E1429" s="531"/>
      <c r="F1429" s="531"/>
      <c r="G1429" s="531"/>
      <c r="I1429" s="532">
        <v>41061</v>
      </c>
      <c r="J1429" s="532"/>
      <c r="K1429" s="533">
        <v>2090.4</v>
      </c>
      <c r="L1429" s="533"/>
      <c r="M1429" s="533">
        <v>2.4</v>
      </c>
      <c r="N1429" s="533"/>
      <c r="O1429" s="533">
        <v>0</v>
      </c>
      <c r="P1429" s="533"/>
      <c r="Q1429" s="533">
        <v>0</v>
      </c>
      <c r="R1429" s="533"/>
      <c r="S1429" s="1">
        <v>66.66</v>
      </c>
      <c r="T1429" s="2" t="s">
        <v>289</v>
      </c>
      <c r="U1429" s="533">
        <v>1</v>
      </c>
      <c r="V1429" s="533"/>
      <c r="W1429" s="533">
        <v>1.4000000000000001</v>
      </c>
      <c r="X1429" s="533"/>
    </row>
    <row r="1430" spans="1:24" ht="0.75" customHeight="1" x14ac:dyDescent="0.2"/>
    <row r="1431" spans="1:24" ht="13.5" customHeight="1" x14ac:dyDescent="0.2">
      <c r="A1431" s="530" t="s">
        <v>1279</v>
      </c>
      <c r="B1431" s="530"/>
      <c r="C1431" s="531" t="s">
        <v>1280</v>
      </c>
      <c r="D1431" s="531"/>
      <c r="E1431" s="531"/>
      <c r="F1431" s="531"/>
      <c r="G1431" s="531"/>
      <c r="I1431" s="532">
        <v>41078</v>
      </c>
      <c r="J1431" s="532"/>
      <c r="K1431" s="533">
        <v>780</v>
      </c>
      <c r="L1431" s="533"/>
      <c r="M1431" s="533">
        <v>1</v>
      </c>
      <c r="N1431" s="533"/>
      <c r="O1431" s="533">
        <v>0</v>
      </c>
      <c r="P1431" s="533"/>
      <c r="Q1431" s="533">
        <v>0</v>
      </c>
      <c r="R1431" s="533"/>
      <c r="S1431" s="1">
        <v>66.66</v>
      </c>
      <c r="T1431" s="2" t="s">
        <v>289</v>
      </c>
      <c r="U1431" s="533">
        <v>1</v>
      </c>
      <c r="V1431" s="533"/>
      <c r="W1431" s="533">
        <v>0</v>
      </c>
      <c r="X1431" s="533"/>
    </row>
    <row r="1432" spans="1:24" ht="0.75" customHeight="1" x14ac:dyDescent="0.2"/>
    <row r="1433" spans="1:24" ht="13.5" customHeight="1" x14ac:dyDescent="0.2">
      <c r="A1433" s="530" t="s">
        <v>1281</v>
      </c>
      <c r="B1433" s="530"/>
      <c r="C1433" s="531" t="s">
        <v>1282</v>
      </c>
      <c r="D1433" s="531"/>
      <c r="E1433" s="531"/>
      <c r="F1433" s="531"/>
      <c r="G1433" s="531"/>
      <c r="I1433" s="532">
        <v>41088</v>
      </c>
      <c r="J1433" s="532"/>
      <c r="K1433" s="533">
        <v>1301</v>
      </c>
      <c r="L1433" s="533"/>
      <c r="M1433" s="533">
        <v>1.5323</v>
      </c>
      <c r="N1433" s="533"/>
      <c r="O1433" s="533">
        <v>0</v>
      </c>
      <c r="P1433" s="533"/>
      <c r="Q1433" s="533">
        <v>0</v>
      </c>
      <c r="R1433" s="533"/>
      <c r="S1433" s="1">
        <v>66.66</v>
      </c>
      <c r="T1433" s="2" t="s">
        <v>289</v>
      </c>
      <c r="U1433" s="533">
        <v>1.5323</v>
      </c>
      <c r="V1433" s="533"/>
      <c r="W1433" s="533">
        <v>0</v>
      </c>
      <c r="X1433" s="533"/>
    </row>
    <row r="1434" spans="1:24" ht="0.75" customHeight="1" x14ac:dyDescent="0.2"/>
    <row r="1435" spans="1:24" ht="13.5" customHeight="1" x14ac:dyDescent="0.2">
      <c r="A1435" s="530" t="s">
        <v>1283</v>
      </c>
      <c r="B1435" s="530"/>
      <c r="C1435" s="531" t="s">
        <v>1280</v>
      </c>
      <c r="D1435" s="531"/>
      <c r="E1435" s="531"/>
      <c r="F1435" s="531"/>
      <c r="G1435" s="531"/>
      <c r="I1435" s="532">
        <v>41088</v>
      </c>
      <c r="J1435" s="532"/>
      <c r="K1435" s="533">
        <v>626.36</v>
      </c>
      <c r="L1435" s="533"/>
      <c r="M1435" s="533">
        <v>0.73770000000000002</v>
      </c>
      <c r="N1435" s="533"/>
      <c r="O1435" s="533">
        <v>0</v>
      </c>
      <c r="P1435" s="533"/>
      <c r="Q1435" s="533">
        <v>2000</v>
      </c>
      <c r="R1435" s="533"/>
      <c r="S1435" s="1">
        <v>66.66</v>
      </c>
      <c r="T1435" s="2" t="s">
        <v>289</v>
      </c>
      <c r="U1435" s="533">
        <v>0.73770000000000002</v>
      </c>
      <c r="V1435" s="533"/>
      <c r="W1435" s="533">
        <v>0</v>
      </c>
      <c r="X1435" s="533"/>
    </row>
    <row r="1436" spans="1:24" ht="13.5" customHeight="1" x14ac:dyDescent="0.2">
      <c r="I1436" s="537">
        <v>43412</v>
      </c>
      <c r="J1436" s="537"/>
      <c r="N1436" s="533">
        <v>-2000</v>
      </c>
      <c r="O1436" s="533"/>
    </row>
    <row r="1437" spans="1:24" ht="0.75" customHeight="1" x14ac:dyDescent="0.2"/>
    <row r="1438" spans="1:24" ht="13.5" customHeight="1" x14ac:dyDescent="0.2">
      <c r="A1438" s="530" t="s">
        <v>1284</v>
      </c>
      <c r="B1438" s="530"/>
      <c r="C1438" s="531" t="s">
        <v>1227</v>
      </c>
      <c r="D1438" s="531"/>
      <c r="E1438" s="531"/>
      <c r="F1438" s="531"/>
      <c r="G1438" s="531"/>
      <c r="I1438" s="532">
        <v>38814</v>
      </c>
      <c r="J1438" s="532"/>
      <c r="K1438" s="533">
        <v>2467.9</v>
      </c>
      <c r="L1438" s="533"/>
      <c r="M1438" s="533">
        <v>16.899999999999999</v>
      </c>
      <c r="N1438" s="533"/>
      <c r="O1438" s="533">
        <v>0</v>
      </c>
      <c r="P1438" s="533"/>
      <c r="Q1438" s="533">
        <v>0</v>
      </c>
      <c r="R1438" s="533"/>
      <c r="S1438" s="1">
        <v>33.33</v>
      </c>
      <c r="T1438" s="2" t="s">
        <v>289</v>
      </c>
      <c r="U1438" s="533">
        <v>2</v>
      </c>
      <c r="V1438" s="533"/>
      <c r="W1438" s="533">
        <v>14.9</v>
      </c>
      <c r="X1438" s="533"/>
    </row>
    <row r="1439" spans="1:24" ht="0.75" customHeight="1" x14ac:dyDescent="0.2"/>
    <row r="1440" spans="1:24" ht="13.5" customHeight="1" x14ac:dyDescent="0.2">
      <c r="A1440" s="530" t="s">
        <v>1285</v>
      </c>
      <c r="B1440" s="530"/>
      <c r="C1440" s="531" t="s">
        <v>1286</v>
      </c>
      <c r="D1440" s="531"/>
      <c r="E1440" s="531"/>
      <c r="F1440" s="531"/>
      <c r="G1440" s="531"/>
      <c r="I1440" s="532">
        <v>38814</v>
      </c>
      <c r="J1440" s="532"/>
      <c r="K1440" s="533">
        <v>3701.85</v>
      </c>
      <c r="L1440" s="533"/>
      <c r="M1440" s="533">
        <v>25.85</v>
      </c>
      <c r="N1440" s="533"/>
      <c r="O1440" s="533">
        <v>0</v>
      </c>
      <c r="P1440" s="533"/>
      <c r="Q1440" s="533">
        <v>0</v>
      </c>
      <c r="R1440" s="533"/>
      <c r="S1440" s="1">
        <v>33.33</v>
      </c>
      <c r="T1440" s="2" t="s">
        <v>289</v>
      </c>
      <c r="U1440" s="533">
        <v>4</v>
      </c>
      <c r="V1440" s="533"/>
      <c r="W1440" s="533">
        <v>21.85</v>
      </c>
      <c r="X1440" s="533"/>
    </row>
    <row r="1441" spans="1:24" ht="0.75" customHeight="1" x14ac:dyDescent="0.2"/>
    <row r="1442" spans="1:24" ht="13.5" customHeight="1" x14ac:dyDescent="0.2">
      <c r="A1442" s="530" t="s">
        <v>1287</v>
      </c>
      <c r="B1442" s="530"/>
      <c r="C1442" s="531" t="s">
        <v>1227</v>
      </c>
      <c r="D1442" s="531"/>
      <c r="E1442" s="531"/>
      <c r="F1442" s="531"/>
      <c r="G1442" s="531"/>
      <c r="I1442" s="532">
        <v>38831</v>
      </c>
      <c r="J1442" s="532"/>
      <c r="K1442" s="533">
        <v>1460</v>
      </c>
      <c r="L1442" s="533"/>
      <c r="M1442" s="533">
        <v>11</v>
      </c>
      <c r="N1442" s="533"/>
      <c r="O1442" s="533">
        <v>0</v>
      </c>
      <c r="P1442" s="533"/>
      <c r="Q1442" s="533">
        <v>0</v>
      </c>
      <c r="R1442" s="533"/>
      <c r="S1442" s="1">
        <v>33.33</v>
      </c>
      <c r="T1442" s="2" t="s">
        <v>289</v>
      </c>
      <c r="U1442" s="533">
        <v>2</v>
      </c>
      <c r="V1442" s="533"/>
      <c r="W1442" s="533">
        <v>9</v>
      </c>
      <c r="X1442" s="533"/>
    </row>
    <row r="1443" spans="1:24" ht="0.75" customHeight="1" x14ac:dyDescent="0.2"/>
    <row r="1444" spans="1:24" ht="13.5" customHeight="1" x14ac:dyDescent="0.2">
      <c r="A1444" s="530" t="s">
        <v>1288</v>
      </c>
      <c r="B1444" s="530"/>
      <c r="C1444" s="531" t="s">
        <v>1289</v>
      </c>
      <c r="D1444" s="531"/>
      <c r="E1444" s="531"/>
      <c r="F1444" s="531"/>
      <c r="G1444" s="531"/>
      <c r="I1444" s="532">
        <v>38838</v>
      </c>
      <c r="J1444" s="532"/>
      <c r="K1444" s="533">
        <v>1500</v>
      </c>
      <c r="L1444" s="533"/>
      <c r="M1444" s="533">
        <v>11</v>
      </c>
      <c r="N1444" s="533"/>
      <c r="O1444" s="533">
        <v>0</v>
      </c>
      <c r="P1444" s="533"/>
      <c r="Q1444" s="533">
        <v>0</v>
      </c>
      <c r="R1444" s="533"/>
      <c r="S1444" s="1">
        <v>33.33</v>
      </c>
      <c r="T1444" s="2" t="s">
        <v>289</v>
      </c>
      <c r="U1444" s="533">
        <v>2</v>
      </c>
      <c r="V1444" s="533"/>
      <c r="W1444" s="533">
        <v>9</v>
      </c>
      <c r="X1444" s="533"/>
    </row>
    <row r="1445" spans="1:24" ht="0.75" customHeight="1" x14ac:dyDescent="0.2"/>
    <row r="1446" spans="1:24" ht="13.5" customHeight="1" x14ac:dyDescent="0.2">
      <c r="A1446" s="530" t="s">
        <v>1290</v>
      </c>
      <c r="B1446" s="530"/>
      <c r="C1446" s="531" t="s">
        <v>1291</v>
      </c>
      <c r="D1446" s="531"/>
      <c r="E1446" s="531"/>
      <c r="F1446" s="531"/>
      <c r="G1446" s="531"/>
      <c r="I1446" s="532">
        <v>38960</v>
      </c>
      <c r="J1446" s="532"/>
      <c r="K1446" s="533">
        <v>4785</v>
      </c>
      <c r="L1446" s="533"/>
      <c r="M1446" s="533">
        <v>0</v>
      </c>
      <c r="N1446" s="533"/>
      <c r="O1446" s="533">
        <v>0</v>
      </c>
      <c r="P1446" s="533"/>
      <c r="Q1446" s="533">
        <v>0</v>
      </c>
      <c r="R1446" s="533"/>
      <c r="S1446" s="1">
        <v>66.67</v>
      </c>
      <c r="T1446" s="2" t="s">
        <v>289</v>
      </c>
      <c r="U1446" s="533">
        <v>0</v>
      </c>
      <c r="V1446" s="533"/>
      <c r="W1446" s="533">
        <v>0</v>
      </c>
      <c r="X1446" s="533"/>
    </row>
    <row r="1447" spans="1:24" ht="0.75" customHeight="1" x14ac:dyDescent="0.2"/>
    <row r="1448" spans="1:24" ht="13.5" customHeight="1" x14ac:dyDescent="0.2">
      <c r="A1448" s="530" t="s">
        <v>1292</v>
      </c>
      <c r="B1448" s="530"/>
      <c r="C1448" s="531" t="s">
        <v>1293</v>
      </c>
      <c r="D1448" s="531"/>
      <c r="E1448" s="531"/>
      <c r="F1448" s="531"/>
      <c r="G1448" s="531"/>
      <c r="I1448" s="532">
        <v>38967</v>
      </c>
      <c r="J1448" s="532"/>
      <c r="K1448" s="533">
        <v>1500</v>
      </c>
      <c r="L1448" s="533"/>
      <c r="M1448" s="533">
        <v>0</v>
      </c>
      <c r="N1448" s="533"/>
      <c r="O1448" s="533">
        <v>0</v>
      </c>
      <c r="P1448" s="533"/>
      <c r="Q1448" s="533">
        <v>0</v>
      </c>
      <c r="R1448" s="533"/>
      <c r="S1448" s="1">
        <v>66.67</v>
      </c>
      <c r="T1448" s="2" t="s">
        <v>289</v>
      </c>
      <c r="U1448" s="533">
        <v>0</v>
      </c>
      <c r="V1448" s="533"/>
      <c r="W1448" s="533">
        <v>0</v>
      </c>
      <c r="X1448" s="533"/>
    </row>
    <row r="1449" spans="1:24" ht="0.75" customHeight="1" x14ac:dyDescent="0.2"/>
    <row r="1450" spans="1:24" ht="13.5" customHeight="1" x14ac:dyDescent="0.2">
      <c r="A1450" s="530" t="s">
        <v>1294</v>
      </c>
      <c r="B1450" s="530"/>
      <c r="C1450" s="531" t="s">
        <v>1295</v>
      </c>
      <c r="D1450" s="531"/>
      <c r="E1450" s="531"/>
      <c r="F1450" s="531"/>
      <c r="G1450" s="531"/>
      <c r="I1450" s="532">
        <v>39000</v>
      </c>
      <c r="J1450" s="532"/>
      <c r="K1450" s="533">
        <v>3181.82</v>
      </c>
      <c r="L1450" s="533"/>
      <c r="M1450" s="533">
        <v>0</v>
      </c>
      <c r="N1450" s="533"/>
      <c r="O1450" s="533">
        <v>0</v>
      </c>
      <c r="P1450" s="533"/>
      <c r="Q1450" s="533">
        <v>0</v>
      </c>
      <c r="R1450" s="533"/>
      <c r="S1450" s="1">
        <v>66.67</v>
      </c>
      <c r="T1450" s="2" t="s">
        <v>289</v>
      </c>
      <c r="U1450" s="533">
        <v>0</v>
      </c>
      <c r="V1450" s="533"/>
      <c r="W1450" s="533">
        <v>0</v>
      </c>
      <c r="X1450" s="533"/>
    </row>
    <row r="1451" spans="1:24" ht="0.75" customHeight="1" x14ac:dyDescent="0.2"/>
    <row r="1452" spans="1:24" ht="13.5" customHeight="1" x14ac:dyDescent="0.2">
      <c r="A1452" s="530" t="s">
        <v>1296</v>
      </c>
      <c r="B1452" s="530"/>
      <c r="C1452" s="531" t="s">
        <v>1297</v>
      </c>
      <c r="D1452" s="531"/>
      <c r="E1452" s="531"/>
      <c r="F1452" s="531"/>
      <c r="G1452" s="531"/>
      <c r="I1452" s="532">
        <v>39079</v>
      </c>
      <c r="J1452" s="532"/>
      <c r="K1452" s="533">
        <v>1425</v>
      </c>
      <c r="L1452" s="533"/>
      <c r="M1452" s="533">
        <v>0</v>
      </c>
      <c r="N1452" s="533"/>
      <c r="O1452" s="533">
        <v>0</v>
      </c>
      <c r="P1452" s="533"/>
      <c r="Q1452" s="533">
        <v>0</v>
      </c>
      <c r="R1452" s="533"/>
      <c r="S1452" s="1">
        <v>66.67</v>
      </c>
      <c r="T1452" s="2" t="s">
        <v>289</v>
      </c>
      <c r="U1452" s="533">
        <v>0</v>
      </c>
      <c r="V1452" s="533"/>
      <c r="W1452" s="533">
        <v>0</v>
      </c>
      <c r="X1452" s="533"/>
    </row>
    <row r="1453" spans="1:24" ht="0.75" customHeight="1" x14ac:dyDescent="0.2"/>
    <row r="1454" spans="1:24" ht="13.5" customHeight="1" x14ac:dyDescent="0.2">
      <c r="A1454" s="530" t="s">
        <v>1298</v>
      </c>
      <c r="B1454" s="530"/>
      <c r="C1454" s="531" t="s">
        <v>1299</v>
      </c>
      <c r="D1454" s="531"/>
      <c r="E1454" s="531"/>
      <c r="F1454" s="531"/>
      <c r="G1454" s="531"/>
      <c r="I1454" s="532">
        <v>41095</v>
      </c>
      <c r="J1454" s="532"/>
      <c r="K1454" s="533">
        <v>2460</v>
      </c>
      <c r="L1454" s="533"/>
      <c r="M1454" s="533">
        <v>38</v>
      </c>
      <c r="N1454" s="533"/>
      <c r="O1454" s="533">
        <v>0</v>
      </c>
      <c r="P1454" s="533"/>
      <c r="Q1454" s="533">
        <v>0</v>
      </c>
      <c r="R1454" s="533"/>
      <c r="S1454" s="1">
        <v>50</v>
      </c>
      <c r="T1454" s="2" t="s">
        <v>289</v>
      </c>
      <c r="U1454" s="533">
        <v>8</v>
      </c>
      <c r="V1454" s="533"/>
      <c r="W1454" s="533">
        <v>30</v>
      </c>
      <c r="X1454" s="533"/>
    </row>
    <row r="1455" spans="1:24" ht="0.75" customHeight="1" x14ac:dyDescent="0.2"/>
    <row r="1456" spans="1:24" ht="13.5" customHeight="1" x14ac:dyDescent="0.2">
      <c r="A1456" s="530" t="s">
        <v>1300</v>
      </c>
      <c r="B1456" s="530"/>
      <c r="C1456" s="531" t="s">
        <v>1301</v>
      </c>
      <c r="D1456" s="531"/>
      <c r="E1456" s="531"/>
      <c r="F1456" s="531"/>
      <c r="G1456" s="531"/>
      <c r="I1456" s="532">
        <v>39141</v>
      </c>
      <c r="J1456" s="532"/>
      <c r="K1456" s="533">
        <v>6118.52</v>
      </c>
      <c r="L1456" s="533"/>
      <c r="M1456" s="533">
        <v>0</v>
      </c>
      <c r="N1456" s="533"/>
      <c r="O1456" s="533">
        <v>0</v>
      </c>
      <c r="P1456" s="533"/>
      <c r="Q1456" s="533">
        <v>0</v>
      </c>
      <c r="R1456" s="533"/>
      <c r="S1456" s="1">
        <v>66.67</v>
      </c>
      <c r="T1456" s="2" t="s">
        <v>289</v>
      </c>
      <c r="U1456" s="533">
        <v>0</v>
      </c>
      <c r="V1456" s="533"/>
      <c r="W1456" s="533">
        <v>0</v>
      </c>
      <c r="X1456" s="533"/>
    </row>
    <row r="1457" spans="1:24" ht="0.75" customHeight="1" x14ac:dyDescent="0.2"/>
    <row r="1458" spans="1:24" ht="13.5" customHeight="1" x14ac:dyDescent="0.2">
      <c r="A1458" s="530" t="s">
        <v>1302</v>
      </c>
      <c r="B1458" s="530"/>
      <c r="C1458" s="531" t="s">
        <v>1303</v>
      </c>
      <c r="D1458" s="531"/>
      <c r="E1458" s="531"/>
      <c r="F1458" s="531"/>
      <c r="G1458" s="531"/>
      <c r="I1458" s="532">
        <v>41234</v>
      </c>
      <c r="J1458" s="532"/>
      <c r="K1458" s="533">
        <v>7450</v>
      </c>
      <c r="L1458" s="533"/>
      <c r="M1458" s="533">
        <v>54.86</v>
      </c>
      <c r="N1458" s="533"/>
      <c r="O1458" s="533">
        <v>0</v>
      </c>
      <c r="P1458" s="533"/>
      <c r="Q1458" s="533">
        <v>0</v>
      </c>
      <c r="R1458" s="533"/>
      <c r="S1458" s="1">
        <v>50</v>
      </c>
      <c r="T1458" s="2" t="s">
        <v>289</v>
      </c>
      <c r="U1458" s="533">
        <v>11</v>
      </c>
      <c r="V1458" s="533"/>
      <c r="W1458" s="533">
        <v>43.86</v>
      </c>
      <c r="X1458" s="533"/>
    </row>
    <row r="1459" spans="1:24" ht="0.75" customHeight="1" x14ac:dyDescent="0.2"/>
    <row r="1460" spans="1:24" ht="13.5" customHeight="1" x14ac:dyDescent="0.2">
      <c r="A1460" s="530" t="s">
        <v>1304</v>
      </c>
      <c r="B1460" s="530"/>
      <c r="C1460" s="531" t="s">
        <v>1305</v>
      </c>
      <c r="D1460" s="531"/>
      <c r="E1460" s="531"/>
      <c r="F1460" s="531"/>
      <c r="G1460" s="531"/>
      <c r="I1460" s="532">
        <v>41318</v>
      </c>
      <c r="J1460" s="532"/>
      <c r="K1460" s="533">
        <v>4926.17</v>
      </c>
      <c r="L1460" s="533"/>
      <c r="M1460" s="533">
        <v>124.17</v>
      </c>
      <c r="N1460" s="533"/>
      <c r="O1460" s="533">
        <v>0</v>
      </c>
      <c r="P1460" s="533"/>
      <c r="Q1460" s="533">
        <v>0</v>
      </c>
      <c r="R1460" s="533"/>
      <c r="S1460" s="1">
        <v>50</v>
      </c>
      <c r="T1460" s="2" t="s">
        <v>289</v>
      </c>
      <c r="U1460" s="533">
        <v>26</v>
      </c>
      <c r="V1460" s="533"/>
      <c r="W1460" s="533">
        <v>98.17</v>
      </c>
      <c r="X1460" s="533"/>
    </row>
    <row r="1461" spans="1:24" ht="0.75" customHeight="1" x14ac:dyDescent="0.2"/>
    <row r="1462" spans="1:24" ht="13.5" customHeight="1" x14ac:dyDescent="0.2">
      <c r="A1462" s="530" t="s">
        <v>1306</v>
      </c>
      <c r="B1462" s="530"/>
      <c r="C1462" s="531" t="s">
        <v>1307</v>
      </c>
      <c r="D1462" s="531"/>
      <c r="E1462" s="531"/>
      <c r="F1462" s="531"/>
      <c r="G1462" s="531"/>
      <c r="I1462" s="532">
        <v>41322</v>
      </c>
      <c r="J1462" s="532"/>
      <c r="K1462" s="533">
        <v>23975.08</v>
      </c>
      <c r="L1462" s="533"/>
      <c r="M1462" s="533">
        <v>611.08000000000004</v>
      </c>
      <c r="N1462" s="533"/>
      <c r="O1462" s="533">
        <v>0</v>
      </c>
      <c r="P1462" s="533"/>
      <c r="Q1462" s="533">
        <v>0</v>
      </c>
      <c r="R1462" s="533"/>
      <c r="S1462" s="1">
        <v>50</v>
      </c>
      <c r="T1462" s="2" t="s">
        <v>289</v>
      </c>
      <c r="U1462" s="533">
        <v>128</v>
      </c>
      <c r="V1462" s="533"/>
      <c r="W1462" s="533">
        <v>483.08</v>
      </c>
      <c r="X1462" s="533"/>
    </row>
    <row r="1463" spans="1:24" ht="0.75" customHeight="1" x14ac:dyDescent="0.2"/>
    <row r="1464" spans="1:24" ht="13.5" customHeight="1" x14ac:dyDescent="0.2">
      <c r="A1464" s="530" t="s">
        <v>1308</v>
      </c>
      <c r="B1464" s="530"/>
      <c r="C1464" s="531" t="s">
        <v>1309</v>
      </c>
      <c r="D1464" s="531"/>
      <c r="E1464" s="531"/>
      <c r="F1464" s="531"/>
      <c r="G1464" s="531"/>
      <c r="I1464" s="532">
        <v>41351</v>
      </c>
      <c r="J1464" s="532"/>
      <c r="K1464" s="533">
        <v>6859.2</v>
      </c>
      <c r="L1464" s="533"/>
      <c r="M1464" s="533">
        <v>183.20000000000002</v>
      </c>
      <c r="N1464" s="533"/>
      <c r="O1464" s="533">
        <v>0</v>
      </c>
      <c r="P1464" s="533"/>
      <c r="Q1464" s="533">
        <v>0</v>
      </c>
      <c r="R1464" s="533"/>
      <c r="S1464" s="1">
        <v>50</v>
      </c>
      <c r="T1464" s="2" t="s">
        <v>289</v>
      </c>
      <c r="U1464" s="533">
        <v>38</v>
      </c>
      <c r="V1464" s="533"/>
      <c r="W1464" s="533">
        <v>145.20000000000002</v>
      </c>
      <c r="X1464" s="533"/>
    </row>
    <row r="1465" spans="1:24" ht="0.75" customHeight="1" x14ac:dyDescent="0.2"/>
    <row r="1466" spans="1:24" ht="13.5" customHeight="1" x14ac:dyDescent="0.2">
      <c r="A1466" s="530" t="s">
        <v>1310</v>
      </c>
      <c r="B1466" s="530"/>
      <c r="C1466" s="531" t="s">
        <v>1311</v>
      </c>
      <c r="D1466" s="531"/>
      <c r="E1466" s="531"/>
      <c r="F1466" s="531"/>
      <c r="G1466" s="531"/>
      <c r="I1466" s="532">
        <v>41351</v>
      </c>
      <c r="J1466" s="532"/>
      <c r="K1466" s="533">
        <v>5115.9000000000005</v>
      </c>
      <c r="L1466" s="533"/>
      <c r="M1466" s="533">
        <v>136.9</v>
      </c>
      <c r="N1466" s="533"/>
      <c r="O1466" s="533">
        <v>0</v>
      </c>
      <c r="P1466" s="533"/>
      <c r="Q1466" s="533">
        <v>0</v>
      </c>
      <c r="R1466" s="533"/>
      <c r="S1466" s="1">
        <v>50</v>
      </c>
      <c r="T1466" s="2" t="s">
        <v>289</v>
      </c>
      <c r="U1466" s="533">
        <v>29</v>
      </c>
      <c r="V1466" s="533"/>
      <c r="W1466" s="533">
        <v>107.9</v>
      </c>
      <c r="X1466" s="533"/>
    </row>
    <row r="1467" spans="1:24" ht="0.75" customHeight="1" x14ac:dyDescent="0.2"/>
    <row r="1468" spans="1:24" ht="13.5" customHeight="1" x14ac:dyDescent="0.2">
      <c r="A1468" s="530" t="s">
        <v>1312</v>
      </c>
      <c r="B1468" s="530"/>
      <c r="C1468" s="531" t="s">
        <v>1313</v>
      </c>
      <c r="D1468" s="531"/>
      <c r="E1468" s="531"/>
      <c r="F1468" s="531"/>
      <c r="G1468" s="531"/>
      <c r="I1468" s="532">
        <v>41375</v>
      </c>
      <c r="J1468" s="532"/>
      <c r="K1468" s="533">
        <v>1590</v>
      </c>
      <c r="L1468" s="533"/>
      <c r="M1468" s="533">
        <v>44</v>
      </c>
      <c r="N1468" s="533"/>
      <c r="O1468" s="533">
        <v>0</v>
      </c>
      <c r="P1468" s="533"/>
      <c r="Q1468" s="533">
        <v>0</v>
      </c>
      <c r="R1468" s="533"/>
      <c r="S1468" s="1">
        <v>50</v>
      </c>
      <c r="T1468" s="2" t="s">
        <v>289</v>
      </c>
      <c r="U1468" s="533">
        <v>9</v>
      </c>
      <c r="V1468" s="533"/>
      <c r="W1468" s="533">
        <v>35</v>
      </c>
      <c r="X1468" s="533"/>
    </row>
    <row r="1469" spans="1:24" ht="15" customHeight="1" x14ac:dyDescent="0.2">
      <c r="A1469" s="534" t="s">
        <v>1141</v>
      </c>
      <c r="B1469" s="534"/>
      <c r="D1469" s="534" t="s">
        <v>1142</v>
      </c>
      <c r="E1469" s="534"/>
      <c r="F1469" s="534"/>
      <c r="G1469" s="534"/>
      <c r="H1469" s="534"/>
      <c r="I1469" s="534"/>
      <c r="J1469" s="534"/>
      <c r="K1469" s="534"/>
      <c r="L1469" s="534"/>
      <c r="M1469" s="534"/>
      <c r="N1469" s="534"/>
      <c r="O1469" s="534"/>
      <c r="P1469" s="534"/>
      <c r="Q1469" s="534"/>
      <c r="R1469" s="534"/>
      <c r="S1469" s="534"/>
      <c r="T1469" s="534"/>
      <c r="U1469" s="534"/>
      <c r="V1469" s="534"/>
    </row>
    <row r="1470" spans="1:24" ht="0.75" customHeight="1" x14ac:dyDescent="0.2"/>
    <row r="1471" spans="1:24" ht="13.5" customHeight="1" x14ac:dyDescent="0.2">
      <c r="A1471" s="530" t="s">
        <v>1314</v>
      </c>
      <c r="B1471" s="530"/>
      <c r="C1471" s="531" t="s">
        <v>1315</v>
      </c>
      <c r="D1471" s="531"/>
      <c r="E1471" s="531"/>
      <c r="F1471" s="531"/>
      <c r="G1471" s="531"/>
      <c r="I1471" s="532">
        <v>41436</v>
      </c>
      <c r="J1471" s="532"/>
      <c r="K1471" s="533">
        <v>7724.46</v>
      </c>
      <c r="L1471" s="533"/>
      <c r="M1471" s="533">
        <v>234.46</v>
      </c>
      <c r="N1471" s="533"/>
      <c r="O1471" s="533">
        <v>0</v>
      </c>
      <c r="P1471" s="533"/>
      <c r="Q1471" s="533">
        <v>0</v>
      </c>
      <c r="R1471" s="533"/>
      <c r="S1471" s="1">
        <v>50</v>
      </c>
      <c r="T1471" s="2" t="s">
        <v>289</v>
      </c>
      <c r="U1471" s="533">
        <v>49</v>
      </c>
      <c r="V1471" s="533"/>
      <c r="W1471" s="533">
        <v>185.46</v>
      </c>
      <c r="X1471" s="533"/>
    </row>
    <row r="1472" spans="1:24" ht="0.75" customHeight="1" x14ac:dyDescent="0.2"/>
    <row r="1473" spans="1:24" ht="13.5" customHeight="1" x14ac:dyDescent="0.2">
      <c r="A1473" s="530" t="s">
        <v>1316</v>
      </c>
      <c r="B1473" s="530"/>
      <c r="C1473" s="531" t="s">
        <v>1317</v>
      </c>
      <c r="D1473" s="531"/>
      <c r="E1473" s="531"/>
      <c r="F1473" s="531"/>
      <c r="G1473" s="531"/>
      <c r="I1473" s="532">
        <v>39202</v>
      </c>
      <c r="J1473" s="532"/>
      <c r="K1473" s="533">
        <v>2406</v>
      </c>
      <c r="L1473" s="533"/>
      <c r="M1473" s="533">
        <v>0</v>
      </c>
      <c r="N1473" s="533"/>
      <c r="O1473" s="533">
        <v>0</v>
      </c>
      <c r="P1473" s="533"/>
      <c r="Q1473" s="533">
        <v>0</v>
      </c>
      <c r="R1473" s="533"/>
      <c r="S1473" s="1">
        <v>66.67</v>
      </c>
      <c r="T1473" s="2" t="s">
        <v>289</v>
      </c>
      <c r="U1473" s="533">
        <v>0</v>
      </c>
      <c r="V1473" s="533"/>
      <c r="W1473" s="533">
        <v>0</v>
      </c>
      <c r="X1473" s="533"/>
    </row>
    <row r="1474" spans="1:24" ht="0.75" customHeight="1" x14ac:dyDescent="0.2"/>
    <row r="1475" spans="1:24" ht="13.5" customHeight="1" x14ac:dyDescent="0.2">
      <c r="A1475" s="530" t="s">
        <v>1318</v>
      </c>
      <c r="B1475" s="530"/>
      <c r="C1475" s="531" t="s">
        <v>1319</v>
      </c>
      <c r="D1475" s="531"/>
      <c r="E1475" s="531"/>
      <c r="F1475" s="531"/>
      <c r="G1475" s="531"/>
      <c r="I1475" s="532">
        <v>39217</v>
      </c>
      <c r="J1475" s="532"/>
      <c r="K1475" s="533">
        <v>20370.14</v>
      </c>
      <c r="L1475" s="533"/>
      <c r="M1475" s="533">
        <v>0</v>
      </c>
      <c r="N1475" s="533"/>
      <c r="O1475" s="533">
        <v>0</v>
      </c>
      <c r="P1475" s="533"/>
      <c r="Q1475" s="533">
        <v>0</v>
      </c>
      <c r="R1475" s="533"/>
      <c r="S1475" s="1">
        <v>66.67</v>
      </c>
      <c r="T1475" s="2" t="s">
        <v>289</v>
      </c>
      <c r="U1475" s="533">
        <v>0</v>
      </c>
      <c r="V1475" s="533"/>
      <c r="W1475" s="533">
        <v>0</v>
      </c>
      <c r="X1475" s="533"/>
    </row>
    <row r="1476" spans="1:24" ht="0.75" customHeight="1" x14ac:dyDescent="0.2"/>
    <row r="1477" spans="1:24" ht="13.5" customHeight="1" x14ac:dyDescent="0.2">
      <c r="A1477" s="530" t="s">
        <v>1320</v>
      </c>
      <c r="B1477" s="530"/>
      <c r="C1477" s="525" t="s">
        <v>1321</v>
      </c>
      <c r="D1477" s="525"/>
      <c r="E1477" s="525"/>
      <c r="F1477" s="525"/>
      <c r="G1477" s="525"/>
      <c r="I1477" s="532">
        <v>41654</v>
      </c>
      <c r="J1477" s="532"/>
      <c r="K1477" s="533">
        <v>1331.94</v>
      </c>
      <c r="L1477" s="533"/>
      <c r="M1477" s="533">
        <v>64.94</v>
      </c>
      <c r="N1477" s="533"/>
      <c r="O1477" s="533">
        <v>0</v>
      </c>
      <c r="P1477" s="533"/>
      <c r="Q1477" s="533">
        <v>0</v>
      </c>
      <c r="R1477" s="533"/>
      <c r="S1477" s="1">
        <v>50</v>
      </c>
      <c r="T1477" s="2" t="s">
        <v>289</v>
      </c>
      <c r="U1477" s="533">
        <v>14</v>
      </c>
      <c r="V1477" s="533"/>
      <c r="W1477" s="533">
        <v>50.94</v>
      </c>
      <c r="X1477" s="533"/>
    </row>
    <row r="1478" spans="1:24" ht="12" customHeight="1" x14ac:dyDescent="0.2">
      <c r="C1478" s="525"/>
      <c r="D1478" s="525"/>
      <c r="E1478" s="525"/>
      <c r="F1478" s="525"/>
      <c r="G1478" s="525"/>
    </row>
    <row r="1479" spans="1:24" ht="13.5" customHeight="1" x14ac:dyDescent="0.2">
      <c r="A1479" s="530" t="s">
        <v>1322</v>
      </c>
      <c r="B1479" s="530"/>
      <c r="C1479" s="525" t="s">
        <v>1323</v>
      </c>
      <c r="D1479" s="525"/>
      <c r="E1479" s="525"/>
      <c r="F1479" s="525"/>
      <c r="G1479" s="525"/>
      <c r="I1479" s="532">
        <v>41670</v>
      </c>
      <c r="J1479" s="532"/>
      <c r="K1479" s="533">
        <v>1245.1000000000001</v>
      </c>
      <c r="L1479" s="533"/>
      <c r="M1479" s="533">
        <v>61.1</v>
      </c>
      <c r="N1479" s="533"/>
      <c r="O1479" s="533">
        <v>0</v>
      </c>
      <c r="P1479" s="533"/>
      <c r="Q1479" s="533">
        <v>0</v>
      </c>
      <c r="R1479" s="533"/>
      <c r="S1479" s="1">
        <v>50</v>
      </c>
      <c r="T1479" s="2" t="s">
        <v>289</v>
      </c>
      <c r="U1479" s="533">
        <v>13</v>
      </c>
      <c r="V1479" s="533"/>
      <c r="W1479" s="533">
        <v>48.1</v>
      </c>
      <c r="X1479" s="533"/>
    </row>
    <row r="1480" spans="1:24" ht="12" customHeight="1" x14ac:dyDescent="0.2">
      <c r="C1480" s="525"/>
      <c r="D1480" s="525"/>
      <c r="E1480" s="525"/>
      <c r="F1480" s="525"/>
      <c r="G1480" s="525"/>
    </row>
    <row r="1481" spans="1:24" ht="13.5" customHeight="1" x14ac:dyDescent="0.2">
      <c r="A1481" s="530" t="s">
        <v>1324</v>
      </c>
      <c r="B1481" s="530"/>
      <c r="C1481" s="525" t="s">
        <v>1325</v>
      </c>
      <c r="D1481" s="525"/>
      <c r="E1481" s="525"/>
      <c r="F1481" s="525"/>
      <c r="G1481" s="525"/>
      <c r="I1481" s="532">
        <v>41670</v>
      </c>
      <c r="J1481" s="532"/>
      <c r="K1481" s="533">
        <v>3261</v>
      </c>
      <c r="L1481" s="533"/>
      <c r="M1481" s="533">
        <v>161</v>
      </c>
      <c r="N1481" s="533"/>
      <c r="O1481" s="533">
        <v>0</v>
      </c>
      <c r="P1481" s="533"/>
      <c r="Q1481" s="533">
        <v>0</v>
      </c>
      <c r="R1481" s="533"/>
      <c r="S1481" s="1">
        <v>50</v>
      </c>
      <c r="T1481" s="2" t="s">
        <v>289</v>
      </c>
      <c r="U1481" s="533">
        <v>34</v>
      </c>
      <c r="V1481" s="533"/>
      <c r="W1481" s="533">
        <v>127</v>
      </c>
      <c r="X1481" s="533"/>
    </row>
    <row r="1482" spans="1:24" ht="12" customHeight="1" x14ac:dyDescent="0.2">
      <c r="C1482" s="525"/>
      <c r="D1482" s="525"/>
      <c r="E1482" s="525"/>
      <c r="F1482" s="525"/>
      <c r="G1482" s="525"/>
    </row>
    <row r="1483" spans="1:24" ht="13.5" customHeight="1" x14ac:dyDescent="0.2">
      <c r="A1483" s="530" t="s">
        <v>1326</v>
      </c>
      <c r="B1483" s="530"/>
      <c r="C1483" s="531" t="s">
        <v>1327</v>
      </c>
      <c r="D1483" s="531"/>
      <c r="E1483" s="531"/>
      <c r="F1483" s="531"/>
      <c r="G1483" s="531"/>
      <c r="I1483" s="532">
        <v>41675</v>
      </c>
      <c r="J1483" s="532"/>
      <c r="K1483" s="533">
        <v>5390</v>
      </c>
      <c r="L1483" s="533"/>
      <c r="M1483" s="533">
        <v>269</v>
      </c>
      <c r="N1483" s="533"/>
      <c r="O1483" s="533">
        <v>0</v>
      </c>
      <c r="P1483" s="533"/>
      <c r="Q1483" s="533">
        <v>0</v>
      </c>
      <c r="R1483" s="533"/>
      <c r="S1483" s="1">
        <v>50</v>
      </c>
      <c r="T1483" s="2" t="s">
        <v>289</v>
      </c>
      <c r="U1483" s="533">
        <v>56</v>
      </c>
      <c r="V1483" s="533"/>
      <c r="W1483" s="533">
        <v>213</v>
      </c>
      <c r="X1483" s="533"/>
    </row>
    <row r="1484" spans="1:24" ht="0.75" customHeight="1" x14ac:dyDescent="0.2"/>
    <row r="1485" spans="1:24" ht="13.5" customHeight="1" x14ac:dyDescent="0.2">
      <c r="A1485" s="530" t="s">
        <v>1328</v>
      </c>
      <c r="B1485" s="530"/>
      <c r="C1485" s="531" t="s">
        <v>1329</v>
      </c>
      <c r="D1485" s="531"/>
      <c r="E1485" s="531"/>
      <c r="F1485" s="531"/>
      <c r="G1485" s="531"/>
      <c r="I1485" s="532">
        <v>41676</v>
      </c>
      <c r="J1485" s="532"/>
      <c r="K1485" s="533">
        <v>9835</v>
      </c>
      <c r="L1485" s="533"/>
      <c r="M1485" s="533">
        <v>492</v>
      </c>
      <c r="N1485" s="533"/>
      <c r="O1485" s="533">
        <v>0</v>
      </c>
      <c r="P1485" s="533"/>
      <c r="Q1485" s="533">
        <v>0</v>
      </c>
      <c r="R1485" s="533"/>
      <c r="S1485" s="1">
        <v>50</v>
      </c>
      <c r="T1485" s="2" t="s">
        <v>289</v>
      </c>
      <c r="U1485" s="533">
        <v>103</v>
      </c>
      <c r="V1485" s="533"/>
      <c r="W1485" s="533">
        <v>389</v>
      </c>
      <c r="X1485" s="533"/>
    </row>
    <row r="1486" spans="1:24" ht="0.75" customHeight="1" x14ac:dyDescent="0.2"/>
    <row r="1487" spans="1:24" ht="13.5" customHeight="1" x14ac:dyDescent="0.2">
      <c r="A1487" s="530" t="s">
        <v>1330</v>
      </c>
      <c r="B1487" s="530"/>
      <c r="C1487" s="531" t="s">
        <v>1331</v>
      </c>
      <c r="D1487" s="531"/>
      <c r="E1487" s="531"/>
      <c r="F1487" s="531"/>
      <c r="G1487" s="531"/>
      <c r="I1487" s="532">
        <v>41676</v>
      </c>
      <c r="J1487" s="532"/>
      <c r="K1487" s="533">
        <v>4238</v>
      </c>
      <c r="L1487" s="533"/>
      <c r="M1487" s="533">
        <v>212</v>
      </c>
      <c r="N1487" s="533"/>
      <c r="O1487" s="533">
        <v>0</v>
      </c>
      <c r="P1487" s="533"/>
      <c r="Q1487" s="533">
        <v>0</v>
      </c>
      <c r="R1487" s="533"/>
      <c r="S1487" s="1">
        <v>50</v>
      </c>
      <c r="T1487" s="2" t="s">
        <v>289</v>
      </c>
      <c r="U1487" s="533">
        <v>44</v>
      </c>
      <c r="V1487" s="533"/>
      <c r="W1487" s="533">
        <v>168</v>
      </c>
      <c r="X1487" s="533"/>
    </row>
    <row r="1488" spans="1:24" ht="0.75" customHeight="1" x14ac:dyDescent="0.2"/>
    <row r="1489" spans="1:24" ht="13.5" customHeight="1" x14ac:dyDescent="0.2">
      <c r="A1489" s="530" t="s">
        <v>1332</v>
      </c>
      <c r="B1489" s="530"/>
      <c r="C1489" s="525" t="s">
        <v>1333</v>
      </c>
      <c r="D1489" s="525"/>
      <c r="E1489" s="525"/>
      <c r="F1489" s="525"/>
      <c r="G1489" s="525"/>
      <c r="I1489" s="532">
        <v>41684</v>
      </c>
      <c r="J1489" s="532"/>
      <c r="K1489" s="533">
        <v>4365</v>
      </c>
      <c r="L1489" s="533"/>
      <c r="M1489" s="533">
        <v>221</v>
      </c>
      <c r="N1489" s="533"/>
      <c r="O1489" s="533">
        <v>0</v>
      </c>
      <c r="P1489" s="533"/>
      <c r="Q1489" s="533">
        <v>0</v>
      </c>
      <c r="R1489" s="533"/>
      <c r="S1489" s="1">
        <v>50</v>
      </c>
      <c r="T1489" s="2" t="s">
        <v>289</v>
      </c>
      <c r="U1489" s="533">
        <v>46</v>
      </c>
      <c r="V1489" s="533"/>
      <c r="W1489" s="533">
        <v>175</v>
      </c>
      <c r="X1489" s="533"/>
    </row>
    <row r="1490" spans="1:24" ht="12" customHeight="1" x14ac:dyDescent="0.2">
      <c r="C1490" s="525"/>
      <c r="D1490" s="525"/>
      <c r="E1490" s="525"/>
      <c r="F1490" s="525"/>
      <c r="G1490" s="525"/>
    </row>
    <row r="1491" spans="1:24" ht="13.5" customHeight="1" x14ac:dyDescent="0.2">
      <c r="A1491" s="530" t="s">
        <v>1334</v>
      </c>
      <c r="B1491" s="530"/>
      <c r="C1491" s="525" t="s">
        <v>1335</v>
      </c>
      <c r="D1491" s="525"/>
      <c r="E1491" s="525"/>
      <c r="F1491" s="525"/>
      <c r="G1491" s="525"/>
      <c r="I1491" s="532">
        <v>41689</v>
      </c>
      <c r="J1491" s="532"/>
      <c r="K1491" s="533">
        <v>3747</v>
      </c>
      <c r="L1491" s="533"/>
      <c r="M1491" s="533">
        <v>191</v>
      </c>
      <c r="N1491" s="533"/>
      <c r="O1491" s="533">
        <v>0</v>
      </c>
      <c r="P1491" s="533"/>
      <c r="Q1491" s="533">
        <v>0</v>
      </c>
      <c r="R1491" s="533"/>
      <c r="S1491" s="1">
        <v>50</v>
      </c>
      <c r="T1491" s="2" t="s">
        <v>289</v>
      </c>
      <c r="U1491" s="533">
        <v>40</v>
      </c>
      <c r="V1491" s="533"/>
      <c r="W1491" s="533">
        <v>151</v>
      </c>
      <c r="X1491" s="533"/>
    </row>
    <row r="1492" spans="1:24" ht="12" customHeight="1" x14ac:dyDescent="0.2">
      <c r="C1492" s="525"/>
      <c r="D1492" s="525"/>
      <c r="E1492" s="525"/>
      <c r="F1492" s="525"/>
      <c r="G1492" s="525"/>
    </row>
    <row r="1493" spans="1:24" ht="13.5" customHeight="1" x14ac:dyDescent="0.2">
      <c r="A1493" s="530" t="s">
        <v>1336</v>
      </c>
      <c r="B1493" s="530"/>
      <c r="C1493" s="531" t="s">
        <v>1337</v>
      </c>
      <c r="D1493" s="531"/>
      <c r="E1493" s="531"/>
      <c r="F1493" s="531"/>
      <c r="G1493" s="531"/>
      <c r="I1493" s="532">
        <v>41717</v>
      </c>
      <c r="J1493" s="532"/>
      <c r="K1493" s="533">
        <v>3075.92</v>
      </c>
      <c r="L1493" s="533"/>
      <c r="M1493" s="533">
        <v>164.92000000000002</v>
      </c>
      <c r="N1493" s="533"/>
      <c r="O1493" s="533">
        <v>0</v>
      </c>
      <c r="P1493" s="533"/>
      <c r="Q1493" s="533">
        <v>0</v>
      </c>
      <c r="R1493" s="533"/>
      <c r="S1493" s="1">
        <v>50</v>
      </c>
      <c r="T1493" s="2" t="s">
        <v>289</v>
      </c>
      <c r="U1493" s="533">
        <v>35</v>
      </c>
      <c r="V1493" s="533"/>
      <c r="W1493" s="533">
        <v>129.92000000000002</v>
      </c>
      <c r="X1493" s="533"/>
    </row>
    <row r="1494" spans="1:24" ht="0.75" customHeight="1" x14ac:dyDescent="0.2"/>
    <row r="1495" spans="1:24" ht="13.5" customHeight="1" x14ac:dyDescent="0.2">
      <c r="A1495" s="530" t="s">
        <v>1338</v>
      </c>
      <c r="B1495" s="530"/>
      <c r="C1495" s="531" t="s">
        <v>1339</v>
      </c>
      <c r="D1495" s="531"/>
      <c r="E1495" s="531"/>
      <c r="F1495" s="531"/>
      <c r="G1495" s="531"/>
      <c r="I1495" s="532">
        <v>41717</v>
      </c>
      <c r="J1495" s="532"/>
      <c r="K1495" s="533">
        <v>1537.96</v>
      </c>
      <c r="L1495" s="533"/>
      <c r="M1495" s="533">
        <v>82.960000000000008</v>
      </c>
      <c r="N1495" s="533"/>
      <c r="O1495" s="533">
        <v>0</v>
      </c>
      <c r="P1495" s="533"/>
      <c r="Q1495" s="533">
        <v>0</v>
      </c>
      <c r="R1495" s="533"/>
      <c r="S1495" s="1">
        <v>50</v>
      </c>
      <c r="T1495" s="2" t="s">
        <v>289</v>
      </c>
      <c r="U1495" s="533">
        <v>17</v>
      </c>
      <c r="V1495" s="533"/>
      <c r="W1495" s="533">
        <v>65.960000000000008</v>
      </c>
      <c r="X1495" s="533"/>
    </row>
    <row r="1496" spans="1:24" ht="0.75" customHeight="1" x14ac:dyDescent="0.2"/>
    <row r="1497" spans="1:24" ht="13.5" customHeight="1" x14ac:dyDescent="0.2">
      <c r="A1497" s="530" t="s">
        <v>1340</v>
      </c>
      <c r="B1497" s="530"/>
      <c r="C1497" s="531" t="s">
        <v>1341</v>
      </c>
      <c r="D1497" s="531"/>
      <c r="E1497" s="531"/>
      <c r="F1497" s="531"/>
      <c r="G1497" s="531"/>
      <c r="I1497" s="532">
        <v>41717</v>
      </c>
      <c r="J1497" s="532"/>
      <c r="K1497" s="533">
        <v>1537.96</v>
      </c>
      <c r="L1497" s="533"/>
      <c r="M1497" s="533">
        <v>82.960000000000008</v>
      </c>
      <c r="N1497" s="533"/>
      <c r="O1497" s="533">
        <v>0</v>
      </c>
      <c r="P1497" s="533"/>
      <c r="Q1497" s="533">
        <v>0</v>
      </c>
      <c r="R1497" s="533"/>
      <c r="S1497" s="1">
        <v>50</v>
      </c>
      <c r="T1497" s="2" t="s">
        <v>289</v>
      </c>
      <c r="U1497" s="533">
        <v>17</v>
      </c>
      <c r="V1497" s="533"/>
      <c r="W1497" s="533">
        <v>65.960000000000008</v>
      </c>
      <c r="X1497" s="533"/>
    </row>
    <row r="1498" spans="1:24" ht="0.75" customHeight="1" x14ac:dyDescent="0.2"/>
    <row r="1499" spans="1:24" ht="13.5" customHeight="1" x14ac:dyDescent="0.2">
      <c r="A1499" s="530" t="s">
        <v>1342</v>
      </c>
      <c r="B1499" s="530"/>
      <c r="C1499" s="531" t="s">
        <v>1343</v>
      </c>
      <c r="D1499" s="531"/>
      <c r="E1499" s="531"/>
      <c r="F1499" s="531"/>
      <c r="G1499" s="531"/>
      <c r="I1499" s="532">
        <v>41717</v>
      </c>
      <c r="J1499" s="532"/>
      <c r="K1499" s="533">
        <v>2128.86</v>
      </c>
      <c r="L1499" s="533"/>
      <c r="M1499" s="533">
        <v>114.86</v>
      </c>
      <c r="N1499" s="533"/>
      <c r="O1499" s="533">
        <v>0</v>
      </c>
      <c r="P1499" s="533"/>
      <c r="Q1499" s="533">
        <v>0</v>
      </c>
      <c r="R1499" s="533"/>
      <c r="S1499" s="1">
        <v>50</v>
      </c>
      <c r="T1499" s="2" t="s">
        <v>289</v>
      </c>
      <c r="U1499" s="533">
        <v>24</v>
      </c>
      <c r="V1499" s="533"/>
      <c r="W1499" s="533">
        <v>90.86</v>
      </c>
      <c r="X1499" s="533"/>
    </row>
    <row r="1500" spans="1:24" ht="0.75" customHeight="1" x14ac:dyDescent="0.2"/>
    <row r="1501" spans="1:24" ht="13.5" customHeight="1" x14ac:dyDescent="0.2">
      <c r="A1501" s="530" t="s">
        <v>1344</v>
      </c>
      <c r="B1501" s="530"/>
      <c r="C1501" s="531" t="s">
        <v>1345</v>
      </c>
      <c r="D1501" s="531"/>
      <c r="E1501" s="531"/>
      <c r="F1501" s="531"/>
      <c r="G1501" s="531"/>
      <c r="I1501" s="532">
        <v>41717</v>
      </c>
      <c r="J1501" s="532"/>
      <c r="K1501" s="533">
        <v>6386.58</v>
      </c>
      <c r="L1501" s="533"/>
      <c r="M1501" s="533">
        <v>342.58</v>
      </c>
      <c r="N1501" s="533"/>
      <c r="O1501" s="533">
        <v>0</v>
      </c>
      <c r="P1501" s="533"/>
      <c r="Q1501" s="533">
        <v>0</v>
      </c>
      <c r="R1501" s="533"/>
      <c r="S1501" s="1">
        <v>50</v>
      </c>
      <c r="T1501" s="2" t="s">
        <v>289</v>
      </c>
      <c r="U1501" s="533">
        <v>72</v>
      </c>
      <c r="V1501" s="533"/>
      <c r="W1501" s="533">
        <v>270.58</v>
      </c>
      <c r="X1501" s="533"/>
    </row>
    <row r="1502" spans="1:24" ht="0.75" customHeight="1" x14ac:dyDescent="0.2"/>
    <row r="1503" spans="1:24" ht="13.5" customHeight="1" x14ac:dyDescent="0.2">
      <c r="A1503" s="530" t="s">
        <v>1346</v>
      </c>
      <c r="B1503" s="530"/>
      <c r="C1503" s="531" t="s">
        <v>1347</v>
      </c>
      <c r="D1503" s="531"/>
      <c r="E1503" s="531"/>
      <c r="F1503" s="531"/>
      <c r="G1503" s="531"/>
      <c r="I1503" s="532">
        <v>41717</v>
      </c>
      <c r="J1503" s="532"/>
      <c r="K1503" s="533">
        <v>2128.86</v>
      </c>
      <c r="L1503" s="533"/>
      <c r="M1503" s="533">
        <v>114.86</v>
      </c>
      <c r="N1503" s="533"/>
      <c r="O1503" s="533">
        <v>0</v>
      </c>
      <c r="P1503" s="533"/>
      <c r="Q1503" s="533">
        <v>0</v>
      </c>
      <c r="R1503" s="533"/>
      <c r="S1503" s="1">
        <v>50</v>
      </c>
      <c r="T1503" s="2" t="s">
        <v>289</v>
      </c>
      <c r="U1503" s="533">
        <v>24</v>
      </c>
      <c r="V1503" s="533"/>
      <c r="W1503" s="533">
        <v>90.86</v>
      </c>
      <c r="X1503" s="533"/>
    </row>
    <row r="1504" spans="1:24" ht="0.75" customHeight="1" x14ac:dyDescent="0.2"/>
    <row r="1505" spans="1:24" ht="13.5" customHeight="1" x14ac:dyDescent="0.2">
      <c r="A1505" s="530" t="s">
        <v>1348</v>
      </c>
      <c r="B1505" s="530"/>
      <c r="C1505" s="531" t="s">
        <v>1349</v>
      </c>
      <c r="D1505" s="531"/>
      <c r="E1505" s="531"/>
      <c r="F1505" s="531"/>
      <c r="G1505" s="531"/>
      <c r="I1505" s="532">
        <v>41717</v>
      </c>
      <c r="J1505" s="532"/>
      <c r="K1505" s="533">
        <v>6489.8</v>
      </c>
      <c r="L1505" s="533"/>
      <c r="M1505" s="533">
        <v>347.8</v>
      </c>
      <c r="N1505" s="533"/>
      <c r="O1505" s="533">
        <v>0</v>
      </c>
      <c r="P1505" s="533"/>
      <c r="Q1505" s="533">
        <v>0</v>
      </c>
      <c r="R1505" s="533"/>
      <c r="S1505" s="1">
        <v>50</v>
      </c>
      <c r="T1505" s="2" t="s">
        <v>289</v>
      </c>
      <c r="U1505" s="533">
        <v>73</v>
      </c>
      <c r="V1505" s="533"/>
      <c r="W1505" s="533">
        <v>274.8</v>
      </c>
      <c r="X1505" s="533"/>
    </row>
    <row r="1506" spans="1:24" ht="0.75" customHeight="1" x14ac:dyDescent="0.2"/>
    <row r="1507" spans="1:24" ht="13.5" customHeight="1" x14ac:dyDescent="0.2">
      <c r="A1507" s="530" t="s">
        <v>1350</v>
      </c>
      <c r="B1507" s="530"/>
      <c r="C1507" s="531" t="s">
        <v>1351</v>
      </c>
      <c r="D1507" s="531"/>
      <c r="E1507" s="531"/>
      <c r="F1507" s="531"/>
      <c r="G1507" s="531"/>
      <c r="I1507" s="532">
        <v>41726</v>
      </c>
      <c r="J1507" s="532"/>
      <c r="K1507" s="533">
        <v>4380</v>
      </c>
      <c r="L1507" s="533"/>
      <c r="M1507" s="533">
        <v>238</v>
      </c>
      <c r="N1507" s="533"/>
      <c r="O1507" s="533">
        <v>0</v>
      </c>
      <c r="P1507" s="533"/>
      <c r="Q1507" s="533">
        <v>0</v>
      </c>
      <c r="R1507" s="533"/>
      <c r="S1507" s="1">
        <v>50</v>
      </c>
      <c r="T1507" s="2" t="s">
        <v>289</v>
      </c>
      <c r="U1507" s="533">
        <v>50</v>
      </c>
      <c r="V1507" s="533"/>
      <c r="W1507" s="533">
        <v>188</v>
      </c>
      <c r="X1507" s="533"/>
    </row>
    <row r="1508" spans="1:24" ht="0.75" customHeight="1" x14ac:dyDescent="0.2"/>
    <row r="1509" spans="1:24" ht="13.5" customHeight="1" x14ac:dyDescent="0.2">
      <c r="A1509" s="530" t="s">
        <v>1352</v>
      </c>
      <c r="B1509" s="530"/>
      <c r="C1509" s="531" t="s">
        <v>1353</v>
      </c>
      <c r="D1509" s="531"/>
      <c r="E1509" s="531"/>
      <c r="F1509" s="531"/>
      <c r="G1509" s="531"/>
      <c r="I1509" s="532">
        <v>41730</v>
      </c>
      <c r="J1509" s="532"/>
      <c r="K1509" s="533">
        <v>1400</v>
      </c>
      <c r="L1509" s="533"/>
      <c r="M1509" s="533">
        <v>76</v>
      </c>
      <c r="N1509" s="533"/>
      <c r="O1509" s="533">
        <v>0</v>
      </c>
      <c r="P1509" s="533"/>
      <c r="Q1509" s="533">
        <v>0</v>
      </c>
      <c r="R1509" s="533"/>
      <c r="S1509" s="1">
        <v>50</v>
      </c>
      <c r="T1509" s="2" t="s">
        <v>289</v>
      </c>
      <c r="U1509" s="533">
        <v>16</v>
      </c>
      <c r="V1509" s="533"/>
      <c r="W1509" s="533">
        <v>60</v>
      </c>
      <c r="X1509" s="533"/>
    </row>
    <row r="1510" spans="1:24" ht="0.75" customHeight="1" x14ac:dyDescent="0.2"/>
    <row r="1511" spans="1:24" ht="13.5" customHeight="1" x14ac:dyDescent="0.2">
      <c r="A1511" s="530" t="s">
        <v>1354</v>
      </c>
      <c r="B1511" s="530"/>
      <c r="C1511" s="531" t="s">
        <v>1355</v>
      </c>
      <c r="D1511" s="531"/>
      <c r="E1511" s="531"/>
      <c r="F1511" s="531"/>
      <c r="G1511" s="531"/>
      <c r="I1511" s="532">
        <v>41730</v>
      </c>
      <c r="J1511" s="532"/>
      <c r="K1511" s="533">
        <v>700</v>
      </c>
      <c r="L1511" s="533"/>
      <c r="M1511" s="533">
        <v>38</v>
      </c>
      <c r="N1511" s="533"/>
      <c r="O1511" s="533">
        <v>0</v>
      </c>
      <c r="P1511" s="533"/>
      <c r="Q1511" s="533">
        <v>0</v>
      </c>
      <c r="R1511" s="533"/>
      <c r="S1511" s="1">
        <v>50</v>
      </c>
      <c r="T1511" s="2" t="s">
        <v>289</v>
      </c>
      <c r="U1511" s="533">
        <v>8</v>
      </c>
      <c r="V1511" s="533"/>
      <c r="W1511" s="533">
        <v>30</v>
      </c>
      <c r="X1511" s="533"/>
    </row>
    <row r="1512" spans="1:24" ht="0.75" customHeight="1" x14ac:dyDescent="0.2"/>
    <row r="1513" spans="1:24" ht="13.5" customHeight="1" x14ac:dyDescent="0.2">
      <c r="A1513" s="530" t="s">
        <v>1356</v>
      </c>
      <c r="B1513" s="530"/>
      <c r="C1513" s="525" t="s">
        <v>1357</v>
      </c>
      <c r="D1513" s="525"/>
      <c r="E1513" s="525"/>
      <c r="F1513" s="525"/>
      <c r="G1513" s="525"/>
      <c r="I1513" s="532">
        <v>41731</v>
      </c>
      <c r="J1513" s="532"/>
      <c r="K1513" s="533">
        <v>6347.26</v>
      </c>
      <c r="L1513" s="533"/>
      <c r="M1513" s="533">
        <v>347.26</v>
      </c>
      <c r="N1513" s="533"/>
      <c r="O1513" s="533">
        <v>0</v>
      </c>
      <c r="P1513" s="533"/>
      <c r="Q1513" s="533">
        <v>0</v>
      </c>
      <c r="R1513" s="533"/>
      <c r="S1513" s="1">
        <v>50</v>
      </c>
      <c r="T1513" s="2" t="s">
        <v>289</v>
      </c>
      <c r="U1513" s="533">
        <v>73</v>
      </c>
      <c r="V1513" s="533"/>
      <c r="W1513" s="533">
        <v>274.26</v>
      </c>
      <c r="X1513" s="533"/>
    </row>
    <row r="1514" spans="1:24" ht="12" customHeight="1" x14ac:dyDescent="0.2">
      <c r="C1514" s="525"/>
      <c r="D1514" s="525"/>
      <c r="E1514" s="525"/>
      <c r="F1514" s="525"/>
      <c r="G1514" s="525"/>
    </row>
    <row r="1515" spans="1:24" ht="13.5" customHeight="1" x14ac:dyDescent="0.2">
      <c r="A1515" s="530" t="s">
        <v>1358</v>
      </c>
      <c r="B1515" s="530"/>
      <c r="C1515" s="531" t="s">
        <v>1359</v>
      </c>
      <c r="D1515" s="531"/>
      <c r="E1515" s="531"/>
      <c r="F1515" s="531"/>
      <c r="G1515" s="531"/>
      <c r="I1515" s="532">
        <v>41742</v>
      </c>
      <c r="J1515" s="532"/>
      <c r="K1515" s="533">
        <v>2100</v>
      </c>
      <c r="L1515" s="533"/>
      <c r="M1515" s="533">
        <v>117</v>
      </c>
      <c r="N1515" s="533"/>
      <c r="O1515" s="533">
        <v>0</v>
      </c>
      <c r="P1515" s="533"/>
      <c r="Q1515" s="533">
        <v>0</v>
      </c>
      <c r="R1515" s="533"/>
      <c r="S1515" s="1">
        <v>50</v>
      </c>
      <c r="T1515" s="2" t="s">
        <v>289</v>
      </c>
      <c r="U1515" s="533">
        <v>25</v>
      </c>
      <c r="V1515" s="533"/>
      <c r="W1515" s="533">
        <v>92</v>
      </c>
      <c r="X1515" s="533"/>
    </row>
    <row r="1516" spans="1:24" ht="0.75" customHeight="1" x14ac:dyDescent="0.2"/>
    <row r="1517" spans="1:24" ht="13.5" customHeight="1" x14ac:dyDescent="0.2">
      <c r="A1517" s="530" t="s">
        <v>1360</v>
      </c>
      <c r="B1517" s="530"/>
      <c r="C1517" s="531" t="s">
        <v>1361</v>
      </c>
      <c r="D1517" s="531"/>
      <c r="E1517" s="531"/>
      <c r="F1517" s="531"/>
      <c r="G1517" s="531"/>
      <c r="I1517" s="532">
        <v>41742</v>
      </c>
      <c r="J1517" s="532"/>
      <c r="K1517" s="533">
        <v>2640</v>
      </c>
      <c r="L1517" s="533"/>
      <c r="M1517" s="533">
        <v>147</v>
      </c>
      <c r="N1517" s="533"/>
      <c r="O1517" s="533">
        <v>0</v>
      </c>
      <c r="P1517" s="533"/>
      <c r="Q1517" s="533">
        <v>0</v>
      </c>
      <c r="R1517" s="533"/>
      <c r="S1517" s="1">
        <v>50</v>
      </c>
      <c r="T1517" s="2" t="s">
        <v>289</v>
      </c>
      <c r="U1517" s="533">
        <v>31</v>
      </c>
      <c r="V1517" s="533"/>
      <c r="W1517" s="533">
        <v>116</v>
      </c>
      <c r="X1517" s="533"/>
    </row>
    <row r="1518" spans="1:24" ht="0.75" customHeight="1" x14ac:dyDescent="0.2"/>
    <row r="1519" spans="1:24" ht="13.5" customHeight="1" x14ac:dyDescent="0.2">
      <c r="A1519" s="530" t="s">
        <v>1362</v>
      </c>
      <c r="B1519" s="530"/>
      <c r="C1519" s="531" t="s">
        <v>1309</v>
      </c>
      <c r="D1519" s="531"/>
      <c r="E1519" s="531"/>
      <c r="F1519" s="531"/>
      <c r="G1519" s="531"/>
      <c r="I1519" s="532">
        <v>41744</v>
      </c>
      <c r="J1519" s="532"/>
      <c r="K1519" s="533">
        <v>8142</v>
      </c>
      <c r="L1519" s="533"/>
      <c r="M1519" s="533">
        <v>455</v>
      </c>
      <c r="N1519" s="533"/>
      <c r="O1519" s="533">
        <v>0</v>
      </c>
      <c r="P1519" s="533"/>
      <c r="Q1519" s="533">
        <v>0</v>
      </c>
      <c r="R1519" s="533"/>
      <c r="S1519" s="1">
        <v>50</v>
      </c>
      <c r="T1519" s="2" t="s">
        <v>289</v>
      </c>
      <c r="U1519" s="533">
        <v>95</v>
      </c>
      <c r="V1519" s="533"/>
      <c r="W1519" s="533">
        <v>360</v>
      </c>
      <c r="X1519" s="533"/>
    </row>
    <row r="1520" spans="1:24" ht="0.75" customHeight="1" x14ac:dyDescent="0.2"/>
    <row r="1521" spans="1:24" ht="13.5" customHeight="1" x14ac:dyDescent="0.2">
      <c r="A1521" s="530" t="s">
        <v>1363</v>
      </c>
      <c r="B1521" s="530"/>
      <c r="C1521" s="531" t="s">
        <v>1364</v>
      </c>
      <c r="D1521" s="531"/>
      <c r="E1521" s="531"/>
      <c r="F1521" s="531"/>
      <c r="G1521" s="531"/>
      <c r="I1521" s="532">
        <v>41820</v>
      </c>
      <c r="J1521" s="532"/>
      <c r="K1521" s="533">
        <v>10635.17</v>
      </c>
      <c r="L1521" s="533"/>
      <c r="M1521" s="533">
        <v>663.17</v>
      </c>
      <c r="N1521" s="533"/>
      <c r="O1521" s="533">
        <v>0</v>
      </c>
      <c r="P1521" s="533"/>
      <c r="Q1521" s="533">
        <v>0</v>
      </c>
      <c r="R1521" s="533"/>
      <c r="S1521" s="1">
        <v>50</v>
      </c>
      <c r="T1521" s="2" t="s">
        <v>289</v>
      </c>
      <c r="U1521" s="533">
        <v>139</v>
      </c>
      <c r="V1521" s="533"/>
      <c r="W1521" s="533">
        <v>524.16999999999996</v>
      </c>
      <c r="X1521" s="533"/>
    </row>
    <row r="1522" spans="1:24" ht="0.75" customHeight="1" x14ac:dyDescent="0.2"/>
    <row r="1523" spans="1:24" ht="13.5" customHeight="1" x14ac:dyDescent="0.2">
      <c r="A1523" s="530" t="s">
        <v>1365</v>
      </c>
      <c r="B1523" s="530"/>
      <c r="C1523" s="531" t="s">
        <v>1366</v>
      </c>
      <c r="D1523" s="531"/>
      <c r="E1523" s="531"/>
      <c r="F1523" s="531"/>
      <c r="G1523" s="531"/>
      <c r="I1523" s="532">
        <v>41731</v>
      </c>
      <c r="J1523" s="532"/>
      <c r="K1523" s="533">
        <v>7526.52</v>
      </c>
      <c r="L1523" s="533"/>
      <c r="M1523" s="533">
        <v>412.52</v>
      </c>
      <c r="N1523" s="533"/>
      <c r="O1523" s="533">
        <v>0</v>
      </c>
      <c r="P1523" s="533"/>
      <c r="Q1523" s="533">
        <v>0</v>
      </c>
      <c r="R1523" s="533"/>
      <c r="S1523" s="1">
        <v>50</v>
      </c>
      <c r="T1523" s="2" t="s">
        <v>289</v>
      </c>
      <c r="U1523" s="533">
        <v>86</v>
      </c>
      <c r="V1523" s="533"/>
      <c r="W1523" s="533">
        <v>326.52</v>
      </c>
      <c r="X1523" s="533"/>
    </row>
    <row r="1524" spans="1:24" ht="0.75" customHeight="1" x14ac:dyDescent="0.2"/>
    <row r="1525" spans="1:24" ht="13.5" customHeight="1" x14ac:dyDescent="0.2">
      <c r="A1525" s="530" t="s">
        <v>1367</v>
      </c>
      <c r="B1525" s="530"/>
      <c r="C1525" s="531" t="s">
        <v>1368</v>
      </c>
      <c r="D1525" s="531"/>
      <c r="E1525" s="531"/>
      <c r="F1525" s="531"/>
      <c r="G1525" s="531"/>
      <c r="I1525" s="532">
        <v>41688</v>
      </c>
      <c r="J1525" s="532"/>
      <c r="K1525" s="533">
        <v>2727.5</v>
      </c>
      <c r="L1525" s="533"/>
      <c r="M1525" s="533">
        <v>139.5</v>
      </c>
      <c r="N1525" s="533"/>
      <c r="O1525" s="533">
        <v>0</v>
      </c>
      <c r="P1525" s="533"/>
      <c r="Q1525" s="533">
        <v>0</v>
      </c>
      <c r="R1525" s="533"/>
      <c r="S1525" s="1">
        <v>50</v>
      </c>
      <c r="T1525" s="2" t="s">
        <v>289</v>
      </c>
      <c r="U1525" s="533">
        <v>29</v>
      </c>
      <c r="V1525" s="533"/>
      <c r="W1525" s="533">
        <v>110.5</v>
      </c>
      <c r="X1525" s="533"/>
    </row>
    <row r="1526" spans="1:24" ht="0.75" customHeight="1" x14ac:dyDescent="0.2"/>
    <row r="1527" spans="1:24" ht="13.5" customHeight="1" x14ac:dyDescent="0.2">
      <c r="A1527" s="530" t="s">
        <v>1369</v>
      </c>
      <c r="B1527" s="530"/>
      <c r="C1527" s="531" t="s">
        <v>1370</v>
      </c>
      <c r="D1527" s="531"/>
      <c r="E1527" s="531"/>
      <c r="F1527" s="531"/>
      <c r="G1527" s="531"/>
      <c r="I1527" s="532">
        <v>41942</v>
      </c>
      <c r="J1527" s="532"/>
      <c r="K1527" s="533">
        <v>5250</v>
      </c>
      <c r="L1527" s="533"/>
      <c r="M1527" s="533">
        <v>436</v>
      </c>
      <c r="N1527" s="533"/>
      <c r="O1527" s="533">
        <v>0</v>
      </c>
      <c r="P1527" s="533"/>
      <c r="Q1527" s="533">
        <v>0</v>
      </c>
      <c r="R1527" s="533"/>
      <c r="S1527" s="1">
        <v>50</v>
      </c>
      <c r="T1527" s="2" t="s">
        <v>289</v>
      </c>
      <c r="U1527" s="533">
        <v>91</v>
      </c>
      <c r="V1527" s="533"/>
      <c r="W1527" s="533">
        <v>345</v>
      </c>
      <c r="X1527" s="533"/>
    </row>
    <row r="1528" spans="1:24" ht="0.75" customHeight="1" x14ac:dyDescent="0.2"/>
    <row r="1529" spans="1:24" ht="13.5" customHeight="1" x14ac:dyDescent="0.2">
      <c r="A1529" s="530" t="s">
        <v>1371</v>
      </c>
      <c r="B1529" s="530"/>
      <c r="C1529" s="531" t="s">
        <v>1372</v>
      </c>
      <c r="D1529" s="531"/>
      <c r="E1529" s="531"/>
      <c r="F1529" s="531"/>
      <c r="G1529" s="531"/>
      <c r="I1529" s="532">
        <v>41961</v>
      </c>
      <c r="J1529" s="532"/>
      <c r="K1529" s="533">
        <v>3600</v>
      </c>
      <c r="L1529" s="533"/>
      <c r="M1529" s="533">
        <v>311</v>
      </c>
      <c r="N1529" s="533"/>
      <c r="O1529" s="533">
        <v>0</v>
      </c>
      <c r="P1529" s="533"/>
      <c r="Q1529" s="533">
        <v>0</v>
      </c>
      <c r="R1529" s="533"/>
      <c r="S1529" s="1">
        <v>50</v>
      </c>
      <c r="T1529" s="2" t="s">
        <v>289</v>
      </c>
      <c r="U1529" s="533">
        <v>65</v>
      </c>
      <c r="V1529" s="533"/>
      <c r="W1529" s="533">
        <v>246</v>
      </c>
      <c r="X1529" s="533"/>
    </row>
    <row r="1530" spans="1:24" ht="0.75" customHeight="1" x14ac:dyDescent="0.2"/>
    <row r="1531" spans="1:24" ht="13.5" customHeight="1" x14ac:dyDescent="0.2">
      <c r="A1531" s="530" t="s">
        <v>1373</v>
      </c>
      <c r="B1531" s="530"/>
      <c r="C1531" s="531" t="s">
        <v>1374</v>
      </c>
      <c r="D1531" s="531"/>
      <c r="E1531" s="531"/>
      <c r="F1531" s="531"/>
      <c r="G1531" s="531"/>
      <c r="I1531" s="532">
        <v>41961</v>
      </c>
      <c r="J1531" s="532"/>
      <c r="K1531" s="533">
        <v>3200</v>
      </c>
      <c r="L1531" s="533"/>
      <c r="M1531" s="533">
        <v>276</v>
      </c>
      <c r="N1531" s="533"/>
      <c r="O1531" s="533">
        <v>0</v>
      </c>
      <c r="P1531" s="533"/>
      <c r="Q1531" s="533">
        <v>0</v>
      </c>
      <c r="R1531" s="533"/>
      <c r="S1531" s="1">
        <v>50</v>
      </c>
      <c r="T1531" s="2" t="s">
        <v>289</v>
      </c>
      <c r="U1531" s="533">
        <v>58</v>
      </c>
      <c r="V1531" s="533"/>
      <c r="W1531" s="533">
        <v>218</v>
      </c>
      <c r="X1531" s="533"/>
    </row>
    <row r="1532" spans="1:24" ht="0.75" customHeight="1" x14ac:dyDescent="0.2"/>
    <row r="1533" spans="1:24" ht="13.5" customHeight="1" x14ac:dyDescent="0.2">
      <c r="A1533" s="530" t="s">
        <v>1375</v>
      </c>
      <c r="B1533" s="530"/>
      <c r="C1533" s="531" t="s">
        <v>1376</v>
      </c>
      <c r="D1533" s="531"/>
      <c r="E1533" s="531"/>
      <c r="F1533" s="531"/>
      <c r="G1533" s="531"/>
      <c r="I1533" s="532">
        <v>41961</v>
      </c>
      <c r="J1533" s="532"/>
      <c r="K1533" s="533">
        <v>3600</v>
      </c>
      <c r="L1533" s="533"/>
      <c r="M1533" s="533">
        <v>311</v>
      </c>
      <c r="N1533" s="533"/>
      <c r="O1533" s="533">
        <v>0</v>
      </c>
      <c r="P1533" s="533"/>
      <c r="Q1533" s="533">
        <v>0</v>
      </c>
      <c r="R1533" s="533"/>
      <c r="S1533" s="1">
        <v>50</v>
      </c>
      <c r="T1533" s="2" t="s">
        <v>289</v>
      </c>
      <c r="U1533" s="533">
        <v>65</v>
      </c>
      <c r="V1533" s="533"/>
      <c r="W1533" s="533">
        <v>246</v>
      </c>
      <c r="X1533" s="533"/>
    </row>
    <row r="1534" spans="1:24" ht="0.75" customHeight="1" x14ac:dyDescent="0.2"/>
    <row r="1535" spans="1:24" ht="13.5" customHeight="1" x14ac:dyDescent="0.2">
      <c r="A1535" s="530" t="s">
        <v>1377</v>
      </c>
      <c r="B1535" s="530"/>
      <c r="C1535" s="531" t="s">
        <v>1378</v>
      </c>
      <c r="D1535" s="531"/>
      <c r="E1535" s="531"/>
      <c r="F1535" s="531"/>
      <c r="G1535" s="531"/>
      <c r="I1535" s="532">
        <v>41971</v>
      </c>
      <c r="J1535" s="532"/>
      <c r="K1535" s="533">
        <v>2728</v>
      </c>
      <c r="L1535" s="533"/>
      <c r="M1535" s="533">
        <v>240</v>
      </c>
      <c r="N1535" s="533"/>
      <c r="O1535" s="533">
        <v>0</v>
      </c>
      <c r="P1535" s="533"/>
      <c r="Q1535" s="533">
        <v>0</v>
      </c>
      <c r="R1535" s="533"/>
      <c r="S1535" s="1">
        <v>50</v>
      </c>
      <c r="T1535" s="2" t="s">
        <v>289</v>
      </c>
      <c r="U1535" s="533">
        <v>50</v>
      </c>
      <c r="V1535" s="533"/>
      <c r="W1535" s="533">
        <v>190</v>
      </c>
      <c r="X1535" s="533"/>
    </row>
    <row r="1536" spans="1:24" ht="15" customHeight="1" x14ac:dyDescent="0.2">
      <c r="A1536" s="534" t="s">
        <v>1141</v>
      </c>
      <c r="B1536" s="534"/>
      <c r="D1536" s="534" t="s">
        <v>1142</v>
      </c>
      <c r="E1536" s="534"/>
      <c r="F1536" s="534"/>
      <c r="G1536" s="534"/>
      <c r="H1536" s="534"/>
      <c r="I1536" s="534"/>
      <c r="J1536" s="534"/>
      <c r="K1536" s="534"/>
      <c r="L1536" s="534"/>
      <c r="M1536" s="534"/>
      <c r="N1536" s="534"/>
      <c r="O1536" s="534"/>
      <c r="P1536" s="534"/>
      <c r="Q1536" s="534"/>
      <c r="R1536" s="534"/>
      <c r="S1536" s="534"/>
      <c r="T1536" s="534"/>
      <c r="U1536" s="534"/>
      <c r="V1536" s="534"/>
    </row>
    <row r="1537" spans="1:24" ht="0.75" customHeight="1" x14ac:dyDescent="0.2"/>
    <row r="1538" spans="1:24" ht="13.5" customHeight="1" x14ac:dyDescent="0.2">
      <c r="A1538" s="530" t="s">
        <v>1379</v>
      </c>
      <c r="B1538" s="530"/>
      <c r="C1538" s="531" t="s">
        <v>1380</v>
      </c>
      <c r="D1538" s="531"/>
      <c r="E1538" s="531"/>
      <c r="F1538" s="531"/>
      <c r="G1538" s="531"/>
      <c r="I1538" s="532">
        <v>42072</v>
      </c>
      <c r="J1538" s="532"/>
      <c r="K1538" s="533">
        <v>5320</v>
      </c>
      <c r="L1538" s="533"/>
      <c r="M1538" s="533">
        <v>561</v>
      </c>
      <c r="N1538" s="533"/>
      <c r="O1538" s="533">
        <v>0</v>
      </c>
      <c r="P1538" s="533"/>
      <c r="Q1538" s="533">
        <v>0</v>
      </c>
      <c r="R1538" s="533"/>
      <c r="S1538" s="1">
        <v>50</v>
      </c>
      <c r="T1538" s="2" t="s">
        <v>289</v>
      </c>
      <c r="U1538" s="533">
        <v>118</v>
      </c>
      <c r="V1538" s="533"/>
      <c r="W1538" s="533">
        <v>443</v>
      </c>
      <c r="X1538" s="533"/>
    </row>
    <row r="1539" spans="1:24" ht="0.75" customHeight="1" x14ac:dyDescent="0.2"/>
    <row r="1540" spans="1:24" ht="13.5" customHeight="1" x14ac:dyDescent="0.2">
      <c r="A1540" s="530" t="s">
        <v>1381</v>
      </c>
      <c r="B1540" s="530"/>
      <c r="C1540" s="531" t="s">
        <v>1382</v>
      </c>
      <c r="D1540" s="531"/>
      <c r="E1540" s="531"/>
      <c r="F1540" s="531"/>
      <c r="G1540" s="531"/>
      <c r="I1540" s="532">
        <v>42075</v>
      </c>
      <c r="J1540" s="532"/>
      <c r="K1540" s="533">
        <v>12312</v>
      </c>
      <c r="L1540" s="533"/>
      <c r="M1540" s="533">
        <v>1305</v>
      </c>
      <c r="N1540" s="533"/>
      <c r="O1540" s="533">
        <v>0</v>
      </c>
      <c r="P1540" s="533"/>
      <c r="Q1540" s="533">
        <v>0</v>
      </c>
      <c r="R1540" s="533"/>
      <c r="S1540" s="1">
        <v>50</v>
      </c>
      <c r="T1540" s="2" t="s">
        <v>289</v>
      </c>
      <c r="U1540" s="533">
        <v>274</v>
      </c>
      <c r="V1540" s="533"/>
      <c r="W1540" s="533">
        <v>1031</v>
      </c>
      <c r="X1540" s="533"/>
    </row>
    <row r="1541" spans="1:24" ht="0.75" customHeight="1" x14ac:dyDescent="0.2"/>
    <row r="1542" spans="1:24" ht="13.5" customHeight="1" x14ac:dyDescent="0.2">
      <c r="A1542" s="530" t="s">
        <v>1383</v>
      </c>
      <c r="B1542" s="530"/>
      <c r="C1542" s="531" t="s">
        <v>1384</v>
      </c>
      <c r="D1542" s="531"/>
      <c r="E1542" s="531"/>
      <c r="F1542" s="531"/>
      <c r="G1542" s="531"/>
      <c r="I1542" s="532">
        <v>42095</v>
      </c>
      <c r="J1542" s="532"/>
      <c r="K1542" s="533">
        <v>30322.720000000001</v>
      </c>
      <c r="L1542" s="533"/>
      <c r="M1542" s="533">
        <v>3317.7200000000003</v>
      </c>
      <c r="N1542" s="533"/>
      <c r="O1542" s="533">
        <v>0</v>
      </c>
      <c r="P1542" s="533"/>
      <c r="Q1542" s="533">
        <v>0</v>
      </c>
      <c r="R1542" s="533"/>
      <c r="S1542" s="1">
        <v>50</v>
      </c>
      <c r="T1542" s="2" t="s">
        <v>289</v>
      </c>
      <c r="U1542" s="533">
        <v>695</v>
      </c>
      <c r="V1542" s="533"/>
      <c r="W1542" s="533">
        <v>2622.7200000000003</v>
      </c>
      <c r="X1542" s="533"/>
    </row>
    <row r="1543" spans="1:24" ht="0.75" customHeight="1" x14ac:dyDescent="0.2"/>
    <row r="1544" spans="1:24" ht="13.5" customHeight="1" x14ac:dyDescent="0.2">
      <c r="A1544" s="530" t="s">
        <v>1385</v>
      </c>
      <c r="B1544" s="530"/>
      <c r="C1544" s="531" t="s">
        <v>1386</v>
      </c>
      <c r="D1544" s="531"/>
      <c r="E1544" s="531"/>
      <c r="F1544" s="531"/>
      <c r="G1544" s="531"/>
      <c r="I1544" s="532">
        <v>42095</v>
      </c>
      <c r="J1544" s="532"/>
      <c r="K1544" s="533">
        <v>5836.36</v>
      </c>
      <c r="L1544" s="533"/>
      <c r="M1544" s="533">
        <v>638.36</v>
      </c>
      <c r="N1544" s="533"/>
      <c r="O1544" s="533">
        <v>0</v>
      </c>
      <c r="P1544" s="533"/>
      <c r="Q1544" s="533">
        <v>0</v>
      </c>
      <c r="R1544" s="533"/>
      <c r="S1544" s="1">
        <v>50</v>
      </c>
      <c r="T1544" s="2" t="s">
        <v>289</v>
      </c>
      <c r="U1544" s="533">
        <v>134</v>
      </c>
      <c r="V1544" s="533"/>
      <c r="W1544" s="533">
        <v>504.36</v>
      </c>
      <c r="X1544" s="533"/>
    </row>
    <row r="1545" spans="1:24" ht="0.75" customHeight="1" x14ac:dyDescent="0.2"/>
    <row r="1546" spans="1:24" ht="13.5" customHeight="1" x14ac:dyDescent="0.2">
      <c r="A1546" s="530" t="s">
        <v>1387</v>
      </c>
      <c r="B1546" s="530"/>
      <c r="C1546" s="531" t="s">
        <v>1388</v>
      </c>
      <c r="D1546" s="531"/>
      <c r="E1546" s="531"/>
      <c r="F1546" s="531"/>
      <c r="G1546" s="531"/>
      <c r="I1546" s="532">
        <v>42095</v>
      </c>
      <c r="J1546" s="532"/>
      <c r="K1546" s="533">
        <v>10239</v>
      </c>
      <c r="L1546" s="533"/>
      <c r="M1546" s="533">
        <v>1120</v>
      </c>
      <c r="N1546" s="533"/>
      <c r="O1546" s="533">
        <v>0</v>
      </c>
      <c r="P1546" s="533"/>
      <c r="Q1546" s="533">
        <v>0</v>
      </c>
      <c r="R1546" s="533"/>
      <c r="S1546" s="1">
        <v>50</v>
      </c>
      <c r="T1546" s="2" t="s">
        <v>289</v>
      </c>
      <c r="U1546" s="533">
        <v>235</v>
      </c>
      <c r="V1546" s="533"/>
      <c r="W1546" s="533">
        <v>885</v>
      </c>
      <c r="X1546" s="533"/>
    </row>
    <row r="1547" spans="1:24" ht="0.75" customHeight="1" x14ac:dyDescent="0.2"/>
    <row r="1548" spans="1:24" ht="13.5" customHeight="1" x14ac:dyDescent="0.2">
      <c r="A1548" s="530" t="s">
        <v>1389</v>
      </c>
      <c r="B1548" s="530"/>
      <c r="C1548" s="531" t="s">
        <v>1390</v>
      </c>
      <c r="D1548" s="531"/>
      <c r="E1548" s="531"/>
      <c r="F1548" s="531"/>
      <c r="G1548" s="531"/>
      <c r="I1548" s="532">
        <v>42095</v>
      </c>
      <c r="J1548" s="532"/>
      <c r="K1548" s="533">
        <v>19292</v>
      </c>
      <c r="L1548" s="533"/>
      <c r="M1548" s="533">
        <v>2110</v>
      </c>
      <c r="N1548" s="533"/>
      <c r="O1548" s="533">
        <v>0</v>
      </c>
      <c r="P1548" s="533"/>
      <c r="Q1548" s="533">
        <v>0</v>
      </c>
      <c r="R1548" s="533"/>
      <c r="S1548" s="1">
        <v>50</v>
      </c>
      <c r="T1548" s="2" t="s">
        <v>289</v>
      </c>
      <c r="U1548" s="533">
        <v>442</v>
      </c>
      <c r="V1548" s="533"/>
      <c r="W1548" s="533">
        <v>1668</v>
      </c>
      <c r="X1548" s="533"/>
    </row>
    <row r="1549" spans="1:24" ht="0.75" customHeight="1" x14ac:dyDescent="0.2"/>
    <row r="1550" spans="1:24" ht="13.5" customHeight="1" x14ac:dyDescent="0.2">
      <c r="A1550" s="530" t="s">
        <v>1391</v>
      </c>
      <c r="B1550" s="530"/>
      <c r="C1550" s="531" t="s">
        <v>1392</v>
      </c>
      <c r="D1550" s="531"/>
      <c r="E1550" s="531"/>
      <c r="F1550" s="531"/>
      <c r="G1550" s="531"/>
      <c r="I1550" s="532">
        <v>42095</v>
      </c>
      <c r="J1550" s="532"/>
      <c r="K1550" s="533">
        <v>8140</v>
      </c>
      <c r="L1550" s="533"/>
      <c r="M1550" s="533">
        <v>890</v>
      </c>
      <c r="N1550" s="533"/>
      <c r="O1550" s="533">
        <v>0</v>
      </c>
      <c r="P1550" s="533"/>
      <c r="Q1550" s="533">
        <v>0</v>
      </c>
      <c r="R1550" s="533"/>
      <c r="S1550" s="1">
        <v>50</v>
      </c>
      <c r="T1550" s="2" t="s">
        <v>289</v>
      </c>
      <c r="U1550" s="533">
        <v>187</v>
      </c>
      <c r="V1550" s="533"/>
      <c r="W1550" s="533">
        <v>703</v>
      </c>
      <c r="X1550" s="533"/>
    </row>
    <row r="1551" spans="1:24" ht="0.75" customHeight="1" x14ac:dyDescent="0.2"/>
    <row r="1552" spans="1:24" ht="13.5" customHeight="1" x14ac:dyDescent="0.2">
      <c r="A1552" s="530" t="s">
        <v>1393</v>
      </c>
      <c r="B1552" s="530"/>
      <c r="C1552" s="531" t="s">
        <v>1394</v>
      </c>
      <c r="D1552" s="531"/>
      <c r="E1552" s="531"/>
      <c r="F1552" s="531"/>
      <c r="G1552" s="531"/>
      <c r="I1552" s="532">
        <v>42095</v>
      </c>
      <c r="J1552" s="532"/>
      <c r="K1552" s="533">
        <v>6503.01</v>
      </c>
      <c r="L1552" s="533"/>
      <c r="M1552" s="533">
        <v>711.01</v>
      </c>
      <c r="N1552" s="533"/>
      <c r="O1552" s="533">
        <v>0</v>
      </c>
      <c r="P1552" s="533"/>
      <c r="Q1552" s="533">
        <v>0</v>
      </c>
      <c r="R1552" s="533"/>
      <c r="S1552" s="1">
        <v>50</v>
      </c>
      <c r="T1552" s="2" t="s">
        <v>289</v>
      </c>
      <c r="U1552" s="533">
        <v>149</v>
      </c>
      <c r="V1552" s="533"/>
      <c r="W1552" s="533">
        <v>562.01</v>
      </c>
      <c r="X1552" s="533"/>
    </row>
    <row r="1553" spans="1:24" ht="0.75" customHeight="1" x14ac:dyDescent="0.2"/>
    <row r="1554" spans="1:24" ht="13.5" customHeight="1" x14ac:dyDescent="0.2">
      <c r="A1554" s="530" t="s">
        <v>1395</v>
      </c>
      <c r="B1554" s="530"/>
      <c r="C1554" s="531" t="s">
        <v>1396</v>
      </c>
      <c r="D1554" s="531"/>
      <c r="E1554" s="531"/>
      <c r="F1554" s="531"/>
      <c r="G1554" s="531"/>
      <c r="I1554" s="532">
        <v>42095</v>
      </c>
      <c r="J1554" s="532"/>
      <c r="K1554" s="533">
        <v>5383.99</v>
      </c>
      <c r="L1554" s="533"/>
      <c r="M1554" s="533">
        <v>589.99</v>
      </c>
      <c r="N1554" s="533"/>
      <c r="O1554" s="533">
        <v>0</v>
      </c>
      <c r="P1554" s="533"/>
      <c r="Q1554" s="533">
        <v>0</v>
      </c>
      <c r="R1554" s="533"/>
      <c r="S1554" s="1">
        <v>50</v>
      </c>
      <c r="T1554" s="2" t="s">
        <v>289</v>
      </c>
      <c r="U1554" s="533">
        <v>124</v>
      </c>
      <c r="V1554" s="533"/>
      <c r="W1554" s="533">
        <v>465.99</v>
      </c>
      <c r="X1554" s="533"/>
    </row>
    <row r="1555" spans="1:24" ht="0.75" customHeight="1" x14ac:dyDescent="0.2"/>
    <row r="1556" spans="1:24" ht="13.5" customHeight="1" x14ac:dyDescent="0.2">
      <c r="A1556" s="530" t="s">
        <v>1397</v>
      </c>
      <c r="B1556" s="530"/>
      <c r="C1556" s="531" t="s">
        <v>1398</v>
      </c>
      <c r="D1556" s="531"/>
      <c r="E1556" s="531"/>
      <c r="F1556" s="531"/>
      <c r="G1556" s="531"/>
      <c r="I1556" s="532">
        <v>42095</v>
      </c>
      <c r="J1556" s="532"/>
      <c r="K1556" s="533">
        <v>16471.439999999999</v>
      </c>
      <c r="L1556" s="533"/>
      <c r="M1556" s="533">
        <v>1802.44</v>
      </c>
      <c r="N1556" s="533"/>
      <c r="O1556" s="533">
        <v>0</v>
      </c>
      <c r="P1556" s="533"/>
      <c r="Q1556" s="533">
        <v>0</v>
      </c>
      <c r="R1556" s="533"/>
      <c r="S1556" s="1">
        <v>50</v>
      </c>
      <c r="T1556" s="2" t="s">
        <v>289</v>
      </c>
      <c r="U1556" s="533">
        <v>378</v>
      </c>
      <c r="V1556" s="533"/>
      <c r="W1556" s="533">
        <v>1424.44</v>
      </c>
      <c r="X1556" s="533"/>
    </row>
    <row r="1557" spans="1:24" ht="0.75" customHeight="1" x14ac:dyDescent="0.2"/>
    <row r="1558" spans="1:24" ht="13.5" customHeight="1" x14ac:dyDescent="0.2">
      <c r="A1558" s="530" t="s">
        <v>1399</v>
      </c>
      <c r="B1558" s="530"/>
      <c r="C1558" s="531" t="s">
        <v>1400</v>
      </c>
      <c r="D1558" s="531"/>
      <c r="E1558" s="531"/>
      <c r="F1558" s="531"/>
      <c r="G1558" s="531"/>
      <c r="I1558" s="532">
        <v>42307</v>
      </c>
      <c r="J1558" s="532"/>
      <c r="K1558" s="533">
        <v>6000</v>
      </c>
      <c r="L1558" s="533"/>
      <c r="M1558" s="533">
        <v>996</v>
      </c>
      <c r="N1558" s="533"/>
      <c r="O1558" s="533">
        <v>0</v>
      </c>
      <c r="P1558" s="533"/>
      <c r="Q1558" s="533">
        <v>0</v>
      </c>
      <c r="R1558" s="533"/>
      <c r="S1558" s="1">
        <v>50</v>
      </c>
      <c r="T1558" s="2" t="s">
        <v>289</v>
      </c>
      <c r="U1558" s="533">
        <v>209</v>
      </c>
      <c r="V1558" s="533"/>
      <c r="W1558" s="533">
        <v>787</v>
      </c>
      <c r="X1558" s="533"/>
    </row>
    <row r="1559" spans="1:24" ht="0.75" customHeight="1" x14ac:dyDescent="0.2"/>
    <row r="1560" spans="1:24" ht="13.5" customHeight="1" x14ac:dyDescent="0.2">
      <c r="A1560" s="530" t="s">
        <v>1401</v>
      </c>
      <c r="B1560" s="530"/>
      <c r="C1560" s="531" t="s">
        <v>1402</v>
      </c>
      <c r="D1560" s="531"/>
      <c r="E1560" s="531"/>
      <c r="F1560" s="531"/>
      <c r="G1560" s="531"/>
      <c r="I1560" s="532">
        <v>42307</v>
      </c>
      <c r="J1560" s="532"/>
      <c r="K1560" s="533">
        <v>3300</v>
      </c>
      <c r="L1560" s="533"/>
      <c r="M1560" s="533">
        <v>548</v>
      </c>
      <c r="N1560" s="533"/>
      <c r="O1560" s="533">
        <v>0</v>
      </c>
      <c r="P1560" s="533"/>
      <c r="Q1560" s="533">
        <v>0</v>
      </c>
      <c r="R1560" s="533"/>
      <c r="S1560" s="1">
        <v>50</v>
      </c>
      <c r="T1560" s="2" t="s">
        <v>289</v>
      </c>
      <c r="U1560" s="533">
        <v>115</v>
      </c>
      <c r="V1560" s="533"/>
      <c r="W1560" s="533">
        <v>433</v>
      </c>
      <c r="X1560" s="533"/>
    </row>
    <row r="1561" spans="1:24" ht="0.75" customHeight="1" x14ac:dyDescent="0.2"/>
    <row r="1562" spans="1:24" ht="13.5" customHeight="1" x14ac:dyDescent="0.2">
      <c r="A1562" s="530" t="s">
        <v>1403</v>
      </c>
      <c r="B1562" s="530"/>
      <c r="C1562" s="531" t="s">
        <v>1404</v>
      </c>
      <c r="D1562" s="531"/>
      <c r="E1562" s="531"/>
      <c r="F1562" s="531"/>
      <c r="G1562" s="531"/>
      <c r="I1562" s="532">
        <v>42321</v>
      </c>
      <c r="J1562" s="532"/>
      <c r="K1562" s="533">
        <v>5700</v>
      </c>
      <c r="L1562" s="533"/>
      <c r="M1562" s="533">
        <v>974</v>
      </c>
      <c r="N1562" s="533"/>
      <c r="O1562" s="533">
        <v>0</v>
      </c>
      <c r="P1562" s="533"/>
      <c r="Q1562" s="533">
        <v>0</v>
      </c>
      <c r="R1562" s="533"/>
      <c r="S1562" s="1">
        <v>50</v>
      </c>
      <c r="T1562" s="2" t="s">
        <v>289</v>
      </c>
      <c r="U1562" s="533">
        <v>204</v>
      </c>
      <c r="V1562" s="533"/>
      <c r="W1562" s="533">
        <v>770</v>
      </c>
      <c r="X1562" s="533"/>
    </row>
    <row r="1563" spans="1:24" ht="0.75" customHeight="1" x14ac:dyDescent="0.2"/>
    <row r="1564" spans="1:24" ht="13.5" customHeight="1" x14ac:dyDescent="0.2">
      <c r="A1564" s="530" t="s">
        <v>1405</v>
      </c>
      <c r="B1564" s="530"/>
      <c r="C1564" s="525" t="s">
        <v>1406</v>
      </c>
      <c r="D1564" s="525"/>
      <c r="E1564" s="525"/>
      <c r="F1564" s="525"/>
      <c r="G1564" s="525"/>
      <c r="I1564" s="532">
        <v>42332</v>
      </c>
      <c r="J1564" s="532"/>
      <c r="K1564" s="533">
        <v>1145</v>
      </c>
      <c r="L1564" s="533"/>
      <c r="M1564" s="533">
        <v>200</v>
      </c>
      <c r="N1564" s="533"/>
      <c r="O1564" s="533">
        <v>0</v>
      </c>
      <c r="P1564" s="533"/>
      <c r="Q1564" s="533">
        <v>0</v>
      </c>
      <c r="R1564" s="533"/>
      <c r="S1564" s="1">
        <v>50</v>
      </c>
      <c r="T1564" s="2" t="s">
        <v>289</v>
      </c>
      <c r="U1564" s="533">
        <v>42</v>
      </c>
      <c r="V1564" s="533"/>
      <c r="W1564" s="533">
        <v>158</v>
      </c>
      <c r="X1564" s="533"/>
    </row>
    <row r="1565" spans="1:24" ht="12" customHeight="1" x14ac:dyDescent="0.2">
      <c r="C1565" s="525"/>
      <c r="D1565" s="525"/>
      <c r="E1565" s="525"/>
      <c r="F1565" s="525"/>
      <c r="G1565" s="525"/>
    </row>
    <row r="1566" spans="1:24" ht="13.5" customHeight="1" x14ac:dyDescent="0.2">
      <c r="A1566" s="530" t="s">
        <v>1407</v>
      </c>
      <c r="B1566" s="530"/>
      <c r="C1566" s="531" t="s">
        <v>1408</v>
      </c>
      <c r="D1566" s="531"/>
      <c r="E1566" s="531"/>
      <c r="F1566" s="531"/>
      <c r="G1566" s="531"/>
      <c r="I1566" s="532">
        <v>42370</v>
      </c>
      <c r="J1566" s="532"/>
      <c r="K1566" s="533">
        <v>5830.83</v>
      </c>
      <c r="L1566" s="533"/>
      <c r="M1566" s="533">
        <v>1094.83</v>
      </c>
      <c r="N1566" s="533"/>
      <c r="O1566" s="533">
        <v>0</v>
      </c>
      <c r="P1566" s="533"/>
      <c r="Q1566" s="533">
        <v>0</v>
      </c>
      <c r="R1566" s="533"/>
      <c r="S1566" s="1">
        <v>50</v>
      </c>
      <c r="T1566" s="2" t="s">
        <v>289</v>
      </c>
      <c r="U1566" s="533">
        <v>229</v>
      </c>
      <c r="V1566" s="533"/>
      <c r="W1566" s="533">
        <v>865.83</v>
      </c>
      <c r="X1566" s="533"/>
    </row>
    <row r="1567" spans="1:24" ht="0.75" customHeight="1" x14ac:dyDescent="0.2"/>
    <row r="1568" spans="1:24" ht="13.5" customHeight="1" x14ac:dyDescent="0.2">
      <c r="A1568" s="530" t="s">
        <v>1409</v>
      </c>
      <c r="B1568" s="530"/>
      <c r="C1568" s="531" t="s">
        <v>1410</v>
      </c>
      <c r="D1568" s="531"/>
      <c r="E1568" s="531"/>
      <c r="F1568" s="531"/>
      <c r="G1568" s="531"/>
      <c r="I1568" s="532">
        <v>42384</v>
      </c>
      <c r="J1568" s="532"/>
      <c r="K1568" s="533">
        <v>3158.7400000000002</v>
      </c>
      <c r="L1568" s="533"/>
      <c r="M1568" s="533">
        <v>607.74</v>
      </c>
      <c r="N1568" s="533"/>
      <c r="O1568" s="533">
        <v>0</v>
      </c>
      <c r="P1568" s="533"/>
      <c r="Q1568" s="533">
        <v>0</v>
      </c>
      <c r="R1568" s="533"/>
      <c r="S1568" s="1">
        <v>50</v>
      </c>
      <c r="T1568" s="2" t="s">
        <v>289</v>
      </c>
      <c r="U1568" s="533">
        <v>127</v>
      </c>
      <c r="V1568" s="533"/>
      <c r="W1568" s="533">
        <v>480.74</v>
      </c>
      <c r="X1568" s="533"/>
    </row>
    <row r="1569" spans="1:24" ht="0.75" customHeight="1" x14ac:dyDescent="0.2"/>
    <row r="1570" spans="1:24" ht="13.5" customHeight="1" x14ac:dyDescent="0.2">
      <c r="A1570" s="530" t="s">
        <v>1411</v>
      </c>
      <c r="B1570" s="530"/>
      <c r="C1570" s="531" t="s">
        <v>1412</v>
      </c>
      <c r="D1570" s="531"/>
      <c r="E1570" s="531"/>
      <c r="F1570" s="531"/>
      <c r="G1570" s="531"/>
      <c r="I1570" s="532">
        <v>42384</v>
      </c>
      <c r="J1570" s="532"/>
      <c r="K1570" s="533">
        <v>2923.61</v>
      </c>
      <c r="L1570" s="533"/>
      <c r="M1570" s="533">
        <v>562.61</v>
      </c>
      <c r="N1570" s="533"/>
      <c r="O1570" s="533">
        <v>0</v>
      </c>
      <c r="P1570" s="533"/>
      <c r="Q1570" s="533">
        <v>0</v>
      </c>
      <c r="R1570" s="533"/>
      <c r="S1570" s="1">
        <v>50</v>
      </c>
      <c r="T1570" s="2" t="s">
        <v>289</v>
      </c>
      <c r="U1570" s="533">
        <v>118</v>
      </c>
      <c r="V1570" s="533"/>
      <c r="W1570" s="533">
        <v>444.61</v>
      </c>
      <c r="X1570" s="533"/>
    </row>
    <row r="1571" spans="1:24" ht="0.75" customHeight="1" x14ac:dyDescent="0.2"/>
    <row r="1572" spans="1:24" ht="13.5" customHeight="1" x14ac:dyDescent="0.2">
      <c r="A1572" s="530" t="s">
        <v>1413</v>
      </c>
      <c r="B1572" s="530"/>
      <c r="C1572" s="531" t="s">
        <v>1414</v>
      </c>
      <c r="D1572" s="531"/>
      <c r="E1572" s="531"/>
      <c r="F1572" s="531"/>
      <c r="G1572" s="531"/>
      <c r="I1572" s="532">
        <v>42397</v>
      </c>
      <c r="J1572" s="532"/>
      <c r="K1572" s="533">
        <v>25404.3</v>
      </c>
      <c r="L1572" s="533"/>
      <c r="M1572" s="533">
        <v>5002.3</v>
      </c>
      <c r="N1572" s="533"/>
      <c r="O1572" s="533">
        <v>0</v>
      </c>
      <c r="P1572" s="533"/>
      <c r="Q1572" s="533">
        <v>0</v>
      </c>
      <c r="R1572" s="533"/>
      <c r="S1572" s="1">
        <v>50</v>
      </c>
      <c r="T1572" s="2" t="s">
        <v>289</v>
      </c>
      <c r="U1572" s="533">
        <v>1048</v>
      </c>
      <c r="V1572" s="533"/>
      <c r="W1572" s="533">
        <v>3954.3</v>
      </c>
      <c r="X1572" s="533"/>
    </row>
    <row r="1573" spans="1:24" ht="0.75" customHeight="1" x14ac:dyDescent="0.2"/>
    <row r="1574" spans="1:24" ht="13.5" customHeight="1" x14ac:dyDescent="0.2">
      <c r="A1574" s="530" t="s">
        <v>1415</v>
      </c>
      <c r="B1574" s="530"/>
      <c r="C1574" s="531" t="s">
        <v>1416</v>
      </c>
      <c r="D1574" s="531"/>
      <c r="E1574" s="531"/>
      <c r="F1574" s="531"/>
      <c r="G1574" s="531"/>
      <c r="I1574" s="532">
        <v>42397</v>
      </c>
      <c r="J1574" s="532"/>
      <c r="K1574" s="533">
        <v>6241.95</v>
      </c>
      <c r="L1574" s="533"/>
      <c r="M1574" s="533">
        <v>1229.95</v>
      </c>
      <c r="N1574" s="533"/>
      <c r="O1574" s="533">
        <v>0</v>
      </c>
      <c r="P1574" s="533"/>
      <c r="Q1574" s="533">
        <v>0</v>
      </c>
      <c r="R1574" s="533"/>
      <c r="S1574" s="1">
        <v>50</v>
      </c>
      <c r="T1574" s="2" t="s">
        <v>289</v>
      </c>
      <c r="U1574" s="533">
        <v>258</v>
      </c>
      <c r="V1574" s="533"/>
      <c r="W1574" s="533">
        <v>971.95</v>
      </c>
      <c r="X1574" s="533"/>
    </row>
    <row r="1575" spans="1:24" ht="0.75" customHeight="1" x14ac:dyDescent="0.2"/>
    <row r="1576" spans="1:24" ht="13.5" customHeight="1" x14ac:dyDescent="0.2">
      <c r="A1576" s="530" t="s">
        <v>1417</v>
      </c>
      <c r="B1576" s="530"/>
      <c r="C1576" s="531" t="s">
        <v>1418</v>
      </c>
      <c r="D1576" s="531"/>
      <c r="E1576" s="531"/>
      <c r="F1576" s="531"/>
      <c r="G1576" s="531"/>
      <c r="I1576" s="532">
        <v>42404</v>
      </c>
      <c r="J1576" s="532"/>
      <c r="K1576" s="533">
        <v>57278.04</v>
      </c>
      <c r="L1576" s="533"/>
      <c r="M1576" s="533">
        <v>11416.04</v>
      </c>
      <c r="N1576" s="533"/>
      <c r="O1576" s="533">
        <v>0</v>
      </c>
      <c r="P1576" s="533"/>
      <c r="Q1576" s="533">
        <v>0</v>
      </c>
      <c r="R1576" s="533"/>
      <c r="S1576" s="1">
        <v>50</v>
      </c>
      <c r="T1576" s="2" t="s">
        <v>289</v>
      </c>
      <c r="U1576" s="533">
        <v>2393</v>
      </c>
      <c r="V1576" s="533"/>
      <c r="W1576" s="533">
        <v>9023.0400000000009</v>
      </c>
      <c r="X1576" s="533"/>
    </row>
    <row r="1577" spans="1:24" ht="0.75" customHeight="1" x14ac:dyDescent="0.2"/>
    <row r="1578" spans="1:24" ht="13.5" customHeight="1" x14ac:dyDescent="0.2">
      <c r="A1578" s="530" t="s">
        <v>1419</v>
      </c>
      <c r="B1578" s="530"/>
      <c r="C1578" s="531" t="s">
        <v>1420</v>
      </c>
      <c r="D1578" s="531"/>
      <c r="E1578" s="531"/>
      <c r="F1578" s="531"/>
      <c r="G1578" s="531"/>
      <c r="I1578" s="532">
        <v>42404</v>
      </c>
      <c r="J1578" s="532"/>
      <c r="K1578" s="533">
        <v>4363.3900000000003</v>
      </c>
      <c r="L1578" s="533"/>
      <c r="M1578" s="533">
        <v>869.39</v>
      </c>
      <c r="N1578" s="533"/>
      <c r="O1578" s="533">
        <v>0</v>
      </c>
      <c r="P1578" s="533"/>
      <c r="Q1578" s="533">
        <v>0</v>
      </c>
      <c r="R1578" s="533"/>
      <c r="S1578" s="1">
        <v>50</v>
      </c>
      <c r="T1578" s="2" t="s">
        <v>289</v>
      </c>
      <c r="U1578" s="533">
        <v>182</v>
      </c>
      <c r="V1578" s="533"/>
      <c r="W1578" s="533">
        <v>687.39</v>
      </c>
      <c r="X1578" s="533"/>
    </row>
    <row r="1579" spans="1:24" ht="0.75" customHeight="1" x14ac:dyDescent="0.2"/>
    <row r="1580" spans="1:24" ht="13.5" customHeight="1" x14ac:dyDescent="0.2">
      <c r="A1580" s="530" t="s">
        <v>1421</v>
      </c>
      <c r="B1580" s="530"/>
      <c r="C1580" s="531" t="s">
        <v>1422</v>
      </c>
      <c r="D1580" s="531"/>
      <c r="E1580" s="531"/>
      <c r="F1580" s="531"/>
      <c r="G1580" s="531"/>
      <c r="I1580" s="532">
        <v>42404</v>
      </c>
      <c r="J1580" s="532"/>
      <c r="K1580" s="533">
        <v>6725</v>
      </c>
      <c r="L1580" s="533"/>
      <c r="M1580" s="533">
        <v>1340</v>
      </c>
      <c r="N1580" s="533"/>
      <c r="O1580" s="533">
        <v>0</v>
      </c>
      <c r="P1580" s="533"/>
      <c r="Q1580" s="533">
        <v>0</v>
      </c>
      <c r="R1580" s="533"/>
      <c r="S1580" s="1">
        <v>50</v>
      </c>
      <c r="T1580" s="2" t="s">
        <v>289</v>
      </c>
      <c r="U1580" s="533">
        <v>281</v>
      </c>
      <c r="V1580" s="533"/>
      <c r="W1580" s="533">
        <v>1059</v>
      </c>
      <c r="X1580" s="533"/>
    </row>
    <row r="1581" spans="1:24" ht="0.75" customHeight="1" x14ac:dyDescent="0.2"/>
    <row r="1582" spans="1:24" ht="13.5" customHeight="1" x14ac:dyDescent="0.2">
      <c r="A1582" s="530" t="s">
        <v>1423</v>
      </c>
      <c r="B1582" s="530"/>
      <c r="C1582" s="531" t="s">
        <v>1424</v>
      </c>
      <c r="D1582" s="531"/>
      <c r="E1582" s="531"/>
      <c r="F1582" s="531"/>
      <c r="G1582" s="531"/>
      <c r="I1582" s="532">
        <v>42404</v>
      </c>
      <c r="J1582" s="532"/>
      <c r="K1582" s="533">
        <v>2327.27</v>
      </c>
      <c r="L1582" s="533"/>
      <c r="M1582" s="533">
        <v>463.27</v>
      </c>
      <c r="N1582" s="533"/>
      <c r="O1582" s="533">
        <v>0</v>
      </c>
      <c r="P1582" s="533"/>
      <c r="Q1582" s="533">
        <v>0</v>
      </c>
      <c r="R1582" s="533"/>
      <c r="S1582" s="1">
        <v>50</v>
      </c>
      <c r="T1582" s="2" t="s">
        <v>289</v>
      </c>
      <c r="U1582" s="533">
        <v>97</v>
      </c>
      <c r="V1582" s="533"/>
      <c r="W1582" s="533">
        <v>366.27</v>
      </c>
      <c r="X1582" s="533"/>
    </row>
    <row r="1583" spans="1:24" ht="0.75" customHeight="1" x14ac:dyDescent="0.2"/>
    <row r="1584" spans="1:24" ht="13.5" customHeight="1" x14ac:dyDescent="0.2">
      <c r="A1584" s="530" t="s">
        <v>1425</v>
      </c>
      <c r="B1584" s="530"/>
      <c r="C1584" s="531" t="s">
        <v>1426</v>
      </c>
      <c r="D1584" s="531"/>
      <c r="E1584" s="531"/>
      <c r="F1584" s="531"/>
      <c r="G1584" s="531"/>
      <c r="I1584" s="532">
        <v>42415</v>
      </c>
      <c r="J1584" s="532"/>
      <c r="K1584" s="533">
        <v>20627.45</v>
      </c>
      <c r="L1584" s="533"/>
      <c r="M1584" s="533">
        <v>4189.45</v>
      </c>
      <c r="N1584" s="533"/>
      <c r="O1584" s="533">
        <v>0</v>
      </c>
      <c r="P1584" s="533"/>
      <c r="Q1584" s="533">
        <v>0</v>
      </c>
      <c r="R1584" s="533"/>
      <c r="S1584" s="1">
        <v>50</v>
      </c>
      <c r="T1584" s="2" t="s">
        <v>289</v>
      </c>
      <c r="U1584" s="533">
        <v>878</v>
      </c>
      <c r="V1584" s="533"/>
      <c r="W1584" s="533">
        <v>3311.4500000000003</v>
      </c>
      <c r="X1584" s="533"/>
    </row>
    <row r="1585" spans="1:24" ht="0.75" customHeight="1" x14ac:dyDescent="0.2"/>
    <row r="1586" spans="1:24" ht="13.5" customHeight="1" x14ac:dyDescent="0.2">
      <c r="A1586" s="530" t="s">
        <v>1427</v>
      </c>
      <c r="B1586" s="530"/>
      <c r="C1586" s="531" t="s">
        <v>1428</v>
      </c>
      <c r="D1586" s="531"/>
      <c r="E1586" s="531"/>
      <c r="F1586" s="531"/>
      <c r="G1586" s="531"/>
      <c r="I1586" s="532">
        <v>42424</v>
      </c>
      <c r="J1586" s="532"/>
      <c r="K1586" s="533">
        <v>1455.5</v>
      </c>
      <c r="L1586" s="533"/>
      <c r="M1586" s="533">
        <v>300.5</v>
      </c>
      <c r="N1586" s="533"/>
      <c r="O1586" s="533">
        <v>0</v>
      </c>
      <c r="P1586" s="533"/>
      <c r="Q1586" s="533">
        <v>0</v>
      </c>
      <c r="R1586" s="533"/>
      <c r="S1586" s="1">
        <v>50</v>
      </c>
      <c r="T1586" s="2" t="s">
        <v>289</v>
      </c>
      <c r="U1586" s="533">
        <v>63</v>
      </c>
      <c r="V1586" s="533"/>
      <c r="W1586" s="533">
        <v>237.5</v>
      </c>
      <c r="X1586" s="533"/>
    </row>
    <row r="1587" spans="1:24" ht="0.75" customHeight="1" x14ac:dyDescent="0.2"/>
    <row r="1588" spans="1:24" ht="13.5" customHeight="1" x14ac:dyDescent="0.2">
      <c r="A1588" s="530" t="s">
        <v>1429</v>
      </c>
      <c r="B1588" s="530"/>
      <c r="C1588" s="531" t="s">
        <v>1408</v>
      </c>
      <c r="D1588" s="531"/>
      <c r="E1588" s="531"/>
      <c r="F1588" s="531"/>
      <c r="G1588" s="531"/>
      <c r="I1588" s="532">
        <v>42426</v>
      </c>
      <c r="J1588" s="532"/>
      <c r="K1588" s="533">
        <v>5800</v>
      </c>
      <c r="L1588" s="533"/>
      <c r="M1588" s="533">
        <v>1199</v>
      </c>
      <c r="N1588" s="533"/>
      <c r="O1588" s="533">
        <v>0</v>
      </c>
      <c r="P1588" s="533"/>
      <c r="Q1588" s="533">
        <v>0</v>
      </c>
      <c r="R1588" s="533"/>
      <c r="S1588" s="1">
        <v>50</v>
      </c>
      <c r="T1588" s="2" t="s">
        <v>289</v>
      </c>
      <c r="U1588" s="533">
        <v>251</v>
      </c>
      <c r="V1588" s="533"/>
      <c r="W1588" s="533">
        <v>948</v>
      </c>
      <c r="X1588" s="533"/>
    </row>
    <row r="1589" spans="1:24" ht="0.75" customHeight="1" x14ac:dyDescent="0.2"/>
    <row r="1590" spans="1:24" ht="13.5" customHeight="1" x14ac:dyDescent="0.2">
      <c r="A1590" s="530" t="s">
        <v>1430</v>
      </c>
      <c r="B1590" s="530"/>
      <c r="C1590" s="531" t="s">
        <v>1431</v>
      </c>
      <c r="D1590" s="531"/>
      <c r="E1590" s="531"/>
      <c r="F1590" s="531"/>
      <c r="G1590" s="531"/>
      <c r="I1590" s="532">
        <v>42426</v>
      </c>
      <c r="J1590" s="532"/>
      <c r="K1590" s="533">
        <v>12272</v>
      </c>
      <c r="L1590" s="533"/>
      <c r="M1590" s="533">
        <v>2538</v>
      </c>
      <c r="N1590" s="533"/>
      <c r="O1590" s="533">
        <v>0</v>
      </c>
      <c r="P1590" s="533"/>
      <c r="Q1590" s="533">
        <v>0</v>
      </c>
      <c r="R1590" s="533"/>
      <c r="S1590" s="1">
        <v>50</v>
      </c>
      <c r="T1590" s="2" t="s">
        <v>289</v>
      </c>
      <c r="U1590" s="533">
        <v>532</v>
      </c>
      <c r="V1590" s="533"/>
      <c r="W1590" s="533">
        <v>2006</v>
      </c>
      <c r="X1590" s="533"/>
    </row>
    <row r="1591" spans="1:24" ht="0.75" customHeight="1" x14ac:dyDescent="0.2"/>
    <row r="1592" spans="1:24" ht="13.5" customHeight="1" x14ac:dyDescent="0.2">
      <c r="A1592" s="530" t="s">
        <v>1432</v>
      </c>
      <c r="B1592" s="530"/>
      <c r="C1592" s="531" t="s">
        <v>1433</v>
      </c>
      <c r="D1592" s="531"/>
      <c r="E1592" s="531"/>
      <c r="F1592" s="531"/>
      <c r="G1592" s="531"/>
      <c r="I1592" s="532">
        <v>42426</v>
      </c>
      <c r="J1592" s="532"/>
      <c r="K1592" s="533">
        <v>1487.7</v>
      </c>
      <c r="L1592" s="533"/>
      <c r="M1592" s="533">
        <v>307.7</v>
      </c>
      <c r="N1592" s="533"/>
      <c r="O1592" s="533">
        <v>0</v>
      </c>
      <c r="P1592" s="533"/>
      <c r="Q1592" s="533">
        <v>0</v>
      </c>
      <c r="R1592" s="533"/>
      <c r="S1592" s="1">
        <v>50</v>
      </c>
      <c r="T1592" s="2" t="s">
        <v>289</v>
      </c>
      <c r="U1592" s="533">
        <v>64</v>
      </c>
      <c r="V1592" s="533"/>
      <c r="W1592" s="533">
        <v>243.70000000000002</v>
      </c>
      <c r="X1592" s="533"/>
    </row>
    <row r="1593" spans="1:24" ht="0.75" customHeight="1" x14ac:dyDescent="0.2"/>
    <row r="1594" spans="1:24" ht="13.5" customHeight="1" x14ac:dyDescent="0.2">
      <c r="A1594" s="530" t="s">
        <v>1434</v>
      </c>
      <c r="B1594" s="530"/>
      <c r="C1594" s="531" t="s">
        <v>1435</v>
      </c>
      <c r="D1594" s="531"/>
      <c r="E1594" s="531"/>
      <c r="F1594" s="531"/>
      <c r="G1594" s="531"/>
      <c r="I1594" s="532">
        <v>42427</v>
      </c>
      <c r="J1594" s="532"/>
      <c r="K1594" s="533">
        <v>4556.4400000000005</v>
      </c>
      <c r="L1594" s="533"/>
      <c r="M1594" s="533">
        <v>944.44</v>
      </c>
      <c r="N1594" s="533"/>
      <c r="O1594" s="533">
        <v>0</v>
      </c>
      <c r="P1594" s="533"/>
      <c r="Q1594" s="533">
        <v>0</v>
      </c>
      <c r="R1594" s="533"/>
      <c r="S1594" s="1">
        <v>50</v>
      </c>
      <c r="T1594" s="2" t="s">
        <v>289</v>
      </c>
      <c r="U1594" s="533">
        <v>198</v>
      </c>
      <c r="V1594" s="533"/>
      <c r="W1594" s="533">
        <v>746.44</v>
      </c>
      <c r="X1594" s="533"/>
    </row>
    <row r="1595" spans="1:24" ht="0.75" customHeight="1" x14ac:dyDescent="0.2"/>
    <row r="1596" spans="1:24" ht="13.5" customHeight="1" x14ac:dyDescent="0.2">
      <c r="A1596" s="530" t="s">
        <v>1436</v>
      </c>
      <c r="B1596" s="530"/>
      <c r="C1596" s="531" t="s">
        <v>1437</v>
      </c>
      <c r="D1596" s="531"/>
      <c r="E1596" s="531"/>
      <c r="F1596" s="531"/>
      <c r="G1596" s="531"/>
      <c r="I1596" s="532">
        <v>42427</v>
      </c>
      <c r="J1596" s="532"/>
      <c r="K1596" s="533">
        <v>1362.9</v>
      </c>
      <c r="L1596" s="533"/>
      <c r="M1596" s="533">
        <v>282.90000000000003</v>
      </c>
      <c r="N1596" s="533"/>
      <c r="O1596" s="533">
        <v>0</v>
      </c>
      <c r="P1596" s="533"/>
      <c r="Q1596" s="533">
        <v>0</v>
      </c>
      <c r="R1596" s="533"/>
      <c r="S1596" s="1">
        <v>50</v>
      </c>
      <c r="T1596" s="2" t="s">
        <v>289</v>
      </c>
      <c r="U1596" s="533">
        <v>59</v>
      </c>
      <c r="V1596" s="533"/>
      <c r="W1596" s="533">
        <v>223.9</v>
      </c>
      <c r="X1596" s="533"/>
    </row>
    <row r="1597" spans="1:24" ht="0.75" customHeight="1" x14ac:dyDescent="0.2"/>
    <row r="1598" spans="1:24" ht="13.5" customHeight="1" x14ac:dyDescent="0.2">
      <c r="A1598" s="530" t="s">
        <v>1438</v>
      </c>
      <c r="B1598" s="530"/>
      <c r="C1598" s="531" t="s">
        <v>1439</v>
      </c>
      <c r="D1598" s="531"/>
      <c r="E1598" s="531"/>
      <c r="F1598" s="531"/>
      <c r="G1598" s="531"/>
      <c r="I1598" s="532">
        <v>42427</v>
      </c>
      <c r="J1598" s="532"/>
      <c r="K1598" s="533">
        <v>15967.7</v>
      </c>
      <c r="L1598" s="533"/>
      <c r="M1598" s="533">
        <v>3308.7000000000003</v>
      </c>
      <c r="N1598" s="533"/>
      <c r="O1598" s="533">
        <v>0</v>
      </c>
      <c r="P1598" s="533"/>
      <c r="Q1598" s="533">
        <v>0</v>
      </c>
      <c r="R1598" s="533"/>
      <c r="S1598" s="1">
        <v>50</v>
      </c>
      <c r="T1598" s="2" t="s">
        <v>289</v>
      </c>
      <c r="U1598" s="533">
        <v>693</v>
      </c>
      <c r="V1598" s="533"/>
      <c r="W1598" s="533">
        <v>2615.7000000000003</v>
      </c>
      <c r="X1598" s="533"/>
    </row>
    <row r="1599" spans="1:24" ht="0.75" customHeight="1" x14ac:dyDescent="0.2"/>
    <row r="1600" spans="1:24" ht="13.5" customHeight="1" x14ac:dyDescent="0.2">
      <c r="A1600" s="530" t="s">
        <v>1440</v>
      </c>
      <c r="B1600" s="530"/>
      <c r="C1600" s="531" t="s">
        <v>1441</v>
      </c>
      <c r="D1600" s="531"/>
      <c r="E1600" s="531"/>
      <c r="F1600" s="531"/>
      <c r="G1600" s="531"/>
      <c r="I1600" s="532">
        <v>42427</v>
      </c>
      <c r="J1600" s="532"/>
      <c r="K1600" s="533">
        <v>1596.77</v>
      </c>
      <c r="L1600" s="533"/>
      <c r="M1600" s="533">
        <v>330.77</v>
      </c>
      <c r="N1600" s="533"/>
      <c r="O1600" s="533">
        <v>0</v>
      </c>
      <c r="P1600" s="533"/>
      <c r="Q1600" s="533">
        <v>0</v>
      </c>
      <c r="R1600" s="533"/>
      <c r="S1600" s="1">
        <v>50</v>
      </c>
      <c r="T1600" s="2" t="s">
        <v>289</v>
      </c>
      <c r="U1600" s="533">
        <v>69</v>
      </c>
      <c r="V1600" s="533"/>
      <c r="W1600" s="533">
        <v>261.77</v>
      </c>
      <c r="X1600" s="533"/>
    </row>
    <row r="1601" spans="1:24" ht="0.75" customHeight="1" x14ac:dyDescent="0.2"/>
    <row r="1602" spans="1:24" ht="13.5" customHeight="1" x14ac:dyDescent="0.2">
      <c r="A1602" s="530" t="s">
        <v>1442</v>
      </c>
      <c r="B1602" s="530"/>
      <c r="C1602" s="531" t="s">
        <v>1443</v>
      </c>
      <c r="D1602" s="531"/>
      <c r="E1602" s="531"/>
      <c r="F1602" s="531"/>
      <c r="G1602" s="531"/>
      <c r="I1602" s="532">
        <v>42427</v>
      </c>
      <c r="J1602" s="532"/>
      <c r="K1602" s="533">
        <v>8839</v>
      </c>
      <c r="L1602" s="533"/>
      <c r="M1602" s="533">
        <v>1831.72</v>
      </c>
      <c r="N1602" s="533"/>
      <c r="O1602" s="533">
        <v>0</v>
      </c>
      <c r="P1602" s="533"/>
      <c r="Q1602" s="533">
        <v>0</v>
      </c>
      <c r="R1602" s="533"/>
      <c r="S1602" s="1">
        <v>50</v>
      </c>
      <c r="T1602" s="2" t="s">
        <v>289</v>
      </c>
      <c r="U1602" s="533">
        <v>384</v>
      </c>
      <c r="V1602" s="533"/>
      <c r="W1602" s="533">
        <v>1447.72</v>
      </c>
      <c r="X1602" s="533"/>
    </row>
    <row r="1603" spans="1:24" ht="0.75" customHeight="1" x14ac:dyDescent="0.2"/>
    <row r="1604" spans="1:24" ht="13.5" customHeight="1" x14ac:dyDescent="0.2">
      <c r="A1604" s="530" t="s">
        <v>1444</v>
      </c>
      <c r="B1604" s="530"/>
      <c r="C1604" s="525" t="s">
        <v>1445</v>
      </c>
      <c r="D1604" s="525"/>
      <c r="E1604" s="525"/>
      <c r="F1604" s="525"/>
      <c r="G1604" s="525"/>
      <c r="I1604" s="532">
        <v>42460</v>
      </c>
      <c r="J1604" s="532"/>
      <c r="K1604" s="533">
        <v>44000</v>
      </c>
      <c r="L1604" s="533"/>
      <c r="M1604" s="533">
        <v>9613</v>
      </c>
      <c r="N1604" s="533"/>
      <c r="O1604" s="533">
        <v>0</v>
      </c>
      <c r="P1604" s="533"/>
      <c r="Q1604" s="533">
        <v>0</v>
      </c>
      <c r="R1604" s="533"/>
      <c r="S1604" s="1">
        <v>50</v>
      </c>
      <c r="T1604" s="2" t="s">
        <v>289</v>
      </c>
      <c r="U1604" s="533">
        <v>2015</v>
      </c>
      <c r="V1604" s="533"/>
      <c r="W1604" s="533">
        <v>7598</v>
      </c>
      <c r="X1604" s="533"/>
    </row>
    <row r="1605" spans="1:24" ht="12" customHeight="1" x14ac:dyDescent="0.2">
      <c r="C1605" s="525"/>
      <c r="D1605" s="525"/>
      <c r="E1605" s="525"/>
      <c r="F1605" s="525"/>
      <c r="G1605" s="525"/>
    </row>
    <row r="1606" spans="1:24" ht="13.5" customHeight="1" x14ac:dyDescent="0.2">
      <c r="A1606" s="530" t="s">
        <v>1446</v>
      </c>
      <c r="B1606" s="530"/>
      <c r="C1606" s="531" t="s">
        <v>1447</v>
      </c>
      <c r="D1606" s="531"/>
      <c r="E1606" s="531"/>
      <c r="F1606" s="531"/>
      <c r="G1606" s="531"/>
      <c r="I1606" s="532">
        <v>42500</v>
      </c>
      <c r="J1606" s="532"/>
      <c r="K1606" s="533">
        <v>4611.78</v>
      </c>
      <c r="L1606" s="533"/>
      <c r="M1606" s="533">
        <v>1070.78</v>
      </c>
      <c r="N1606" s="533"/>
      <c r="O1606" s="533">
        <v>0</v>
      </c>
      <c r="P1606" s="533"/>
      <c r="Q1606" s="533">
        <v>0</v>
      </c>
      <c r="R1606" s="533"/>
      <c r="S1606" s="1">
        <v>50</v>
      </c>
      <c r="T1606" s="2" t="s">
        <v>289</v>
      </c>
      <c r="U1606" s="533">
        <v>224</v>
      </c>
      <c r="V1606" s="533"/>
      <c r="W1606" s="533">
        <v>846.78</v>
      </c>
      <c r="X1606" s="533"/>
    </row>
    <row r="1607" spans="1:24" ht="15" customHeight="1" x14ac:dyDescent="0.2">
      <c r="A1607" s="534" t="s">
        <v>1141</v>
      </c>
      <c r="B1607" s="534"/>
      <c r="D1607" s="534" t="s">
        <v>1142</v>
      </c>
      <c r="E1607" s="534"/>
      <c r="F1607" s="534"/>
      <c r="G1607" s="534"/>
      <c r="H1607" s="534"/>
      <c r="I1607" s="534"/>
      <c r="J1607" s="534"/>
      <c r="K1607" s="534"/>
      <c r="L1607" s="534"/>
      <c r="M1607" s="534"/>
      <c r="N1607" s="534"/>
      <c r="O1607" s="534"/>
      <c r="P1607" s="534"/>
      <c r="Q1607" s="534"/>
      <c r="R1607" s="534"/>
      <c r="S1607" s="534"/>
      <c r="T1607" s="534"/>
      <c r="U1607" s="534"/>
      <c r="V1607" s="534"/>
    </row>
    <row r="1608" spans="1:24" ht="0.75" customHeight="1" x14ac:dyDescent="0.2"/>
    <row r="1609" spans="1:24" ht="13.5" customHeight="1" x14ac:dyDescent="0.2">
      <c r="A1609" s="530" t="s">
        <v>1448</v>
      </c>
      <c r="B1609" s="530"/>
      <c r="C1609" s="525" t="s">
        <v>1449</v>
      </c>
      <c r="D1609" s="525"/>
      <c r="E1609" s="525"/>
      <c r="F1609" s="525"/>
      <c r="G1609" s="525"/>
      <c r="I1609" s="532">
        <v>42520</v>
      </c>
      <c r="J1609" s="532"/>
      <c r="K1609" s="533">
        <v>14690</v>
      </c>
      <c r="L1609" s="533"/>
      <c r="M1609" s="533">
        <v>3511.5702000000001</v>
      </c>
      <c r="N1609" s="533"/>
      <c r="O1609" s="533">
        <v>0</v>
      </c>
      <c r="P1609" s="533"/>
      <c r="Q1609" s="533">
        <v>0</v>
      </c>
      <c r="R1609" s="533"/>
      <c r="S1609" s="1">
        <v>50</v>
      </c>
      <c r="T1609" s="2" t="s">
        <v>289</v>
      </c>
      <c r="U1609" s="533">
        <v>736</v>
      </c>
      <c r="V1609" s="533"/>
      <c r="W1609" s="533">
        <v>2775.5702000000001</v>
      </c>
      <c r="X1609" s="533"/>
    </row>
    <row r="1610" spans="1:24" ht="12" customHeight="1" x14ac:dyDescent="0.2">
      <c r="C1610" s="525"/>
      <c r="D1610" s="525"/>
      <c r="E1610" s="525"/>
      <c r="F1610" s="525"/>
      <c r="G1610" s="525"/>
    </row>
    <row r="1611" spans="1:24" ht="13.5" customHeight="1" x14ac:dyDescent="0.2">
      <c r="A1611" s="530" t="s">
        <v>1450</v>
      </c>
      <c r="B1611" s="530"/>
      <c r="C1611" s="525" t="s">
        <v>1451</v>
      </c>
      <c r="D1611" s="525"/>
      <c r="E1611" s="525"/>
      <c r="F1611" s="525"/>
      <c r="G1611" s="525"/>
      <c r="I1611" s="532">
        <v>42520</v>
      </c>
      <c r="J1611" s="532"/>
      <c r="K1611" s="533">
        <v>32500</v>
      </c>
      <c r="L1611" s="533"/>
      <c r="M1611" s="533">
        <v>7768</v>
      </c>
      <c r="N1611" s="533"/>
      <c r="O1611" s="533">
        <v>0</v>
      </c>
      <c r="P1611" s="533"/>
      <c r="Q1611" s="533">
        <v>0</v>
      </c>
      <c r="R1611" s="533"/>
      <c r="S1611" s="1">
        <v>50</v>
      </c>
      <c r="T1611" s="2" t="s">
        <v>289</v>
      </c>
      <c r="U1611" s="533">
        <v>1628</v>
      </c>
      <c r="V1611" s="533"/>
      <c r="W1611" s="533">
        <v>6140</v>
      </c>
      <c r="X1611" s="533"/>
    </row>
    <row r="1612" spans="1:24" ht="12" customHeight="1" x14ac:dyDescent="0.2">
      <c r="C1612" s="525"/>
      <c r="D1612" s="525"/>
      <c r="E1612" s="525"/>
      <c r="F1612" s="525"/>
      <c r="G1612" s="525"/>
    </row>
    <row r="1613" spans="1:24" ht="13.5" customHeight="1" x14ac:dyDescent="0.2">
      <c r="A1613" s="530" t="s">
        <v>1452</v>
      </c>
      <c r="B1613" s="530"/>
      <c r="C1613" s="531" t="s">
        <v>1453</v>
      </c>
      <c r="D1613" s="531"/>
      <c r="E1613" s="531"/>
      <c r="F1613" s="531"/>
      <c r="G1613" s="531"/>
      <c r="I1613" s="532">
        <v>42780</v>
      </c>
      <c r="J1613" s="532"/>
      <c r="K1613" s="533">
        <v>2740</v>
      </c>
      <c r="L1613" s="533"/>
      <c r="M1613" s="533">
        <v>1113</v>
      </c>
      <c r="N1613" s="533"/>
      <c r="O1613" s="533">
        <v>0</v>
      </c>
      <c r="P1613" s="533"/>
      <c r="Q1613" s="533">
        <v>0</v>
      </c>
      <c r="R1613" s="533"/>
      <c r="S1613" s="1">
        <v>50</v>
      </c>
      <c r="T1613" s="2" t="s">
        <v>289</v>
      </c>
      <c r="U1613" s="533">
        <v>233</v>
      </c>
      <c r="V1613" s="533"/>
      <c r="W1613" s="533">
        <v>880</v>
      </c>
      <c r="X1613" s="533"/>
    </row>
    <row r="1614" spans="1:24" ht="0.75" customHeight="1" x14ac:dyDescent="0.2"/>
    <row r="1615" spans="1:24" ht="13.5" customHeight="1" x14ac:dyDescent="0.2">
      <c r="A1615" s="530" t="s">
        <v>1454</v>
      </c>
      <c r="B1615" s="530"/>
      <c r="C1615" s="531" t="s">
        <v>1455</v>
      </c>
      <c r="D1615" s="531"/>
      <c r="E1615" s="531"/>
      <c r="F1615" s="531"/>
      <c r="G1615" s="531"/>
      <c r="I1615" s="532">
        <v>42823</v>
      </c>
      <c r="J1615" s="532"/>
      <c r="K1615" s="533">
        <v>2566</v>
      </c>
      <c r="L1615" s="533"/>
      <c r="M1615" s="533">
        <v>1118</v>
      </c>
      <c r="N1615" s="533"/>
      <c r="O1615" s="533">
        <v>0</v>
      </c>
      <c r="P1615" s="533"/>
      <c r="Q1615" s="533">
        <v>0</v>
      </c>
      <c r="R1615" s="533"/>
      <c r="S1615" s="1">
        <v>50</v>
      </c>
      <c r="T1615" s="2" t="s">
        <v>289</v>
      </c>
      <c r="U1615" s="533">
        <v>234</v>
      </c>
      <c r="V1615" s="533"/>
      <c r="W1615" s="533">
        <v>884</v>
      </c>
      <c r="X1615" s="533"/>
    </row>
    <row r="1616" spans="1:24" ht="0.75" customHeight="1" x14ac:dyDescent="0.2"/>
    <row r="1617" spans="1:24" ht="13.5" customHeight="1" x14ac:dyDescent="0.2">
      <c r="A1617" s="530" t="s">
        <v>1456</v>
      </c>
      <c r="B1617" s="530"/>
      <c r="C1617" s="531" t="s">
        <v>1457</v>
      </c>
      <c r="D1617" s="531"/>
      <c r="E1617" s="531"/>
      <c r="F1617" s="531"/>
      <c r="G1617" s="531"/>
      <c r="I1617" s="532">
        <v>42823</v>
      </c>
      <c r="J1617" s="532"/>
      <c r="K1617" s="533">
        <v>2380</v>
      </c>
      <c r="L1617" s="533"/>
      <c r="M1617" s="533">
        <v>1037</v>
      </c>
      <c r="N1617" s="533"/>
      <c r="O1617" s="533">
        <v>0</v>
      </c>
      <c r="P1617" s="533"/>
      <c r="Q1617" s="533">
        <v>0</v>
      </c>
      <c r="R1617" s="533"/>
      <c r="S1617" s="1">
        <v>50</v>
      </c>
      <c r="T1617" s="2" t="s">
        <v>289</v>
      </c>
      <c r="U1617" s="533">
        <v>217</v>
      </c>
      <c r="V1617" s="533"/>
      <c r="W1617" s="533">
        <v>820</v>
      </c>
      <c r="X1617" s="533"/>
    </row>
    <row r="1618" spans="1:24" ht="0.75" customHeight="1" x14ac:dyDescent="0.2"/>
    <row r="1619" spans="1:24" ht="13.5" customHeight="1" x14ac:dyDescent="0.2">
      <c r="A1619" s="530" t="s">
        <v>1458</v>
      </c>
      <c r="B1619" s="530"/>
      <c r="C1619" s="531" t="s">
        <v>1459</v>
      </c>
      <c r="D1619" s="531"/>
      <c r="E1619" s="531"/>
      <c r="F1619" s="531"/>
      <c r="G1619" s="531"/>
      <c r="I1619" s="532">
        <v>42781</v>
      </c>
      <c r="J1619" s="532"/>
      <c r="K1619" s="533">
        <v>9732</v>
      </c>
      <c r="L1619" s="533"/>
      <c r="M1619" s="533">
        <v>3959.8</v>
      </c>
      <c r="N1619" s="533"/>
      <c r="O1619" s="533">
        <v>0</v>
      </c>
      <c r="P1619" s="533"/>
      <c r="Q1619" s="533">
        <v>0</v>
      </c>
      <c r="R1619" s="533"/>
      <c r="S1619" s="1">
        <v>50</v>
      </c>
      <c r="T1619" s="2" t="s">
        <v>289</v>
      </c>
      <c r="U1619" s="533">
        <v>830</v>
      </c>
      <c r="V1619" s="533"/>
      <c r="W1619" s="533">
        <v>3129.8</v>
      </c>
      <c r="X1619" s="533"/>
    </row>
    <row r="1620" spans="1:24" ht="0.75" customHeight="1" x14ac:dyDescent="0.2"/>
    <row r="1621" spans="1:24" ht="13.5" customHeight="1" x14ac:dyDescent="0.2">
      <c r="A1621" s="530" t="s">
        <v>1460</v>
      </c>
      <c r="B1621" s="530"/>
      <c r="C1621" s="531" t="s">
        <v>1461</v>
      </c>
      <c r="D1621" s="531"/>
      <c r="E1621" s="531"/>
      <c r="F1621" s="531"/>
      <c r="G1621" s="531"/>
      <c r="I1621" s="532">
        <v>42791</v>
      </c>
      <c r="J1621" s="532"/>
      <c r="K1621" s="533">
        <v>5514</v>
      </c>
      <c r="L1621" s="533"/>
      <c r="M1621" s="533">
        <v>2280.9279999999999</v>
      </c>
      <c r="N1621" s="533"/>
      <c r="O1621" s="533">
        <v>0</v>
      </c>
      <c r="P1621" s="533"/>
      <c r="Q1621" s="533">
        <v>0</v>
      </c>
      <c r="R1621" s="533"/>
      <c r="S1621" s="1">
        <v>50</v>
      </c>
      <c r="T1621" s="2" t="s">
        <v>289</v>
      </c>
      <c r="U1621" s="533">
        <v>478</v>
      </c>
      <c r="V1621" s="533"/>
      <c r="W1621" s="533">
        <v>1802.9279999999999</v>
      </c>
      <c r="X1621" s="533"/>
    </row>
    <row r="1622" spans="1:24" ht="0.75" customHeight="1" x14ac:dyDescent="0.2"/>
    <row r="1623" spans="1:24" ht="13.5" customHeight="1" x14ac:dyDescent="0.2">
      <c r="A1623" s="530" t="s">
        <v>1462</v>
      </c>
      <c r="B1623" s="530"/>
      <c r="C1623" s="531" t="s">
        <v>1461</v>
      </c>
      <c r="D1623" s="531"/>
      <c r="E1623" s="531"/>
      <c r="F1623" s="531"/>
      <c r="G1623" s="531"/>
      <c r="I1623" s="532">
        <v>42781</v>
      </c>
      <c r="J1623" s="532"/>
      <c r="K1623" s="533">
        <v>12405.33</v>
      </c>
      <c r="L1623" s="533"/>
      <c r="M1623" s="533">
        <v>5047.33</v>
      </c>
      <c r="N1623" s="533"/>
      <c r="O1623" s="533">
        <v>0</v>
      </c>
      <c r="P1623" s="533"/>
      <c r="Q1623" s="533">
        <v>0</v>
      </c>
      <c r="R1623" s="533"/>
      <c r="S1623" s="1">
        <v>50</v>
      </c>
      <c r="T1623" s="2" t="s">
        <v>289</v>
      </c>
      <c r="U1623" s="533">
        <v>1058</v>
      </c>
      <c r="V1623" s="533"/>
      <c r="W1623" s="533">
        <v>3989.33</v>
      </c>
      <c r="X1623" s="533"/>
    </row>
    <row r="1624" spans="1:24" ht="0.75" customHeight="1" x14ac:dyDescent="0.2"/>
    <row r="1625" spans="1:24" ht="13.5" customHeight="1" x14ac:dyDescent="0.2">
      <c r="A1625" s="530" t="s">
        <v>1463</v>
      </c>
      <c r="B1625" s="530"/>
      <c r="C1625" s="531" t="s">
        <v>1464</v>
      </c>
      <c r="D1625" s="531"/>
      <c r="E1625" s="531"/>
      <c r="F1625" s="531"/>
      <c r="G1625" s="531"/>
      <c r="I1625" s="532">
        <v>42791</v>
      </c>
      <c r="J1625" s="532"/>
      <c r="K1625" s="533">
        <v>5741</v>
      </c>
      <c r="L1625" s="533"/>
      <c r="M1625" s="533">
        <v>2374.6428000000001</v>
      </c>
      <c r="N1625" s="533"/>
      <c r="O1625" s="533">
        <v>0</v>
      </c>
      <c r="P1625" s="533"/>
      <c r="Q1625" s="533">
        <v>0</v>
      </c>
      <c r="R1625" s="533"/>
      <c r="S1625" s="1">
        <v>50</v>
      </c>
      <c r="T1625" s="2" t="s">
        <v>289</v>
      </c>
      <c r="U1625" s="533">
        <v>498</v>
      </c>
      <c r="V1625" s="533"/>
      <c r="W1625" s="533">
        <v>1876.6428000000001</v>
      </c>
      <c r="X1625" s="533"/>
    </row>
    <row r="1626" spans="1:24" ht="0.75" customHeight="1" x14ac:dyDescent="0.2"/>
    <row r="1627" spans="1:24" ht="13.5" customHeight="1" x14ac:dyDescent="0.2">
      <c r="A1627" s="530" t="s">
        <v>1465</v>
      </c>
      <c r="B1627" s="530"/>
      <c r="C1627" s="531" t="s">
        <v>1466</v>
      </c>
      <c r="D1627" s="531"/>
      <c r="E1627" s="531"/>
      <c r="F1627" s="531"/>
      <c r="G1627" s="531"/>
      <c r="I1627" s="532">
        <v>42791</v>
      </c>
      <c r="J1627" s="532"/>
      <c r="K1627" s="533">
        <v>8070</v>
      </c>
      <c r="L1627" s="533"/>
      <c r="M1627" s="533">
        <v>3338.1583000000001</v>
      </c>
      <c r="N1627" s="533"/>
      <c r="O1627" s="533">
        <v>0</v>
      </c>
      <c r="P1627" s="533"/>
      <c r="Q1627" s="533">
        <v>0</v>
      </c>
      <c r="R1627" s="533"/>
      <c r="S1627" s="1">
        <v>50</v>
      </c>
      <c r="T1627" s="2" t="s">
        <v>289</v>
      </c>
      <c r="U1627" s="533">
        <v>700</v>
      </c>
      <c r="V1627" s="533"/>
      <c r="W1627" s="533">
        <v>2638.1583000000001</v>
      </c>
      <c r="X1627" s="533"/>
    </row>
    <row r="1628" spans="1:24" ht="0.75" customHeight="1" x14ac:dyDescent="0.2"/>
    <row r="1629" spans="1:24" ht="13.5" customHeight="1" x14ac:dyDescent="0.2">
      <c r="A1629" s="530" t="s">
        <v>1467</v>
      </c>
      <c r="B1629" s="530"/>
      <c r="C1629" s="531" t="s">
        <v>1466</v>
      </c>
      <c r="D1629" s="531"/>
      <c r="E1629" s="531"/>
      <c r="F1629" s="531"/>
      <c r="G1629" s="531"/>
      <c r="I1629" s="532">
        <v>42826</v>
      </c>
      <c r="J1629" s="532"/>
      <c r="K1629" s="533">
        <v>4842</v>
      </c>
      <c r="L1629" s="533"/>
      <c r="M1629" s="533">
        <v>2119.5239000000001</v>
      </c>
      <c r="N1629" s="533"/>
      <c r="O1629" s="533">
        <v>0</v>
      </c>
      <c r="P1629" s="533"/>
      <c r="Q1629" s="533">
        <v>0</v>
      </c>
      <c r="R1629" s="533"/>
      <c r="S1629" s="1">
        <v>50</v>
      </c>
      <c r="T1629" s="2" t="s">
        <v>289</v>
      </c>
      <c r="U1629" s="533">
        <v>444</v>
      </c>
      <c r="V1629" s="533"/>
      <c r="W1629" s="533">
        <v>1675.5239000000001</v>
      </c>
      <c r="X1629" s="533"/>
    </row>
    <row r="1630" spans="1:24" ht="0.75" customHeight="1" x14ac:dyDescent="0.2"/>
    <row r="1631" spans="1:24" ht="13.5" customHeight="1" x14ac:dyDescent="0.2">
      <c r="A1631" s="530" t="s">
        <v>1468</v>
      </c>
      <c r="B1631" s="530"/>
      <c r="C1631" s="531" t="s">
        <v>1466</v>
      </c>
      <c r="D1631" s="531"/>
      <c r="E1631" s="531"/>
      <c r="F1631" s="531"/>
      <c r="G1631" s="531"/>
      <c r="I1631" s="532">
        <v>42826</v>
      </c>
      <c r="J1631" s="532"/>
      <c r="K1631" s="533">
        <v>16140.29</v>
      </c>
      <c r="L1631" s="533"/>
      <c r="M1631" s="533">
        <v>7064.29</v>
      </c>
      <c r="N1631" s="533"/>
      <c r="O1631" s="533">
        <v>0</v>
      </c>
      <c r="P1631" s="533"/>
      <c r="Q1631" s="533">
        <v>0</v>
      </c>
      <c r="R1631" s="533"/>
      <c r="S1631" s="1">
        <v>50</v>
      </c>
      <c r="T1631" s="2" t="s">
        <v>289</v>
      </c>
      <c r="U1631" s="533">
        <v>1481</v>
      </c>
      <c r="V1631" s="533"/>
      <c r="W1631" s="533">
        <v>5583.29</v>
      </c>
      <c r="X1631" s="533"/>
    </row>
    <row r="1632" spans="1:24" ht="0.75" customHeight="1" x14ac:dyDescent="0.2"/>
    <row r="1633" spans="1:24" ht="13.5" customHeight="1" x14ac:dyDescent="0.2">
      <c r="A1633" s="530" t="s">
        <v>1469</v>
      </c>
      <c r="B1633" s="530"/>
      <c r="C1633" s="531" t="s">
        <v>1470</v>
      </c>
      <c r="D1633" s="531"/>
      <c r="E1633" s="531"/>
      <c r="F1633" s="531"/>
      <c r="G1633" s="531"/>
      <c r="I1633" s="532">
        <v>42826</v>
      </c>
      <c r="J1633" s="532"/>
      <c r="K1633" s="533">
        <v>2879</v>
      </c>
      <c r="L1633" s="533"/>
      <c r="M1633" s="533">
        <v>1259.6563000000001</v>
      </c>
      <c r="N1633" s="533"/>
      <c r="O1633" s="533">
        <v>0</v>
      </c>
      <c r="P1633" s="533"/>
      <c r="Q1633" s="533">
        <v>0</v>
      </c>
      <c r="R1633" s="533"/>
      <c r="S1633" s="1">
        <v>50</v>
      </c>
      <c r="T1633" s="2" t="s">
        <v>289</v>
      </c>
      <c r="U1633" s="533">
        <v>264</v>
      </c>
      <c r="V1633" s="533"/>
      <c r="W1633" s="533">
        <v>995.6563000000001</v>
      </c>
      <c r="X1633" s="533"/>
    </row>
    <row r="1634" spans="1:24" ht="0.75" customHeight="1" x14ac:dyDescent="0.2"/>
    <row r="1635" spans="1:24" ht="13.5" customHeight="1" x14ac:dyDescent="0.2">
      <c r="A1635" s="530" t="s">
        <v>1471</v>
      </c>
      <c r="B1635" s="530"/>
      <c r="C1635" s="531" t="s">
        <v>1472</v>
      </c>
      <c r="D1635" s="531"/>
      <c r="E1635" s="531"/>
      <c r="F1635" s="531"/>
      <c r="G1635" s="531"/>
      <c r="I1635" s="532">
        <v>42826</v>
      </c>
      <c r="J1635" s="532"/>
      <c r="K1635" s="533">
        <v>14362.64</v>
      </c>
      <c r="L1635" s="533"/>
      <c r="M1635" s="533">
        <v>6286.64</v>
      </c>
      <c r="N1635" s="533"/>
      <c r="O1635" s="533">
        <v>0</v>
      </c>
      <c r="P1635" s="533"/>
      <c r="Q1635" s="533">
        <v>0</v>
      </c>
      <c r="R1635" s="533"/>
      <c r="S1635" s="1">
        <v>50</v>
      </c>
      <c r="T1635" s="2" t="s">
        <v>289</v>
      </c>
      <c r="U1635" s="533">
        <v>1318</v>
      </c>
      <c r="V1635" s="533"/>
      <c r="W1635" s="533">
        <v>4968.6400000000003</v>
      </c>
      <c r="X1635" s="533"/>
    </row>
    <row r="1636" spans="1:24" ht="0.75" customHeight="1" x14ac:dyDescent="0.2"/>
    <row r="1637" spans="1:24" ht="13.5" customHeight="1" x14ac:dyDescent="0.2">
      <c r="A1637" s="530" t="s">
        <v>1473</v>
      </c>
      <c r="B1637" s="530"/>
      <c r="C1637" s="531" t="s">
        <v>1474</v>
      </c>
      <c r="D1637" s="531"/>
      <c r="E1637" s="531"/>
      <c r="F1637" s="531"/>
      <c r="G1637" s="531"/>
      <c r="I1637" s="532">
        <v>42843</v>
      </c>
      <c r="J1637" s="532"/>
      <c r="K1637" s="533">
        <v>2141.73</v>
      </c>
      <c r="L1637" s="533"/>
      <c r="M1637" s="533">
        <v>962.73</v>
      </c>
      <c r="N1637" s="533"/>
      <c r="O1637" s="533">
        <v>0</v>
      </c>
      <c r="P1637" s="533"/>
      <c r="Q1637" s="533">
        <v>0</v>
      </c>
      <c r="R1637" s="533"/>
      <c r="S1637" s="1">
        <v>50</v>
      </c>
      <c r="T1637" s="2" t="s">
        <v>289</v>
      </c>
      <c r="U1637" s="533">
        <v>202</v>
      </c>
      <c r="V1637" s="533"/>
      <c r="W1637" s="533">
        <v>760.73</v>
      </c>
      <c r="X1637" s="533"/>
    </row>
    <row r="1638" spans="1:24" ht="0.75" customHeight="1" x14ac:dyDescent="0.2"/>
    <row r="1639" spans="1:24" ht="13.5" customHeight="1" x14ac:dyDescent="0.2">
      <c r="A1639" s="530" t="s">
        <v>1475</v>
      </c>
      <c r="B1639" s="530"/>
      <c r="C1639" s="531" t="s">
        <v>1459</v>
      </c>
      <c r="D1639" s="531"/>
      <c r="E1639" s="531"/>
      <c r="F1639" s="531"/>
      <c r="G1639" s="531"/>
      <c r="I1639" s="532">
        <v>42851</v>
      </c>
      <c r="J1639" s="532"/>
      <c r="K1639" s="533">
        <v>15699</v>
      </c>
      <c r="L1639" s="533"/>
      <c r="M1639" s="533">
        <v>7140</v>
      </c>
      <c r="N1639" s="533"/>
      <c r="O1639" s="533">
        <v>0</v>
      </c>
      <c r="P1639" s="533"/>
      <c r="Q1639" s="533">
        <v>0</v>
      </c>
      <c r="R1639" s="533"/>
      <c r="S1639" s="1">
        <v>50</v>
      </c>
      <c r="T1639" s="2" t="s">
        <v>289</v>
      </c>
      <c r="U1639" s="533">
        <v>1496</v>
      </c>
      <c r="V1639" s="533"/>
      <c r="W1639" s="533">
        <v>5644</v>
      </c>
      <c r="X1639" s="533"/>
    </row>
    <row r="1640" spans="1:24" ht="0.75" customHeight="1" x14ac:dyDescent="0.2"/>
    <row r="1641" spans="1:24" ht="13.5" customHeight="1" x14ac:dyDescent="0.2">
      <c r="A1641" s="530" t="s">
        <v>1476</v>
      </c>
      <c r="B1641" s="530"/>
      <c r="C1641" s="531" t="s">
        <v>1477</v>
      </c>
      <c r="D1641" s="531"/>
      <c r="E1641" s="531"/>
      <c r="F1641" s="531"/>
      <c r="G1641" s="531"/>
      <c r="I1641" s="532">
        <v>42791</v>
      </c>
      <c r="J1641" s="532"/>
      <c r="K1641" s="533">
        <v>1998</v>
      </c>
      <c r="L1641" s="533"/>
      <c r="M1641" s="533">
        <v>826.35</v>
      </c>
      <c r="N1641" s="533"/>
      <c r="O1641" s="533">
        <v>0</v>
      </c>
      <c r="P1641" s="533"/>
      <c r="Q1641" s="533">
        <v>0</v>
      </c>
      <c r="R1641" s="533"/>
      <c r="S1641" s="1">
        <v>50</v>
      </c>
      <c r="T1641" s="2" t="s">
        <v>289</v>
      </c>
      <c r="U1641" s="533">
        <v>173</v>
      </c>
      <c r="V1641" s="533"/>
      <c r="W1641" s="533">
        <v>653.35</v>
      </c>
      <c r="X1641" s="533"/>
    </row>
    <row r="1642" spans="1:24" ht="0.75" customHeight="1" x14ac:dyDescent="0.2"/>
    <row r="1643" spans="1:24" ht="13.5" customHeight="1" x14ac:dyDescent="0.2">
      <c r="A1643" s="530" t="s">
        <v>1478</v>
      </c>
      <c r="B1643" s="530"/>
      <c r="C1643" s="531" t="s">
        <v>1479</v>
      </c>
      <c r="D1643" s="531"/>
      <c r="E1643" s="531"/>
      <c r="F1643" s="531"/>
      <c r="G1643" s="531"/>
      <c r="I1643" s="532">
        <v>42791</v>
      </c>
      <c r="J1643" s="532"/>
      <c r="K1643" s="533">
        <v>1996.24</v>
      </c>
      <c r="L1643" s="533"/>
      <c r="M1643" s="533">
        <v>825.24</v>
      </c>
      <c r="N1643" s="533"/>
      <c r="O1643" s="533">
        <v>0</v>
      </c>
      <c r="P1643" s="533"/>
      <c r="Q1643" s="533">
        <v>0</v>
      </c>
      <c r="R1643" s="533"/>
      <c r="S1643" s="1">
        <v>50</v>
      </c>
      <c r="T1643" s="2" t="s">
        <v>289</v>
      </c>
      <c r="U1643" s="533">
        <v>173</v>
      </c>
      <c r="V1643" s="533"/>
      <c r="W1643" s="533">
        <v>652.24</v>
      </c>
      <c r="X1643" s="533"/>
    </row>
    <row r="1644" spans="1:24" ht="0.75" customHeight="1" x14ac:dyDescent="0.2"/>
    <row r="1645" spans="1:24" ht="13.5" customHeight="1" x14ac:dyDescent="0.2">
      <c r="A1645" s="530" t="s">
        <v>1480</v>
      </c>
      <c r="B1645" s="530"/>
      <c r="C1645" s="531" t="s">
        <v>1481</v>
      </c>
      <c r="D1645" s="531"/>
      <c r="E1645" s="531"/>
      <c r="F1645" s="531"/>
      <c r="G1645" s="531"/>
      <c r="I1645" s="532">
        <v>42826</v>
      </c>
      <c r="J1645" s="532"/>
      <c r="K1645" s="533">
        <v>6244.63</v>
      </c>
      <c r="L1645" s="533"/>
      <c r="M1645" s="533">
        <v>2733.63</v>
      </c>
      <c r="N1645" s="533"/>
      <c r="O1645" s="533">
        <v>0</v>
      </c>
      <c r="P1645" s="533"/>
      <c r="Q1645" s="533">
        <v>0</v>
      </c>
      <c r="R1645" s="533"/>
      <c r="S1645" s="1">
        <v>50</v>
      </c>
      <c r="T1645" s="2" t="s">
        <v>289</v>
      </c>
      <c r="U1645" s="533">
        <v>573</v>
      </c>
      <c r="V1645" s="533"/>
      <c r="W1645" s="533">
        <v>2160.63</v>
      </c>
      <c r="X1645" s="533"/>
    </row>
    <row r="1646" spans="1:24" ht="0.75" customHeight="1" x14ac:dyDescent="0.2"/>
    <row r="1647" spans="1:24" ht="13.5" customHeight="1" x14ac:dyDescent="0.2">
      <c r="A1647" s="530" t="s">
        <v>1482</v>
      </c>
      <c r="B1647" s="530"/>
      <c r="C1647" s="531" t="s">
        <v>1483</v>
      </c>
      <c r="D1647" s="531"/>
      <c r="E1647" s="531"/>
      <c r="F1647" s="531"/>
      <c r="G1647" s="531"/>
      <c r="I1647" s="532">
        <v>43118</v>
      </c>
      <c r="J1647" s="532"/>
      <c r="K1647" s="533">
        <v>3157.9</v>
      </c>
      <c r="L1647" s="533"/>
      <c r="M1647" s="533">
        <v>2448.9</v>
      </c>
      <c r="N1647" s="533"/>
      <c r="O1647" s="533">
        <v>0</v>
      </c>
      <c r="P1647" s="533"/>
      <c r="Q1647" s="533">
        <v>1463.78</v>
      </c>
      <c r="R1647" s="533"/>
      <c r="S1647" s="1">
        <v>50</v>
      </c>
      <c r="T1647" s="2" t="s">
        <v>289</v>
      </c>
      <c r="U1647" s="533">
        <v>439</v>
      </c>
      <c r="V1647" s="533"/>
      <c r="W1647" s="533">
        <v>0</v>
      </c>
      <c r="X1647" s="533"/>
    </row>
    <row r="1648" spans="1:24" ht="13.5" customHeight="1" x14ac:dyDescent="0.2">
      <c r="I1648" s="537">
        <v>43412</v>
      </c>
      <c r="J1648" s="537"/>
      <c r="N1648" s="533">
        <v>-3473.6800000000003</v>
      </c>
      <c r="O1648" s="533"/>
    </row>
    <row r="1649" spans="1:24" ht="0.75" customHeight="1" x14ac:dyDescent="0.2"/>
    <row r="1650" spans="1:24" ht="13.5" customHeight="1" x14ac:dyDescent="0.2">
      <c r="A1650" s="530" t="s">
        <v>1484</v>
      </c>
      <c r="B1650" s="530"/>
      <c r="C1650" s="531" t="s">
        <v>1485</v>
      </c>
      <c r="D1650" s="531"/>
      <c r="E1650" s="531"/>
      <c r="F1650" s="531"/>
      <c r="G1650" s="531"/>
      <c r="I1650" s="532">
        <v>43147</v>
      </c>
      <c r="J1650" s="532"/>
      <c r="K1650" s="533">
        <v>2460</v>
      </c>
      <c r="L1650" s="533"/>
      <c r="M1650" s="533">
        <v>2005</v>
      </c>
      <c r="N1650" s="533"/>
      <c r="O1650" s="533">
        <v>0</v>
      </c>
      <c r="P1650" s="533"/>
      <c r="Q1650" s="533">
        <v>1061</v>
      </c>
      <c r="R1650" s="533"/>
      <c r="S1650" s="1">
        <v>50</v>
      </c>
      <c r="T1650" s="2" t="s">
        <v>289</v>
      </c>
      <c r="U1650" s="533">
        <v>360</v>
      </c>
      <c r="V1650" s="533"/>
      <c r="W1650" s="533">
        <v>0</v>
      </c>
      <c r="X1650" s="533"/>
    </row>
    <row r="1651" spans="1:24" ht="13.5" customHeight="1" x14ac:dyDescent="0.2">
      <c r="I1651" s="537">
        <v>43412</v>
      </c>
      <c r="J1651" s="537"/>
      <c r="N1651" s="533">
        <v>-2706</v>
      </c>
      <c r="O1651" s="533"/>
    </row>
    <row r="1652" spans="1:24" ht="0.75" customHeight="1" x14ac:dyDescent="0.2"/>
    <row r="1653" spans="1:24" ht="13.5" customHeight="1" x14ac:dyDescent="0.2">
      <c r="A1653" s="530" t="s">
        <v>1486</v>
      </c>
      <c r="B1653" s="530"/>
      <c r="C1653" s="531" t="s">
        <v>1487</v>
      </c>
      <c r="D1653" s="531"/>
      <c r="E1653" s="531"/>
      <c r="F1653" s="531"/>
      <c r="G1653" s="531"/>
      <c r="I1653" s="532">
        <v>43157</v>
      </c>
      <c r="J1653" s="532"/>
      <c r="K1653" s="533">
        <v>1397</v>
      </c>
      <c r="L1653" s="533"/>
      <c r="M1653" s="533">
        <v>1078</v>
      </c>
      <c r="N1653" s="533"/>
      <c r="O1653" s="533">
        <v>0</v>
      </c>
      <c r="P1653" s="533"/>
      <c r="Q1653" s="533">
        <v>514</v>
      </c>
      <c r="R1653" s="533"/>
      <c r="S1653" s="1">
        <v>66.67</v>
      </c>
      <c r="T1653" s="2" t="s">
        <v>289</v>
      </c>
      <c r="U1653" s="533">
        <v>258</v>
      </c>
      <c r="V1653" s="533"/>
      <c r="W1653" s="533">
        <v>0</v>
      </c>
      <c r="X1653" s="533"/>
    </row>
    <row r="1654" spans="1:24" ht="13.5" customHeight="1" x14ac:dyDescent="0.2">
      <c r="I1654" s="537">
        <v>43412</v>
      </c>
      <c r="J1654" s="537"/>
      <c r="N1654" s="533">
        <v>-1334</v>
      </c>
      <c r="O1654" s="533"/>
    </row>
    <row r="1655" spans="1:24" ht="0.75" customHeight="1" x14ac:dyDescent="0.2"/>
    <row r="1656" spans="1:24" ht="13.5" customHeight="1" x14ac:dyDescent="0.2">
      <c r="A1656" s="530" t="s">
        <v>1488</v>
      </c>
      <c r="B1656" s="530"/>
      <c r="C1656" s="531" t="s">
        <v>1489</v>
      </c>
      <c r="D1656" s="531"/>
      <c r="E1656" s="531"/>
      <c r="F1656" s="531"/>
      <c r="G1656" s="531"/>
      <c r="I1656" s="532">
        <v>43157</v>
      </c>
      <c r="J1656" s="532"/>
      <c r="K1656" s="533">
        <v>2908</v>
      </c>
      <c r="L1656" s="533"/>
      <c r="M1656" s="533">
        <v>2244</v>
      </c>
      <c r="N1656" s="533"/>
      <c r="O1656" s="533">
        <v>0</v>
      </c>
      <c r="P1656" s="533"/>
      <c r="Q1656" s="533">
        <v>0</v>
      </c>
      <c r="R1656" s="533"/>
      <c r="S1656" s="1">
        <v>66.67</v>
      </c>
      <c r="T1656" s="2" t="s">
        <v>289</v>
      </c>
      <c r="U1656" s="533">
        <v>627</v>
      </c>
      <c r="V1656" s="533"/>
      <c r="W1656" s="533">
        <v>1617</v>
      </c>
      <c r="X1656" s="533"/>
    </row>
    <row r="1657" spans="1:24" ht="0.75" customHeight="1" x14ac:dyDescent="0.2"/>
    <row r="1658" spans="1:24" ht="13.5" customHeight="1" x14ac:dyDescent="0.2">
      <c r="A1658" s="530" t="s">
        <v>1490</v>
      </c>
      <c r="B1658" s="530"/>
      <c r="C1658" s="531" t="s">
        <v>1489</v>
      </c>
      <c r="D1658" s="531"/>
      <c r="E1658" s="531"/>
      <c r="F1658" s="531"/>
      <c r="G1658" s="531"/>
      <c r="I1658" s="532">
        <v>43157</v>
      </c>
      <c r="J1658" s="532"/>
      <c r="K1658" s="533">
        <v>2668</v>
      </c>
      <c r="L1658" s="533"/>
      <c r="M1658" s="533">
        <v>2059</v>
      </c>
      <c r="N1658" s="533"/>
      <c r="O1658" s="533">
        <v>0</v>
      </c>
      <c r="P1658" s="533"/>
      <c r="Q1658" s="533">
        <v>0</v>
      </c>
      <c r="R1658" s="533"/>
      <c r="S1658" s="1">
        <v>66.67</v>
      </c>
      <c r="T1658" s="2" t="s">
        <v>289</v>
      </c>
      <c r="U1658" s="533">
        <v>575</v>
      </c>
      <c r="V1658" s="533"/>
      <c r="W1658" s="533">
        <v>1484</v>
      </c>
      <c r="X1658" s="533"/>
    </row>
    <row r="1659" spans="1:24" ht="0.75" customHeight="1" x14ac:dyDescent="0.2"/>
    <row r="1660" spans="1:24" ht="13.5" customHeight="1" x14ac:dyDescent="0.2">
      <c r="A1660" s="530" t="s">
        <v>1491</v>
      </c>
      <c r="B1660" s="530"/>
      <c r="C1660" s="531" t="s">
        <v>1492</v>
      </c>
      <c r="D1660" s="531"/>
      <c r="E1660" s="531"/>
      <c r="F1660" s="531"/>
      <c r="G1660" s="531"/>
      <c r="I1660" s="532">
        <v>43191</v>
      </c>
      <c r="J1660" s="532"/>
      <c r="K1660" s="533">
        <v>1581.57</v>
      </c>
      <c r="L1660" s="533"/>
      <c r="M1660" s="533">
        <v>1384.57</v>
      </c>
      <c r="N1660" s="533"/>
      <c r="O1660" s="533">
        <v>0</v>
      </c>
      <c r="P1660" s="533"/>
      <c r="Q1660" s="533">
        <v>445</v>
      </c>
      <c r="R1660" s="533"/>
      <c r="S1660" s="1">
        <v>50</v>
      </c>
      <c r="T1660" s="2" t="s">
        <v>289</v>
      </c>
      <c r="U1660" s="533">
        <v>248</v>
      </c>
      <c r="V1660" s="533"/>
      <c r="W1660" s="533">
        <v>0</v>
      </c>
      <c r="X1660" s="533"/>
    </row>
    <row r="1661" spans="1:24" ht="13.5" customHeight="1" x14ac:dyDescent="0.2">
      <c r="I1661" s="537">
        <v>43412</v>
      </c>
      <c r="J1661" s="537"/>
      <c r="N1661" s="533">
        <v>-1581.57</v>
      </c>
      <c r="O1661" s="533"/>
    </row>
    <row r="1662" spans="1:24" ht="0.75" customHeight="1" x14ac:dyDescent="0.2"/>
    <row r="1663" spans="1:24" ht="13.5" customHeight="1" x14ac:dyDescent="0.2">
      <c r="A1663" s="530" t="s">
        <v>1493</v>
      </c>
      <c r="B1663" s="530"/>
      <c r="C1663" s="531" t="s">
        <v>1494</v>
      </c>
      <c r="D1663" s="531"/>
      <c r="E1663" s="531"/>
      <c r="F1663" s="531"/>
      <c r="G1663" s="531"/>
      <c r="I1663" s="532">
        <v>43191</v>
      </c>
      <c r="J1663" s="532"/>
      <c r="K1663" s="533">
        <v>1653.82</v>
      </c>
      <c r="L1663" s="533"/>
      <c r="M1663" s="533">
        <v>1447.82</v>
      </c>
      <c r="N1663" s="533"/>
      <c r="O1663" s="533">
        <v>0</v>
      </c>
      <c r="P1663" s="533"/>
      <c r="Q1663" s="533">
        <v>466</v>
      </c>
      <c r="R1663" s="533"/>
      <c r="S1663" s="1">
        <v>50</v>
      </c>
      <c r="T1663" s="2" t="s">
        <v>289</v>
      </c>
      <c r="U1663" s="533">
        <v>260</v>
      </c>
      <c r="V1663" s="533"/>
      <c r="W1663" s="533">
        <v>0</v>
      </c>
      <c r="X1663" s="533"/>
    </row>
    <row r="1664" spans="1:24" ht="13.5" customHeight="1" x14ac:dyDescent="0.2">
      <c r="I1664" s="537">
        <v>43412</v>
      </c>
      <c r="J1664" s="537"/>
      <c r="N1664" s="533">
        <v>-1653.82</v>
      </c>
      <c r="O1664" s="533"/>
    </row>
    <row r="1665" spans="1:24" ht="0.75" customHeight="1" x14ac:dyDescent="0.2"/>
    <row r="1666" spans="1:24" ht="13.5" customHeight="1" x14ac:dyDescent="0.2">
      <c r="A1666" s="530" t="s">
        <v>1495</v>
      </c>
      <c r="B1666" s="530"/>
      <c r="C1666" s="531" t="s">
        <v>1496</v>
      </c>
      <c r="D1666" s="531"/>
      <c r="E1666" s="531"/>
      <c r="F1666" s="531"/>
      <c r="G1666" s="531"/>
      <c r="I1666" s="532">
        <v>43191</v>
      </c>
      <c r="J1666" s="532"/>
      <c r="K1666" s="533">
        <v>8732</v>
      </c>
      <c r="L1666" s="533"/>
      <c r="M1666" s="533">
        <v>7642.9702000000007</v>
      </c>
      <c r="N1666" s="533"/>
      <c r="O1666" s="533">
        <v>0</v>
      </c>
      <c r="P1666" s="533"/>
      <c r="Q1666" s="533">
        <v>0</v>
      </c>
      <c r="R1666" s="533"/>
      <c r="S1666" s="1">
        <v>50</v>
      </c>
      <c r="T1666" s="2" t="s">
        <v>289</v>
      </c>
      <c r="U1666" s="533">
        <v>1602</v>
      </c>
      <c r="V1666" s="533"/>
      <c r="W1666" s="533">
        <v>6040.9702000000007</v>
      </c>
      <c r="X1666" s="533"/>
    </row>
    <row r="1667" spans="1:24" ht="0.75" customHeight="1" x14ac:dyDescent="0.2"/>
    <row r="1668" spans="1:24" ht="13.5" customHeight="1" x14ac:dyDescent="0.2">
      <c r="A1668" s="530" t="s">
        <v>1497</v>
      </c>
      <c r="B1668" s="530"/>
      <c r="C1668" s="531" t="s">
        <v>1498</v>
      </c>
      <c r="D1668" s="531"/>
      <c r="E1668" s="531"/>
      <c r="F1668" s="531"/>
      <c r="G1668" s="531"/>
      <c r="I1668" s="532">
        <v>43191</v>
      </c>
      <c r="J1668" s="532"/>
      <c r="K1668" s="533">
        <v>3274.36</v>
      </c>
      <c r="L1668" s="533"/>
      <c r="M1668" s="533">
        <v>2866.0897999999997</v>
      </c>
      <c r="N1668" s="533"/>
      <c r="O1668" s="533">
        <v>0</v>
      </c>
      <c r="P1668" s="533"/>
      <c r="Q1668" s="533">
        <v>2277.0001999999999</v>
      </c>
      <c r="R1668" s="533"/>
      <c r="S1668" s="1">
        <v>50</v>
      </c>
      <c r="T1668" s="2" t="s">
        <v>289</v>
      </c>
      <c r="U1668" s="533">
        <v>514</v>
      </c>
      <c r="V1668" s="533"/>
      <c r="W1668" s="533">
        <v>0</v>
      </c>
      <c r="X1668" s="533"/>
    </row>
    <row r="1669" spans="1:24" ht="13.5" customHeight="1" x14ac:dyDescent="0.2">
      <c r="I1669" s="537">
        <v>43412</v>
      </c>
      <c r="J1669" s="537"/>
      <c r="N1669" s="533">
        <v>-4629.09</v>
      </c>
      <c r="O1669" s="533"/>
    </row>
    <row r="1670" spans="1:24" ht="0.75" customHeight="1" x14ac:dyDescent="0.2"/>
    <row r="1671" spans="1:24" ht="13.5" customHeight="1" x14ac:dyDescent="0.2">
      <c r="A1671" s="530" t="s">
        <v>1499</v>
      </c>
      <c r="B1671" s="530"/>
      <c r="C1671" s="531" t="s">
        <v>1500</v>
      </c>
      <c r="D1671" s="531"/>
      <c r="E1671" s="531"/>
      <c r="F1671" s="531"/>
      <c r="G1671" s="531"/>
      <c r="I1671" s="532">
        <v>42944</v>
      </c>
      <c r="J1671" s="532"/>
      <c r="K1671" s="533">
        <v>16899</v>
      </c>
      <c r="L1671" s="533"/>
      <c r="M1671" s="533">
        <v>9075</v>
      </c>
      <c r="N1671" s="533"/>
      <c r="O1671" s="533">
        <v>0</v>
      </c>
      <c r="P1671" s="533"/>
      <c r="Q1671" s="533">
        <v>0</v>
      </c>
      <c r="R1671" s="533"/>
      <c r="S1671" s="1">
        <v>50</v>
      </c>
      <c r="T1671" s="2" t="s">
        <v>289</v>
      </c>
      <c r="U1671" s="533">
        <v>1902</v>
      </c>
      <c r="V1671" s="533"/>
      <c r="W1671" s="533">
        <v>7173</v>
      </c>
      <c r="X1671" s="533"/>
    </row>
    <row r="1672" spans="1:24" ht="0.75" customHeight="1" x14ac:dyDescent="0.2"/>
    <row r="1673" spans="1:24" ht="13.5" customHeight="1" x14ac:dyDescent="0.2">
      <c r="A1673" s="530" t="s">
        <v>1501</v>
      </c>
      <c r="B1673" s="530"/>
      <c r="C1673" s="531" t="s">
        <v>1502</v>
      </c>
      <c r="D1673" s="531"/>
      <c r="E1673" s="531"/>
      <c r="F1673" s="531"/>
      <c r="G1673" s="531"/>
      <c r="I1673" s="532">
        <v>42976</v>
      </c>
      <c r="J1673" s="532"/>
      <c r="K1673" s="533">
        <v>1492.53</v>
      </c>
      <c r="L1673" s="533"/>
      <c r="M1673" s="533">
        <v>866.53</v>
      </c>
      <c r="N1673" s="533"/>
      <c r="O1673" s="533">
        <v>0</v>
      </c>
      <c r="P1673" s="533"/>
      <c r="Q1673" s="533">
        <v>0</v>
      </c>
      <c r="R1673" s="533"/>
      <c r="S1673" s="1">
        <v>50</v>
      </c>
      <c r="T1673" s="2" t="s">
        <v>289</v>
      </c>
      <c r="U1673" s="533">
        <v>182</v>
      </c>
      <c r="V1673" s="533"/>
      <c r="W1673" s="533">
        <v>684.53</v>
      </c>
      <c r="X1673" s="533"/>
    </row>
    <row r="1674" spans="1:24" ht="15" customHeight="1" x14ac:dyDescent="0.2">
      <c r="A1674" s="534" t="s">
        <v>1141</v>
      </c>
      <c r="B1674" s="534"/>
      <c r="D1674" s="534" t="s">
        <v>1142</v>
      </c>
      <c r="E1674" s="534"/>
      <c r="F1674" s="534"/>
      <c r="G1674" s="534"/>
      <c r="H1674" s="534"/>
      <c r="I1674" s="534"/>
      <c r="J1674" s="534"/>
      <c r="K1674" s="534"/>
      <c r="L1674" s="534"/>
      <c r="M1674" s="534"/>
      <c r="N1674" s="534"/>
      <c r="O1674" s="534"/>
      <c r="P1674" s="534"/>
      <c r="Q1674" s="534"/>
      <c r="R1674" s="534"/>
      <c r="S1674" s="534"/>
      <c r="T1674" s="534"/>
      <c r="U1674" s="534"/>
      <c r="V1674" s="534"/>
    </row>
    <row r="1675" spans="1:24" ht="0.75" customHeight="1" x14ac:dyDescent="0.2"/>
    <row r="1676" spans="1:24" ht="13.5" customHeight="1" x14ac:dyDescent="0.2">
      <c r="A1676" s="530" t="s">
        <v>1503</v>
      </c>
      <c r="B1676" s="530"/>
      <c r="C1676" s="531" t="s">
        <v>1504</v>
      </c>
      <c r="D1676" s="531"/>
      <c r="E1676" s="531"/>
      <c r="F1676" s="531"/>
      <c r="G1676" s="531"/>
      <c r="I1676" s="532">
        <v>42996</v>
      </c>
      <c r="J1676" s="532"/>
      <c r="K1676" s="533">
        <v>1551</v>
      </c>
      <c r="L1676" s="533"/>
      <c r="M1676" s="533">
        <v>943</v>
      </c>
      <c r="N1676" s="533"/>
      <c r="O1676" s="533">
        <v>0</v>
      </c>
      <c r="P1676" s="533"/>
      <c r="Q1676" s="533">
        <v>0</v>
      </c>
      <c r="R1676" s="533"/>
      <c r="S1676" s="1">
        <v>50</v>
      </c>
      <c r="T1676" s="2" t="s">
        <v>289</v>
      </c>
      <c r="U1676" s="533">
        <v>198</v>
      </c>
      <c r="V1676" s="533"/>
      <c r="W1676" s="533">
        <v>745</v>
      </c>
      <c r="X1676" s="533"/>
    </row>
    <row r="1677" spans="1:24" ht="0.75" customHeight="1" x14ac:dyDescent="0.2"/>
    <row r="1678" spans="1:24" ht="13.5" customHeight="1" x14ac:dyDescent="0.2">
      <c r="A1678" s="530" t="s">
        <v>1505</v>
      </c>
      <c r="B1678" s="530"/>
      <c r="C1678" s="531" t="s">
        <v>1506</v>
      </c>
      <c r="D1678" s="531"/>
      <c r="E1678" s="531"/>
      <c r="F1678" s="531"/>
      <c r="G1678" s="531"/>
      <c r="I1678" s="532">
        <v>42996</v>
      </c>
      <c r="J1678" s="532"/>
      <c r="K1678" s="533">
        <v>1564</v>
      </c>
      <c r="L1678" s="533"/>
      <c r="M1678" s="533">
        <v>951</v>
      </c>
      <c r="N1678" s="533"/>
      <c r="O1678" s="533">
        <v>0</v>
      </c>
      <c r="P1678" s="533"/>
      <c r="Q1678" s="533">
        <v>0</v>
      </c>
      <c r="R1678" s="533"/>
      <c r="S1678" s="1">
        <v>50</v>
      </c>
      <c r="T1678" s="2" t="s">
        <v>289</v>
      </c>
      <c r="U1678" s="533">
        <v>199</v>
      </c>
      <c r="V1678" s="533"/>
      <c r="W1678" s="533">
        <v>752</v>
      </c>
      <c r="X1678" s="533"/>
    </row>
    <row r="1679" spans="1:24" ht="0.75" customHeight="1" x14ac:dyDescent="0.2"/>
    <row r="1680" spans="1:24" ht="13.5" customHeight="1" x14ac:dyDescent="0.2">
      <c r="A1680" s="530" t="s">
        <v>1507</v>
      </c>
      <c r="B1680" s="530"/>
      <c r="C1680" s="531" t="s">
        <v>1508</v>
      </c>
      <c r="D1680" s="531"/>
      <c r="E1680" s="531"/>
      <c r="F1680" s="531"/>
      <c r="G1680" s="531"/>
      <c r="I1680" s="532">
        <v>43009</v>
      </c>
      <c r="J1680" s="532"/>
      <c r="K1680" s="533">
        <v>3289.9900000000002</v>
      </c>
      <c r="L1680" s="533"/>
      <c r="M1680" s="533">
        <v>2059.9900000000002</v>
      </c>
      <c r="N1680" s="533"/>
      <c r="O1680" s="533">
        <v>0</v>
      </c>
      <c r="P1680" s="533"/>
      <c r="Q1680" s="533">
        <v>0</v>
      </c>
      <c r="R1680" s="533"/>
      <c r="S1680" s="1">
        <v>50</v>
      </c>
      <c r="T1680" s="2" t="s">
        <v>289</v>
      </c>
      <c r="U1680" s="533">
        <v>432</v>
      </c>
      <c r="V1680" s="533"/>
      <c r="W1680" s="533">
        <v>1627.99</v>
      </c>
      <c r="X1680" s="533"/>
    </row>
    <row r="1681" spans="1:24" ht="0.75" customHeight="1" x14ac:dyDescent="0.2"/>
    <row r="1682" spans="1:24" ht="13.5" customHeight="1" x14ac:dyDescent="0.2">
      <c r="A1682" s="530" t="s">
        <v>1509</v>
      </c>
      <c r="B1682" s="530"/>
      <c r="C1682" s="531" t="s">
        <v>1510</v>
      </c>
      <c r="D1682" s="531"/>
      <c r="E1682" s="531"/>
      <c r="F1682" s="531"/>
      <c r="G1682" s="531"/>
      <c r="I1682" s="532">
        <v>43009</v>
      </c>
      <c r="J1682" s="532"/>
      <c r="K1682" s="533">
        <v>3445.1</v>
      </c>
      <c r="L1682" s="533"/>
      <c r="M1682" s="533">
        <v>2157.1</v>
      </c>
      <c r="N1682" s="533"/>
      <c r="O1682" s="533">
        <v>0</v>
      </c>
      <c r="P1682" s="533"/>
      <c r="Q1682" s="533">
        <v>0</v>
      </c>
      <c r="R1682" s="533"/>
      <c r="S1682" s="1">
        <v>50</v>
      </c>
      <c r="T1682" s="2" t="s">
        <v>289</v>
      </c>
      <c r="U1682" s="533">
        <v>452</v>
      </c>
      <c r="V1682" s="533"/>
      <c r="W1682" s="533">
        <v>1705.1000000000001</v>
      </c>
      <c r="X1682" s="533"/>
    </row>
    <row r="1683" spans="1:24" ht="0.75" customHeight="1" x14ac:dyDescent="0.2"/>
    <row r="1684" spans="1:24" ht="13.5" customHeight="1" x14ac:dyDescent="0.2">
      <c r="A1684" s="530" t="s">
        <v>1511</v>
      </c>
      <c r="B1684" s="530"/>
      <c r="C1684" s="531" t="s">
        <v>1512</v>
      </c>
      <c r="D1684" s="531"/>
      <c r="E1684" s="531"/>
      <c r="F1684" s="531"/>
      <c r="G1684" s="531"/>
      <c r="I1684" s="532">
        <v>43009</v>
      </c>
      <c r="J1684" s="532"/>
      <c r="K1684" s="533">
        <v>1645</v>
      </c>
      <c r="L1684" s="533"/>
      <c r="M1684" s="533">
        <v>1030</v>
      </c>
      <c r="N1684" s="533"/>
      <c r="O1684" s="533">
        <v>0</v>
      </c>
      <c r="P1684" s="533"/>
      <c r="Q1684" s="533">
        <v>0</v>
      </c>
      <c r="R1684" s="533"/>
      <c r="S1684" s="1">
        <v>50</v>
      </c>
      <c r="T1684" s="2" t="s">
        <v>289</v>
      </c>
      <c r="U1684" s="533">
        <v>216</v>
      </c>
      <c r="V1684" s="533"/>
      <c r="W1684" s="533">
        <v>814</v>
      </c>
      <c r="X1684" s="533"/>
    </row>
    <row r="1685" spans="1:24" ht="0.75" customHeight="1" x14ac:dyDescent="0.2"/>
    <row r="1686" spans="1:24" ht="13.5" customHeight="1" x14ac:dyDescent="0.2">
      <c r="A1686" s="530" t="s">
        <v>1513</v>
      </c>
      <c r="B1686" s="530"/>
      <c r="C1686" s="531" t="s">
        <v>1514</v>
      </c>
      <c r="D1686" s="531"/>
      <c r="E1686" s="531"/>
      <c r="F1686" s="531"/>
      <c r="G1686" s="531"/>
      <c r="I1686" s="532">
        <v>43009</v>
      </c>
      <c r="J1686" s="532"/>
      <c r="K1686" s="533">
        <v>3358.6</v>
      </c>
      <c r="L1686" s="533"/>
      <c r="M1686" s="533">
        <v>2102.6</v>
      </c>
      <c r="N1686" s="533"/>
      <c r="O1686" s="533">
        <v>0</v>
      </c>
      <c r="P1686" s="533"/>
      <c r="Q1686" s="533">
        <v>0</v>
      </c>
      <c r="R1686" s="533"/>
      <c r="S1686" s="1">
        <v>50</v>
      </c>
      <c r="T1686" s="2" t="s">
        <v>289</v>
      </c>
      <c r="U1686" s="533">
        <v>441</v>
      </c>
      <c r="V1686" s="533"/>
      <c r="W1686" s="533">
        <v>1661.6000000000001</v>
      </c>
      <c r="X1686" s="533"/>
    </row>
    <row r="1687" spans="1:24" ht="0.75" customHeight="1" x14ac:dyDescent="0.2"/>
    <row r="1688" spans="1:24" ht="13.5" customHeight="1" x14ac:dyDescent="0.2">
      <c r="A1688" s="530" t="s">
        <v>1515</v>
      </c>
      <c r="B1688" s="530"/>
      <c r="C1688" s="531" t="s">
        <v>1516</v>
      </c>
      <c r="D1688" s="531"/>
      <c r="E1688" s="531"/>
      <c r="F1688" s="531"/>
      <c r="G1688" s="531"/>
      <c r="I1688" s="532">
        <v>43046</v>
      </c>
      <c r="J1688" s="532"/>
      <c r="K1688" s="533">
        <v>47895</v>
      </c>
      <c r="L1688" s="533"/>
      <c r="M1688" s="533">
        <v>32411</v>
      </c>
      <c r="N1688" s="533"/>
      <c r="O1688" s="533">
        <v>0</v>
      </c>
      <c r="P1688" s="533"/>
      <c r="Q1688" s="533">
        <v>0</v>
      </c>
      <c r="R1688" s="533"/>
      <c r="S1688" s="1">
        <v>50</v>
      </c>
      <c r="T1688" s="2" t="s">
        <v>289</v>
      </c>
      <c r="U1688" s="533">
        <v>6793</v>
      </c>
      <c r="V1688" s="533"/>
      <c r="W1688" s="533">
        <v>25618</v>
      </c>
      <c r="X1688" s="533"/>
    </row>
    <row r="1689" spans="1:24" ht="0.75" customHeight="1" x14ac:dyDescent="0.2"/>
    <row r="1690" spans="1:24" ht="13.5" customHeight="1" x14ac:dyDescent="0.2">
      <c r="A1690" s="530" t="s">
        <v>1517</v>
      </c>
      <c r="B1690" s="530"/>
      <c r="C1690" s="531" t="s">
        <v>1518</v>
      </c>
      <c r="D1690" s="531"/>
      <c r="E1690" s="531"/>
      <c r="F1690" s="531"/>
      <c r="G1690" s="531"/>
      <c r="I1690" s="532">
        <v>43146</v>
      </c>
      <c r="J1690" s="532"/>
      <c r="K1690" s="533">
        <v>3274</v>
      </c>
      <c r="L1690" s="533"/>
      <c r="M1690" s="533">
        <v>2461</v>
      </c>
      <c r="N1690" s="533"/>
      <c r="O1690" s="533">
        <v>0</v>
      </c>
      <c r="P1690" s="533"/>
      <c r="Q1690" s="533">
        <v>0</v>
      </c>
      <c r="R1690" s="533"/>
      <c r="S1690" s="1">
        <v>66.67</v>
      </c>
      <c r="T1690" s="2" t="s">
        <v>289</v>
      </c>
      <c r="U1690" s="533">
        <v>688</v>
      </c>
      <c r="V1690" s="533"/>
      <c r="W1690" s="533">
        <v>1773</v>
      </c>
      <c r="X1690" s="533"/>
    </row>
    <row r="1691" spans="1:24" ht="0.75" customHeight="1" x14ac:dyDescent="0.2"/>
    <row r="1692" spans="1:24" ht="13.5" customHeight="1" x14ac:dyDescent="0.2">
      <c r="A1692" s="530" t="s">
        <v>1519</v>
      </c>
      <c r="B1692" s="530"/>
      <c r="C1692" s="531" t="s">
        <v>1520</v>
      </c>
      <c r="D1692" s="531"/>
      <c r="E1692" s="531"/>
      <c r="F1692" s="531"/>
      <c r="G1692" s="531"/>
      <c r="I1692" s="532">
        <v>43149</v>
      </c>
      <c r="J1692" s="532"/>
      <c r="K1692" s="533">
        <v>17500</v>
      </c>
      <c r="L1692" s="533"/>
      <c r="M1692" s="533">
        <v>14312</v>
      </c>
      <c r="N1692" s="533"/>
      <c r="O1692" s="533">
        <v>0</v>
      </c>
      <c r="P1692" s="533"/>
      <c r="Q1692" s="533">
        <v>0</v>
      </c>
      <c r="R1692" s="533"/>
      <c r="S1692" s="1">
        <v>50</v>
      </c>
      <c r="T1692" s="2" t="s">
        <v>289</v>
      </c>
      <c r="U1692" s="533">
        <v>3000</v>
      </c>
      <c r="V1692" s="533"/>
      <c r="W1692" s="533">
        <v>11312</v>
      </c>
      <c r="X1692" s="533"/>
    </row>
    <row r="1693" spans="1:24" ht="0.75" customHeight="1" x14ac:dyDescent="0.2"/>
    <row r="1694" spans="1:24" ht="13.5" customHeight="1" x14ac:dyDescent="0.2">
      <c r="A1694" s="530" t="s">
        <v>1521</v>
      </c>
      <c r="B1694" s="530"/>
      <c r="C1694" s="531" t="s">
        <v>1522</v>
      </c>
      <c r="D1694" s="531"/>
      <c r="E1694" s="531"/>
      <c r="F1694" s="531"/>
      <c r="G1694" s="531"/>
      <c r="I1694" s="532">
        <v>43153</v>
      </c>
      <c r="J1694" s="532"/>
      <c r="K1694" s="533">
        <v>20154</v>
      </c>
      <c r="L1694" s="533"/>
      <c r="M1694" s="533">
        <v>16593</v>
      </c>
      <c r="N1694" s="533"/>
      <c r="O1694" s="533">
        <v>0</v>
      </c>
      <c r="P1694" s="533"/>
      <c r="Q1694" s="533">
        <v>0</v>
      </c>
      <c r="R1694" s="533"/>
      <c r="S1694" s="1">
        <v>50</v>
      </c>
      <c r="T1694" s="2" t="s">
        <v>289</v>
      </c>
      <c r="U1694" s="533">
        <v>3478</v>
      </c>
      <c r="V1694" s="533"/>
      <c r="W1694" s="533">
        <v>13115</v>
      </c>
      <c r="X1694" s="533"/>
    </row>
    <row r="1695" spans="1:24" ht="0.75" customHeight="1" x14ac:dyDescent="0.2"/>
    <row r="1696" spans="1:24" ht="13.5" customHeight="1" x14ac:dyDescent="0.2">
      <c r="A1696" s="530" t="s">
        <v>1523</v>
      </c>
      <c r="B1696" s="530"/>
      <c r="C1696" s="531" t="s">
        <v>1524</v>
      </c>
      <c r="D1696" s="531"/>
      <c r="E1696" s="531"/>
      <c r="F1696" s="531"/>
      <c r="G1696" s="531"/>
      <c r="I1696" s="532">
        <v>43157</v>
      </c>
      <c r="J1696" s="532"/>
      <c r="K1696" s="533">
        <v>27829</v>
      </c>
      <c r="L1696" s="533"/>
      <c r="M1696" s="533">
        <v>21475</v>
      </c>
      <c r="N1696" s="533"/>
      <c r="O1696" s="533">
        <v>0</v>
      </c>
      <c r="P1696" s="533"/>
      <c r="Q1696" s="533">
        <v>0</v>
      </c>
      <c r="R1696" s="533"/>
      <c r="S1696" s="1">
        <v>66.67</v>
      </c>
      <c r="T1696" s="2" t="s">
        <v>289</v>
      </c>
      <c r="U1696" s="533">
        <v>6001</v>
      </c>
      <c r="V1696" s="533"/>
      <c r="W1696" s="533">
        <v>15474</v>
      </c>
      <c r="X1696" s="533"/>
    </row>
    <row r="1697" spans="1:24" ht="0.75" customHeight="1" x14ac:dyDescent="0.2"/>
    <row r="1698" spans="1:24" ht="13.5" customHeight="1" x14ac:dyDescent="0.2">
      <c r="A1698" s="530" t="s">
        <v>1525</v>
      </c>
      <c r="B1698" s="530"/>
      <c r="C1698" s="531" t="s">
        <v>1526</v>
      </c>
      <c r="D1698" s="531"/>
      <c r="E1698" s="531"/>
      <c r="F1698" s="531"/>
      <c r="G1698" s="531"/>
      <c r="I1698" s="532">
        <v>43157</v>
      </c>
      <c r="J1698" s="532"/>
      <c r="K1698" s="533">
        <v>24750</v>
      </c>
      <c r="L1698" s="533"/>
      <c r="M1698" s="533">
        <v>20512</v>
      </c>
      <c r="N1698" s="533"/>
      <c r="O1698" s="533">
        <v>0</v>
      </c>
      <c r="P1698" s="533"/>
      <c r="Q1698" s="533">
        <v>0</v>
      </c>
      <c r="R1698" s="533"/>
      <c r="S1698" s="1">
        <v>50</v>
      </c>
      <c r="T1698" s="2" t="s">
        <v>289</v>
      </c>
      <c r="U1698" s="533">
        <v>4299</v>
      </c>
      <c r="V1698" s="533"/>
      <c r="W1698" s="533">
        <v>16213</v>
      </c>
      <c r="X1698" s="533"/>
    </row>
    <row r="1699" spans="1:24" ht="0.75" customHeight="1" x14ac:dyDescent="0.2"/>
    <row r="1700" spans="1:24" ht="13.5" customHeight="1" x14ac:dyDescent="0.2">
      <c r="A1700" s="530" t="s">
        <v>1527</v>
      </c>
      <c r="B1700" s="530"/>
      <c r="C1700" s="531" t="s">
        <v>1528</v>
      </c>
      <c r="D1700" s="531"/>
      <c r="E1700" s="531"/>
      <c r="F1700" s="531"/>
      <c r="G1700" s="531"/>
      <c r="I1700" s="532">
        <v>43167</v>
      </c>
      <c r="J1700" s="532"/>
      <c r="K1700" s="533">
        <v>4576.83</v>
      </c>
      <c r="L1700" s="533"/>
      <c r="M1700" s="533">
        <v>3855.83</v>
      </c>
      <c r="N1700" s="533"/>
      <c r="O1700" s="533">
        <v>0</v>
      </c>
      <c r="P1700" s="533"/>
      <c r="Q1700" s="533">
        <v>0</v>
      </c>
      <c r="R1700" s="533"/>
      <c r="S1700" s="1">
        <v>50</v>
      </c>
      <c r="T1700" s="2" t="s">
        <v>289</v>
      </c>
      <c r="U1700" s="533">
        <v>808</v>
      </c>
      <c r="V1700" s="533"/>
      <c r="W1700" s="533">
        <v>3047.83</v>
      </c>
      <c r="X1700" s="533"/>
    </row>
    <row r="1701" spans="1:24" ht="0.75" customHeight="1" x14ac:dyDescent="0.2"/>
    <row r="1702" spans="1:24" ht="13.5" customHeight="1" x14ac:dyDescent="0.2">
      <c r="A1702" s="530" t="s">
        <v>1529</v>
      </c>
      <c r="B1702" s="530"/>
      <c r="C1702" s="531" t="s">
        <v>1530</v>
      </c>
      <c r="D1702" s="531"/>
      <c r="E1702" s="531"/>
      <c r="F1702" s="531"/>
      <c r="G1702" s="531"/>
      <c r="I1702" s="532">
        <v>43167</v>
      </c>
      <c r="J1702" s="532"/>
      <c r="K1702" s="533">
        <v>3292.12</v>
      </c>
      <c r="L1702" s="533"/>
      <c r="M1702" s="533">
        <v>2773.12</v>
      </c>
      <c r="N1702" s="533"/>
      <c r="O1702" s="533">
        <v>0</v>
      </c>
      <c r="P1702" s="533"/>
      <c r="Q1702" s="533">
        <v>0</v>
      </c>
      <c r="R1702" s="533"/>
      <c r="S1702" s="1">
        <v>50</v>
      </c>
      <c r="T1702" s="2" t="s">
        <v>289</v>
      </c>
      <c r="U1702" s="533">
        <v>581</v>
      </c>
      <c r="V1702" s="533"/>
      <c r="W1702" s="533">
        <v>2192.12</v>
      </c>
      <c r="X1702" s="533"/>
    </row>
    <row r="1703" spans="1:24" ht="0.75" customHeight="1" x14ac:dyDescent="0.2"/>
    <row r="1704" spans="1:24" ht="13.5" customHeight="1" x14ac:dyDescent="0.2">
      <c r="A1704" s="530" t="s">
        <v>1531</v>
      </c>
      <c r="B1704" s="530"/>
      <c r="C1704" s="531" t="s">
        <v>1532</v>
      </c>
      <c r="D1704" s="531"/>
      <c r="E1704" s="531"/>
      <c r="F1704" s="531"/>
      <c r="G1704" s="531"/>
      <c r="I1704" s="532">
        <v>43167</v>
      </c>
      <c r="J1704" s="532"/>
      <c r="K1704" s="533">
        <v>10679.26</v>
      </c>
      <c r="L1704" s="533"/>
      <c r="M1704" s="533">
        <v>8997.26</v>
      </c>
      <c r="N1704" s="533"/>
      <c r="O1704" s="533">
        <v>0</v>
      </c>
      <c r="P1704" s="533"/>
      <c r="Q1704" s="533">
        <v>0</v>
      </c>
      <c r="R1704" s="533"/>
      <c r="S1704" s="1">
        <v>50</v>
      </c>
      <c r="T1704" s="2" t="s">
        <v>289</v>
      </c>
      <c r="U1704" s="533">
        <v>1886</v>
      </c>
      <c r="V1704" s="533"/>
      <c r="W1704" s="533">
        <v>7111.26</v>
      </c>
      <c r="X1704" s="533"/>
    </row>
    <row r="1705" spans="1:24" ht="0.75" customHeight="1" x14ac:dyDescent="0.2"/>
    <row r="1706" spans="1:24" ht="13.5" customHeight="1" x14ac:dyDescent="0.2">
      <c r="A1706" s="530" t="s">
        <v>1533</v>
      </c>
      <c r="B1706" s="530"/>
      <c r="C1706" s="531" t="s">
        <v>1534</v>
      </c>
      <c r="D1706" s="531"/>
      <c r="E1706" s="531"/>
      <c r="F1706" s="531"/>
      <c r="G1706" s="531"/>
      <c r="I1706" s="532">
        <v>43185</v>
      </c>
      <c r="J1706" s="532"/>
      <c r="K1706" s="533">
        <v>6040</v>
      </c>
      <c r="L1706" s="533"/>
      <c r="M1706" s="533">
        <v>5237</v>
      </c>
      <c r="N1706" s="533"/>
      <c r="O1706" s="533">
        <v>0</v>
      </c>
      <c r="P1706" s="533"/>
      <c r="Q1706" s="533">
        <v>0</v>
      </c>
      <c r="R1706" s="533"/>
      <c r="S1706" s="1">
        <v>50</v>
      </c>
      <c r="T1706" s="2" t="s">
        <v>289</v>
      </c>
      <c r="U1706" s="533">
        <v>1098</v>
      </c>
      <c r="V1706" s="533"/>
      <c r="W1706" s="533">
        <v>4139</v>
      </c>
      <c r="X1706" s="533"/>
    </row>
    <row r="1707" spans="1:24" ht="0.75" customHeight="1" x14ac:dyDescent="0.2"/>
    <row r="1708" spans="1:24" ht="13.5" customHeight="1" x14ac:dyDescent="0.2">
      <c r="A1708" s="530" t="s">
        <v>1535</v>
      </c>
      <c r="B1708" s="530"/>
      <c r="C1708" s="531" t="s">
        <v>1536</v>
      </c>
      <c r="D1708" s="531"/>
      <c r="E1708" s="531"/>
      <c r="F1708" s="531"/>
      <c r="G1708" s="531"/>
      <c r="I1708" s="532">
        <v>43187</v>
      </c>
      <c r="J1708" s="532"/>
      <c r="K1708" s="533">
        <v>7671</v>
      </c>
      <c r="L1708" s="533"/>
      <c r="M1708" s="533">
        <v>6673</v>
      </c>
      <c r="N1708" s="533"/>
      <c r="O1708" s="533">
        <v>0</v>
      </c>
      <c r="P1708" s="533"/>
      <c r="Q1708" s="533">
        <v>0</v>
      </c>
      <c r="R1708" s="533"/>
      <c r="S1708" s="1">
        <v>50</v>
      </c>
      <c r="T1708" s="2" t="s">
        <v>289</v>
      </c>
      <c r="U1708" s="533">
        <v>1399</v>
      </c>
      <c r="V1708" s="533"/>
      <c r="W1708" s="533">
        <v>5274</v>
      </c>
      <c r="X1708" s="533"/>
    </row>
    <row r="1709" spans="1:24" ht="0.75" customHeight="1" x14ac:dyDescent="0.2"/>
    <row r="1710" spans="1:24" ht="13.5" customHeight="1" x14ac:dyDescent="0.2">
      <c r="A1710" s="530" t="s">
        <v>1537</v>
      </c>
      <c r="B1710" s="530"/>
      <c r="C1710" s="531" t="s">
        <v>1538</v>
      </c>
      <c r="D1710" s="531"/>
      <c r="E1710" s="531"/>
      <c r="F1710" s="531"/>
      <c r="G1710" s="531"/>
      <c r="I1710" s="532">
        <v>43191</v>
      </c>
      <c r="J1710" s="532"/>
      <c r="K1710" s="533">
        <v>11149</v>
      </c>
      <c r="L1710" s="533"/>
      <c r="M1710" s="533">
        <v>9759</v>
      </c>
      <c r="N1710" s="533"/>
      <c r="O1710" s="533">
        <v>0</v>
      </c>
      <c r="P1710" s="533"/>
      <c r="Q1710" s="533">
        <v>0</v>
      </c>
      <c r="R1710" s="533"/>
      <c r="S1710" s="1">
        <v>50</v>
      </c>
      <c r="T1710" s="2" t="s">
        <v>289</v>
      </c>
      <c r="U1710" s="533">
        <v>2045</v>
      </c>
      <c r="V1710" s="533"/>
      <c r="W1710" s="533">
        <v>7714</v>
      </c>
      <c r="X1710" s="533"/>
    </row>
    <row r="1711" spans="1:24" ht="0.75" customHeight="1" x14ac:dyDescent="0.2"/>
    <row r="1712" spans="1:24" ht="13.5" customHeight="1" x14ac:dyDescent="0.2">
      <c r="A1712" s="530" t="s">
        <v>1539</v>
      </c>
      <c r="B1712" s="530"/>
      <c r="C1712" s="531" t="s">
        <v>1540</v>
      </c>
      <c r="D1712" s="531"/>
      <c r="E1712" s="531"/>
      <c r="F1712" s="531"/>
      <c r="G1712" s="531"/>
      <c r="I1712" s="532">
        <v>43191</v>
      </c>
      <c r="J1712" s="532"/>
      <c r="K1712" s="533">
        <v>62256</v>
      </c>
      <c r="L1712" s="533"/>
      <c r="M1712" s="533">
        <v>54495</v>
      </c>
      <c r="N1712" s="533"/>
      <c r="O1712" s="533">
        <v>0</v>
      </c>
      <c r="P1712" s="533"/>
      <c r="Q1712" s="533">
        <v>0</v>
      </c>
      <c r="R1712" s="533"/>
      <c r="S1712" s="1">
        <v>50</v>
      </c>
      <c r="T1712" s="2" t="s">
        <v>289</v>
      </c>
      <c r="U1712" s="533">
        <v>11422</v>
      </c>
      <c r="V1712" s="533"/>
      <c r="W1712" s="533">
        <v>43073</v>
      </c>
      <c r="X1712" s="533"/>
    </row>
    <row r="1713" spans="1:24" ht="0.75" customHeight="1" x14ac:dyDescent="0.2"/>
    <row r="1714" spans="1:24" ht="13.5" customHeight="1" x14ac:dyDescent="0.2">
      <c r="A1714" s="530" t="s">
        <v>1541</v>
      </c>
      <c r="B1714" s="530"/>
      <c r="C1714" s="531" t="s">
        <v>1542</v>
      </c>
      <c r="D1714" s="531"/>
      <c r="E1714" s="531"/>
      <c r="F1714" s="531"/>
      <c r="G1714" s="531"/>
      <c r="I1714" s="532">
        <v>43191</v>
      </c>
      <c r="J1714" s="532"/>
      <c r="K1714" s="533">
        <v>3087</v>
      </c>
      <c r="L1714" s="533"/>
      <c r="M1714" s="533">
        <v>2702</v>
      </c>
      <c r="N1714" s="533"/>
      <c r="O1714" s="533">
        <v>0</v>
      </c>
      <c r="P1714" s="533"/>
      <c r="Q1714" s="533">
        <v>0</v>
      </c>
      <c r="R1714" s="533"/>
      <c r="S1714" s="1">
        <v>50</v>
      </c>
      <c r="T1714" s="2" t="s">
        <v>289</v>
      </c>
      <c r="U1714" s="533">
        <v>566</v>
      </c>
      <c r="V1714" s="533"/>
      <c r="W1714" s="533">
        <v>2136</v>
      </c>
      <c r="X1714" s="533"/>
    </row>
    <row r="1715" spans="1:24" ht="0.75" customHeight="1" x14ac:dyDescent="0.2"/>
    <row r="1716" spans="1:24" ht="13.5" customHeight="1" x14ac:dyDescent="0.2">
      <c r="A1716" s="530" t="s">
        <v>1543</v>
      </c>
      <c r="B1716" s="530"/>
      <c r="C1716" s="531" t="s">
        <v>1544</v>
      </c>
      <c r="D1716" s="531"/>
      <c r="E1716" s="531"/>
      <c r="F1716" s="531"/>
      <c r="G1716" s="531"/>
      <c r="I1716" s="532">
        <v>43191</v>
      </c>
      <c r="J1716" s="532"/>
      <c r="K1716" s="533">
        <v>9874.76</v>
      </c>
      <c r="L1716" s="533"/>
      <c r="M1716" s="533">
        <v>8643.76</v>
      </c>
      <c r="N1716" s="533"/>
      <c r="O1716" s="533">
        <v>0</v>
      </c>
      <c r="P1716" s="533"/>
      <c r="Q1716" s="533">
        <v>0</v>
      </c>
      <c r="R1716" s="533"/>
      <c r="S1716" s="1">
        <v>50</v>
      </c>
      <c r="T1716" s="2" t="s">
        <v>289</v>
      </c>
      <c r="U1716" s="533">
        <v>1812</v>
      </c>
      <c r="V1716" s="533"/>
      <c r="W1716" s="533">
        <v>6831.76</v>
      </c>
      <c r="X1716" s="533"/>
    </row>
    <row r="1717" spans="1:24" ht="0.75" customHeight="1" x14ac:dyDescent="0.2"/>
    <row r="1718" spans="1:24" ht="13.5" customHeight="1" x14ac:dyDescent="0.2">
      <c r="A1718" s="530" t="s">
        <v>1545</v>
      </c>
      <c r="B1718" s="530"/>
      <c r="C1718" s="531" t="s">
        <v>1546</v>
      </c>
      <c r="D1718" s="531"/>
      <c r="E1718" s="531"/>
      <c r="F1718" s="531"/>
      <c r="G1718" s="531"/>
      <c r="I1718" s="532">
        <v>43191</v>
      </c>
      <c r="J1718" s="532"/>
      <c r="K1718" s="533">
        <v>15751.44</v>
      </c>
      <c r="L1718" s="533"/>
      <c r="M1718" s="533">
        <v>13787.44</v>
      </c>
      <c r="N1718" s="533"/>
      <c r="O1718" s="533">
        <v>0</v>
      </c>
      <c r="P1718" s="533"/>
      <c r="Q1718" s="533">
        <v>0</v>
      </c>
      <c r="R1718" s="533"/>
      <c r="S1718" s="1">
        <v>50</v>
      </c>
      <c r="T1718" s="2" t="s">
        <v>289</v>
      </c>
      <c r="U1718" s="533">
        <v>2890</v>
      </c>
      <c r="V1718" s="533"/>
      <c r="W1718" s="533">
        <v>10897.44</v>
      </c>
      <c r="X1718" s="533"/>
    </row>
    <row r="1719" spans="1:24" ht="0.75" customHeight="1" x14ac:dyDescent="0.2"/>
    <row r="1720" spans="1:24" ht="13.5" customHeight="1" x14ac:dyDescent="0.2">
      <c r="A1720" s="530" t="s">
        <v>1547</v>
      </c>
      <c r="B1720" s="530"/>
      <c r="C1720" s="531" t="s">
        <v>1548</v>
      </c>
      <c r="D1720" s="531"/>
      <c r="E1720" s="531"/>
      <c r="F1720" s="531"/>
      <c r="G1720" s="531"/>
      <c r="I1720" s="532">
        <v>43191</v>
      </c>
      <c r="J1720" s="532"/>
      <c r="K1720" s="533">
        <v>8228.9699999999993</v>
      </c>
      <c r="L1720" s="533"/>
      <c r="M1720" s="533">
        <v>7202.97</v>
      </c>
      <c r="N1720" s="533"/>
      <c r="O1720" s="533">
        <v>0</v>
      </c>
      <c r="P1720" s="533"/>
      <c r="Q1720" s="533">
        <v>0</v>
      </c>
      <c r="R1720" s="533"/>
      <c r="S1720" s="1">
        <v>50</v>
      </c>
      <c r="T1720" s="2" t="s">
        <v>289</v>
      </c>
      <c r="U1720" s="533">
        <v>1510</v>
      </c>
      <c r="V1720" s="533"/>
      <c r="W1720" s="533">
        <v>5692.97</v>
      </c>
      <c r="X1720" s="533"/>
    </row>
    <row r="1721" spans="1:24" ht="0.75" customHeight="1" x14ac:dyDescent="0.2"/>
    <row r="1722" spans="1:24" ht="13.5" customHeight="1" x14ac:dyDescent="0.2">
      <c r="A1722" s="530" t="s">
        <v>1549</v>
      </c>
      <c r="B1722" s="530"/>
      <c r="C1722" s="531" t="s">
        <v>1550</v>
      </c>
      <c r="D1722" s="531"/>
      <c r="E1722" s="531"/>
      <c r="F1722" s="531"/>
      <c r="G1722" s="531"/>
      <c r="I1722" s="532">
        <v>43206</v>
      </c>
      <c r="J1722" s="532"/>
      <c r="K1722" s="533">
        <v>3432.88</v>
      </c>
      <c r="L1722" s="533"/>
      <c r="M1722" s="533">
        <v>3075.88</v>
      </c>
      <c r="N1722" s="533"/>
      <c r="O1722" s="533">
        <v>0</v>
      </c>
      <c r="P1722" s="533"/>
      <c r="Q1722" s="533">
        <v>0</v>
      </c>
      <c r="R1722" s="533"/>
      <c r="S1722" s="1">
        <v>50</v>
      </c>
      <c r="T1722" s="2" t="s">
        <v>289</v>
      </c>
      <c r="U1722" s="533">
        <v>645</v>
      </c>
      <c r="V1722" s="533"/>
      <c r="W1722" s="533">
        <v>2430.88</v>
      </c>
      <c r="X1722" s="533"/>
    </row>
    <row r="1723" spans="1:24" ht="0.75" customHeight="1" x14ac:dyDescent="0.2"/>
    <row r="1724" spans="1:24" ht="13.5" customHeight="1" x14ac:dyDescent="0.2">
      <c r="A1724" s="530" t="s">
        <v>1551</v>
      </c>
      <c r="B1724" s="530"/>
      <c r="C1724" s="531" t="s">
        <v>1518</v>
      </c>
      <c r="D1724" s="531"/>
      <c r="E1724" s="531"/>
      <c r="F1724" s="531"/>
      <c r="G1724" s="531"/>
      <c r="I1724" s="532">
        <v>43213</v>
      </c>
      <c r="J1724" s="532"/>
      <c r="K1724" s="533">
        <v>3148</v>
      </c>
      <c r="L1724" s="533"/>
      <c r="M1724" s="533">
        <v>2751</v>
      </c>
      <c r="N1724" s="533"/>
      <c r="O1724" s="533">
        <v>0</v>
      </c>
      <c r="P1724" s="533"/>
      <c r="Q1724" s="533">
        <v>0</v>
      </c>
      <c r="R1724" s="533"/>
      <c r="S1724" s="1">
        <v>66.67</v>
      </c>
      <c r="T1724" s="2" t="s">
        <v>289</v>
      </c>
      <c r="U1724" s="533">
        <v>769</v>
      </c>
      <c r="V1724" s="533"/>
      <c r="W1724" s="533">
        <v>1982</v>
      </c>
      <c r="X1724" s="533"/>
    </row>
    <row r="1725" spans="1:24" ht="0.75" customHeight="1" x14ac:dyDescent="0.2"/>
    <row r="1726" spans="1:24" ht="13.5" customHeight="1" x14ac:dyDescent="0.2">
      <c r="A1726" s="530" t="s">
        <v>1552</v>
      </c>
      <c r="B1726" s="530"/>
      <c r="C1726" s="531" t="s">
        <v>1553</v>
      </c>
      <c r="D1726" s="531"/>
      <c r="E1726" s="531"/>
      <c r="F1726" s="531"/>
      <c r="G1726" s="531"/>
      <c r="I1726" s="532">
        <v>43214</v>
      </c>
      <c r="J1726" s="532"/>
      <c r="K1726" s="533">
        <v>1782.27</v>
      </c>
      <c r="L1726" s="533"/>
      <c r="M1726" s="533">
        <v>1616.27</v>
      </c>
      <c r="N1726" s="533"/>
      <c r="O1726" s="533">
        <v>0</v>
      </c>
      <c r="P1726" s="533"/>
      <c r="Q1726" s="533">
        <v>0</v>
      </c>
      <c r="R1726" s="533"/>
      <c r="S1726" s="1">
        <v>50</v>
      </c>
      <c r="T1726" s="2" t="s">
        <v>289</v>
      </c>
      <c r="U1726" s="533">
        <v>339</v>
      </c>
      <c r="V1726" s="533"/>
      <c r="W1726" s="533">
        <v>1277.27</v>
      </c>
      <c r="X1726" s="533"/>
    </row>
    <row r="1727" spans="1:24" ht="0.75" customHeight="1" x14ac:dyDescent="0.2"/>
    <row r="1728" spans="1:24" ht="13.5" customHeight="1" x14ac:dyDescent="0.2">
      <c r="A1728" s="530" t="s">
        <v>1554</v>
      </c>
      <c r="B1728" s="530"/>
      <c r="C1728" s="531" t="s">
        <v>1555</v>
      </c>
      <c r="D1728" s="531"/>
      <c r="E1728" s="531"/>
      <c r="F1728" s="531"/>
      <c r="G1728" s="531"/>
      <c r="I1728" s="532">
        <v>43227</v>
      </c>
      <c r="J1728" s="532"/>
      <c r="K1728" s="533">
        <v>3220.94</v>
      </c>
      <c r="L1728" s="533"/>
      <c r="M1728" s="533">
        <v>2977.94</v>
      </c>
      <c r="N1728" s="533"/>
      <c r="O1728" s="533">
        <v>0</v>
      </c>
      <c r="P1728" s="533"/>
      <c r="Q1728" s="533">
        <v>0</v>
      </c>
      <c r="R1728" s="533"/>
      <c r="S1728" s="1">
        <v>50</v>
      </c>
      <c r="T1728" s="2" t="s">
        <v>289</v>
      </c>
      <c r="U1728" s="533">
        <v>624</v>
      </c>
      <c r="V1728" s="533"/>
      <c r="W1728" s="533">
        <v>2353.94</v>
      </c>
      <c r="X1728" s="533"/>
    </row>
    <row r="1729" spans="1:24" ht="0.75" customHeight="1" x14ac:dyDescent="0.2"/>
    <row r="1730" spans="1:24" ht="13.5" customHeight="1" x14ac:dyDescent="0.2">
      <c r="A1730" s="530" t="s">
        <v>1556</v>
      </c>
      <c r="B1730" s="530"/>
      <c r="C1730" s="531" t="s">
        <v>1557</v>
      </c>
      <c r="D1730" s="531"/>
      <c r="E1730" s="531"/>
      <c r="F1730" s="531"/>
      <c r="G1730" s="531"/>
      <c r="I1730" s="532">
        <v>43227</v>
      </c>
      <c r="J1730" s="532"/>
      <c r="K1730" s="533">
        <v>1670</v>
      </c>
      <c r="L1730" s="533"/>
      <c r="M1730" s="533">
        <v>1544</v>
      </c>
      <c r="N1730" s="533"/>
      <c r="O1730" s="533">
        <v>0</v>
      </c>
      <c r="P1730" s="533"/>
      <c r="Q1730" s="533">
        <v>0</v>
      </c>
      <c r="R1730" s="533"/>
      <c r="S1730" s="1">
        <v>50</v>
      </c>
      <c r="T1730" s="2" t="s">
        <v>289</v>
      </c>
      <c r="U1730" s="533">
        <v>324</v>
      </c>
      <c r="V1730" s="533"/>
      <c r="W1730" s="533">
        <v>1220</v>
      </c>
      <c r="X1730" s="533"/>
    </row>
    <row r="1731" spans="1:24" ht="0.75" customHeight="1" x14ac:dyDescent="0.2"/>
    <row r="1732" spans="1:24" ht="13.5" customHeight="1" x14ac:dyDescent="0.2">
      <c r="A1732" s="530" t="s">
        <v>1558</v>
      </c>
      <c r="B1732" s="530"/>
      <c r="C1732" s="531" t="s">
        <v>1559</v>
      </c>
      <c r="D1732" s="531"/>
      <c r="E1732" s="531"/>
      <c r="F1732" s="531"/>
      <c r="G1732" s="531"/>
      <c r="I1732" s="532">
        <v>43264</v>
      </c>
      <c r="J1732" s="532"/>
      <c r="K1732" s="533">
        <v>6936.3600000000006</v>
      </c>
      <c r="L1732" s="533"/>
      <c r="M1732" s="533">
        <v>6765.3600000000006</v>
      </c>
      <c r="N1732" s="533"/>
      <c r="O1732" s="533">
        <v>0</v>
      </c>
      <c r="P1732" s="533"/>
      <c r="Q1732" s="533">
        <v>0</v>
      </c>
      <c r="R1732" s="533"/>
      <c r="S1732" s="1">
        <v>50</v>
      </c>
      <c r="T1732" s="2" t="s">
        <v>289</v>
      </c>
      <c r="U1732" s="533">
        <v>1418</v>
      </c>
      <c r="V1732" s="533"/>
      <c r="W1732" s="533">
        <v>5347.36</v>
      </c>
      <c r="X1732" s="533"/>
    </row>
    <row r="1733" spans="1:24" ht="0.75" customHeight="1" x14ac:dyDescent="0.2"/>
    <row r="1734" spans="1:24" ht="13.5" customHeight="1" x14ac:dyDescent="0.2">
      <c r="A1734" s="530" t="s">
        <v>1560</v>
      </c>
      <c r="B1734" s="530"/>
      <c r="C1734" s="531" t="s">
        <v>1561</v>
      </c>
      <c r="D1734" s="531"/>
      <c r="E1734" s="531"/>
      <c r="F1734" s="531"/>
      <c r="G1734" s="531"/>
      <c r="I1734" s="532">
        <v>43264</v>
      </c>
      <c r="J1734" s="532"/>
      <c r="K1734" s="533">
        <v>25581</v>
      </c>
      <c r="L1734" s="533"/>
      <c r="M1734" s="533">
        <v>24950.1453</v>
      </c>
      <c r="N1734" s="533"/>
      <c r="O1734" s="533">
        <v>0</v>
      </c>
      <c r="P1734" s="533"/>
      <c r="Q1734" s="533">
        <v>0</v>
      </c>
      <c r="R1734" s="533"/>
      <c r="S1734" s="1">
        <v>50</v>
      </c>
      <c r="T1734" s="2" t="s">
        <v>289</v>
      </c>
      <c r="U1734" s="533">
        <v>5229</v>
      </c>
      <c r="V1734" s="533"/>
      <c r="W1734" s="533">
        <v>19721.1453</v>
      </c>
      <c r="X1734" s="533"/>
    </row>
    <row r="1735" spans="1:24" ht="0.75" customHeight="1" x14ac:dyDescent="0.2"/>
    <row r="1736" spans="1:24" ht="13.5" customHeight="1" x14ac:dyDescent="0.2">
      <c r="A1736" s="530" t="s">
        <v>1562</v>
      </c>
      <c r="B1736" s="530"/>
      <c r="C1736" s="531" t="s">
        <v>1563</v>
      </c>
      <c r="D1736" s="531"/>
      <c r="E1736" s="531"/>
      <c r="F1736" s="531"/>
      <c r="G1736" s="531"/>
      <c r="I1736" s="532">
        <v>43264</v>
      </c>
      <c r="J1736" s="532"/>
      <c r="K1736" s="533">
        <v>11600.78</v>
      </c>
      <c r="L1736" s="533"/>
      <c r="M1736" s="533">
        <v>11314.6747</v>
      </c>
      <c r="N1736" s="533"/>
      <c r="O1736" s="533">
        <v>0</v>
      </c>
      <c r="P1736" s="533"/>
      <c r="Q1736" s="533">
        <v>3172.3253000000004</v>
      </c>
      <c r="R1736" s="533"/>
      <c r="S1736" s="1">
        <v>50</v>
      </c>
      <c r="T1736" s="2" t="s">
        <v>289</v>
      </c>
      <c r="U1736" s="533">
        <v>837</v>
      </c>
      <c r="V1736" s="533"/>
      <c r="W1736" s="533">
        <v>0</v>
      </c>
      <c r="X1736" s="533"/>
    </row>
    <row r="1737" spans="1:24" ht="13.5" customHeight="1" x14ac:dyDescent="0.2">
      <c r="I1737" s="537">
        <v>43335</v>
      </c>
      <c r="J1737" s="537"/>
      <c r="N1737" s="533">
        <v>-13650</v>
      </c>
      <c r="O1737" s="533"/>
    </row>
    <row r="1738" spans="1:24" ht="0.75" customHeight="1" x14ac:dyDescent="0.2"/>
    <row r="1739" spans="1:24" ht="13.5" customHeight="1" x14ac:dyDescent="0.2">
      <c r="A1739" s="530" t="s">
        <v>1564</v>
      </c>
      <c r="B1739" s="530"/>
      <c r="C1739" s="531" t="s">
        <v>1565</v>
      </c>
      <c r="D1739" s="531"/>
      <c r="E1739" s="531"/>
      <c r="F1739" s="531"/>
      <c r="G1739" s="531"/>
      <c r="I1739" s="532">
        <v>43191</v>
      </c>
      <c r="J1739" s="532"/>
      <c r="K1739" s="533">
        <v>2219</v>
      </c>
      <c r="L1739" s="533"/>
      <c r="M1739" s="533">
        <v>1942</v>
      </c>
      <c r="N1739" s="533"/>
      <c r="O1739" s="533">
        <v>0</v>
      </c>
      <c r="P1739" s="533"/>
      <c r="Q1739" s="533">
        <v>0</v>
      </c>
      <c r="R1739" s="533"/>
      <c r="S1739" s="1">
        <v>50</v>
      </c>
      <c r="T1739" s="2" t="s">
        <v>289</v>
      </c>
      <c r="U1739" s="533">
        <v>407</v>
      </c>
      <c r="V1739" s="533"/>
      <c r="W1739" s="533">
        <v>1535</v>
      </c>
      <c r="X1739" s="533"/>
    </row>
    <row r="1740" spans="1:24" ht="0.75" customHeight="1" x14ac:dyDescent="0.2"/>
    <row r="1741" spans="1:24" ht="13.5" customHeight="1" x14ac:dyDescent="0.2">
      <c r="A1741" s="530" t="s">
        <v>1566</v>
      </c>
      <c r="B1741" s="530"/>
      <c r="C1741" s="531" t="s">
        <v>1567</v>
      </c>
      <c r="D1741" s="531"/>
      <c r="E1741" s="531"/>
      <c r="F1741" s="531"/>
      <c r="G1741" s="531"/>
      <c r="I1741" s="532">
        <v>43191</v>
      </c>
      <c r="J1741" s="532"/>
      <c r="K1741" s="533">
        <v>2218.7000000000003</v>
      </c>
      <c r="L1741" s="533"/>
      <c r="M1741" s="533">
        <v>1941.7</v>
      </c>
      <c r="N1741" s="533"/>
      <c r="O1741" s="533">
        <v>0</v>
      </c>
      <c r="P1741" s="533"/>
      <c r="Q1741" s="533">
        <v>0</v>
      </c>
      <c r="R1741" s="533"/>
      <c r="S1741" s="1">
        <v>50</v>
      </c>
      <c r="T1741" s="2" t="s">
        <v>289</v>
      </c>
      <c r="U1741" s="533">
        <v>407</v>
      </c>
      <c r="V1741" s="533"/>
      <c r="W1741" s="533">
        <v>1534.7</v>
      </c>
      <c r="X1741" s="533"/>
    </row>
    <row r="1742" spans="1:24" ht="0.75" customHeight="1" x14ac:dyDescent="0.2"/>
    <row r="1743" spans="1:24" ht="13.5" customHeight="1" x14ac:dyDescent="0.2">
      <c r="A1743" s="530" t="s">
        <v>1568</v>
      </c>
      <c r="B1743" s="530"/>
      <c r="C1743" s="531" t="s">
        <v>1569</v>
      </c>
      <c r="D1743" s="531"/>
      <c r="E1743" s="531"/>
      <c r="F1743" s="531"/>
      <c r="G1743" s="531"/>
      <c r="I1743" s="532">
        <v>43191</v>
      </c>
      <c r="J1743" s="532"/>
      <c r="K1743" s="533">
        <v>2329</v>
      </c>
      <c r="L1743" s="533"/>
      <c r="M1743" s="533">
        <v>2039</v>
      </c>
      <c r="N1743" s="533"/>
      <c r="O1743" s="533">
        <v>0</v>
      </c>
      <c r="P1743" s="533"/>
      <c r="Q1743" s="533">
        <v>0</v>
      </c>
      <c r="R1743" s="533"/>
      <c r="S1743" s="1">
        <v>50</v>
      </c>
      <c r="T1743" s="2" t="s">
        <v>289</v>
      </c>
      <c r="U1743" s="533">
        <v>427</v>
      </c>
      <c r="V1743" s="533"/>
      <c r="W1743" s="533">
        <v>1612</v>
      </c>
      <c r="X1743" s="533"/>
    </row>
    <row r="1744" spans="1:24" ht="0.75" customHeight="1" x14ac:dyDescent="0.2"/>
    <row r="1745" spans="1:24" ht="13.5" customHeight="1" x14ac:dyDescent="0.2">
      <c r="A1745" s="530" t="s">
        <v>1570</v>
      </c>
      <c r="B1745" s="530"/>
      <c r="C1745" s="531" t="s">
        <v>1571</v>
      </c>
      <c r="D1745" s="531"/>
      <c r="E1745" s="531"/>
      <c r="F1745" s="531"/>
      <c r="G1745" s="531"/>
      <c r="I1745" s="532">
        <v>42948</v>
      </c>
      <c r="J1745" s="532"/>
      <c r="K1745" s="533">
        <v>1772.73</v>
      </c>
      <c r="L1745" s="533"/>
      <c r="M1745" s="533">
        <v>961.73</v>
      </c>
      <c r="N1745" s="533"/>
      <c r="O1745" s="533">
        <v>0</v>
      </c>
      <c r="P1745" s="533"/>
      <c r="Q1745" s="533">
        <v>0</v>
      </c>
      <c r="R1745" s="533"/>
      <c r="S1745" s="1">
        <v>50</v>
      </c>
      <c r="T1745" s="2" t="s">
        <v>289</v>
      </c>
      <c r="U1745" s="533">
        <v>202</v>
      </c>
      <c r="V1745" s="533"/>
      <c r="W1745" s="533">
        <v>759.73</v>
      </c>
      <c r="X1745" s="533"/>
    </row>
    <row r="1746" spans="1:24" ht="15" customHeight="1" x14ac:dyDescent="0.2">
      <c r="A1746" s="534" t="s">
        <v>1141</v>
      </c>
      <c r="B1746" s="534"/>
      <c r="D1746" s="534" t="s">
        <v>1142</v>
      </c>
      <c r="E1746" s="534"/>
      <c r="F1746" s="534"/>
      <c r="G1746" s="534"/>
      <c r="H1746" s="534"/>
      <c r="I1746" s="534"/>
      <c r="J1746" s="534"/>
      <c r="K1746" s="534"/>
      <c r="L1746" s="534"/>
      <c r="M1746" s="534"/>
      <c r="N1746" s="534"/>
      <c r="O1746" s="534"/>
      <c r="P1746" s="534"/>
      <c r="Q1746" s="534"/>
      <c r="R1746" s="534"/>
      <c r="S1746" s="534"/>
      <c r="T1746" s="534"/>
      <c r="U1746" s="534"/>
      <c r="V1746" s="534"/>
    </row>
    <row r="1747" spans="1:24" ht="0.75" customHeight="1" x14ac:dyDescent="0.2"/>
    <row r="1748" spans="1:24" ht="13.5" customHeight="1" x14ac:dyDescent="0.2">
      <c r="A1748" s="530" t="s">
        <v>1572</v>
      </c>
      <c r="B1748" s="530"/>
      <c r="C1748" s="525" t="s">
        <v>1573</v>
      </c>
      <c r="D1748" s="525"/>
      <c r="E1748" s="525"/>
      <c r="F1748" s="525"/>
      <c r="G1748" s="525"/>
      <c r="I1748" s="532">
        <v>43362</v>
      </c>
      <c r="J1748" s="532"/>
      <c r="K1748" s="533">
        <v>11025</v>
      </c>
      <c r="L1748" s="533"/>
      <c r="M1748" s="533">
        <v>0</v>
      </c>
      <c r="N1748" s="533"/>
      <c r="O1748" s="533">
        <v>11025</v>
      </c>
      <c r="P1748" s="533"/>
      <c r="Q1748" s="533">
        <v>0</v>
      </c>
      <c r="R1748" s="533"/>
      <c r="S1748" s="1">
        <v>50</v>
      </c>
      <c r="T1748" s="2" t="s">
        <v>289</v>
      </c>
      <c r="U1748" s="533">
        <v>1103</v>
      </c>
      <c r="V1748" s="533"/>
      <c r="W1748" s="533">
        <v>9922</v>
      </c>
      <c r="X1748" s="533"/>
    </row>
    <row r="1749" spans="1:24" ht="12" customHeight="1" x14ac:dyDescent="0.2">
      <c r="C1749" s="525"/>
      <c r="D1749" s="525"/>
      <c r="E1749" s="525"/>
      <c r="F1749" s="525"/>
      <c r="G1749" s="525"/>
    </row>
    <row r="1750" spans="1:24" ht="13.5" customHeight="1" x14ac:dyDescent="0.2">
      <c r="A1750" s="530" t="s">
        <v>1574</v>
      </c>
      <c r="B1750" s="530"/>
      <c r="C1750" s="525" t="s">
        <v>1575</v>
      </c>
      <c r="D1750" s="525"/>
      <c r="E1750" s="525"/>
      <c r="F1750" s="525"/>
      <c r="G1750" s="525"/>
      <c r="I1750" s="532">
        <v>43402</v>
      </c>
      <c r="J1750" s="532"/>
      <c r="K1750" s="533">
        <v>13000</v>
      </c>
      <c r="L1750" s="533"/>
      <c r="M1750" s="533">
        <v>0</v>
      </c>
      <c r="N1750" s="533"/>
      <c r="O1750" s="533">
        <v>13000</v>
      </c>
      <c r="P1750" s="533"/>
      <c r="Q1750" s="533">
        <v>0</v>
      </c>
      <c r="R1750" s="533"/>
      <c r="S1750" s="1">
        <v>50</v>
      </c>
      <c r="T1750" s="2" t="s">
        <v>289</v>
      </c>
      <c r="U1750" s="533">
        <v>588</v>
      </c>
      <c r="V1750" s="533"/>
      <c r="W1750" s="533">
        <v>12412</v>
      </c>
      <c r="X1750" s="533"/>
    </row>
    <row r="1751" spans="1:24" ht="11.25" customHeight="1" x14ac:dyDescent="0.2">
      <c r="C1751" s="525"/>
      <c r="D1751" s="525"/>
      <c r="E1751" s="525"/>
      <c r="F1751" s="525"/>
      <c r="G1751" s="525"/>
    </row>
    <row r="1752" spans="1:24" ht="0.75" customHeight="1" x14ac:dyDescent="0.2">
      <c r="C1752" s="525"/>
      <c r="D1752" s="525"/>
      <c r="E1752" s="525"/>
      <c r="F1752" s="525"/>
      <c r="G1752" s="525"/>
      <c r="K1752" s="535">
        <v>1512639</v>
      </c>
      <c r="L1752" s="535"/>
    </row>
    <row r="1753" spans="1:24" x14ac:dyDescent="0.2">
      <c r="K1753" s="535"/>
      <c r="L1753" s="535"/>
    </row>
    <row r="1754" spans="1:24" ht="12.75" hidden="1" customHeight="1" x14ac:dyDescent="0.2">
      <c r="K1754" s="535"/>
      <c r="L1754" s="535"/>
    </row>
    <row r="1755" spans="1:24" ht="13.5" customHeight="1" x14ac:dyDescent="0.2">
      <c r="A1755" s="538" t="s">
        <v>1117</v>
      </c>
      <c r="B1755" s="538"/>
      <c r="C1755" s="538"/>
      <c r="K1755" s="535">
        <v>25751.79</v>
      </c>
      <c r="L1755" s="535"/>
    </row>
    <row r="1756" spans="1:24" ht="12" customHeight="1" x14ac:dyDescent="0.2"/>
    <row r="1757" spans="1:24" ht="0.75" customHeight="1" x14ac:dyDescent="0.2"/>
    <row r="1758" spans="1:24" ht="13.5" customHeight="1" x14ac:dyDescent="0.2">
      <c r="J1758" s="535">
        <v>1486887.21</v>
      </c>
      <c r="K1758" s="535"/>
      <c r="L1758" s="535"/>
      <c r="M1758" s="536">
        <v>474083.55950000003</v>
      </c>
      <c r="N1758" s="536"/>
      <c r="O1758" s="535">
        <v>-7003.16</v>
      </c>
      <c r="P1758" s="535"/>
      <c r="Q1758" s="536">
        <v>11399.105500000001</v>
      </c>
      <c r="R1758" s="536"/>
      <c r="S1758" s="536">
        <v>101420.27</v>
      </c>
      <c r="T1758" s="536"/>
      <c r="U1758" s="536">
        <v>377059.23499999999</v>
      </c>
      <c r="V1758" s="536"/>
    </row>
    <row r="1759" spans="1:24" ht="15" customHeight="1" x14ac:dyDescent="0.2">
      <c r="A1759" s="534" t="s">
        <v>1576</v>
      </c>
      <c r="B1759" s="534"/>
      <c r="D1759" s="534" t="s">
        <v>1577</v>
      </c>
      <c r="E1759" s="534"/>
      <c r="F1759" s="534"/>
      <c r="G1759" s="534"/>
      <c r="H1759" s="534"/>
      <c r="I1759" s="534"/>
      <c r="J1759" s="534"/>
      <c r="K1759" s="534"/>
      <c r="L1759" s="534"/>
      <c r="M1759" s="534"/>
      <c r="N1759" s="534"/>
      <c r="O1759" s="534"/>
      <c r="P1759" s="534"/>
      <c r="Q1759" s="534"/>
      <c r="R1759" s="534"/>
      <c r="S1759" s="534"/>
      <c r="T1759" s="534"/>
      <c r="U1759" s="534"/>
      <c r="V1759" s="534"/>
    </row>
    <row r="1760" spans="1:24" ht="0.75" customHeight="1" x14ac:dyDescent="0.2"/>
    <row r="1761" spans="1:24" ht="13.5" customHeight="1" x14ac:dyDescent="0.2">
      <c r="A1761" s="530" t="s">
        <v>1578</v>
      </c>
      <c r="B1761" s="530"/>
      <c r="C1761" s="531" t="s">
        <v>1579</v>
      </c>
      <c r="D1761" s="531"/>
      <c r="E1761" s="531"/>
      <c r="F1761" s="531"/>
      <c r="G1761" s="531"/>
      <c r="I1761" s="532">
        <v>41281</v>
      </c>
      <c r="J1761" s="532"/>
      <c r="K1761" s="533">
        <v>6450</v>
      </c>
      <c r="L1761" s="533"/>
      <c r="M1761" s="533">
        <v>2864</v>
      </c>
      <c r="N1761" s="533"/>
      <c r="O1761" s="533">
        <v>0</v>
      </c>
      <c r="P1761" s="533"/>
      <c r="Q1761" s="533">
        <v>0</v>
      </c>
      <c r="R1761" s="533"/>
      <c r="S1761" s="1">
        <v>20</v>
      </c>
      <c r="T1761" s="2" t="s">
        <v>289</v>
      </c>
      <c r="U1761" s="533">
        <v>240</v>
      </c>
      <c r="V1761" s="533"/>
      <c r="W1761" s="533">
        <v>2624</v>
      </c>
      <c r="X1761" s="533"/>
    </row>
    <row r="1762" spans="1:24" ht="0.75" customHeight="1" x14ac:dyDescent="0.2"/>
    <row r="1763" spans="1:24" ht="13.5" customHeight="1" x14ac:dyDescent="0.2">
      <c r="A1763" s="530" t="s">
        <v>1580</v>
      </c>
      <c r="B1763" s="530"/>
      <c r="C1763" s="531" t="s">
        <v>1581</v>
      </c>
      <c r="D1763" s="531"/>
      <c r="E1763" s="531"/>
      <c r="F1763" s="531"/>
      <c r="G1763" s="531"/>
      <c r="I1763" s="532">
        <v>41478</v>
      </c>
      <c r="J1763" s="532"/>
      <c r="K1763" s="533">
        <v>679.09</v>
      </c>
      <c r="L1763" s="533"/>
      <c r="M1763" s="533">
        <v>22.09</v>
      </c>
      <c r="N1763" s="533"/>
      <c r="O1763" s="533">
        <v>0</v>
      </c>
      <c r="P1763" s="533"/>
      <c r="Q1763" s="533">
        <v>0</v>
      </c>
      <c r="R1763" s="533"/>
      <c r="S1763" s="1">
        <v>50</v>
      </c>
      <c r="T1763" s="2" t="s">
        <v>289</v>
      </c>
      <c r="U1763" s="533">
        <v>5</v>
      </c>
      <c r="V1763" s="533"/>
      <c r="W1763" s="533">
        <v>17.09</v>
      </c>
      <c r="X1763" s="533"/>
    </row>
    <row r="1764" spans="1:24" ht="0.75" customHeight="1" x14ac:dyDescent="0.2"/>
    <row r="1765" spans="1:24" ht="13.5" customHeight="1" x14ac:dyDescent="0.2">
      <c r="A1765" s="530" t="s">
        <v>1582</v>
      </c>
      <c r="B1765" s="530"/>
      <c r="C1765" s="531" t="s">
        <v>1583</v>
      </c>
      <c r="D1765" s="531"/>
      <c r="E1765" s="531"/>
      <c r="F1765" s="531"/>
      <c r="G1765" s="531"/>
      <c r="I1765" s="532">
        <v>41688</v>
      </c>
      <c r="J1765" s="532"/>
      <c r="K1765" s="533">
        <v>1363.64</v>
      </c>
      <c r="L1765" s="533"/>
      <c r="M1765" s="533">
        <v>291.64</v>
      </c>
      <c r="N1765" s="533"/>
      <c r="O1765" s="533">
        <v>0</v>
      </c>
      <c r="P1765" s="533"/>
      <c r="Q1765" s="533">
        <v>0</v>
      </c>
      <c r="R1765" s="533"/>
      <c r="S1765" s="1">
        <v>30</v>
      </c>
      <c r="T1765" s="2" t="s">
        <v>289</v>
      </c>
      <c r="U1765" s="533">
        <v>37</v>
      </c>
      <c r="V1765" s="533"/>
      <c r="W1765" s="533">
        <v>254.64000000000001</v>
      </c>
      <c r="X1765" s="533"/>
    </row>
    <row r="1766" spans="1:24" ht="0.75" customHeight="1" x14ac:dyDescent="0.2"/>
    <row r="1767" spans="1:24" ht="13.5" customHeight="1" x14ac:dyDescent="0.2">
      <c r="A1767" s="530" t="s">
        <v>1584</v>
      </c>
      <c r="B1767" s="530"/>
      <c r="C1767" s="531" t="s">
        <v>1585</v>
      </c>
      <c r="D1767" s="531"/>
      <c r="E1767" s="531"/>
      <c r="F1767" s="531"/>
      <c r="G1767" s="531"/>
      <c r="I1767" s="532">
        <v>42149</v>
      </c>
      <c r="J1767" s="532"/>
      <c r="K1767" s="533">
        <v>1522.73</v>
      </c>
      <c r="L1767" s="533"/>
      <c r="M1767" s="533">
        <v>52.730000000000004</v>
      </c>
      <c r="N1767" s="533"/>
      <c r="O1767" s="533">
        <v>0</v>
      </c>
      <c r="P1767" s="533"/>
      <c r="Q1767" s="533">
        <v>0</v>
      </c>
      <c r="R1767" s="533"/>
      <c r="S1767" s="1">
        <v>66.67</v>
      </c>
      <c r="T1767" s="2" t="s">
        <v>289</v>
      </c>
      <c r="U1767" s="533">
        <v>15</v>
      </c>
      <c r="V1767" s="533"/>
      <c r="W1767" s="533">
        <v>37.730000000000004</v>
      </c>
      <c r="X1767" s="533"/>
    </row>
    <row r="1768" spans="1:24" ht="0.75" customHeight="1" x14ac:dyDescent="0.2"/>
    <row r="1769" spans="1:24" ht="13.5" customHeight="1" x14ac:dyDescent="0.2">
      <c r="A1769" s="530" t="s">
        <v>1586</v>
      </c>
      <c r="B1769" s="530"/>
      <c r="C1769" s="531" t="s">
        <v>1587</v>
      </c>
      <c r="D1769" s="531"/>
      <c r="E1769" s="531"/>
      <c r="F1769" s="531"/>
      <c r="G1769" s="531"/>
      <c r="I1769" s="532">
        <v>42242</v>
      </c>
      <c r="J1769" s="532"/>
      <c r="K1769" s="533">
        <v>1145.4000000000001</v>
      </c>
      <c r="L1769" s="533"/>
      <c r="M1769" s="533">
        <v>0</v>
      </c>
      <c r="N1769" s="533"/>
      <c r="O1769" s="533">
        <v>0</v>
      </c>
      <c r="P1769" s="533"/>
      <c r="Q1769" s="533">
        <v>0</v>
      </c>
      <c r="R1769" s="533"/>
      <c r="S1769" s="1">
        <v>100</v>
      </c>
      <c r="T1769" s="2" t="s">
        <v>289</v>
      </c>
      <c r="U1769" s="533">
        <v>0</v>
      </c>
      <c r="V1769" s="533"/>
      <c r="W1769" s="533">
        <v>0</v>
      </c>
      <c r="X1769" s="533"/>
    </row>
    <row r="1770" spans="1:24" ht="0.75" customHeight="1" x14ac:dyDescent="0.2"/>
    <row r="1771" spans="1:24" ht="13.5" customHeight="1" x14ac:dyDescent="0.2">
      <c r="A1771" s="530" t="s">
        <v>1588</v>
      </c>
      <c r="B1771" s="530"/>
      <c r="C1771" s="531" t="s">
        <v>1589</v>
      </c>
      <c r="D1771" s="531"/>
      <c r="E1771" s="531"/>
      <c r="F1771" s="531"/>
      <c r="G1771" s="531"/>
      <c r="I1771" s="532">
        <v>42392</v>
      </c>
      <c r="J1771" s="532"/>
      <c r="K1771" s="533">
        <v>2229.09</v>
      </c>
      <c r="L1771" s="533"/>
      <c r="M1771" s="533">
        <v>1302.0899999999999</v>
      </c>
      <c r="N1771" s="533"/>
      <c r="O1771" s="533">
        <v>0</v>
      </c>
      <c r="P1771" s="533"/>
      <c r="Q1771" s="533">
        <v>0</v>
      </c>
      <c r="R1771" s="533"/>
      <c r="S1771" s="1">
        <v>20</v>
      </c>
      <c r="T1771" s="2" t="s">
        <v>289</v>
      </c>
      <c r="U1771" s="533">
        <v>109</v>
      </c>
      <c r="V1771" s="533"/>
      <c r="W1771" s="533">
        <v>1193.0899999999999</v>
      </c>
      <c r="X1771" s="533"/>
    </row>
    <row r="1772" spans="1:24" ht="0.75" customHeight="1" x14ac:dyDescent="0.2"/>
    <row r="1773" spans="1:24" ht="13.5" customHeight="1" x14ac:dyDescent="0.2">
      <c r="A1773" s="530" t="s">
        <v>1590</v>
      </c>
      <c r="B1773" s="530"/>
      <c r="C1773" s="531" t="s">
        <v>1591</v>
      </c>
      <c r="D1773" s="531"/>
      <c r="E1773" s="531"/>
      <c r="F1773" s="531"/>
      <c r="G1773" s="531"/>
      <c r="I1773" s="532">
        <v>42513</v>
      </c>
      <c r="J1773" s="532"/>
      <c r="K1773" s="533">
        <v>796.36</v>
      </c>
      <c r="L1773" s="533"/>
      <c r="M1773" s="533">
        <v>0</v>
      </c>
      <c r="N1773" s="533"/>
      <c r="O1773" s="533">
        <v>0</v>
      </c>
      <c r="P1773" s="533"/>
      <c r="Q1773" s="533">
        <v>0</v>
      </c>
      <c r="R1773" s="533"/>
      <c r="S1773" s="1">
        <v>100</v>
      </c>
      <c r="T1773" s="2" t="s">
        <v>289</v>
      </c>
      <c r="U1773" s="533">
        <v>0</v>
      </c>
      <c r="V1773" s="533"/>
      <c r="W1773" s="533">
        <v>0</v>
      </c>
      <c r="X1773" s="533"/>
    </row>
    <row r="1774" spans="1:24" ht="0.75" customHeight="1" x14ac:dyDescent="0.2"/>
    <row r="1775" spans="1:24" ht="13.5" customHeight="1" x14ac:dyDescent="0.2">
      <c r="A1775" s="530" t="s">
        <v>1592</v>
      </c>
      <c r="B1775" s="530"/>
      <c r="C1775" s="531" t="s">
        <v>1593</v>
      </c>
      <c r="D1775" s="531"/>
      <c r="E1775" s="531"/>
      <c r="F1775" s="531"/>
      <c r="G1775" s="531"/>
      <c r="I1775" s="532">
        <v>42355</v>
      </c>
      <c r="J1775" s="532"/>
      <c r="K1775" s="533">
        <v>2499.0500000000002</v>
      </c>
      <c r="L1775" s="533"/>
      <c r="M1775" s="533">
        <v>0</v>
      </c>
      <c r="N1775" s="533"/>
      <c r="O1775" s="533">
        <v>0</v>
      </c>
      <c r="P1775" s="533"/>
      <c r="Q1775" s="533">
        <v>0</v>
      </c>
      <c r="R1775" s="533"/>
      <c r="S1775" s="1">
        <v>100</v>
      </c>
      <c r="T1775" s="2" t="s">
        <v>289</v>
      </c>
      <c r="U1775" s="533">
        <v>0</v>
      </c>
      <c r="V1775" s="533"/>
      <c r="W1775" s="533">
        <v>0</v>
      </c>
      <c r="X1775" s="533"/>
    </row>
    <row r="1776" spans="1:24" ht="0.75" customHeight="1" x14ac:dyDescent="0.2"/>
    <row r="1777" spans="1:24" ht="13.5" customHeight="1" x14ac:dyDescent="0.2">
      <c r="A1777" s="530" t="s">
        <v>1594</v>
      </c>
      <c r="B1777" s="530"/>
      <c r="C1777" s="531" t="s">
        <v>1595</v>
      </c>
      <c r="D1777" s="531"/>
      <c r="E1777" s="531"/>
      <c r="F1777" s="531"/>
      <c r="G1777" s="531"/>
      <c r="I1777" s="532">
        <v>42772</v>
      </c>
      <c r="J1777" s="532"/>
      <c r="K1777" s="533">
        <v>1352.73</v>
      </c>
      <c r="L1777" s="533"/>
      <c r="M1777" s="533">
        <v>0</v>
      </c>
      <c r="N1777" s="533"/>
      <c r="O1777" s="533">
        <v>0</v>
      </c>
      <c r="P1777" s="533"/>
      <c r="Q1777" s="533">
        <v>0</v>
      </c>
      <c r="R1777" s="533"/>
      <c r="S1777" s="1">
        <v>100</v>
      </c>
      <c r="T1777" s="2" t="s">
        <v>289</v>
      </c>
      <c r="U1777" s="533">
        <v>0</v>
      </c>
      <c r="V1777" s="533"/>
      <c r="W1777" s="533">
        <v>0</v>
      </c>
      <c r="X1777" s="533"/>
    </row>
    <row r="1778" spans="1:24" ht="0.75" customHeight="1" x14ac:dyDescent="0.2"/>
    <row r="1779" spans="1:24" ht="13.5" customHeight="1" x14ac:dyDescent="0.2">
      <c r="A1779" s="530" t="s">
        <v>1596</v>
      </c>
      <c r="B1779" s="530"/>
      <c r="C1779" s="531" t="s">
        <v>1597</v>
      </c>
      <c r="D1779" s="531"/>
      <c r="E1779" s="531"/>
      <c r="F1779" s="531"/>
      <c r="G1779" s="531"/>
      <c r="I1779" s="532">
        <v>42809</v>
      </c>
      <c r="J1779" s="532"/>
      <c r="K1779" s="533">
        <v>710.91</v>
      </c>
      <c r="L1779" s="533"/>
      <c r="M1779" s="533">
        <v>0</v>
      </c>
      <c r="N1779" s="533"/>
      <c r="O1779" s="533">
        <v>0</v>
      </c>
      <c r="P1779" s="533"/>
      <c r="Q1779" s="533">
        <v>0</v>
      </c>
      <c r="R1779" s="533"/>
      <c r="S1779" s="1">
        <v>100</v>
      </c>
      <c r="T1779" s="2" t="s">
        <v>289</v>
      </c>
      <c r="U1779" s="533">
        <v>0</v>
      </c>
      <c r="V1779" s="533"/>
      <c r="W1779" s="533">
        <v>0</v>
      </c>
      <c r="X1779" s="533"/>
    </row>
    <row r="1780" spans="1:24" ht="0.75" customHeight="1" x14ac:dyDescent="0.2"/>
    <row r="1781" spans="1:24" ht="13.5" customHeight="1" x14ac:dyDescent="0.2">
      <c r="A1781" s="530" t="s">
        <v>1598</v>
      </c>
      <c r="B1781" s="530"/>
      <c r="C1781" s="531" t="s">
        <v>1599</v>
      </c>
      <c r="D1781" s="531"/>
      <c r="E1781" s="531"/>
      <c r="F1781" s="531"/>
      <c r="G1781" s="531"/>
      <c r="I1781" s="532">
        <v>42809</v>
      </c>
      <c r="J1781" s="532"/>
      <c r="K1781" s="533">
        <v>1632.73</v>
      </c>
      <c r="L1781" s="533"/>
      <c r="M1781" s="533">
        <v>0</v>
      </c>
      <c r="N1781" s="533"/>
      <c r="O1781" s="533">
        <v>0</v>
      </c>
      <c r="P1781" s="533"/>
      <c r="Q1781" s="533">
        <v>0</v>
      </c>
      <c r="R1781" s="533"/>
      <c r="S1781" s="1">
        <v>100</v>
      </c>
      <c r="T1781" s="2" t="s">
        <v>289</v>
      </c>
      <c r="U1781" s="533">
        <v>0</v>
      </c>
      <c r="V1781" s="533"/>
      <c r="W1781" s="533">
        <v>0</v>
      </c>
      <c r="X1781" s="533"/>
    </row>
    <row r="1782" spans="1:24" ht="0.75" customHeight="1" x14ac:dyDescent="0.2"/>
    <row r="1783" spans="1:24" ht="13.5" customHeight="1" x14ac:dyDescent="0.2">
      <c r="A1783" s="530" t="s">
        <v>1600</v>
      </c>
      <c r="B1783" s="530"/>
      <c r="C1783" s="531" t="s">
        <v>1601</v>
      </c>
      <c r="D1783" s="531"/>
      <c r="E1783" s="531"/>
      <c r="F1783" s="531"/>
      <c r="G1783" s="531"/>
      <c r="I1783" s="532">
        <v>42873</v>
      </c>
      <c r="J1783" s="532"/>
      <c r="K1783" s="533">
        <v>526.36</v>
      </c>
      <c r="L1783" s="533"/>
      <c r="M1783" s="533">
        <v>0</v>
      </c>
      <c r="N1783" s="533"/>
      <c r="O1783" s="533">
        <v>0</v>
      </c>
      <c r="P1783" s="533"/>
      <c r="Q1783" s="533">
        <v>0</v>
      </c>
      <c r="R1783" s="533"/>
      <c r="S1783" s="1">
        <v>100</v>
      </c>
      <c r="T1783" s="2" t="s">
        <v>289</v>
      </c>
      <c r="U1783" s="533">
        <v>0</v>
      </c>
      <c r="V1783" s="533"/>
      <c r="W1783" s="533">
        <v>0</v>
      </c>
      <c r="X1783" s="533"/>
    </row>
    <row r="1784" spans="1:24" ht="0.75" customHeight="1" x14ac:dyDescent="0.2"/>
    <row r="1785" spans="1:24" ht="13.5" customHeight="1" x14ac:dyDescent="0.2">
      <c r="A1785" s="530" t="s">
        <v>1602</v>
      </c>
      <c r="B1785" s="530"/>
      <c r="C1785" s="531" t="s">
        <v>1603</v>
      </c>
      <c r="D1785" s="531"/>
      <c r="E1785" s="531"/>
      <c r="F1785" s="531"/>
      <c r="G1785" s="531"/>
      <c r="I1785" s="532">
        <v>43159</v>
      </c>
      <c r="J1785" s="532"/>
      <c r="K1785" s="533">
        <v>2550</v>
      </c>
      <c r="L1785" s="533"/>
      <c r="M1785" s="533">
        <v>2120</v>
      </c>
      <c r="N1785" s="533"/>
      <c r="O1785" s="533">
        <v>0</v>
      </c>
      <c r="P1785" s="533"/>
      <c r="Q1785" s="533">
        <v>0</v>
      </c>
      <c r="R1785" s="533"/>
      <c r="S1785" s="1">
        <v>50</v>
      </c>
      <c r="T1785" s="2" t="s">
        <v>289</v>
      </c>
      <c r="U1785" s="533">
        <v>444</v>
      </c>
      <c r="V1785" s="533"/>
      <c r="W1785" s="533">
        <v>1676</v>
      </c>
      <c r="X1785" s="533"/>
    </row>
    <row r="1786" spans="1:24" ht="0.75" customHeight="1" x14ac:dyDescent="0.2"/>
    <row r="1787" spans="1:24" ht="13.5" customHeight="1" x14ac:dyDescent="0.2">
      <c r="A1787" s="530" t="s">
        <v>1604</v>
      </c>
      <c r="B1787" s="530"/>
      <c r="C1787" s="531" t="s">
        <v>1605</v>
      </c>
      <c r="D1787" s="531"/>
      <c r="E1787" s="531"/>
      <c r="F1787" s="531"/>
      <c r="G1787" s="531"/>
      <c r="I1787" s="532">
        <v>43300</v>
      </c>
      <c r="J1787" s="532"/>
      <c r="K1787" s="533">
        <v>2195.4500000000003</v>
      </c>
      <c r="L1787" s="533"/>
      <c r="M1787" s="533">
        <v>0</v>
      </c>
      <c r="N1787" s="533"/>
      <c r="O1787" s="533">
        <v>2195.4500000000003</v>
      </c>
      <c r="P1787" s="533"/>
      <c r="Q1787" s="533">
        <v>0</v>
      </c>
      <c r="R1787" s="533"/>
      <c r="S1787" s="1">
        <v>10</v>
      </c>
      <c r="T1787" s="2" t="s">
        <v>289</v>
      </c>
      <c r="U1787" s="533">
        <v>81</v>
      </c>
      <c r="V1787" s="533"/>
      <c r="W1787" s="533">
        <v>2114.4499999999998</v>
      </c>
      <c r="X1787" s="533"/>
    </row>
    <row r="1788" spans="1:24" ht="0.75" customHeight="1" x14ac:dyDescent="0.2"/>
    <row r="1789" spans="1:24" ht="13.5" customHeight="1" x14ac:dyDescent="0.2">
      <c r="A1789" s="530" t="s">
        <v>1606</v>
      </c>
      <c r="B1789" s="530"/>
      <c r="C1789" s="531" t="s">
        <v>1607</v>
      </c>
      <c r="D1789" s="531"/>
      <c r="E1789" s="531"/>
      <c r="F1789" s="531"/>
      <c r="G1789" s="531"/>
      <c r="I1789" s="532">
        <v>43300</v>
      </c>
      <c r="J1789" s="532"/>
      <c r="K1789" s="533">
        <v>1240.9100000000001</v>
      </c>
      <c r="L1789" s="533"/>
      <c r="M1789" s="533">
        <v>0</v>
      </c>
      <c r="N1789" s="533"/>
      <c r="O1789" s="533">
        <v>1240.9100000000001</v>
      </c>
      <c r="P1789" s="533"/>
      <c r="Q1789" s="533">
        <v>0</v>
      </c>
      <c r="R1789" s="533"/>
      <c r="S1789" s="1">
        <v>20</v>
      </c>
      <c r="T1789" s="2" t="s">
        <v>289</v>
      </c>
      <c r="U1789" s="533">
        <v>92</v>
      </c>
      <c r="V1789" s="533"/>
      <c r="W1789" s="533">
        <v>1148.9100000000001</v>
      </c>
      <c r="X1789" s="533"/>
    </row>
    <row r="1790" spans="1:24" ht="0.75" customHeight="1" x14ac:dyDescent="0.2"/>
    <row r="1791" spans="1:24" ht="13.5" customHeight="1" x14ac:dyDescent="0.2">
      <c r="A1791" s="530" t="s">
        <v>1608</v>
      </c>
      <c r="B1791" s="530"/>
      <c r="C1791" s="531" t="s">
        <v>1609</v>
      </c>
      <c r="D1791" s="531"/>
      <c r="E1791" s="531"/>
      <c r="F1791" s="531"/>
      <c r="G1791" s="531"/>
      <c r="I1791" s="532">
        <v>43300</v>
      </c>
      <c r="J1791" s="532"/>
      <c r="K1791" s="533">
        <v>95.460000000000008</v>
      </c>
      <c r="L1791" s="533"/>
      <c r="M1791" s="533">
        <v>0</v>
      </c>
      <c r="N1791" s="533"/>
      <c r="O1791" s="533">
        <v>95.460000000000008</v>
      </c>
      <c r="P1791" s="533"/>
      <c r="Q1791" s="533">
        <v>0</v>
      </c>
      <c r="R1791" s="533"/>
      <c r="S1791" s="1">
        <v>20</v>
      </c>
      <c r="T1791" s="2" t="s">
        <v>289</v>
      </c>
      <c r="U1791" s="533">
        <v>7</v>
      </c>
      <c r="V1791" s="533"/>
      <c r="W1791" s="533">
        <v>88.460000000000008</v>
      </c>
      <c r="X1791" s="533"/>
    </row>
    <row r="1792" spans="1:24" ht="0.75" customHeight="1" x14ac:dyDescent="0.2"/>
    <row r="1793" spans="1:24" ht="13.5" customHeight="1" x14ac:dyDescent="0.2">
      <c r="A1793" s="530" t="s">
        <v>1610</v>
      </c>
      <c r="B1793" s="530"/>
      <c r="C1793" s="531" t="s">
        <v>1611</v>
      </c>
      <c r="D1793" s="531"/>
      <c r="E1793" s="531"/>
      <c r="F1793" s="531"/>
      <c r="G1793" s="531"/>
      <c r="I1793" s="532">
        <v>43300</v>
      </c>
      <c r="J1793" s="532"/>
      <c r="K1793" s="533">
        <v>663.63</v>
      </c>
      <c r="L1793" s="533"/>
      <c r="M1793" s="533">
        <v>0</v>
      </c>
      <c r="N1793" s="533"/>
      <c r="O1793" s="533">
        <v>663.63</v>
      </c>
      <c r="P1793" s="533"/>
      <c r="Q1793" s="533">
        <v>0</v>
      </c>
      <c r="R1793" s="533"/>
      <c r="S1793" s="1">
        <v>13.33</v>
      </c>
      <c r="T1793" s="2" t="s">
        <v>289</v>
      </c>
      <c r="U1793" s="533">
        <v>33</v>
      </c>
      <c r="V1793" s="533"/>
      <c r="W1793" s="533">
        <v>630.63</v>
      </c>
      <c r="X1793" s="533"/>
    </row>
    <row r="1794" spans="1:24" ht="0.75" customHeight="1" x14ac:dyDescent="0.2"/>
    <row r="1795" spans="1:24" ht="13.5" customHeight="1" x14ac:dyDescent="0.2">
      <c r="A1795" s="530" t="s">
        <v>1612</v>
      </c>
      <c r="B1795" s="530"/>
      <c r="C1795" s="531" t="s">
        <v>1613</v>
      </c>
      <c r="D1795" s="531"/>
      <c r="E1795" s="531"/>
      <c r="F1795" s="531"/>
      <c r="G1795" s="531"/>
      <c r="I1795" s="532">
        <v>43300</v>
      </c>
      <c r="J1795" s="532"/>
      <c r="K1795" s="533">
        <v>777.28</v>
      </c>
      <c r="L1795" s="533"/>
      <c r="M1795" s="533">
        <v>0</v>
      </c>
      <c r="N1795" s="533"/>
      <c r="O1795" s="533">
        <v>777.28</v>
      </c>
      <c r="P1795" s="533"/>
      <c r="Q1795" s="533">
        <v>0</v>
      </c>
      <c r="R1795" s="533"/>
      <c r="S1795" s="1">
        <v>13.33</v>
      </c>
      <c r="T1795" s="2" t="s">
        <v>289</v>
      </c>
      <c r="U1795" s="533">
        <v>38</v>
      </c>
      <c r="V1795" s="533"/>
      <c r="W1795" s="533">
        <v>739.28</v>
      </c>
      <c r="X1795" s="533"/>
    </row>
    <row r="1796" spans="1:24" ht="0.75" customHeight="1" x14ac:dyDescent="0.2"/>
    <row r="1797" spans="1:24" ht="13.5" customHeight="1" x14ac:dyDescent="0.2">
      <c r="A1797" s="530" t="s">
        <v>1614</v>
      </c>
      <c r="B1797" s="530"/>
      <c r="C1797" s="531" t="s">
        <v>1615</v>
      </c>
      <c r="D1797" s="531"/>
      <c r="E1797" s="531"/>
      <c r="F1797" s="531"/>
      <c r="G1797" s="531"/>
      <c r="I1797" s="532">
        <v>43300</v>
      </c>
      <c r="J1797" s="532"/>
      <c r="K1797" s="533">
        <v>960</v>
      </c>
      <c r="L1797" s="533"/>
      <c r="M1797" s="533">
        <v>0</v>
      </c>
      <c r="N1797" s="533"/>
      <c r="O1797" s="533">
        <v>960</v>
      </c>
      <c r="P1797" s="533"/>
      <c r="Q1797" s="533">
        <v>0</v>
      </c>
      <c r="R1797" s="533"/>
      <c r="S1797" s="1">
        <v>13.33</v>
      </c>
      <c r="T1797" s="2" t="s">
        <v>289</v>
      </c>
      <c r="U1797" s="533">
        <v>47</v>
      </c>
      <c r="V1797" s="533"/>
      <c r="W1797" s="533">
        <v>913</v>
      </c>
      <c r="X1797" s="533"/>
    </row>
    <row r="1798" spans="1:24" ht="0.75" customHeight="1" x14ac:dyDescent="0.2"/>
    <row r="1799" spans="1:24" ht="13.5" customHeight="1" x14ac:dyDescent="0.2">
      <c r="A1799" s="530" t="s">
        <v>1616</v>
      </c>
      <c r="B1799" s="530"/>
      <c r="C1799" s="531" t="s">
        <v>1617</v>
      </c>
      <c r="D1799" s="531"/>
      <c r="E1799" s="531"/>
      <c r="F1799" s="531"/>
      <c r="G1799" s="531"/>
      <c r="I1799" s="532">
        <v>43300</v>
      </c>
      <c r="J1799" s="532"/>
      <c r="K1799" s="533">
        <v>1089.0899999999999</v>
      </c>
      <c r="L1799" s="533"/>
      <c r="M1799" s="533">
        <v>0</v>
      </c>
      <c r="N1799" s="533"/>
      <c r="O1799" s="533">
        <v>1089.0899999999999</v>
      </c>
      <c r="P1799" s="533"/>
      <c r="Q1799" s="533">
        <v>0</v>
      </c>
      <c r="R1799" s="533"/>
      <c r="S1799" s="1">
        <v>13.33</v>
      </c>
      <c r="T1799" s="2" t="s">
        <v>289</v>
      </c>
      <c r="U1799" s="533">
        <v>54</v>
      </c>
      <c r="V1799" s="533"/>
      <c r="W1799" s="533">
        <v>1035.0899999999999</v>
      </c>
      <c r="X1799" s="533"/>
    </row>
    <row r="1800" spans="1:24" ht="0.75" customHeight="1" x14ac:dyDescent="0.2"/>
    <row r="1801" spans="1:24" ht="13.5" customHeight="1" x14ac:dyDescent="0.2">
      <c r="A1801" s="530" t="s">
        <v>1618</v>
      </c>
      <c r="B1801" s="530"/>
      <c r="C1801" s="531" t="s">
        <v>1619</v>
      </c>
      <c r="D1801" s="531"/>
      <c r="E1801" s="531"/>
      <c r="F1801" s="531"/>
      <c r="G1801" s="531"/>
      <c r="I1801" s="532">
        <v>43300</v>
      </c>
      <c r="J1801" s="532"/>
      <c r="K1801" s="533">
        <v>654.54</v>
      </c>
      <c r="L1801" s="533"/>
      <c r="M1801" s="533">
        <v>0</v>
      </c>
      <c r="N1801" s="533"/>
      <c r="O1801" s="533">
        <v>654.54</v>
      </c>
      <c r="P1801" s="533"/>
      <c r="Q1801" s="533">
        <v>0</v>
      </c>
      <c r="R1801" s="533"/>
      <c r="S1801" s="1">
        <v>20</v>
      </c>
      <c r="T1801" s="2" t="s">
        <v>289</v>
      </c>
      <c r="U1801" s="533">
        <v>48</v>
      </c>
      <c r="V1801" s="533"/>
      <c r="W1801" s="533">
        <v>606.54</v>
      </c>
      <c r="X1801" s="533"/>
    </row>
    <row r="1802" spans="1:24" ht="0.75" customHeight="1" x14ac:dyDescent="0.2"/>
    <row r="1803" spans="1:24" ht="13.5" customHeight="1" x14ac:dyDescent="0.2">
      <c r="A1803" s="530" t="s">
        <v>1620</v>
      </c>
      <c r="B1803" s="530"/>
      <c r="C1803" s="531" t="s">
        <v>1621</v>
      </c>
      <c r="D1803" s="531"/>
      <c r="E1803" s="531"/>
      <c r="F1803" s="531"/>
      <c r="G1803" s="531"/>
      <c r="I1803" s="532">
        <v>43300</v>
      </c>
      <c r="J1803" s="532"/>
      <c r="K1803" s="533">
        <v>5727.28</v>
      </c>
      <c r="L1803" s="533"/>
      <c r="M1803" s="533">
        <v>0</v>
      </c>
      <c r="N1803" s="533"/>
      <c r="O1803" s="533">
        <v>5727.28</v>
      </c>
      <c r="P1803" s="533"/>
      <c r="Q1803" s="533">
        <v>0</v>
      </c>
      <c r="R1803" s="533"/>
      <c r="S1803" s="1">
        <v>20</v>
      </c>
      <c r="T1803" s="2" t="s">
        <v>289</v>
      </c>
      <c r="U1803" s="533">
        <v>424</v>
      </c>
      <c r="V1803" s="533"/>
      <c r="W1803" s="533">
        <v>5303.28</v>
      </c>
      <c r="X1803" s="533"/>
    </row>
    <row r="1804" spans="1:24" ht="0.75" customHeight="1" x14ac:dyDescent="0.2"/>
    <row r="1805" spans="1:24" ht="13.5" customHeight="1" x14ac:dyDescent="0.2">
      <c r="A1805" s="530" t="s">
        <v>1622</v>
      </c>
      <c r="B1805" s="530"/>
      <c r="C1805" s="531" t="s">
        <v>1623</v>
      </c>
      <c r="D1805" s="531"/>
      <c r="E1805" s="531"/>
      <c r="F1805" s="531"/>
      <c r="G1805" s="531"/>
      <c r="I1805" s="532">
        <v>43357</v>
      </c>
      <c r="J1805" s="532"/>
      <c r="K1805" s="533">
        <v>3300</v>
      </c>
      <c r="L1805" s="533"/>
      <c r="M1805" s="533">
        <v>0</v>
      </c>
      <c r="N1805" s="533"/>
      <c r="O1805" s="533">
        <v>3300</v>
      </c>
      <c r="P1805" s="533"/>
      <c r="Q1805" s="533">
        <v>0</v>
      </c>
      <c r="R1805" s="533"/>
      <c r="S1805" s="1">
        <v>10</v>
      </c>
      <c r="T1805" s="2" t="s">
        <v>289</v>
      </c>
      <c r="U1805" s="533">
        <v>71</v>
      </c>
      <c r="V1805" s="533"/>
      <c r="W1805" s="533">
        <v>3229</v>
      </c>
      <c r="X1805" s="533"/>
    </row>
    <row r="1806" spans="1:24" ht="0.75" customHeight="1" x14ac:dyDescent="0.2"/>
    <row r="1807" spans="1:24" ht="13.5" customHeight="1" x14ac:dyDescent="0.2">
      <c r="A1807" s="530" t="s">
        <v>1624</v>
      </c>
      <c r="B1807" s="530"/>
      <c r="C1807" s="531" t="s">
        <v>1625</v>
      </c>
      <c r="D1807" s="531"/>
      <c r="E1807" s="531"/>
      <c r="F1807" s="531"/>
      <c r="G1807" s="531"/>
      <c r="I1807" s="532">
        <v>43357</v>
      </c>
      <c r="J1807" s="532"/>
      <c r="K1807" s="533">
        <v>8000</v>
      </c>
      <c r="L1807" s="533"/>
      <c r="M1807" s="533">
        <v>0</v>
      </c>
      <c r="N1807" s="533"/>
      <c r="O1807" s="533">
        <v>8000</v>
      </c>
      <c r="P1807" s="533"/>
      <c r="Q1807" s="533">
        <v>0</v>
      </c>
      <c r="R1807" s="533"/>
      <c r="S1807" s="1">
        <v>10</v>
      </c>
      <c r="T1807" s="2" t="s">
        <v>289</v>
      </c>
      <c r="U1807" s="533">
        <v>171</v>
      </c>
      <c r="V1807" s="533"/>
      <c r="W1807" s="533">
        <v>7829</v>
      </c>
      <c r="X1807" s="533"/>
    </row>
    <row r="1808" spans="1:24" ht="0.75" customHeight="1" x14ac:dyDescent="0.2"/>
    <row r="1809" spans="1:24" ht="13.5" customHeight="1" x14ac:dyDescent="0.2">
      <c r="A1809" s="530" t="s">
        <v>1626</v>
      </c>
      <c r="B1809" s="530"/>
      <c r="C1809" s="531" t="s">
        <v>1627</v>
      </c>
      <c r="D1809" s="531"/>
      <c r="E1809" s="531"/>
      <c r="F1809" s="531"/>
      <c r="G1809" s="531"/>
      <c r="I1809" s="532">
        <v>43381</v>
      </c>
      <c r="J1809" s="532"/>
      <c r="K1809" s="533">
        <v>2461.77</v>
      </c>
      <c r="L1809" s="533"/>
      <c r="M1809" s="533">
        <v>0</v>
      </c>
      <c r="N1809" s="533"/>
      <c r="O1809" s="533">
        <v>2461.77</v>
      </c>
      <c r="P1809" s="533"/>
      <c r="Q1809" s="533">
        <v>0</v>
      </c>
      <c r="R1809" s="533"/>
      <c r="S1809" s="1">
        <v>20</v>
      </c>
      <c r="T1809" s="2" t="s">
        <v>289</v>
      </c>
      <c r="U1809" s="533">
        <v>73</v>
      </c>
      <c r="V1809" s="533"/>
      <c r="W1809" s="533">
        <v>2388.77</v>
      </c>
      <c r="X1809" s="533"/>
    </row>
    <row r="1810" spans="1:24" ht="0.75" customHeight="1" x14ac:dyDescent="0.2"/>
    <row r="1811" spans="1:24" ht="13.5" customHeight="1" x14ac:dyDescent="0.2">
      <c r="A1811" s="530" t="s">
        <v>1628</v>
      </c>
      <c r="B1811" s="530"/>
      <c r="C1811" s="531" t="s">
        <v>1629</v>
      </c>
      <c r="D1811" s="531"/>
      <c r="E1811" s="531"/>
      <c r="F1811" s="531"/>
      <c r="G1811" s="531"/>
      <c r="I1811" s="532">
        <v>43374</v>
      </c>
      <c r="J1811" s="532"/>
      <c r="K1811" s="533">
        <v>825.45</v>
      </c>
      <c r="L1811" s="533"/>
      <c r="M1811" s="533">
        <v>0</v>
      </c>
      <c r="N1811" s="533"/>
      <c r="O1811" s="533">
        <v>825.45</v>
      </c>
      <c r="P1811" s="533"/>
      <c r="Q1811" s="533">
        <v>0</v>
      </c>
      <c r="R1811" s="533"/>
      <c r="S1811" s="1">
        <v>28.57</v>
      </c>
      <c r="T1811" s="2" t="s">
        <v>289</v>
      </c>
      <c r="U1811" s="533">
        <v>39</v>
      </c>
      <c r="V1811" s="533"/>
      <c r="W1811" s="533">
        <v>786.45</v>
      </c>
      <c r="X1811" s="533"/>
    </row>
    <row r="1812" spans="1:24" ht="0.75" customHeight="1" x14ac:dyDescent="0.2"/>
    <row r="1813" spans="1:24" ht="13.5" customHeight="1" x14ac:dyDescent="0.2">
      <c r="A1813" s="530" t="s">
        <v>1630</v>
      </c>
      <c r="B1813" s="530"/>
      <c r="C1813" s="531" t="s">
        <v>1631</v>
      </c>
      <c r="D1813" s="531"/>
      <c r="E1813" s="531"/>
      <c r="F1813" s="531"/>
      <c r="G1813" s="531"/>
      <c r="I1813" s="532">
        <v>43374</v>
      </c>
      <c r="J1813" s="532"/>
      <c r="K1813" s="533">
        <v>516.28</v>
      </c>
      <c r="L1813" s="533"/>
      <c r="M1813" s="533">
        <v>0</v>
      </c>
      <c r="N1813" s="533"/>
      <c r="O1813" s="533">
        <v>516.28</v>
      </c>
      <c r="P1813" s="533"/>
      <c r="Q1813" s="533">
        <v>0</v>
      </c>
      <c r="R1813" s="533"/>
      <c r="S1813" s="1">
        <v>50</v>
      </c>
      <c r="T1813" s="2" t="s">
        <v>289</v>
      </c>
      <c r="U1813" s="533">
        <v>43</v>
      </c>
      <c r="V1813" s="533"/>
      <c r="W1813" s="533">
        <v>473.28000000000003</v>
      </c>
      <c r="X1813" s="533"/>
    </row>
    <row r="1814" spans="1:24" ht="0.75" customHeight="1" x14ac:dyDescent="0.2"/>
    <row r="1815" spans="1:24" ht="13.5" customHeight="1" x14ac:dyDescent="0.2">
      <c r="J1815" s="535">
        <v>51965.23</v>
      </c>
      <c r="K1815" s="535"/>
      <c r="L1815" s="535"/>
      <c r="M1815" s="536">
        <v>6652.55</v>
      </c>
      <c r="N1815" s="536"/>
      <c r="O1815" s="535">
        <v>28507.14</v>
      </c>
      <c r="P1815" s="535"/>
      <c r="Q1815" s="536">
        <v>0</v>
      </c>
      <c r="R1815" s="536"/>
      <c r="S1815" s="536">
        <v>2071</v>
      </c>
      <c r="T1815" s="536"/>
      <c r="U1815" s="536">
        <v>33088.69</v>
      </c>
      <c r="V1815" s="536"/>
    </row>
    <row r="1816" spans="1:24" ht="0.75" customHeight="1" x14ac:dyDescent="0.2"/>
    <row r="1817" spans="1:24" ht="14.25" customHeight="1" x14ac:dyDescent="0.2">
      <c r="A1817" s="538" t="s">
        <v>1632</v>
      </c>
      <c r="B1817" s="538"/>
      <c r="C1817" s="538"/>
      <c r="J1817" s="535">
        <v>8135408.7400000002</v>
      </c>
      <c r="K1817" s="535"/>
      <c r="L1817" s="535"/>
      <c r="M1817" s="535">
        <v>4555933.2676999997</v>
      </c>
      <c r="N1817" s="535"/>
      <c r="O1817" s="535">
        <v>1105357.75</v>
      </c>
      <c r="P1817" s="535"/>
      <c r="Q1817" s="536">
        <v>27112.394299999996</v>
      </c>
      <c r="R1817" s="536"/>
      <c r="S1817" s="535">
        <v>279913.27</v>
      </c>
      <c r="T1817" s="535"/>
      <c r="U1817" s="535">
        <v>5408490.1419999981</v>
      </c>
      <c r="V1817" s="535"/>
    </row>
    <row r="1818" spans="1:24" ht="9" customHeight="1" x14ac:dyDescent="0.2"/>
    <row r="1819" spans="1:24" x14ac:dyDescent="0.2">
      <c r="A1819" s="538"/>
      <c r="B1819" s="538"/>
      <c r="C1819" s="538"/>
      <c r="D1819" s="538"/>
      <c r="E1819" s="538"/>
      <c r="F1819" s="538"/>
      <c r="G1819" s="538"/>
      <c r="H1819" s="538"/>
      <c r="I1819" s="538"/>
      <c r="J1819" s="538"/>
      <c r="K1819" s="538"/>
      <c r="L1819" s="538"/>
      <c r="M1819" s="538"/>
      <c r="N1819" s="538"/>
      <c r="T1819">
        <v>287062</v>
      </c>
    </row>
    <row r="1820" spans="1:24" ht="12.75" customHeight="1" x14ac:dyDescent="0.2">
      <c r="T1820" s="288">
        <f>+S1817-T1819</f>
        <v>-7148.7299999999814</v>
      </c>
    </row>
  </sheetData>
  <mergeCells count="7942">
    <mergeCell ref="M1809:N1809"/>
    <mergeCell ref="O1809:P1809"/>
    <mergeCell ref="Q1809:R1809"/>
    <mergeCell ref="U1809:V1809"/>
    <mergeCell ref="W1809:X1809"/>
    <mergeCell ref="J1815:L1815"/>
    <mergeCell ref="M1815:N1815"/>
    <mergeCell ref="O1815:P1815"/>
    <mergeCell ref="Q1815:R1815"/>
    <mergeCell ref="S1815:T1815"/>
    <mergeCell ref="U1815:V1815"/>
    <mergeCell ref="U1817:V1817"/>
    <mergeCell ref="A1819:N1819"/>
    <mergeCell ref="A1817:C1817"/>
    <mergeCell ref="J1817:L1817"/>
    <mergeCell ref="M1817:N1817"/>
    <mergeCell ref="O1817:P1817"/>
    <mergeCell ref="Q1817:R1817"/>
    <mergeCell ref="S1817:T1817"/>
    <mergeCell ref="A1811:B1811"/>
    <mergeCell ref="C1811:G1811"/>
    <mergeCell ref="I1811:J1811"/>
    <mergeCell ref="K1811:L1811"/>
    <mergeCell ref="M1811:N1811"/>
    <mergeCell ref="O1811:P1811"/>
    <mergeCell ref="Q1811:R1811"/>
    <mergeCell ref="U1811:V1811"/>
    <mergeCell ref="A1805:B1805"/>
    <mergeCell ref="C1805:G1805"/>
    <mergeCell ref="I1805:J1805"/>
    <mergeCell ref="K1805:L1805"/>
    <mergeCell ref="M1805:N1805"/>
    <mergeCell ref="O1805:P1805"/>
    <mergeCell ref="Q1805:R1805"/>
    <mergeCell ref="U1805:V1805"/>
    <mergeCell ref="W1805:X1805"/>
    <mergeCell ref="W1811:X1811"/>
    <mergeCell ref="A1813:B1813"/>
    <mergeCell ref="C1813:G1813"/>
    <mergeCell ref="I1813:J1813"/>
    <mergeCell ref="K1813:L1813"/>
    <mergeCell ref="M1813:N1813"/>
    <mergeCell ref="O1813:P1813"/>
    <mergeCell ref="Q1813:R1813"/>
    <mergeCell ref="U1813:V1813"/>
    <mergeCell ref="W1813:X1813"/>
    <mergeCell ref="A1807:B1807"/>
    <mergeCell ref="C1807:G1807"/>
    <mergeCell ref="I1807:J1807"/>
    <mergeCell ref="K1807:L1807"/>
    <mergeCell ref="M1807:N1807"/>
    <mergeCell ref="O1807:P1807"/>
    <mergeCell ref="Q1807:R1807"/>
    <mergeCell ref="U1807:V1807"/>
    <mergeCell ref="W1807:X1807"/>
    <mergeCell ref="A1809:B1809"/>
    <mergeCell ref="C1809:G1809"/>
    <mergeCell ref="I1809:J1809"/>
    <mergeCell ref="K1809:L1809"/>
    <mergeCell ref="A1801:B1801"/>
    <mergeCell ref="C1801:G1801"/>
    <mergeCell ref="I1801:J1801"/>
    <mergeCell ref="K1801:L1801"/>
    <mergeCell ref="M1801:N1801"/>
    <mergeCell ref="O1801:P1801"/>
    <mergeCell ref="Q1801:R1801"/>
    <mergeCell ref="U1801:V1801"/>
    <mergeCell ref="W1801:X1801"/>
    <mergeCell ref="A1803:B1803"/>
    <mergeCell ref="C1803:G1803"/>
    <mergeCell ref="I1803:J1803"/>
    <mergeCell ref="K1803:L1803"/>
    <mergeCell ref="M1803:N1803"/>
    <mergeCell ref="O1803:P1803"/>
    <mergeCell ref="Q1803:R1803"/>
    <mergeCell ref="U1803:V1803"/>
    <mergeCell ref="W1803:X1803"/>
    <mergeCell ref="A1797:B1797"/>
    <mergeCell ref="C1797:G1797"/>
    <mergeCell ref="I1797:J1797"/>
    <mergeCell ref="K1797:L1797"/>
    <mergeCell ref="M1797:N1797"/>
    <mergeCell ref="O1797:P1797"/>
    <mergeCell ref="Q1797:R1797"/>
    <mergeCell ref="U1797:V1797"/>
    <mergeCell ref="W1797:X1797"/>
    <mergeCell ref="A1799:B1799"/>
    <mergeCell ref="C1799:G1799"/>
    <mergeCell ref="I1799:J1799"/>
    <mergeCell ref="K1799:L1799"/>
    <mergeCell ref="M1799:N1799"/>
    <mergeCell ref="O1799:P1799"/>
    <mergeCell ref="Q1799:R1799"/>
    <mergeCell ref="U1799:V1799"/>
    <mergeCell ref="W1799:X1799"/>
    <mergeCell ref="A1793:B1793"/>
    <mergeCell ref="C1793:G1793"/>
    <mergeCell ref="I1793:J1793"/>
    <mergeCell ref="K1793:L1793"/>
    <mergeCell ref="M1793:N1793"/>
    <mergeCell ref="O1793:P1793"/>
    <mergeCell ref="Q1793:R1793"/>
    <mergeCell ref="U1793:V1793"/>
    <mergeCell ref="W1793:X1793"/>
    <mergeCell ref="A1795:B1795"/>
    <mergeCell ref="C1795:G1795"/>
    <mergeCell ref="I1795:J1795"/>
    <mergeCell ref="K1795:L1795"/>
    <mergeCell ref="M1795:N1795"/>
    <mergeCell ref="O1795:P1795"/>
    <mergeCell ref="Q1795:R1795"/>
    <mergeCell ref="U1795:V1795"/>
    <mergeCell ref="W1795:X1795"/>
    <mergeCell ref="A1789:B1789"/>
    <mergeCell ref="C1789:G1789"/>
    <mergeCell ref="I1789:J1789"/>
    <mergeCell ref="K1789:L1789"/>
    <mergeCell ref="M1789:N1789"/>
    <mergeCell ref="O1789:P1789"/>
    <mergeCell ref="Q1789:R1789"/>
    <mergeCell ref="U1789:V1789"/>
    <mergeCell ref="W1789:X1789"/>
    <mergeCell ref="A1791:B1791"/>
    <mergeCell ref="C1791:G1791"/>
    <mergeCell ref="I1791:J1791"/>
    <mergeCell ref="K1791:L1791"/>
    <mergeCell ref="M1791:N1791"/>
    <mergeCell ref="O1791:P1791"/>
    <mergeCell ref="Q1791:R1791"/>
    <mergeCell ref="U1791:V1791"/>
    <mergeCell ref="W1791:X1791"/>
    <mergeCell ref="A1785:B1785"/>
    <mergeCell ref="C1785:G1785"/>
    <mergeCell ref="I1785:J1785"/>
    <mergeCell ref="K1785:L1785"/>
    <mergeCell ref="M1785:N1785"/>
    <mergeCell ref="O1785:P1785"/>
    <mergeCell ref="Q1785:R1785"/>
    <mergeCell ref="U1785:V1785"/>
    <mergeCell ref="W1785:X1785"/>
    <mergeCell ref="A1787:B1787"/>
    <mergeCell ref="C1787:G1787"/>
    <mergeCell ref="I1787:J1787"/>
    <mergeCell ref="K1787:L1787"/>
    <mergeCell ref="M1787:N1787"/>
    <mergeCell ref="O1787:P1787"/>
    <mergeCell ref="Q1787:R1787"/>
    <mergeCell ref="U1787:V1787"/>
    <mergeCell ref="W1787:X1787"/>
    <mergeCell ref="A1781:B1781"/>
    <mergeCell ref="C1781:G1781"/>
    <mergeCell ref="I1781:J1781"/>
    <mergeCell ref="K1781:L1781"/>
    <mergeCell ref="M1781:N1781"/>
    <mergeCell ref="O1781:P1781"/>
    <mergeCell ref="Q1781:R1781"/>
    <mergeCell ref="U1781:V1781"/>
    <mergeCell ref="W1781:X1781"/>
    <mergeCell ref="A1783:B1783"/>
    <mergeCell ref="C1783:G1783"/>
    <mergeCell ref="I1783:J1783"/>
    <mergeCell ref="K1783:L1783"/>
    <mergeCell ref="M1783:N1783"/>
    <mergeCell ref="O1783:P1783"/>
    <mergeCell ref="Q1783:R1783"/>
    <mergeCell ref="U1783:V1783"/>
    <mergeCell ref="W1783:X1783"/>
    <mergeCell ref="A1777:B1777"/>
    <mergeCell ref="C1777:G1777"/>
    <mergeCell ref="I1777:J1777"/>
    <mergeCell ref="K1777:L1777"/>
    <mergeCell ref="M1777:N1777"/>
    <mergeCell ref="O1777:P1777"/>
    <mergeCell ref="Q1777:R1777"/>
    <mergeCell ref="U1777:V1777"/>
    <mergeCell ref="W1777:X1777"/>
    <mergeCell ref="A1779:B1779"/>
    <mergeCell ref="C1779:G1779"/>
    <mergeCell ref="I1779:J1779"/>
    <mergeCell ref="K1779:L1779"/>
    <mergeCell ref="M1779:N1779"/>
    <mergeCell ref="O1779:P1779"/>
    <mergeCell ref="Q1779:R1779"/>
    <mergeCell ref="U1779:V1779"/>
    <mergeCell ref="W1779:X1779"/>
    <mergeCell ref="A1773:B1773"/>
    <mergeCell ref="C1773:G1773"/>
    <mergeCell ref="I1773:J1773"/>
    <mergeCell ref="K1773:L1773"/>
    <mergeCell ref="M1773:N1773"/>
    <mergeCell ref="O1773:P1773"/>
    <mergeCell ref="Q1773:R1773"/>
    <mergeCell ref="U1773:V1773"/>
    <mergeCell ref="W1773:X1773"/>
    <mergeCell ref="A1775:B1775"/>
    <mergeCell ref="C1775:G1775"/>
    <mergeCell ref="I1775:J1775"/>
    <mergeCell ref="K1775:L1775"/>
    <mergeCell ref="M1775:N1775"/>
    <mergeCell ref="O1775:P1775"/>
    <mergeCell ref="Q1775:R1775"/>
    <mergeCell ref="U1775:V1775"/>
    <mergeCell ref="W1775:X1775"/>
    <mergeCell ref="A1769:B1769"/>
    <mergeCell ref="C1769:G1769"/>
    <mergeCell ref="I1769:J1769"/>
    <mergeCell ref="K1769:L1769"/>
    <mergeCell ref="M1769:N1769"/>
    <mergeCell ref="O1769:P1769"/>
    <mergeCell ref="Q1769:R1769"/>
    <mergeCell ref="U1769:V1769"/>
    <mergeCell ref="W1769:X1769"/>
    <mergeCell ref="A1771:B1771"/>
    <mergeCell ref="C1771:G1771"/>
    <mergeCell ref="I1771:J1771"/>
    <mergeCell ref="K1771:L1771"/>
    <mergeCell ref="M1771:N1771"/>
    <mergeCell ref="O1771:P1771"/>
    <mergeCell ref="Q1771:R1771"/>
    <mergeCell ref="U1771:V1771"/>
    <mergeCell ref="W1771:X1771"/>
    <mergeCell ref="A1765:B1765"/>
    <mergeCell ref="C1765:G1765"/>
    <mergeCell ref="I1765:J1765"/>
    <mergeCell ref="K1765:L1765"/>
    <mergeCell ref="M1765:N1765"/>
    <mergeCell ref="O1765:P1765"/>
    <mergeCell ref="Q1765:R1765"/>
    <mergeCell ref="U1765:V1765"/>
    <mergeCell ref="W1765:X1765"/>
    <mergeCell ref="A1767:B1767"/>
    <mergeCell ref="C1767:G1767"/>
    <mergeCell ref="I1767:J1767"/>
    <mergeCell ref="K1767:L1767"/>
    <mergeCell ref="M1767:N1767"/>
    <mergeCell ref="O1767:P1767"/>
    <mergeCell ref="Q1767:R1767"/>
    <mergeCell ref="U1767:V1767"/>
    <mergeCell ref="W1767:X1767"/>
    <mergeCell ref="A1759:B1759"/>
    <mergeCell ref="D1759:V1759"/>
    <mergeCell ref="A1761:B1761"/>
    <mergeCell ref="C1761:G1761"/>
    <mergeCell ref="I1761:J1761"/>
    <mergeCell ref="K1761:L1761"/>
    <mergeCell ref="M1761:N1761"/>
    <mergeCell ref="O1761:P1761"/>
    <mergeCell ref="Q1761:R1761"/>
    <mergeCell ref="U1761:V1761"/>
    <mergeCell ref="W1761:X1761"/>
    <mergeCell ref="A1763:B1763"/>
    <mergeCell ref="C1763:G1763"/>
    <mergeCell ref="I1763:J1763"/>
    <mergeCell ref="K1763:L1763"/>
    <mergeCell ref="M1763:N1763"/>
    <mergeCell ref="O1763:P1763"/>
    <mergeCell ref="Q1763:R1763"/>
    <mergeCell ref="U1763:V1763"/>
    <mergeCell ref="W1763:X1763"/>
    <mergeCell ref="A1750:B1750"/>
    <mergeCell ref="C1750:G1752"/>
    <mergeCell ref="I1750:J1750"/>
    <mergeCell ref="K1750:L1750"/>
    <mergeCell ref="M1750:N1750"/>
    <mergeCell ref="O1750:P1750"/>
    <mergeCell ref="Q1750:R1750"/>
    <mergeCell ref="U1750:V1750"/>
    <mergeCell ref="W1750:X1750"/>
    <mergeCell ref="K1752:L1754"/>
    <mergeCell ref="A1755:C1755"/>
    <mergeCell ref="K1755:L1755"/>
    <mergeCell ref="J1758:L1758"/>
    <mergeCell ref="M1758:N1758"/>
    <mergeCell ref="O1758:P1758"/>
    <mergeCell ref="Q1758:R1758"/>
    <mergeCell ref="S1758:T1758"/>
    <mergeCell ref="U1758:V1758"/>
    <mergeCell ref="A1745:B1745"/>
    <mergeCell ref="C1745:G1745"/>
    <mergeCell ref="I1745:J1745"/>
    <mergeCell ref="K1745:L1745"/>
    <mergeCell ref="M1745:N1745"/>
    <mergeCell ref="O1745:P1745"/>
    <mergeCell ref="Q1745:R1745"/>
    <mergeCell ref="U1745:V1745"/>
    <mergeCell ref="W1745:X1745"/>
    <mergeCell ref="A1746:B1746"/>
    <mergeCell ref="D1746:V1746"/>
    <mergeCell ref="A1748:B1748"/>
    <mergeCell ref="C1748:G1749"/>
    <mergeCell ref="I1748:J1748"/>
    <mergeCell ref="K1748:L1748"/>
    <mergeCell ref="M1748:N1748"/>
    <mergeCell ref="O1748:P1748"/>
    <mergeCell ref="Q1748:R1748"/>
    <mergeCell ref="U1748:V1748"/>
    <mergeCell ref="W1748:X1748"/>
    <mergeCell ref="A1741:B1741"/>
    <mergeCell ref="C1741:G1741"/>
    <mergeCell ref="I1741:J1741"/>
    <mergeCell ref="K1741:L1741"/>
    <mergeCell ref="M1741:N1741"/>
    <mergeCell ref="O1741:P1741"/>
    <mergeCell ref="Q1741:R1741"/>
    <mergeCell ref="U1741:V1741"/>
    <mergeCell ref="W1741:X1741"/>
    <mergeCell ref="A1743:B1743"/>
    <mergeCell ref="C1743:G1743"/>
    <mergeCell ref="I1743:J1743"/>
    <mergeCell ref="K1743:L1743"/>
    <mergeCell ref="M1743:N1743"/>
    <mergeCell ref="O1743:P1743"/>
    <mergeCell ref="Q1743:R1743"/>
    <mergeCell ref="U1743:V1743"/>
    <mergeCell ref="W1743:X1743"/>
    <mergeCell ref="A1736:B1736"/>
    <mergeCell ref="C1736:G1736"/>
    <mergeCell ref="I1736:J1736"/>
    <mergeCell ref="K1736:L1736"/>
    <mergeCell ref="M1736:N1736"/>
    <mergeCell ref="O1736:P1736"/>
    <mergeCell ref="Q1736:R1736"/>
    <mergeCell ref="U1736:V1736"/>
    <mergeCell ref="W1736:X1736"/>
    <mergeCell ref="I1737:J1737"/>
    <mergeCell ref="N1737:O1737"/>
    <mergeCell ref="A1739:B1739"/>
    <mergeCell ref="C1739:G1739"/>
    <mergeCell ref="I1739:J1739"/>
    <mergeCell ref="K1739:L1739"/>
    <mergeCell ref="M1739:N1739"/>
    <mergeCell ref="O1739:P1739"/>
    <mergeCell ref="Q1739:R1739"/>
    <mergeCell ref="U1739:V1739"/>
    <mergeCell ref="W1739:X1739"/>
    <mergeCell ref="A1732:B1732"/>
    <mergeCell ref="C1732:G1732"/>
    <mergeCell ref="I1732:J1732"/>
    <mergeCell ref="K1732:L1732"/>
    <mergeCell ref="M1732:N1732"/>
    <mergeCell ref="O1732:P1732"/>
    <mergeCell ref="Q1732:R1732"/>
    <mergeCell ref="U1732:V1732"/>
    <mergeCell ref="W1732:X1732"/>
    <mergeCell ref="A1734:B1734"/>
    <mergeCell ref="C1734:G1734"/>
    <mergeCell ref="I1734:J1734"/>
    <mergeCell ref="K1734:L1734"/>
    <mergeCell ref="M1734:N1734"/>
    <mergeCell ref="O1734:P1734"/>
    <mergeCell ref="Q1734:R1734"/>
    <mergeCell ref="U1734:V1734"/>
    <mergeCell ref="W1734:X1734"/>
    <mergeCell ref="A1728:B1728"/>
    <mergeCell ref="C1728:G1728"/>
    <mergeCell ref="I1728:J1728"/>
    <mergeCell ref="K1728:L1728"/>
    <mergeCell ref="M1728:N1728"/>
    <mergeCell ref="O1728:P1728"/>
    <mergeCell ref="Q1728:R1728"/>
    <mergeCell ref="U1728:V1728"/>
    <mergeCell ref="W1728:X1728"/>
    <mergeCell ref="A1730:B1730"/>
    <mergeCell ref="C1730:G1730"/>
    <mergeCell ref="I1730:J1730"/>
    <mergeCell ref="K1730:L1730"/>
    <mergeCell ref="M1730:N1730"/>
    <mergeCell ref="O1730:P1730"/>
    <mergeCell ref="Q1730:R1730"/>
    <mergeCell ref="U1730:V1730"/>
    <mergeCell ref="W1730:X1730"/>
    <mergeCell ref="A1724:B1724"/>
    <mergeCell ref="C1724:G1724"/>
    <mergeCell ref="I1724:J1724"/>
    <mergeCell ref="K1724:L1724"/>
    <mergeCell ref="M1724:N1724"/>
    <mergeCell ref="O1724:P1724"/>
    <mergeCell ref="Q1724:R1724"/>
    <mergeCell ref="U1724:V1724"/>
    <mergeCell ref="W1724:X1724"/>
    <mergeCell ref="A1726:B1726"/>
    <mergeCell ref="C1726:G1726"/>
    <mergeCell ref="I1726:J1726"/>
    <mergeCell ref="K1726:L1726"/>
    <mergeCell ref="M1726:N1726"/>
    <mergeCell ref="O1726:P1726"/>
    <mergeCell ref="Q1726:R1726"/>
    <mergeCell ref="U1726:V1726"/>
    <mergeCell ref="W1726:X1726"/>
    <mergeCell ref="A1720:B1720"/>
    <mergeCell ref="C1720:G1720"/>
    <mergeCell ref="I1720:J1720"/>
    <mergeCell ref="K1720:L1720"/>
    <mergeCell ref="M1720:N1720"/>
    <mergeCell ref="O1720:P1720"/>
    <mergeCell ref="Q1720:R1720"/>
    <mergeCell ref="U1720:V1720"/>
    <mergeCell ref="W1720:X1720"/>
    <mergeCell ref="A1722:B1722"/>
    <mergeCell ref="C1722:G1722"/>
    <mergeCell ref="I1722:J1722"/>
    <mergeCell ref="K1722:L1722"/>
    <mergeCell ref="M1722:N1722"/>
    <mergeCell ref="O1722:P1722"/>
    <mergeCell ref="Q1722:R1722"/>
    <mergeCell ref="U1722:V1722"/>
    <mergeCell ref="W1722:X1722"/>
    <mergeCell ref="A1716:B1716"/>
    <mergeCell ref="C1716:G1716"/>
    <mergeCell ref="I1716:J1716"/>
    <mergeCell ref="K1716:L1716"/>
    <mergeCell ref="M1716:N1716"/>
    <mergeCell ref="O1716:P1716"/>
    <mergeCell ref="Q1716:R1716"/>
    <mergeCell ref="U1716:V1716"/>
    <mergeCell ref="W1716:X1716"/>
    <mergeCell ref="A1718:B1718"/>
    <mergeCell ref="C1718:G1718"/>
    <mergeCell ref="I1718:J1718"/>
    <mergeCell ref="K1718:L1718"/>
    <mergeCell ref="M1718:N1718"/>
    <mergeCell ref="O1718:P1718"/>
    <mergeCell ref="Q1718:R1718"/>
    <mergeCell ref="U1718:V1718"/>
    <mergeCell ref="W1718:X1718"/>
    <mergeCell ref="A1712:B1712"/>
    <mergeCell ref="C1712:G1712"/>
    <mergeCell ref="I1712:J1712"/>
    <mergeCell ref="K1712:L1712"/>
    <mergeCell ref="M1712:N1712"/>
    <mergeCell ref="O1712:P1712"/>
    <mergeCell ref="Q1712:R1712"/>
    <mergeCell ref="U1712:V1712"/>
    <mergeCell ref="W1712:X1712"/>
    <mergeCell ref="A1714:B1714"/>
    <mergeCell ref="C1714:G1714"/>
    <mergeCell ref="I1714:J1714"/>
    <mergeCell ref="K1714:L1714"/>
    <mergeCell ref="M1714:N1714"/>
    <mergeCell ref="O1714:P1714"/>
    <mergeCell ref="Q1714:R1714"/>
    <mergeCell ref="U1714:V1714"/>
    <mergeCell ref="W1714:X1714"/>
    <mergeCell ref="A1708:B1708"/>
    <mergeCell ref="C1708:G1708"/>
    <mergeCell ref="I1708:J1708"/>
    <mergeCell ref="K1708:L1708"/>
    <mergeCell ref="M1708:N1708"/>
    <mergeCell ref="O1708:P1708"/>
    <mergeCell ref="Q1708:R1708"/>
    <mergeCell ref="U1708:V1708"/>
    <mergeCell ref="W1708:X1708"/>
    <mergeCell ref="A1710:B1710"/>
    <mergeCell ref="C1710:G1710"/>
    <mergeCell ref="I1710:J1710"/>
    <mergeCell ref="K1710:L1710"/>
    <mergeCell ref="M1710:N1710"/>
    <mergeCell ref="O1710:P1710"/>
    <mergeCell ref="Q1710:R1710"/>
    <mergeCell ref="U1710:V1710"/>
    <mergeCell ref="W1710:X1710"/>
    <mergeCell ref="A1704:B1704"/>
    <mergeCell ref="C1704:G1704"/>
    <mergeCell ref="I1704:J1704"/>
    <mergeCell ref="K1704:L1704"/>
    <mergeCell ref="M1704:N1704"/>
    <mergeCell ref="O1704:P1704"/>
    <mergeCell ref="Q1704:R1704"/>
    <mergeCell ref="U1704:V1704"/>
    <mergeCell ref="W1704:X1704"/>
    <mergeCell ref="A1706:B1706"/>
    <mergeCell ref="C1706:G1706"/>
    <mergeCell ref="I1706:J1706"/>
    <mergeCell ref="K1706:L1706"/>
    <mergeCell ref="M1706:N1706"/>
    <mergeCell ref="O1706:P1706"/>
    <mergeCell ref="Q1706:R1706"/>
    <mergeCell ref="U1706:V1706"/>
    <mergeCell ref="W1706:X1706"/>
    <mergeCell ref="A1700:B1700"/>
    <mergeCell ref="C1700:G1700"/>
    <mergeCell ref="I1700:J1700"/>
    <mergeCell ref="K1700:L1700"/>
    <mergeCell ref="M1700:N1700"/>
    <mergeCell ref="O1700:P1700"/>
    <mergeCell ref="Q1700:R1700"/>
    <mergeCell ref="U1700:V1700"/>
    <mergeCell ref="W1700:X1700"/>
    <mergeCell ref="A1702:B1702"/>
    <mergeCell ref="C1702:G1702"/>
    <mergeCell ref="I1702:J1702"/>
    <mergeCell ref="K1702:L1702"/>
    <mergeCell ref="M1702:N1702"/>
    <mergeCell ref="O1702:P1702"/>
    <mergeCell ref="Q1702:R1702"/>
    <mergeCell ref="U1702:V1702"/>
    <mergeCell ref="W1702:X1702"/>
    <mergeCell ref="A1696:B1696"/>
    <mergeCell ref="C1696:G1696"/>
    <mergeCell ref="I1696:J1696"/>
    <mergeCell ref="K1696:L1696"/>
    <mergeCell ref="M1696:N1696"/>
    <mergeCell ref="O1696:P1696"/>
    <mergeCell ref="Q1696:R1696"/>
    <mergeCell ref="U1696:V1696"/>
    <mergeCell ref="W1696:X1696"/>
    <mergeCell ref="A1698:B1698"/>
    <mergeCell ref="C1698:G1698"/>
    <mergeCell ref="I1698:J1698"/>
    <mergeCell ref="K1698:L1698"/>
    <mergeCell ref="M1698:N1698"/>
    <mergeCell ref="O1698:P1698"/>
    <mergeCell ref="Q1698:R1698"/>
    <mergeCell ref="U1698:V1698"/>
    <mergeCell ref="W1698:X1698"/>
    <mergeCell ref="A1692:B1692"/>
    <mergeCell ref="C1692:G1692"/>
    <mergeCell ref="I1692:J1692"/>
    <mergeCell ref="K1692:L1692"/>
    <mergeCell ref="M1692:N1692"/>
    <mergeCell ref="O1692:P1692"/>
    <mergeCell ref="Q1692:R1692"/>
    <mergeCell ref="U1692:V1692"/>
    <mergeCell ref="W1692:X1692"/>
    <mergeCell ref="A1694:B1694"/>
    <mergeCell ref="C1694:G1694"/>
    <mergeCell ref="I1694:J1694"/>
    <mergeCell ref="K1694:L1694"/>
    <mergeCell ref="M1694:N1694"/>
    <mergeCell ref="O1694:P1694"/>
    <mergeCell ref="Q1694:R1694"/>
    <mergeCell ref="U1694:V1694"/>
    <mergeCell ref="W1694:X1694"/>
    <mergeCell ref="A1688:B1688"/>
    <mergeCell ref="C1688:G1688"/>
    <mergeCell ref="I1688:J1688"/>
    <mergeCell ref="K1688:L1688"/>
    <mergeCell ref="M1688:N1688"/>
    <mergeCell ref="O1688:P1688"/>
    <mergeCell ref="Q1688:R1688"/>
    <mergeCell ref="U1688:V1688"/>
    <mergeCell ref="W1688:X1688"/>
    <mergeCell ref="A1690:B1690"/>
    <mergeCell ref="C1690:G1690"/>
    <mergeCell ref="I1690:J1690"/>
    <mergeCell ref="K1690:L1690"/>
    <mergeCell ref="M1690:N1690"/>
    <mergeCell ref="O1690:P1690"/>
    <mergeCell ref="Q1690:R1690"/>
    <mergeCell ref="U1690:V1690"/>
    <mergeCell ref="W1690:X1690"/>
    <mergeCell ref="A1684:B1684"/>
    <mergeCell ref="C1684:G1684"/>
    <mergeCell ref="I1684:J1684"/>
    <mergeCell ref="K1684:L1684"/>
    <mergeCell ref="M1684:N1684"/>
    <mergeCell ref="O1684:P1684"/>
    <mergeCell ref="Q1684:R1684"/>
    <mergeCell ref="U1684:V1684"/>
    <mergeCell ref="W1684:X1684"/>
    <mergeCell ref="A1686:B1686"/>
    <mergeCell ref="C1686:G1686"/>
    <mergeCell ref="I1686:J1686"/>
    <mergeCell ref="K1686:L1686"/>
    <mergeCell ref="M1686:N1686"/>
    <mergeCell ref="O1686:P1686"/>
    <mergeCell ref="Q1686:R1686"/>
    <mergeCell ref="U1686:V1686"/>
    <mergeCell ref="W1686:X1686"/>
    <mergeCell ref="A1680:B1680"/>
    <mergeCell ref="C1680:G1680"/>
    <mergeCell ref="I1680:J1680"/>
    <mergeCell ref="K1680:L1680"/>
    <mergeCell ref="M1680:N1680"/>
    <mergeCell ref="O1680:P1680"/>
    <mergeCell ref="Q1680:R1680"/>
    <mergeCell ref="U1680:V1680"/>
    <mergeCell ref="W1680:X1680"/>
    <mergeCell ref="A1682:B1682"/>
    <mergeCell ref="C1682:G1682"/>
    <mergeCell ref="I1682:J1682"/>
    <mergeCell ref="K1682:L1682"/>
    <mergeCell ref="M1682:N1682"/>
    <mergeCell ref="O1682:P1682"/>
    <mergeCell ref="Q1682:R1682"/>
    <mergeCell ref="U1682:V1682"/>
    <mergeCell ref="W1682:X1682"/>
    <mergeCell ref="A1674:B1674"/>
    <mergeCell ref="D1674:V1674"/>
    <mergeCell ref="A1676:B1676"/>
    <mergeCell ref="C1676:G1676"/>
    <mergeCell ref="I1676:J1676"/>
    <mergeCell ref="K1676:L1676"/>
    <mergeCell ref="M1676:N1676"/>
    <mergeCell ref="O1676:P1676"/>
    <mergeCell ref="Q1676:R1676"/>
    <mergeCell ref="U1676:V1676"/>
    <mergeCell ref="W1676:X1676"/>
    <mergeCell ref="A1678:B1678"/>
    <mergeCell ref="C1678:G1678"/>
    <mergeCell ref="I1678:J1678"/>
    <mergeCell ref="K1678:L1678"/>
    <mergeCell ref="M1678:N1678"/>
    <mergeCell ref="O1678:P1678"/>
    <mergeCell ref="Q1678:R1678"/>
    <mergeCell ref="U1678:V1678"/>
    <mergeCell ref="W1678:X1678"/>
    <mergeCell ref="I1669:J1669"/>
    <mergeCell ref="N1669:O1669"/>
    <mergeCell ref="A1671:B1671"/>
    <mergeCell ref="C1671:G1671"/>
    <mergeCell ref="I1671:J1671"/>
    <mergeCell ref="K1671:L1671"/>
    <mergeCell ref="M1671:N1671"/>
    <mergeCell ref="O1671:P1671"/>
    <mergeCell ref="Q1671:R1671"/>
    <mergeCell ref="U1671:V1671"/>
    <mergeCell ref="W1671:X1671"/>
    <mergeCell ref="A1673:B1673"/>
    <mergeCell ref="C1673:G1673"/>
    <mergeCell ref="I1673:J1673"/>
    <mergeCell ref="K1673:L1673"/>
    <mergeCell ref="M1673:N1673"/>
    <mergeCell ref="O1673:P1673"/>
    <mergeCell ref="Q1673:R1673"/>
    <mergeCell ref="U1673:V1673"/>
    <mergeCell ref="W1673:X1673"/>
    <mergeCell ref="I1664:J1664"/>
    <mergeCell ref="N1664:O1664"/>
    <mergeCell ref="A1666:B1666"/>
    <mergeCell ref="C1666:G1666"/>
    <mergeCell ref="I1666:J1666"/>
    <mergeCell ref="K1666:L1666"/>
    <mergeCell ref="M1666:N1666"/>
    <mergeCell ref="O1666:P1666"/>
    <mergeCell ref="Q1666:R1666"/>
    <mergeCell ref="U1666:V1666"/>
    <mergeCell ref="W1666:X1666"/>
    <mergeCell ref="A1668:B1668"/>
    <mergeCell ref="C1668:G1668"/>
    <mergeCell ref="I1668:J1668"/>
    <mergeCell ref="K1668:L1668"/>
    <mergeCell ref="M1668:N1668"/>
    <mergeCell ref="O1668:P1668"/>
    <mergeCell ref="Q1668:R1668"/>
    <mergeCell ref="U1668:V1668"/>
    <mergeCell ref="W1668:X1668"/>
    <mergeCell ref="A1660:B1660"/>
    <mergeCell ref="C1660:G1660"/>
    <mergeCell ref="I1660:J1660"/>
    <mergeCell ref="K1660:L1660"/>
    <mergeCell ref="M1660:N1660"/>
    <mergeCell ref="O1660:P1660"/>
    <mergeCell ref="Q1660:R1660"/>
    <mergeCell ref="U1660:V1660"/>
    <mergeCell ref="W1660:X1660"/>
    <mergeCell ref="I1661:J1661"/>
    <mergeCell ref="N1661:O1661"/>
    <mergeCell ref="A1663:B1663"/>
    <mergeCell ref="C1663:G1663"/>
    <mergeCell ref="I1663:J1663"/>
    <mergeCell ref="K1663:L1663"/>
    <mergeCell ref="M1663:N1663"/>
    <mergeCell ref="O1663:P1663"/>
    <mergeCell ref="Q1663:R1663"/>
    <mergeCell ref="U1663:V1663"/>
    <mergeCell ref="W1663:X1663"/>
    <mergeCell ref="I1654:J1654"/>
    <mergeCell ref="N1654:O1654"/>
    <mergeCell ref="A1656:B1656"/>
    <mergeCell ref="C1656:G1656"/>
    <mergeCell ref="I1656:J1656"/>
    <mergeCell ref="K1656:L1656"/>
    <mergeCell ref="M1656:N1656"/>
    <mergeCell ref="O1656:P1656"/>
    <mergeCell ref="Q1656:R1656"/>
    <mergeCell ref="U1656:V1656"/>
    <mergeCell ref="W1656:X1656"/>
    <mergeCell ref="A1658:B1658"/>
    <mergeCell ref="C1658:G1658"/>
    <mergeCell ref="I1658:J1658"/>
    <mergeCell ref="K1658:L1658"/>
    <mergeCell ref="M1658:N1658"/>
    <mergeCell ref="O1658:P1658"/>
    <mergeCell ref="Q1658:R1658"/>
    <mergeCell ref="U1658:V1658"/>
    <mergeCell ref="W1658:X1658"/>
    <mergeCell ref="I1648:J1648"/>
    <mergeCell ref="N1648:O1648"/>
    <mergeCell ref="A1650:B1650"/>
    <mergeCell ref="C1650:G1650"/>
    <mergeCell ref="I1650:J1650"/>
    <mergeCell ref="K1650:L1650"/>
    <mergeCell ref="M1650:N1650"/>
    <mergeCell ref="O1650:P1650"/>
    <mergeCell ref="Q1650:R1650"/>
    <mergeCell ref="U1650:V1650"/>
    <mergeCell ref="W1650:X1650"/>
    <mergeCell ref="I1651:J1651"/>
    <mergeCell ref="N1651:O1651"/>
    <mergeCell ref="A1653:B1653"/>
    <mergeCell ref="C1653:G1653"/>
    <mergeCell ref="I1653:J1653"/>
    <mergeCell ref="K1653:L1653"/>
    <mergeCell ref="M1653:N1653"/>
    <mergeCell ref="O1653:P1653"/>
    <mergeCell ref="Q1653:R1653"/>
    <mergeCell ref="U1653:V1653"/>
    <mergeCell ref="W1653:X1653"/>
    <mergeCell ref="A1645:B1645"/>
    <mergeCell ref="C1645:G1645"/>
    <mergeCell ref="I1645:J1645"/>
    <mergeCell ref="K1645:L1645"/>
    <mergeCell ref="M1645:N1645"/>
    <mergeCell ref="O1645:P1645"/>
    <mergeCell ref="Q1645:R1645"/>
    <mergeCell ref="U1645:V1645"/>
    <mergeCell ref="W1645:X1645"/>
    <mergeCell ref="A1647:B1647"/>
    <mergeCell ref="C1647:G1647"/>
    <mergeCell ref="I1647:J1647"/>
    <mergeCell ref="K1647:L1647"/>
    <mergeCell ref="M1647:N1647"/>
    <mergeCell ref="O1647:P1647"/>
    <mergeCell ref="Q1647:R1647"/>
    <mergeCell ref="U1647:V1647"/>
    <mergeCell ref="W1647:X1647"/>
    <mergeCell ref="A1641:B1641"/>
    <mergeCell ref="C1641:G1641"/>
    <mergeCell ref="I1641:J1641"/>
    <mergeCell ref="K1641:L1641"/>
    <mergeCell ref="M1641:N1641"/>
    <mergeCell ref="O1641:P1641"/>
    <mergeCell ref="Q1641:R1641"/>
    <mergeCell ref="U1641:V1641"/>
    <mergeCell ref="W1641:X1641"/>
    <mergeCell ref="A1643:B1643"/>
    <mergeCell ref="C1643:G1643"/>
    <mergeCell ref="I1643:J1643"/>
    <mergeCell ref="K1643:L1643"/>
    <mergeCell ref="M1643:N1643"/>
    <mergeCell ref="O1643:P1643"/>
    <mergeCell ref="Q1643:R1643"/>
    <mergeCell ref="U1643:V1643"/>
    <mergeCell ref="W1643:X1643"/>
    <mergeCell ref="A1637:B1637"/>
    <mergeCell ref="C1637:G1637"/>
    <mergeCell ref="I1637:J1637"/>
    <mergeCell ref="K1637:L1637"/>
    <mergeCell ref="M1637:N1637"/>
    <mergeCell ref="O1637:P1637"/>
    <mergeCell ref="Q1637:R1637"/>
    <mergeCell ref="U1637:V1637"/>
    <mergeCell ref="W1637:X1637"/>
    <mergeCell ref="A1639:B1639"/>
    <mergeCell ref="C1639:G1639"/>
    <mergeCell ref="I1639:J1639"/>
    <mergeCell ref="K1639:L1639"/>
    <mergeCell ref="M1639:N1639"/>
    <mergeCell ref="O1639:P1639"/>
    <mergeCell ref="Q1639:R1639"/>
    <mergeCell ref="U1639:V1639"/>
    <mergeCell ref="W1639:X1639"/>
    <mergeCell ref="A1633:B1633"/>
    <mergeCell ref="C1633:G1633"/>
    <mergeCell ref="I1633:J1633"/>
    <mergeCell ref="K1633:L1633"/>
    <mergeCell ref="M1633:N1633"/>
    <mergeCell ref="O1633:P1633"/>
    <mergeCell ref="Q1633:R1633"/>
    <mergeCell ref="U1633:V1633"/>
    <mergeCell ref="W1633:X1633"/>
    <mergeCell ref="A1635:B1635"/>
    <mergeCell ref="C1635:G1635"/>
    <mergeCell ref="I1635:J1635"/>
    <mergeCell ref="K1635:L1635"/>
    <mergeCell ref="M1635:N1635"/>
    <mergeCell ref="O1635:P1635"/>
    <mergeCell ref="Q1635:R1635"/>
    <mergeCell ref="U1635:V1635"/>
    <mergeCell ref="W1635:X1635"/>
    <mergeCell ref="A1629:B1629"/>
    <mergeCell ref="C1629:G1629"/>
    <mergeCell ref="I1629:J1629"/>
    <mergeCell ref="K1629:L1629"/>
    <mergeCell ref="M1629:N1629"/>
    <mergeCell ref="O1629:P1629"/>
    <mergeCell ref="Q1629:R1629"/>
    <mergeCell ref="U1629:V1629"/>
    <mergeCell ref="W1629:X1629"/>
    <mergeCell ref="A1631:B1631"/>
    <mergeCell ref="C1631:G1631"/>
    <mergeCell ref="I1631:J1631"/>
    <mergeCell ref="K1631:L1631"/>
    <mergeCell ref="M1631:N1631"/>
    <mergeCell ref="O1631:P1631"/>
    <mergeCell ref="Q1631:R1631"/>
    <mergeCell ref="U1631:V1631"/>
    <mergeCell ref="W1631:X1631"/>
    <mergeCell ref="A1625:B1625"/>
    <mergeCell ref="C1625:G1625"/>
    <mergeCell ref="I1625:J1625"/>
    <mergeCell ref="K1625:L1625"/>
    <mergeCell ref="M1625:N1625"/>
    <mergeCell ref="O1625:P1625"/>
    <mergeCell ref="Q1625:R1625"/>
    <mergeCell ref="U1625:V1625"/>
    <mergeCell ref="W1625:X1625"/>
    <mergeCell ref="A1627:B1627"/>
    <mergeCell ref="C1627:G1627"/>
    <mergeCell ref="I1627:J1627"/>
    <mergeCell ref="K1627:L1627"/>
    <mergeCell ref="M1627:N1627"/>
    <mergeCell ref="O1627:P1627"/>
    <mergeCell ref="Q1627:R1627"/>
    <mergeCell ref="U1627:V1627"/>
    <mergeCell ref="W1627:X1627"/>
    <mergeCell ref="A1621:B1621"/>
    <mergeCell ref="C1621:G1621"/>
    <mergeCell ref="I1621:J1621"/>
    <mergeCell ref="K1621:L1621"/>
    <mergeCell ref="M1621:N1621"/>
    <mergeCell ref="O1621:P1621"/>
    <mergeCell ref="Q1621:R1621"/>
    <mergeCell ref="U1621:V1621"/>
    <mergeCell ref="W1621:X1621"/>
    <mergeCell ref="A1623:B1623"/>
    <mergeCell ref="C1623:G1623"/>
    <mergeCell ref="I1623:J1623"/>
    <mergeCell ref="K1623:L1623"/>
    <mergeCell ref="M1623:N1623"/>
    <mergeCell ref="O1623:P1623"/>
    <mergeCell ref="Q1623:R1623"/>
    <mergeCell ref="U1623:V1623"/>
    <mergeCell ref="W1623:X1623"/>
    <mergeCell ref="A1617:B1617"/>
    <mergeCell ref="C1617:G1617"/>
    <mergeCell ref="I1617:J1617"/>
    <mergeCell ref="K1617:L1617"/>
    <mergeCell ref="M1617:N1617"/>
    <mergeCell ref="O1617:P1617"/>
    <mergeCell ref="Q1617:R1617"/>
    <mergeCell ref="U1617:V1617"/>
    <mergeCell ref="W1617:X1617"/>
    <mergeCell ref="A1619:B1619"/>
    <mergeCell ref="C1619:G1619"/>
    <mergeCell ref="I1619:J1619"/>
    <mergeCell ref="K1619:L1619"/>
    <mergeCell ref="M1619:N1619"/>
    <mergeCell ref="O1619:P1619"/>
    <mergeCell ref="Q1619:R1619"/>
    <mergeCell ref="U1619:V1619"/>
    <mergeCell ref="W1619:X1619"/>
    <mergeCell ref="A1613:B1613"/>
    <mergeCell ref="C1613:G1613"/>
    <mergeCell ref="I1613:J1613"/>
    <mergeCell ref="K1613:L1613"/>
    <mergeCell ref="M1613:N1613"/>
    <mergeCell ref="O1613:P1613"/>
    <mergeCell ref="Q1613:R1613"/>
    <mergeCell ref="U1613:V1613"/>
    <mergeCell ref="W1613:X1613"/>
    <mergeCell ref="A1615:B1615"/>
    <mergeCell ref="C1615:G1615"/>
    <mergeCell ref="I1615:J1615"/>
    <mergeCell ref="K1615:L1615"/>
    <mergeCell ref="M1615:N1615"/>
    <mergeCell ref="O1615:P1615"/>
    <mergeCell ref="Q1615:R1615"/>
    <mergeCell ref="U1615:V1615"/>
    <mergeCell ref="W1615:X1615"/>
    <mergeCell ref="A1607:B1607"/>
    <mergeCell ref="D1607:V1607"/>
    <mergeCell ref="A1609:B1609"/>
    <mergeCell ref="C1609:G1610"/>
    <mergeCell ref="I1609:J1609"/>
    <mergeCell ref="K1609:L1609"/>
    <mergeCell ref="M1609:N1609"/>
    <mergeCell ref="O1609:P1609"/>
    <mergeCell ref="Q1609:R1609"/>
    <mergeCell ref="U1609:V1609"/>
    <mergeCell ref="W1609:X1609"/>
    <mergeCell ref="A1611:B1611"/>
    <mergeCell ref="C1611:G1612"/>
    <mergeCell ref="I1611:J1611"/>
    <mergeCell ref="K1611:L1611"/>
    <mergeCell ref="M1611:N1611"/>
    <mergeCell ref="O1611:P1611"/>
    <mergeCell ref="Q1611:R1611"/>
    <mergeCell ref="U1611:V1611"/>
    <mergeCell ref="W1611:X1611"/>
    <mergeCell ref="A1604:B1604"/>
    <mergeCell ref="C1604:G1605"/>
    <mergeCell ref="I1604:J1604"/>
    <mergeCell ref="K1604:L1604"/>
    <mergeCell ref="M1604:N1604"/>
    <mergeCell ref="O1604:P1604"/>
    <mergeCell ref="Q1604:R1604"/>
    <mergeCell ref="U1604:V1604"/>
    <mergeCell ref="W1604:X1604"/>
    <mergeCell ref="A1606:B1606"/>
    <mergeCell ref="C1606:G1606"/>
    <mergeCell ref="I1606:J1606"/>
    <mergeCell ref="K1606:L1606"/>
    <mergeCell ref="M1606:N1606"/>
    <mergeCell ref="O1606:P1606"/>
    <mergeCell ref="Q1606:R1606"/>
    <mergeCell ref="U1606:V1606"/>
    <mergeCell ref="W1606:X1606"/>
    <mergeCell ref="A1600:B1600"/>
    <mergeCell ref="C1600:G1600"/>
    <mergeCell ref="I1600:J1600"/>
    <mergeCell ref="K1600:L1600"/>
    <mergeCell ref="M1600:N1600"/>
    <mergeCell ref="O1600:P1600"/>
    <mergeCell ref="Q1600:R1600"/>
    <mergeCell ref="U1600:V1600"/>
    <mergeCell ref="W1600:X1600"/>
    <mergeCell ref="A1602:B1602"/>
    <mergeCell ref="C1602:G1602"/>
    <mergeCell ref="I1602:J1602"/>
    <mergeCell ref="K1602:L1602"/>
    <mergeCell ref="M1602:N1602"/>
    <mergeCell ref="O1602:P1602"/>
    <mergeCell ref="Q1602:R1602"/>
    <mergeCell ref="U1602:V1602"/>
    <mergeCell ref="W1602:X1602"/>
    <mergeCell ref="A1596:B1596"/>
    <mergeCell ref="C1596:G1596"/>
    <mergeCell ref="I1596:J1596"/>
    <mergeCell ref="K1596:L1596"/>
    <mergeCell ref="M1596:N1596"/>
    <mergeCell ref="O1596:P1596"/>
    <mergeCell ref="Q1596:R1596"/>
    <mergeCell ref="U1596:V1596"/>
    <mergeCell ref="W1596:X1596"/>
    <mergeCell ref="A1598:B1598"/>
    <mergeCell ref="C1598:G1598"/>
    <mergeCell ref="I1598:J1598"/>
    <mergeCell ref="K1598:L1598"/>
    <mergeCell ref="M1598:N1598"/>
    <mergeCell ref="O1598:P1598"/>
    <mergeCell ref="Q1598:R1598"/>
    <mergeCell ref="U1598:V1598"/>
    <mergeCell ref="W1598:X1598"/>
    <mergeCell ref="A1592:B1592"/>
    <mergeCell ref="C1592:G1592"/>
    <mergeCell ref="I1592:J1592"/>
    <mergeCell ref="K1592:L1592"/>
    <mergeCell ref="M1592:N1592"/>
    <mergeCell ref="O1592:P1592"/>
    <mergeCell ref="Q1592:R1592"/>
    <mergeCell ref="U1592:V1592"/>
    <mergeCell ref="W1592:X1592"/>
    <mergeCell ref="A1594:B1594"/>
    <mergeCell ref="C1594:G1594"/>
    <mergeCell ref="I1594:J1594"/>
    <mergeCell ref="K1594:L1594"/>
    <mergeCell ref="M1594:N1594"/>
    <mergeCell ref="O1594:P1594"/>
    <mergeCell ref="Q1594:R1594"/>
    <mergeCell ref="U1594:V1594"/>
    <mergeCell ref="W1594:X1594"/>
    <mergeCell ref="A1588:B1588"/>
    <mergeCell ref="C1588:G1588"/>
    <mergeCell ref="I1588:J1588"/>
    <mergeCell ref="K1588:L1588"/>
    <mergeCell ref="M1588:N1588"/>
    <mergeCell ref="O1588:P1588"/>
    <mergeCell ref="Q1588:R1588"/>
    <mergeCell ref="U1588:V1588"/>
    <mergeCell ref="W1588:X1588"/>
    <mergeCell ref="A1590:B1590"/>
    <mergeCell ref="C1590:G1590"/>
    <mergeCell ref="I1590:J1590"/>
    <mergeCell ref="K1590:L1590"/>
    <mergeCell ref="M1590:N1590"/>
    <mergeCell ref="O1590:P1590"/>
    <mergeCell ref="Q1590:R1590"/>
    <mergeCell ref="U1590:V1590"/>
    <mergeCell ref="W1590:X1590"/>
    <mergeCell ref="A1584:B1584"/>
    <mergeCell ref="C1584:G1584"/>
    <mergeCell ref="I1584:J1584"/>
    <mergeCell ref="K1584:L1584"/>
    <mergeCell ref="M1584:N1584"/>
    <mergeCell ref="O1584:P1584"/>
    <mergeCell ref="Q1584:R1584"/>
    <mergeCell ref="U1584:V1584"/>
    <mergeCell ref="W1584:X1584"/>
    <mergeCell ref="A1586:B1586"/>
    <mergeCell ref="C1586:G1586"/>
    <mergeCell ref="I1586:J1586"/>
    <mergeCell ref="K1586:L1586"/>
    <mergeCell ref="M1586:N1586"/>
    <mergeCell ref="O1586:P1586"/>
    <mergeCell ref="Q1586:R1586"/>
    <mergeCell ref="U1586:V1586"/>
    <mergeCell ref="W1586:X1586"/>
    <mergeCell ref="A1580:B1580"/>
    <mergeCell ref="C1580:G1580"/>
    <mergeCell ref="I1580:J1580"/>
    <mergeCell ref="K1580:L1580"/>
    <mergeCell ref="M1580:N1580"/>
    <mergeCell ref="O1580:P1580"/>
    <mergeCell ref="Q1580:R1580"/>
    <mergeCell ref="U1580:V1580"/>
    <mergeCell ref="W1580:X1580"/>
    <mergeCell ref="A1582:B1582"/>
    <mergeCell ref="C1582:G1582"/>
    <mergeCell ref="I1582:J1582"/>
    <mergeCell ref="K1582:L1582"/>
    <mergeCell ref="M1582:N1582"/>
    <mergeCell ref="O1582:P1582"/>
    <mergeCell ref="Q1582:R1582"/>
    <mergeCell ref="U1582:V1582"/>
    <mergeCell ref="W1582:X1582"/>
    <mergeCell ref="A1576:B1576"/>
    <mergeCell ref="C1576:G1576"/>
    <mergeCell ref="I1576:J1576"/>
    <mergeCell ref="K1576:L1576"/>
    <mergeCell ref="M1576:N1576"/>
    <mergeCell ref="O1576:P1576"/>
    <mergeCell ref="Q1576:R1576"/>
    <mergeCell ref="U1576:V1576"/>
    <mergeCell ref="W1576:X1576"/>
    <mergeCell ref="A1578:B1578"/>
    <mergeCell ref="C1578:G1578"/>
    <mergeCell ref="I1578:J1578"/>
    <mergeCell ref="K1578:L1578"/>
    <mergeCell ref="M1578:N1578"/>
    <mergeCell ref="O1578:P1578"/>
    <mergeCell ref="Q1578:R1578"/>
    <mergeCell ref="U1578:V1578"/>
    <mergeCell ref="W1578:X1578"/>
    <mergeCell ref="A1572:B1572"/>
    <mergeCell ref="C1572:G1572"/>
    <mergeCell ref="I1572:J1572"/>
    <mergeCell ref="K1572:L1572"/>
    <mergeCell ref="M1572:N1572"/>
    <mergeCell ref="O1572:P1572"/>
    <mergeCell ref="Q1572:R1572"/>
    <mergeCell ref="U1572:V1572"/>
    <mergeCell ref="W1572:X1572"/>
    <mergeCell ref="A1574:B1574"/>
    <mergeCell ref="C1574:G1574"/>
    <mergeCell ref="I1574:J1574"/>
    <mergeCell ref="K1574:L1574"/>
    <mergeCell ref="M1574:N1574"/>
    <mergeCell ref="O1574:P1574"/>
    <mergeCell ref="Q1574:R1574"/>
    <mergeCell ref="U1574:V1574"/>
    <mergeCell ref="W1574:X1574"/>
    <mergeCell ref="A1568:B1568"/>
    <mergeCell ref="C1568:G1568"/>
    <mergeCell ref="I1568:J1568"/>
    <mergeCell ref="K1568:L1568"/>
    <mergeCell ref="M1568:N1568"/>
    <mergeCell ref="O1568:P1568"/>
    <mergeCell ref="Q1568:R1568"/>
    <mergeCell ref="U1568:V1568"/>
    <mergeCell ref="W1568:X1568"/>
    <mergeCell ref="A1570:B1570"/>
    <mergeCell ref="C1570:G1570"/>
    <mergeCell ref="I1570:J1570"/>
    <mergeCell ref="K1570:L1570"/>
    <mergeCell ref="M1570:N1570"/>
    <mergeCell ref="O1570:P1570"/>
    <mergeCell ref="Q1570:R1570"/>
    <mergeCell ref="U1570:V1570"/>
    <mergeCell ref="W1570:X1570"/>
    <mergeCell ref="A1564:B1564"/>
    <mergeCell ref="C1564:G1565"/>
    <mergeCell ref="I1564:J1564"/>
    <mergeCell ref="K1564:L1564"/>
    <mergeCell ref="M1564:N1564"/>
    <mergeCell ref="O1564:P1564"/>
    <mergeCell ref="Q1564:R1564"/>
    <mergeCell ref="U1564:V1564"/>
    <mergeCell ref="W1564:X1564"/>
    <mergeCell ref="A1566:B1566"/>
    <mergeCell ref="C1566:G1566"/>
    <mergeCell ref="I1566:J1566"/>
    <mergeCell ref="K1566:L1566"/>
    <mergeCell ref="M1566:N1566"/>
    <mergeCell ref="O1566:P1566"/>
    <mergeCell ref="Q1566:R1566"/>
    <mergeCell ref="U1566:V1566"/>
    <mergeCell ref="W1566:X1566"/>
    <mergeCell ref="A1560:B1560"/>
    <mergeCell ref="C1560:G1560"/>
    <mergeCell ref="I1560:J1560"/>
    <mergeCell ref="K1560:L1560"/>
    <mergeCell ref="M1560:N1560"/>
    <mergeCell ref="O1560:P1560"/>
    <mergeCell ref="Q1560:R1560"/>
    <mergeCell ref="U1560:V1560"/>
    <mergeCell ref="W1560:X1560"/>
    <mergeCell ref="A1562:B1562"/>
    <mergeCell ref="C1562:G1562"/>
    <mergeCell ref="I1562:J1562"/>
    <mergeCell ref="K1562:L1562"/>
    <mergeCell ref="M1562:N1562"/>
    <mergeCell ref="O1562:P1562"/>
    <mergeCell ref="Q1562:R1562"/>
    <mergeCell ref="U1562:V1562"/>
    <mergeCell ref="W1562:X1562"/>
    <mergeCell ref="A1556:B1556"/>
    <mergeCell ref="C1556:G1556"/>
    <mergeCell ref="I1556:J1556"/>
    <mergeCell ref="K1556:L1556"/>
    <mergeCell ref="M1556:N1556"/>
    <mergeCell ref="O1556:P1556"/>
    <mergeCell ref="Q1556:R1556"/>
    <mergeCell ref="U1556:V1556"/>
    <mergeCell ref="W1556:X1556"/>
    <mergeCell ref="A1558:B1558"/>
    <mergeCell ref="C1558:G1558"/>
    <mergeCell ref="I1558:J1558"/>
    <mergeCell ref="K1558:L1558"/>
    <mergeCell ref="M1558:N1558"/>
    <mergeCell ref="O1558:P1558"/>
    <mergeCell ref="Q1558:R1558"/>
    <mergeCell ref="U1558:V1558"/>
    <mergeCell ref="W1558:X1558"/>
    <mergeCell ref="A1552:B1552"/>
    <mergeCell ref="C1552:G1552"/>
    <mergeCell ref="I1552:J1552"/>
    <mergeCell ref="K1552:L1552"/>
    <mergeCell ref="M1552:N1552"/>
    <mergeCell ref="O1552:P1552"/>
    <mergeCell ref="Q1552:R1552"/>
    <mergeCell ref="U1552:V1552"/>
    <mergeCell ref="W1552:X1552"/>
    <mergeCell ref="A1554:B1554"/>
    <mergeCell ref="C1554:G1554"/>
    <mergeCell ref="I1554:J1554"/>
    <mergeCell ref="K1554:L1554"/>
    <mergeCell ref="M1554:N1554"/>
    <mergeCell ref="O1554:P1554"/>
    <mergeCell ref="Q1554:R1554"/>
    <mergeCell ref="U1554:V1554"/>
    <mergeCell ref="W1554:X1554"/>
    <mergeCell ref="A1548:B1548"/>
    <mergeCell ref="C1548:G1548"/>
    <mergeCell ref="I1548:J1548"/>
    <mergeCell ref="K1548:L1548"/>
    <mergeCell ref="M1548:N1548"/>
    <mergeCell ref="O1548:P1548"/>
    <mergeCell ref="Q1548:R1548"/>
    <mergeCell ref="U1548:V1548"/>
    <mergeCell ref="W1548:X1548"/>
    <mergeCell ref="A1550:B1550"/>
    <mergeCell ref="C1550:G1550"/>
    <mergeCell ref="I1550:J1550"/>
    <mergeCell ref="K1550:L1550"/>
    <mergeCell ref="M1550:N1550"/>
    <mergeCell ref="O1550:P1550"/>
    <mergeCell ref="Q1550:R1550"/>
    <mergeCell ref="U1550:V1550"/>
    <mergeCell ref="W1550:X1550"/>
    <mergeCell ref="A1544:B1544"/>
    <mergeCell ref="C1544:G1544"/>
    <mergeCell ref="I1544:J1544"/>
    <mergeCell ref="K1544:L1544"/>
    <mergeCell ref="M1544:N1544"/>
    <mergeCell ref="O1544:P1544"/>
    <mergeCell ref="Q1544:R1544"/>
    <mergeCell ref="U1544:V1544"/>
    <mergeCell ref="W1544:X1544"/>
    <mergeCell ref="A1546:B1546"/>
    <mergeCell ref="C1546:G1546"/>
    <mergeCell ref="I1546:J1546"/>
    <mergeCell ref="K1546:L1546"/>
    <mergeCell ref="M1546:N1546"/>
    <mergeCell ref="O1546:P1546"/>
    <mergeCell ref="Q1546:R1546"/>
    <mergeCell ref="U1546:V1546"/>
    <mergeCell ref="W1546:X1546"/>
    <mergeCell ref="A1540:B1540"/>
    <mergeCell ref="C1540:G1540"/>
    <mergeCell ref="I1540:J1540"/>
    <mergeCell ref="K1540:L1540"/>
    <mergeCell ref="M1540:N1540"/>
    <mergeCell ref="O1540:P1540"/>
    <mergeCell ref="Q1540:R1540"/>
    <mergeCell ref="U1540:V1540"/>
    <mergeCell ref="W1540:X1540"/>
    <mergeCell ref="A1542:B1542"/>
    <mergeCell ref="C1542:G1542"/>
    <mergeCell ref="I1542:J1542"/>
    <mergeCell ref="K1542:L1542"/>
    <mergeCell ref="M1542:N1542"/>
    <mergeCell ref="O1542:P1542"/>
    <mergeCell ref="Q1542:R1542"/>
    <mergeCell ref="U1542:V1542"/>
    <mergeCell ref="W1542:X1542"/>
    <mergeCell ref="A1535:B1535"/>
    <mergeCell ref="C1535:G1535"/>
    <mergeCell ref="I1535:J1535"/>
    <mergeCell ref="K1535:L1535"/>
    <mergeCell ref="M1535:N1535"/>
    <mergeCell ref="O1535:P1535"/>
    <mergeCell ref="Q1535:R1535"/>
    <mergeCell ref="U1535:V1535"/>
    <mergeCell ref="W1535:X1535"/>
    <mergeCell ref="A1536:B1536"/>
    <mergeCell ref="D1536:V1536"/>
    <mergeCell ref="A1538:B1538"/>
    <mergeCell ref="C1538:G1538"/>
    <mergeCell ref="I1538:J1538"/>
    <mergeCell ref="K1538:L1538"/>
    <mergeCell ref="M1538:N1538"/>
    <mergeCell ref="O1538:P1538"/>
    <mergeCell ref="Q1538:R1538"/>
    <mergeCell ref="U1538:V1538"/>
    <mergeCell ref="W1538:X1538"/>
    <mergeCell ref="A1531:B1531"/>
    <mergeCell ref="C1531:G1531"/>
    <mergeCell ref="I1531:J1531"/>
    <mergeCell ref="K1531:L1531"/>
    <mergeCell ref="M1531:N1531"/>
    <mergeCell ref="O1531:P1531"/>
    <mergeCell ref="Q1531:R1531"/>
    <mergeCell ref="U1531:V1531"/>
    <mergeCell ref="W1531:X1531"/>
    <mergeCell ref="A1533:B1533"/>
    <mergeCell ref="C1533:G1533"/>
    <mergeCell ref="I1533:J1533"/>
    <mergeCell ref="K1533:L1533"/>
    <mergeCell ref="M1533:N1533"/>
    <mergeCell ref="O1533:P1533"/>
    <mergeCell ref="Q1533:R1533"/>
    <mergeCell ref="U1533:V1533"/>
    <mergeCell ref="W1533:X1533"/>
    <mergeCell ref="A1527:B1527"/>
    <mergeCell ref="C1527:G1527"/>
    <mergeCell ref="I1527:J1527"/>
    <mergeCell ref="K1527:L1527"/>
    <mergeCell ref="M1527:N1527"/>
    <mergeCell ref="O1527:P1527"/>
    <mergeCell ref="Q1527:R1527"/>
    <mergeCell ref="U1527:V1527"/>
    <mergeCell ref="W1527:X1527"/>
    <mergeCell ref="A1529:B1529"/>
    <mergeCell ref="C1529:G1529"/>
    <mergeCell ref="I1529:J1529"/>
    <mergeCell ref="K1529:L1529"/>
    <mergeCell ref="M1529:N1529"/>
    <mergeCell ref="O1529:P1529"/>
    <mergeCell ref="Q1529:R1529"/>
    <mergeCell ref="U1529:V1529"/>
    <mergeCell ref="W1529:X1529"/>
    <mergeCell ref="A1523:B1523"/>
    <mergeCell ref="C1523:G1523"/>
    <mergeCell ref="I1523:J1523"/>
    <mergeCell ref="K1523:L1523"/>
    <mergeCell ref="M1523:N1523"/>
    <mergeCell ref="O1523:P1523"/>
    <mergeCell ref="Q1523:R1523"/>
    <mergeCell ref="U1523:V1523"/>
    <mergeCell ref="W1523:X1523"/>
    <mergeCell ref="A1525:B1525"/>
    <mergeCell ref="C1525:G1525"/>
    <mergeCell ref="I1525:J1525"/>
    <mergeCell ref="K1525:L1525"/>
    <mergeCell ref="M1525:N1525"/>
    <mergeCell ref="O1525:P1525"/>
    <mergeCell ref="Q1525:R1525"/>
    <mergeCell ref="U1525:V1525"/>
    <mergeCell ref="W1525:X1525"/>
    <mergeCell ref="A1519:B1519"/>
    <mergeCell ref="C1519:G1519"/>
    <mergeCell ref="I1519:J1519"/>
    <mergeCell ref="K1519:L1519"/>
    <mergeCell ref="M1519:N1519"/>
    <mergeCell ref="O1519:P1519"/>
    <mergeCell ref="Q1519:R1519"/>
    <mergeCell ref="U1519:V1519"/>
    <mergeCell ref="W1519:X1519"/>
    <mergeCell ref="A1521:B1521"/>
    <mergeCell ref="C1521:G1521"/>
    <mergeCell ref="I1521:J1521"/>
    <mergeCell ref="K1521:L1521"/>
    <mergeCell ref="M1521:N1521"/>
    <mergeCell ref="O1521:P1521"/>
    <mergeCell ref="Q1521:R1521"/>
    <mergeCell ref="U1521:V1521"/>
    <mergeCell ref="W1521:X1521"/>
    <mergeCell ref="A1515:B1515"/>
    <mergeCell ref="C1515:G1515"/>
    <mergeCell ref="I1515:J1515"/>
    <mergeCell ref="K1515:L1515"/>
    <mergeCell ref="M1515:N1515"/>
    <mergeCell ref="O1515:P1515"/>
    <mergeCell ref="Q1515:R1515"/>
    <mergeCell ref="U1515:V1515"/>
    <mergeCell ref="W1515:X1515"/>
    <mergeCell ref="A1517:B1517"/>
    <mergeCell ref="C1517:G1517"/>
    <mergeCell ref="I1517:J1517"/>
    <mergeCell ref="K1517:L1517"/>
    <mergeCell ref="M1517:N1517"/>
    <mergeCell ref="O1517:P1517"/>
    <mergeCell ref="Q1517:R1517"/>
    <mergeCell ref="U1517:V1517"/>
    <mergeCell ref="W1517:X1517"/>
    <mergeCell ref="A1511:B1511"/>
    <mergeCell ref="C1511:G1511"/>
    <mergeCell ref="I1511:J1511"/>
    <mergeCell ref="K1511:L1511"/>
    <mergeCell ref="M1511:N1511"/>
    <mergeCell ref="O1511:P1511"/>
    <mergeCell ref="Q1511:R1511"/>
    <mergeCell ref="U1511:V1511"/>
    <mergeCell ref="W1511:X1511"/>
    <mergeCell ref="A1513:B1513"/>
    <mergeCell ref="C1513:G1514"/>
    <mergeCell ref="I1513:J1513"/>
    <mergeCell ref="K1513:L1513"/>
    <mergeCell ref="M1513:N1513"/>
    <mergeCell ref="O1513:P1513"/>
    <mergeCell ref="Q1513:R1513"/>
    <mergeCell ref="U1513:V1513"/>
    <mergeCell ref="W1513:X1513"/>
    <mergeCell ref="A1507:B1507"/>
    <mergeCell ref="C1507:G1507"/>
    <mergeCell ref="I1507:J1507"/>
    <mergeCell ref="K1507:L1507"/>
    <mergeCell ref="M1507:N1507"/>
    <mergeCell ref="O1507:P1507"/>
    <mergeCell ref="Q1507:R1507"/>
    <mergeCell ref="U1507:V1507"/>
    <mergeCell ref="W1507:X1507"/>
    <mergeCell ref="A1509:B1509"/>
    <mergeCell ref="C1509:G1509"/>
    <mergeCell ref="I1509:J1509"/>
    <mergeCell ref="K1509:L1509"/>
    <mergeCell ref="M1509:N1509"/>
    <mergeCell ref="O1509:P1509"/>
    <mergeCell ref="Q1509:R1509"/>
    <mergeCell ref="U1509:V1509"/>
    <mergeCell ref="W1509:X1509"/>
    <mergeCell ref="A1503:B1503"/>
    <mergeCell ref="C1503:G1503"/>
    <mergeCell ref="I1503:J1503"/>
    <mergeCell ref="K1503:L1503"/>
    <mergeCell ref="M1503:N1503"/>
    <mergeCell ref="O1503:P1503"/>
    <mergeCell ref="Q1503:R1503"/>
    <mergeCell ref="U1503:V1503"/>
    <mergeCell ref="W1503:X1503"/>
    <mergeCell ref="A1505:B1505"/>
    <mergeCell ref="C1505:G1505"/>
    <mergeCell ref="I1505:J1505"/>
    <mergeCell ref="K1505:L1505"/>
    <mergeCell ref="M1505:N1505"/>
    <mergeCell ref="O1505:P1505"/>
    <mergeCell ref="Q1505:R1505"/>
    <mergeCell ref="U1505:V1505"/>
    <mergeCell ref="W1505:X1505"/>
    <mergeCell ref="A1499:B1499"/>
    <mergeCell ref="C1499:G1499"/>
    <mergeCell ref="I1499:J1499"/>
    <mergeCell ref="K1499:L1499"/>
    <mergeCell ref="M1499:N1499"/>
    <mergeCell ref="O1499:P1499"/>
    <mergeCell ref="Q1499:R1499"/>
    <mergeCell ref="U1499:V1499"/>
    <mergeCell ref="W1499:X1499"/>
    <mergeCell ref="A1501:B1501"/>
    <mergeCell ref="C1501:G1501"/>
    <mergeCell ref="I1501:J1501"/>
    <mergeCell ref="K1501:L1501"/>
    <mergeCell ref="M1501:N1501"/>
    <mergeCell ref="O1501:P1501"/>
    <mergeCell ref="Q1501:R1501"/>
    <mergeCell ref="U1501:V1501"/>
    <mergeCell ref="W1501:X1501"/>
    <mergeCell ref="A1495:B1495"/>
    <mergeCell ref="C1495:G1495"/>
    <mergeCell ref="I1495:J1495"/>
    <mergeCell ref="K1495:L1495"/>
    <mergeCell ref="M1495:N1495"/>
    <mergeCell ref="O1495:P1495"/>
    <mergeCell ref="Q1495:R1495"/>
    <mergeCell ref="U1495:V1495"/>
    <mergeCell ref="W1495:X1495"/>
    <mergeCell ref="A1497:B1497"/>
    <mergeCell ref="C1497:G1497"/>
    <mergeCell ref="I1497:J1497"/>
    <mergeCell ref="K1497:L1497"/>
    <mergeCell ref="M1497:N1497"/>
    <mergeCell ref="O1497:P1497"/>
    <mergeCell ref="Q1497:R1497"/>
    <mergeCell ref="U1497:V1497"/>
    <mergeCell ref="W1497:X1497"/>
    <mergeCell ref="A1491:B1491"/>
    <mergeCell ref="C1491:G1492"/>
    <mergeCell ref="I1491:J1491"/>
    <mergeCell ref="K1491:L1491"/>
    <mergeCell ref="M1491:N1491"/>
    <mergeCell ref="O1491:P1491"/>
    <mergeCell ref="Q1491:R1491"/>
    <mergeCell ref="U1491:V1491"/>
    <mergeCell ref="W1491:X1491"/>
    <mergeCell ref="A1493:B1493"/>
    <mergeCell ref="C1493:G1493"/>
    <mergeCell ref="I1493:J1493"/>
    <mergeCell ref="K1493:L1493"/>
    <mergeCell ref="M1493:N1493"/>
    <mergeCell ref="O1493:P1493"/>
    <mergeCell ref="Q1493:R1493"/>
    <mergeCell ref="U1493:V1493"/>
    <mergeCell ref="W1493:X1493"/>
    <mergeCell ref="A1487:B1487"/>
    <mergeCell ref="C1487:G1487"/>
    <mergeCell ref="I1487:J1487"/>
    <mergeCell ref="K1487:L1487"/>
    <mergeCell ref="M1487:N1487"/>
    <mergeCell ref="O1487:P1487"/>
    <mergeCell ref="Q1487:R1487"/>
    <mergeCell ref="U1487:V1487"/>
    <mergeCell ref="W1487:X1487"/>
    <mergeCell ref="A1489:B1489"/>
    <mergeCell ref="C1489:G1490"/>
    <mergeCell ref="I1489:J1489"/>
    <mergeCell ref="K1489:L1489"/>
    <mergeCell ref="M1489:N1489"/>
    <mergeCell ref="O1489:P1489"/>
    <mergeCell ref="Q1489:R1489"/>
    <mergeCell ref="U1489:V1489"/>
    <mergeCell ref="W1489:X1489"/>
    <mergeCell ref="A1483:B1483"/>
    <mergeCell ref="C1483:G1483"/>
    <mergeCell ref="I1483:J1483"/>
    <mergeCell ref="K1483:L1483"/>
    <mergeCell ref="M1483:N1483"/>
    <mergeCell ref="O1483:P1483"/>
    <mergeCell ref="Q1483:R1483"/>
    <mergeCell ref="U1483:V1483"/>
    <mergeCell ref="W1483:X1483"/>
    <mergeCell ref="A1485:B1485"/>
    <mergeCell ref="C1485:G1485"/>
    <mergeCell ref="I1485:J1485"/>
    <mergeCell ref="K1485:L1485"/>
    <mergeCell ref="M1485:N1485"/>
    <mergeCell ref="O1485:P1485"/>
    <mergeCell ref="Q1485:R1485"/>
    <mergeCell ref="U1485:V1485"/>
    <mergeCell ref="W1485:X1485"/>
    <mergeCell ref="A1479:B1479"/>
    <mergeCell ref="C1479:G1480"/>
    <mergeCell ref="I1479:J1479"/>
    <mergeCell ref="K1479:L1479"/>
    <mergeCell ref="M1479:N1479"/>
    <mergeCell ref="O1479:P1479"/>
    <mergeCell ref="Q1479:R1479"/>
    <mergeCell ref="U1479:V1479"/>
    <mergeCell ref="W1479:X1479"/>
    <mergeCell ref="A1481:B1481"/>
    <mergeCell ref="C1481:G1482"/>
    <mergeCell ref="I1481:J1481"/>
    <mergeCell ref="K1481:L1481"/>
    <mergeCell ref="M1481:N1481"/>
    <mergeCell ref="O1481:P1481"/>
    <mergeCell ref="Q1481:R1481"/>
    <mergeCell ref="U1481:V1481"/>
    <mergeCell ref="W1481:X1481"/>
    <mergeCell ref="A1475:B1475"/>
    <mergeCell ref="C1475:G1475"/>
    <mergeCell ref="I1475:J1475"/>
    <mergeCell ref="K1475:L1475"/>
    <mergeCell ref="M1475:N1475"/>
    <mergeCell ref="O1475:P1475"/>
    <mergeCell ref="Q1475:R1475"/>
    <mergeCell ref="U1475:V1475"/>
    <mergeCell ref="W1475:X1475"/>
    <mergeCell ref="A1477:B1477"/>
    <mergeCell ref="C1477:G1478"/>
    <mergeCell ref="I1477:J1477"/>
    <mergeCell ref="K1477:L1477"/>
    <mergeCell ref="M1477:N1477"/>
    <mergeCell ref="O1477:P1477"/>
    <mergeCell ref="Q1477:R1477"/>
    <mergeCell ref="U1477:V1477"/>
    <mergeCell ref="W1477:X1477"/>
    <mergeCell ref="A1469:B1469"/>
    <mergeCell ref="D1469:V1469"/>
    <mergeCell ref="A1471:B1471"/>
    <mergeCell ref="C1471:G1471"/>
    <mergeCell ref="I1471:J1471"/>
    <mergeCell ref="K1471:L1471"/>
    <mergeCell ref="M1471:N1471"/>
    <mergeCell ref="O1471:P1471"/>
    <mergeCell ref="Q1471:R1471"/>
    <mergeCell ref="U1471:V1471"/>
    <mergeCell ref="W1471:X1471"/>
    <mergeCell ref="A1473:B1473"/>
    <mergeCell ref="C1473:G1473"/>
    <mergeCell ref="I1473:J1473"/>
    <mergeCell ref="K1473:L1473"/>
    <mergeCell ref="M1473:N1473"/>
    <mergeCell ref="O1473:P1473"/>
    <mergeCell ref="Q1473:R1473"/>
    <mergeCell ref="U1473:V1473"/>
    <mergeCell ref="W1473:X1473"/>
    <mergeCell ref="A1466:B1466"/>
    <mergeCell ref="C1466:G1466"/>
    <mergeCell ref="I1466:J1466"/>
    <mergeCell ref="K1466:L1466"/>
    <mergeCell ref="M1466:N1466"/>
    <mergeCell ref="O1466:P1466"/>
    <mergeCell ref="Q1466:R1466"/>
    <mergeCell ref="U1466:V1466"/>
    <mergeCell ref="W1466:X1466"/>
    <mergeCell ref="A1468:B1468"/>
    <mergeCell ref="C1468:G1468"/>
    <mergeCell ref="I1468:J1468"/>
    <mergeCell ref="K1468:L1468"/>
    <mergeCell ref="M1468:N1468"/>
    <mergeCell ref="O1468:P1468"/>
    <mergeCell ref="Q1468:R1468"/>
    <mergeCell ref="U1468:V1468"/>
    <mergeCell ref="W1468:X1468"/>
    <mergeCell ref="A1462:B1462"/>
    <mergeCell ref="C1462:G1462"/>
    <mergeCell ref="I1462:J1462"/>
    <mergeCell ref="K1462:L1462"/>
    <mergeCell ref="M1462:N1462"/>
    <mergeCell ref="O1462:P1462"/>
    <mergeCell ref="Q1462:R1462"/>
    <mergeCell ref="U1462:V1462"/>
    <mergeCell ref="W1462:X1462"/>
    <mergeCell ref="A1464:B1464"/>
    <mergeCell ref="C1464:G1464"/>
    <mergeCell ref="I1464:J1464"/>
    <mergeCell ref="K1464:L1464"/>
    <mergeCell ref="M1464:N1464"/>
    <mergeCell ref="O1464:P1464"/>
    <mergeCell ref="Q1464:R1464"/>
    <mergeCell ref="U1464:V1464"/>
    <mergeCell ref="W1464:X1464"/>
    <mergeCell ref="A1458:B1458"/>
    <mergeCell ref="C1458:G1458"/>
    <mergeCell ref="I1458:J1458"/>
    <mergeCell ref="K1458:L1458"/>
    <mergeCell ref="M1458:N1458"/>
    <mergeCell ref="O1458:P1458"/>
    <mergeCell ref="Q1458:R1458"/>
    <mergeCell ref="U1458:V1458"/>
    <mergeCell ref="W1458:X1458"/>
    <mergeCell ref="A1460:B1460"/>
    <mergeCell ref="C1460:G1460"/>
    <mergeCell ref="I1460:J1460"/>
    <mergeCell ref="K1460:L1460"/>
    <mergeCell ref="M1460:N1460"/>
    <mergeCell ref="O1460:P1460"/>
    <mergeCell ref="Q1460:R1460"/>
    <mergeCell ref="U1460:V1460"/>
    <mergeCell ref="W1460:X1460"/>
    <mergeCell ref="A1454:B1454"/>
    <mergeCell ref="C1454:G1454"/>
    <mergeCell ref="I1454:J1454"/>
    <mergeCell ref="K1454:L1454"/>
    <mergeCell ref="M1454:N1454"/>
    <mergeCell ref="O1454:P1454"/>
    <mergeCell ref="Q1454:R1454"/>
    <mergeCell ref="U1454:V1454"/>
    <mergeCell ref="W1454:X1454"/>
    <mergeCell ref="A1456:B1456"/>
    <mergeCell ref="C1456:G1456"/>
    <mergeCell ref="I1456:J1456"/>
    <mergeCell ref="K1456:L1456"/>
    <mergeCell ref="M1456:N1456"/>
    <mergeCell ref="O1456:P1456"/>
    <mergeCell ref="Q1456:R1456"/>
    <mergeCell ref="U1456:V1456"/>
    <mergeCell ref="W1456:X1456"/>
    <mergeCell ref="A1450:B1450"/>
    <mergeCell ref="C1450:G1450"/>
    <mergeCell ref="I1450:J1450"/>
    <mergeCell ref="K1450:L1450"/>
    <mergeCell ref="M1450:N1450"/>
    <mergeCell ref="O1450:P1450"/>
    <mergeCell ref="Q1450:R1450"/>
    <mergeCell ref="U1450:V1450"/>
    <mergeCell ref="W1450:X1450"/>
    <mergeCell ref="A1452:B1452"/>
    <mergeCell ref="C1452:G1452"/>
    <mergeCell ref="I1452:J1452"/>
    <mergeCell ref="K1452:L1452"/>
    <mergeCell ref="M1452:N1452"/>
    <mergeCell ref="O1452:P1452"/>
    <mergeCell ref="Q1452:R1452"/>
    <mergeCell ref="U1452:V1452"/>
    <mergeCell ref="W1452:X1452"/>
    <mergeCell ref="A1446:B1446"/>
    <mergeCell ref="C1446:G1446"/>
    <mergeCell ref="I1446:J1446"/>
    <mergeCell ref="K1446:L1446"/>
    <mergeCell ref="M1446:N1446"/>
    <mergeCell ref="O1446:P1446"/>
    <mergeCell ref="Q1446:R1446"/>
    <mergeCell ref="U1446:V1446"/>
    <mergeCell ref="W1446:X1446"/>
    <mergeCell ref="A1448:B1448"/>
    <mergeCell ref="C1448:G1448"/>
    <mergeCell ref="I1448:J1448"/>
    <mergeCell ref="K1448:L1448"/>
    <mergeCell ref="M1448:N1448"/>
    <mergeCell ref="O1448:P1448"/>
    <mergeCell ref="Q1448:R1448"/>
    <mergeCell ref="U1448:V1448"/>
    <mergeCell ref="W1448:X1448"/>
    <mergeCell ref="A1442:B1442"/>
    <mergeCell ref="C1442:G1442"/>
    <mergeCell ref="I1442:J1442"/>
    <mergeCell ref="K1442:L1442"/>
    <mergeCell ref="M1442:N1442"/>
    <mergeCell ref="O1442:P1442"/>
    <mergeCell ref="Q1442:R1442"/>
    <mergeCell ref="U1442:V1442"/>
    <mergeCell ref="W1442:X1442"/>
    <mergeCell ref="A1444:B1444"/>
    <mergeCell ref="C1444:G1444"/>
    <mergeCell ref="I1444:J1444"/>
    <mergeCell ref="K1444:L1444"/>
    <mergeCell ref="M1444:N1444"/>
    <mergeCell ref="O1444:P1444"/>
    <mergeCell ref="Q1444:R1444"/>
    <mergeCell ref="U1444:V1444"/>
    <mergeCell ref="W1444:X1444"/>
    <mergeCell ref="I1436:J1436"/>
    <mergeCell ref="N1436:O1436"/>
    <mergeCell ref="A1438:B1438"/>
    <mergeCell ref="C1438:G1438"/>
    <mergeCell ref="I1438:J1438"/>
    <mergeCell ref="K1438:L1438"/>
    <mergeCell ref="M1438:N1438"/>
    <mergeCell ref="O1438:P1438"/>
    <mergeCell ref="Q1438:R1438"/>
    <mergeCell ref="U1438:V1438"/>
    <mergeCell ref="W1438:X1438"/>
    <mergeCell ref="A1440:B1440"/>
    <mergeCell ref="C1440:G1440"/>
    <mergeCell ref="I1440:J1440"/>
    <mergeCell ref="K1440:L1440"/>
    <mergeCell ref="M1440:N1440"/>
    <mergeCell ref="O1440:P1440"/>
    <mergeCell ref="Q1440:R1440"/>
    <mergeCell ref="U1440:V1440"/>
    <mergeCell ref="W1440:X1440"/>
    <mergeCell ref="A1433:B1433"/>
    <mergeCell ref="C1433:G1433"/>
    <mergeCell ref="I1433:J1433"/>
    <mergeCell ref="K1433:L1433"/>
    <mergeCell ref="M1433:N1433"/>
    <mergeCell ref="O1433:P1433"/>
    <mergeCell ref="Q1433:R1433"/>
    <mergeCell ref="U1433:V1433"/>
    <mergeCell ref="W1433:X1433"/>
    <mergeCell ref="A1435:B1435"/>
    <mergeCell ref="C1435:G1435"/>
    <mergeCell ref="I1435:J1435"/>
    <mergeCell ref="K1435:L1435"/>
    <mergeCell ref="M1435:N1435"/>
    <mergeCell ref="O1435:P1435"/>
    <mergeCell ref="Q1435:R1435"/>
    <mergeCell ref="U1435:V1435"/>
    <mergeCell ref="W1435:X1435"/>
    <mergeCell ref="A1429:B1429"/>
    <mergeCell ref="C1429:G1429"/>
    <mergeCell ref="I1429:J1429"/>
    <mergeCell ref="K1429:L1429"/>
    <mergeCell ref="M1429:N1429"/>
    <mergeCell ref="O1429:P1429"/>
    <mergeCell ref="Q1429:R1429"/>
    <mergeCell ref="U1429:V1429"/>
    <mergeCell ref="W1429:X1429"/>
    <mergeCell ref="A1431:B1431"/>
    <mergeCell ref="C1431:G1431"/>
    <mergeCell ref="I1431:J1431"/>
    <mergeCell ref="K1431:L1431"/>
    <mergeCell ref="M1431:N1431"/>
    <mergeCell ref="O1431:P1431"/>
    <mergeCell ref="Q1431:R1431"/>
    <mergeCell ref="U1431:V1431"/>
    <mergeCell ref="W1431:X1431"/>
    <mergeCell ref="A1425:B1425"/>
    <mergeCell ref="C1425:G1426"/>
    <mergeCell ref="I1425:J1425"/>
    <mergeCell ref="K1425:L1425"/>
    <mergeCell ref="M1425:N1425"/>
    <mergeCell ref="O1425:P1425"/>
    <mergeCell ref="Q1425:R1425"/>
    <mergeCell ref="U1425:V1425"/>
    <mergeCell ref="W1425:X1425"/>
    <mergeCell ref="A1427:B1427"/>
    <mergeCell ref="C1427:G1427"/>
    <mergeCell ref="I1427:J1427"/>
    <mergeCell ref="K1427:L1427"/>
    <mergeCell ref="M1427:N1427"/>
    <mergeCell ref="O1427:P1427"/>
    <mergeCell ref="Q1427:R1427"/>
    <mergeCell ref="U1427:V1427"/>
    <mergeCell ref="W1427:X1427"/>
    <mergeCell ref="A1421:B1421"/>
    <mergeCell ref="C1421:G1422"/>
    <mergeCell ref="I1421:J1421"/>
    <mergeCell ref="K1421:L1421"/>
    <mergeCell ref="M1421:N1421"/>
    <mergeCell ref="O1421:P1421"/>
    <mergeCell ref="Q1421:R1421"/>
    <mergeCell ref="U1421:V1421"/>
    <mergeCell ref="W1421:X1421"/>
    <mergeCell ref="A1423:B1423"/>
    <mergeCell ref="C1423:G1424"/>
    <mergeCell ref="I1423:J1423"/>
    <mergeCell ref="K1423:L1423"/>
    <mergeCell ref="M1423:N1423"/>
    <mergeCell ref="O1423:P1423"/>
    <mergeCell ref="Q1423:R1423"/>
    <mergeCell ref="U1423:V1423"/>
    <mergeCell ref="W1423:X1423"/>
    <mergeCell ref="A1417:B1417"/>
    <mergeCell ref="C1417:G1418"/>
    <mergeCell ref="I1417:J1417"/>
    <mergeCell ref="K1417:L1417"/>
    <mergeCell ref="M1417:N1417"/>
    <mergeCell ref="O1417:P1417"/>
    <mergeCell ref="Q1417:R1417"/>
    <mergeCell ref="U1417:V1417"/>
    <mergeCell ref="W1417:X1417"/>
    <mergeCell ref="A1419:B1419"/>
    <mergeCell ref="C1419:G1420"/>
    <mergeCell ref="I1419:J1419"/>
    <mergeCell ref="K1419:L1419"/>
    <mergeCell ref="M1419:N1419"/>
    <mergeCell ref="O1419:P1419"/>
    <mergeCell ref="Q1419:R1419"/>
    <mergeCell ref="U1419:V1419"/>
    <mergeCell ref="W1419:X1419"/>
    <mergeCell ref="A1413:B1413"/>
    <mergeCell ref="C1413:G1414"/>
    <mergeCell ref="I1413:J1413"/>
    <mergeCell ref="K1413:L1413"/>
    <mergeCell ref="M1413:N1413"/>
    <mergeCell ref="O1413:P1413"/>
    <mergeCell ref="Q1413:R1413"/>
    <mergeCell ref="U1413:V1413"/>
    <mergeCell ref="W1413:X1413"/>
    <mergeCell ref="A1415:B1415"/>
    <mergeCell ref="C1415:G1415"/>
    <mergeCell ref="I1415:J1415"/>
    <mergeCell ref="K1415:L1415"/>
    <mergeCell ref="M1415:N1415"/>
    <mergeCell ref="O1415:P1415"/>
    <mergeCell ref="Q1415:R1415"/>
    <mergeCell ref="U1415:V1415"/>
    <mergeCell ref="W1415:X1415"/>
    <mergeCell ref="A1409:B1409"/>
    <mergeCell ref="C1409:G1409"/>
    <mergeCell ref="I1409:J1409"/>
    <mergeCell ref="K1409:L1409"/>
    <mergeCell ref="M1409:N1409"/>
    <mergeCell ref="O1409:P1409"/>
    <mergeCell ref="Q1409:R1409"/>
    <mergeCell ref="U1409:V1409"/>
    <mergeCell ref="W1409:X1409"/>
    <mergeCell ref="A1411:B1411"/>
    <mergeCell ref="C1411:G1411"/>
    <mergeCell ref="I1411:J1411"/>
    <mergeCell ref="K1411:L1411"/>
    <mergeCell ref="M1411:N1411"/>
    <mergeCell ref="O1411:P1411"/>
    <mergeCell ref="Q1411:R1411"/>
    <mergeCell ref="U1411:V1411"/>
    <mergeCell ref="W1411:X1411"/>
    <mergeCell ref="A1404:B1404"/>
    <mergeCell ref="C1404:G1404"/>
    <mergeCell ref="I1404:J1404"/>
    <mergeCell ref="K1404:L1404"/>
    <mergeCell ref="M1404:N1404"/>
    <mergeCell ref="O1404:P1404"/>
    <mergeCell ref="Q1404:R1404"/>
    <mergeCell ref="U1404:V1404"/>
    <mergeCell ref="W1404:X1404"/>
    <mergeCell ref="A1405:B1405"/>
    <mergeCell ref="D1405:V1405"/>
    <mergeCell ref="A1407:B1407"/>
    <mergeCell ref="C1407:G1408"/>
    <mergeCell ref="I1407:J1407"/>
    <mergeCell ref="K1407:L1407"/>
    <mergeCell ref="M1407:N1407"/>
    <mergeCell ref="O1407:P1407"/>
    <mergeCell ref="Q1407:R1407"/>
    <mergeCell ref="U1407:V1407"/>
    <mergeCell ref="W1407:X1407"/>
    <mergeCell ref="A1400:B1400"/>
    <mergeCell ref="C1400:G1400"/>
    <mergeCell ref="I1400:J1400"/>
    <mergeCell ref="K1400:L1400"/>
    <mergeCell ref="M1400:N1400"/>
    <mergeCell ref="O1400:P1400"/>
    <mergeCell ref="Q1400:R1400"/>
    <mergeCell ref="U1400:V1400"/>
    <mergeCell ref="W1400:X1400"/>
    <mergeCell ref="A1402:B1402"/>
    <mergeCell ref="C1402:G1403"/>
    <mergeCell ref="I1402:J1402"/>
    <mergeCell ref="K1402:L1402"/>
    <mergeCell ref="M1402:N1402"/>
    <mergeCell ref="O1402:P1402"/>
    <mergeCell ref="Q1402:R1402"/>
    <mergeCell ref="U1402:V1402"/>
    <mergeCell ref="W1402:X1402"/>
    <mergeCell ref="A1396:B1396"/>
    <mergeCell ref="C1396:G1396"/>
    <mergeCell ref="I1396:J1396"/>
    <mergeCell ref="K1396:L1396"/>
    <mergeCell ref="M1396:N1396"/>
    <mergeCell ref="O1396:P1396"/>
    <mergeCell ref="Q1396:R1396"/>
    <mergeCell ref="U1396:V1396"/>
    <mergeCell ref="W1396:X1396"/>
    <mergeCell ref="A1398:B1398"/>
    <mergeCell ref="C1398:G1398"/>
    <mergeCell ref="I1398:J1398"/>
    <mergeCell ref="K1398:L1398"/>
    <mergeCell ref="M1398:N1398"/>
    <mergeCell ref="O1398:P1398"/>
    <mergeCell ref="Q1398:R1398"/>
    <mergeCell ref="U1398:V1398"/>
    <mergeCell ref="W1398:X1398"/>
    <mergeCell ref="A1392:B1392"/>
    <mergeCell ref="C1392:G1392"/>
    <mergeCell ref="I1392:J1392"/>
    <mergeCell ref="K1392:L1392"/>
    <mergeCell ref="M1392:N1392"/>
    <mergeCell ref="O1392:P1392"/>
    <mergeCell ref="Q1392:R1392"/>
    <mergeCell ref="U1392:V1392"/>
    <mergeCell ref="W1392:X1392"/>
    <mergeCell ref="A1394:B1394"/>
    <mergeCell ref="C1394:G1394"/>
    <mergeCell ref="I1394:J1394"/>
    <mergeCell ref="K1394:L1394"/>
    <mergeCell ref="M1394:N1394"/>
    <mergeCell ref="O1394:P1394"/>
    <mergeCell ref="Q1394:R1394"/>
    <mergeCell ref="U1394:V1394"/>
    <mergeCell ref="W1394:X1394"/>
    <mergeCell ref="A1388:B1388"/>
    <mergeCell ref="C1388:G1388"/>
    <mergeCell ref="I1388:J1388"/>
    <mergeCell ref="K1388:L1388"/>
    <mergeCell ref="M1388:N1388"/>
    <mergeCell ref="O1388:P1388"/>
    <mergeCell ref="Q1388:R1388"/>
    <mergeCell ref="U1388:V1388"/>
    <mergeCell ref="W1388:X1388"/>
    <mergeCell ref="A1390:B1390"/>
    <mergeCell ref="C1390:G1390"/>
    <mergeCell ref="I1390:J1390"/>
    <mergeCell ref="K1390:L1390"/>
    <mergeCell ref="M1390:N1390"/>
    <mergeCell ref="O1390:P1390"/>
    <mergeCell ref="Q1390:R1390"/>
    <mergeCell ref="U1390:V1390"/>
    <mergeCell ref="W1390:X1390"/>
    <mergeCell ref="A1384:B1384"/>
    <mergeCell ref="C1384:G1384"/>
    <mergeCell ref="I1384:J1384"/>
    <mergeCell ref="K1384:L1384"/>
    <mergeCell ref="M1384:N1384"/>
    <mergeCell ref="O1384:P1384"/>
    <mergeCell ref="Q1384:R1384"/>
    <mergeCell ref="U1384:V1384"/>
    <mergeCell ref="W1384:X1384"/>
    <mergeCell ref="A1386:B1386"/>
    <mergeCell ref="C1386:G1386"/>
    <mergeCell ref="I1386:J1386"/>
    <mergeCell ref="K1386:L1386"/>
    <mergeCell ref="M1386:N1386"/>
    <mergeCell ref="O1386:P1386"/>
    <mergeCell ref="Q1386:R1386"/>
    <mergeCell ref="U1386:V1386"/>
    <mergeCell ref="W1386:X1386"/>
    <mergeCell ref="A1380:B1380"/>
    <mergeCell ref="C1380:G1380"/>
    <mergeCell ref="I1380:J1380"/>
    <mergeCell ref="K1380:L1380"/>
    <mergeCell ref="M1380:N1380"/>
    <mergeCell ref="O1380:P1380"/>
    <mergeCell ref="Q1380:R1380"/>
    <mergeCell ref="U1380:V1380"/>
    <mergeCell ref="W1380:X1380"/>
    <mergeCell ref="A1382:B1382"/>
    <mergeCell ref="C1382:G1382"/>
    <mergeCell ref="I1382:J1382"/>
    <mergeCell ref="K1382:L1382"/>
    <mergeCell ref="M1382:N1382"/>
    <mergeCell ref="O1382:P1382"/>
    <mergeCell ref="Q1382:R1382"/>
    <mergeCell ref="U1382:V1382"/>
    <mergeCell ref="W1382:X1382"/>
    <mergeCell ref="A1376:B1376"/>
    <mergeCell ref="C1376:G1376"/>
    <mergeCell ref="I1376:J1376"/>
    <mergeCell ref="K1376:L1376"/>
    <mergeCell ref="M1376:N1376"/>
    <mergeCell ref="O1376:P1376"/>
    <mergeCell ref="Q1376:R1376"/>
    <mergeCell ref="U1376:V1376"/>
    <mergeCell ref="W1376:X1376"/>
    <mergeCell ref="A1378:B1378"/>
    <mergeCell ref="C1378:G1378"/>
    <mergeCell ref="I1378:J1378"/>
    <mergeCell ref="K1378:L1378"/>
    <mergeCell ref="M1378:N1378"/>
    <mergeCell ref="O1378:P1378"/>
    <mergeCell ref="Q1378:R1378"/>
    <mergeCell ref="U1378:V1378"/>
    <mergeCell ref="W1378:X1378"/>
    <mergeCell ref="A1372:B1372"/>
    <mergeCell ref="C1372:G1372"/>
    <mergeCell ref="I1372:J1372"/>
    <mergeCell ref="K1372:L1372"/>
    <mergeCell ref="M1372:N1372"/>
    <mergeCell ref="O1372:P1372"/>
    <mergeCell ref="Q1372:R1372"/>
    <mergeCell ref="U1372:V1372"/>
    <mergeCell ref="W1372:X1372"/>
    <mergeCell ref="A1374:B1374"/>
    <mergeCell ref="C1374:G1374"/>
    <mergeCell ref="I1374:J1374"/>
    <mergeCell ref="K1374:L1374"/>
    <mergeCell ref="M1374:N1374"/>
    <mergeCell ref="O1374:P1374"/>
    <mergeCell ref="Q1374:R1374"/>
    <mergeCell ref="U1374:V1374"/>
    <mergeCell ref="W1374:X1374"/>
    <mergeCell ref="A1368:B1368"/>
    <mergeCell ref="C1368:G1368"/>
    <mergeCell ref="I1368:J1368"/>
    <mergeCell ref="K1368:L1368"/>
    <mergeCell ref="M1368:N1368"/>
    <mergeCell ref="O1368:P1368"/>
    <mergeCell ref="Q1368:R1368"/>
    <mergeCell ref="U1368:V1368"/>
    <mergeCell ref="W1368:X1368"/>
    <mergeCell ref="A1370:B1370"/>
    <mergeCell ref="C1370:G1370"/>
    <mergeCell ref="I1370:J1370"/>
    <mergeCell ref="K1370:L1370"/>
    <mergeCell ref="M1370:N1370"/>
    <mergeCell ref="O1370:P1370"/>
    <mergeCell ref="Q1370:R1370"/>
    <mergeCell ref="U1370:V1370"/>
    <mergeCell ref="W1370:X1370"/>
    <mergeCell ref="A1364:B1364"/>
    <mergeCell ref="C1364:G1364"/>
    <mergeCell ref="I1364:J1364"/>
    <mergeCell ref="K1364:L1364"/>
    <mergeCell ref="M1364:N1364"/>
    <mergeCell ref="O1364:P1364"/>
    <mergeCell ref="Q1364:R1364"/>
    <mergeCell ref="U1364:V1364"/>
    <mergeCell ref="W1364:X1364"/>
    <mergeCell ref="A1366:B1366"/>
    <mergeCell ref="C1366:G1366"/>
    <mergeCell ref="I1366:J1366"/>
    <mergeCell ref="K1366:L1366"/>
    <mergeCell ref="M1366:N1366"/>
    <mergeCell ref="O1366:P1366"/>
    <mergeCell ref="Q1366:R1366"/>
    <mergeCell ref="U1366:V1366"/>
    <mergeCell ref="W1366:X1366"/>
    <mergeCell ref="A1360:B1360"/>
    <mergeCell ref="C1360:G1360"/>
    <mergeCell ref="I1360:J1360"/>
    <mergeCell ref="K1360:L1360"/>
    <mergeCell ref="M1360:N1360"/>
    <mergeCell ref="O1360:P1360"/>
    <mergeCell ref="Q1360:R1360"/>
    <mergeCell ref="U1360:V1360"/>
    <mergeCell ref="W1360:X1360"/>
    <mergeCell ref="A1362:B1362"/>
    <mergeCell ref="C1362:G1362"/>
    <mergeCell ref="I1362:J1362"/>
    <mergeCell ref="K1362:L1362"/>
    <mergeCell ref="M1362:N1362"/>
    <mergeCell ref="O1362:P1362"/>
    <mergeCell ref="Q1362:R1362"/>
    <mergeCell ref="U1362:V1362"/>
    <mergeCell ref="W1362:X1362"/>
    <mergeCell ref="A1356:B1356"/>
    <mergeCell ref="C1356:G1356"/>
    <mergeCell ref="I1356:J1356"/>
    <mergeCell ref="K1356:L1356"/>
    <mergeCell ref="M1356:N1356"/>
    <mergeCell ref="O1356:P1356"/>
    <mergeCell ref="Q1356:R1356"/>
    <mergeCell ref="U1356:V1356"/>
    <mergeCell ref="W1356:X1356"/>
    <mergeCell ref="A1358:B1358"/>
    <mergeCell ref="C1358:G1358"/>
    <mergeCell ref="I1358:J1358"/>
    <mergeCell ref="K1358:L1358"/>
    <mergeCell ref="M1358:N1358"/>
    <mergeCell ref="O1358:P1358"/>
    <mergeCell ref="Q1358:R1358"/>
    <mergeCell ref="U1358:V1358"/>
    <mergeCell ref="W1358:X1358"/>
    <mergeCell ref="A1352:B1352"/>
    <mergeCell ref="C1352:G1352"/>
    <mergeCell ref="I1352:J1352"/>
    <mergeCell ref="K1352:L1352"/>
    <mergeCell ref="M1352:N1352"/>
    <mergeCell ref="O1352:P1352"/>
    <mergeCell ref="Q1352:R1352"/>
    <mergeCell ref="U1352:V1352"/>
    <mergeCell ref="W1352:X1352"/>
    <mergeCell ref="A1354:B1354"/>
    <mergeCell ref="C1354:G1354"/>
    <mergeCell ref="I1354:J1354"/>
    <mergeCell ref="K1354:L1354"/>
    <mergeCell ref="M1354:N1354"/>
    <mergeCell ref="O1354:P1354"/>
    <mergeCell ref="Q1354:R1354"/>
    <mergeCell ref="U1354:V1354"/>
    <mergeCell ref="W1354:X1354"/>
    <mergeCell ref="A1348:B1348"/>
    <mergeCell ref="C1348:G1348"/>
    <mergeCell ref="I1348:J1348"/>
    <mergeCell ref="K1348:L1348"/>
    <mergeCell ref="M1348:N1348"/>
    <mergeCell ref="O1348:P1348"/>
    <mergeCell ref="Q1348:R1348"/>
    <mergeCell ref="U1348:V1348"/>
    <mergeCell ref="W1348:X1348"/>
    <mergeCell ref="A1350:B1350"/>
    <mergeCell ref="C1350:G1350"/>
    <mergeCell ref="I1350:J1350"/>
    <mergeCell ref="K1350:L1350"/>
    <mergeCell ref="M1350:N1350"/>
    <mergeCell ref="O1350:P1350"/>
    <mergeCell ref="Q1350:R1350"/>
    <mergeCell ref="U1350:V1350"/>
    <mergeCell ref="W1350:X1350"/>
    <mergeCell ref="A1344:B1344"/>
    <mergeCell ref="C1344:G1344"/>
    <mergeCell ref="I1344:J1344"/>
    <mergeCell ref="K1344:L1344"/>
    <mergeCell ref="M1344:N1344"/>
    <mergeCell ref="O1344:P1344"/>
    <mergeCell ref="Q1344:R1344"/>
    <mergeCell ref="U1344:V1344"/>
    <mergeCell ref="W1344:X1344"/>
    <mergeCell ref="A1346:B1346"/>
    <mergeCell ref="C1346:G1346"/>
    <mergeCell ref="I1346:J1346"/>
    <mergeCell ref="K1346:L1346"/>
    <mergeCell ref="M1346:N1346"/>
    <mergeCell ref="O1346:P1346"/>
    <mergeCell ref="Q1346:R1346"/>
    <mergeCell ref="U1346:V1346"/>
    <mergeCell ref="W1346:X1346"/>
    <mergeCell ref="A1340:B1340"/>
    <mergeCell ref="C1340:G1340"/>
    <mergeCell ref="I1340:J1340"/>
    <mergeCell ref="K1340:L1340"/>
    <mergeCell ref="M1340:N1340"/>
    <mergeCell ref="O1340:P1340"/>
    <mergeCell ref="Q1340:R1340"/>
    <mergeCell ref="U1340:V1340"/>
    <mergeCell ref="W1340:X1340"/>
    <mergeCell ref="A1342:B1342"/>
    <mergeCell ref="C1342:G1342"/>
    <mergeCell ref="I1342:J1342"/>
    <mergeCell ref="K1342:L1342"/>
    <mergeCell ref="M1342:N1342"/>
    <mergeCell ref="O1342:P1342"/>
    <mergeCell ref="Q1342:R1342"/>
    <mergeCell ref="U1342:V1342"/>
    <mergeCell ref="W1342:X1342"/>
    <mergeCell ref="A1336:B1336"/>
    <mergeCell ref="C1336:G1336"/>
    <mergeCell ref="I1336:J1336"/>
    <mergeCell ref="K1336:L1336"/>
    <mergeCell ref="M1336:N1336"/>
    <mergeCell ref="O1336:P1336"/>
    <mergeCell ref="Q1336:R1336"/>
    <mergeCell ref="U1336:V1336"/>
    <mergeCell ref="W1336:X1336"/>
    <mergeCell ref="A1338:B1338"/>
    <mergeCell ref="C1338:G1339"/>
    <mergeCell ref="I1338:J1338"/>
    <mergeCell ref="K1338:L1338"/>
    <mergeCell ref="M1338:N1338"/>
    <mergeCell ref="O1338:P1338"/>
    <mergeCell ref="Q1338:R1338"/>
    <mergeCell ref="U1338:V1338"/>
    <mergeCell ref="W1338:X1338"/>
    <mergeCell ref="A1331:B1331"/>
    <mergeCell ref="C1331:G1331"/>
    <mergeCell ref="I1331:J1331"/>
    <mergeCell ref="K1331:L1331"/>
    <mergeCell ref="M1331:N1331"/>
    <mergeCell ref="O1331:P1331"/>
    <mergeCell ref="Q1331:R1331"/>
    <mergeCell ref="U1331:V1331"/>
    <mergeCell ref="W1331:X1331"/>
    <mergeCell ref="A1332:B1332"/>
    <mergeCell ref="D1332:V1332"/>
    <mergeCell ref="A1334:B1334"/>
    <mergeCell ref="C1334:G1334"/>
    <mergeCell ref="I1334:J1334"/>
    <mergeCell ref="K1334:L1334"/>
    <mergeCell ref="M1334:N1334"/>
    <mergeCell ref="O1334:P1334"/>
    <mergeCell ref="Q1334:R1334"/>
    <mergeCell ref="U1334:V1334"/>
    <mergeCell ref="W1334:X1334"/>
    <mergeCell ref="A1327:B1327"/>
    <mergeCell ref="C1327:G1328"/>
    <mergeCell ref="I1327:J1327"/>
    <mergeCell ref="K1327:L1327"/>
    <mergeCell ref="M1327:N1327"/>
    <mergeCell ref="O1327:P1327"/>
    <mergeCell ref="Q1327:R1327"/>
    <mergeCell ref="U1327:V1327"/>
    <mergeCell ref="W1327:X1327"/>
    <mergeCell ref="A1329:B1329"/>
    <mergeCell ref="C1329:G1330"/>
    <mergeCell ref="I1329:J1329"/>
    <mergeCell ref="K1329:L1329"/>
    <mergeCell ref="M1329:N1329"/>
    <mergeCell ref="O1329:P1329"/>
    <mergeCell ref="Q1329:R1329"/>
    <mergeCell ref="U1329:V1329"/>
    <mergeCell ref="W1329:X1329"/>
    <mergeCell ref="A1323:B1323"/>
    <mergeCell ref="C1323:G1323"/>
    <mergeCell ref="I1323:J1323"/>
    <mergeCell ref="K1323:L1323"/>
    <mergeCell ref="M1323:N1323"/>
    <mergeCell ref="O1323:P1323"/>
    <mergeCell ref="Q1323:R1323"/>
    <mergeCell ref="U1323:V1323"/>
    <mergeCell ref="W1323:X1323"/>
    <mergeCell ref="A1325:B1325"/>
    <mergeCell ref="C1325:G1325"/>
    <mergeCell ref="I1325:J1325"/>
    <mergeCell ref="K1325:L1325"/>
    <mergeCell ref="M1325:N1325"/>
    <mergeCell ref="O1325:P1325"/>
    <mergeCell ref="Q1325:R1325"/>
    <mergeCell ref="U1325:V1325"/>
    <mergeCell ref="W1325:X1325"/>
    <mergeCell ref="A1319:B1319"/>
    <mergeCell ref="C1319:G1319"/>
    <mergeCell ref="I1319:J1319"/>
    <mergeCell ref="K1319:L1319"/>
    <mergeCell ref="M1319:N1319"/>
    <mergeCell ref="O1319:P1319"/>
    <mergeCell ref="Q1319:R1319"/>
    <mergeCell ref="U1319:V1319"/>
    <mergeCell ref="W1319:X1319"/>
    <mergeCell ref="A1321:B1321"/>
    <mergeCell ref="C1321:G1321"/>
    <mergeCell ref="I1321:J1321"/>
    <mergeCell ref="K1321:L1321"/>
    <mergeCell ref="M1321:N1321"/>
    <mergeCell ref="O1321:P1321"/>
    <mergeCell ref="Q1321:R1321"/>
    <mergeCell ref="U1321:V1321"/>
    <mergeCell ref="W1321:X1321"/>
    <mergeCell ref="A1315:B1315"/>
    <mergeCell ref="C1315:G1315"/>
    <mergeCell ref="I1315:J1315"/>
    <mergeCell ref="K1315:L1315"/>
    <mergeCell ref="M1315:N1315"/>
    <mergeCell ref="O1315:P1315"/>
    <mergeCell ref="Q1315:R1315"/>
    <mergeCell ref="U1315:V1315"/>
    <mergeCell ref="W1315:X1315"/>
    <mergeCell ref="A1317:B1317"/>
    <mergeCell ref="C1317:G1317"/>
    <mergeCell ref="I1317:J1317"/>
    <mergeCell ref="K1317:L1317"/>
    <mergeCell ref="M1317:N1317"/>
    <mergeCell ref="O1317:P1317"/>
    <mergeCell ref="Q1317:R1317"/>
    <mergeCell ref="U1317:V1317"/>
    <mergeCell ref="W1317:X1317"/>
    <mergeCell ref="A1311:B1311"/>
    <mergeCell ref="C1311:G1311"/>
    <mergeCell ref="I1311:J1311"/>
    <mergeCell ref="K1311:L1311"/>
    <mergeCell ref="M1311:N1311"/>
    <mergeCell ref="O1311:P1311"/>
    <mergeCell ref="Q1311:R1311"/>
    <mergeCell ref="U1311:V1311"/>
    <mergeCell ref="W1311:X1311"/>
    <mergeCell ref="A1313:B1313"/>
    <mergeCell ref="C1313:G1313"/>
    <mergeCell ref="I1313:J1313"/>
    <mergeCell ref="K1313:L1313"/>
    <mergeCell ref="M1313:N1313"/>
    <mergeCell ref="O1313:P1313"/>
    <mergeCell ref="Q1313:R1313"/>
    <mergeCell ref="U1313:V1313"/>
    <mergeCell ref="W1313:X1313"/>
    <mergeCell ref="A1307:B1307"/>
    <mergeCell ref="C1307:G1307"/>
    <mergeCell ref="I1307:J1307"/>
    <mergeCell ref="K1307:L1307"/>
    <mergeCell ref="M1307:N1307"/>
    <mergeCell ref="O1307:P1307"/>
    <mergeCell ref="Q1307:R1307"/>
    <mergeCell ref="U1307:V1307"/>
    <mergeCell ref="W1307:X1307"/>
    <mergeCell ref="A1309:B1309"/>
    <mergeCell ref="C1309:G1309"/>
    <mergeCell ref="I1309:J1309"/>
    <mergeCell ref="K1309:L1309"/>
    <mergeCell ref="M1309:N1309"/>
    <mergeCell ref="O1309:P1309"/>
    <mergeCell ref="Q1309:R1309"/>
    <mergeCell ref="U1309:V1309"/>
    <mergeCell ref="W1309:X1309"/>
    <mergeCell ref="A1303:B1303"/>
    <mergeCell ref="C1303:G1303"/>
    <mergeCell ref="I1303:J1303"/>
    <mergeCell ref="K1303:L1303"/>
    <mergeCell ref="M1303:N1303"/>
    <mergeCell ref="O1303:P1303"/>
    <mergeCell ref="Q1303:R1303"/>
    <mergeCell ref="U1303:V1303"/>
    <mergeCell ref="W1303:X1303"/>
    <mergeCell ref="A1305:B1305"/>
    <mergeCell ref="C1305:G1305"/>
    <mergeCell ref="I1305:J1305"/>
    <mergeCell ref="K1305:L1305"/>
    <mergeCell ref="M1305:N1305"/>
    <mergeCell ref="O1305:P1305"/>
    <mergeCell ref="Q1305:R1305"/>
    <mergeCell ref="U1305:V1305"/>
    <mergeCell ref="W1305:X1305"/>
    <mergeCell ref="A1299:B1299"/>
    <mergeCell ref="C1299:G1299"/>
    <mergeCell ref="I1299:J1299"/>
    <mergeCell ref="K1299:L1299"/>
    <mergeCell ref="M1299:N1299"/>
    <mergeCell ref="O1299:P1299"/>
    <mergeCell ref="Q1299:R1299"/>
    <mergeCell ref="U1299:V1299"/>
    <mergeCell ref="W1299:X1299"/>
    <mergeCell ref="A1301:B1301"/>
    <mergeCell ref="C1301:G1301"/>
    <mergeCell ref="I1301:J1301"/>
    <mergeCell ref="K1301:L1301"/>
    <mergeCell ref="M1301:N1301"/>
    <mergeCell ref="O1301:P1301"/>
    <mergeCell ref="Q1301:R1301"/>
    <mergeCell ref="U1301:V1301"/>
    <mergeCell ref="W1301:X1301"/>
    <mergeCell ref="A1295:B1295"/>
    <mergeCell ref="C1295:G1295"/>
    <mergeCell ref="I1295:J1295"/>
    <mergeCell ref="K1295:L1295"/>
    <mergeCell ref="M1295:N1295"/>
    <mergeCell ref="O1295:P1295"/>
    <mergeCell ref="Q1295:R1295"/>
    <mergeCell ref="U1295:V1295"/>
    <mergeCell ref="W1295:X1295"/>
    <mergeCell ref="A1297:B1297"/>
    <mergeCell ref="C1297:G1297"/>
    <mergeCell ref="I1297:J1297"/>
    <mergeCell ref="K1297:L1297"/>
    <mergeCell ref="M1297:N1297"/>
    <mergeCell ref="O1297:P1297"/>
    <mergeCell ref="Q1297:R1297"/>
    <mergeCell ref="U1297:V1297"/>
    <mergeCell ref="W1297:X1297"/>
    <mergeCell ref="A1291:B1291"/>
    <mergeCell ref="C1291:G1291"/>
    <mergeCell ref="I1291:J1291"/>
    <mergeCell ref="K1291:L1291"/>
    <mergeCell ref="M1291:N1291"/>
    <mergeCell ref="O1291:P1291"/>
    <mergeCell ref="Q1291:R1291"/>
    <mergeCell ref="U1291:V1291"/>
    <mergeCell ref="W1291:X1291"/>
    <mergeCell ref="A1293:B1293"/>
    <mergeCell ref="C1293:G1293"/>
    <mergeCell ref="I1293:J1293"/>
    <mergeCell ref="K1293:L1293"/>
    <mergeCell ref="M1293:N1293"/>
    <mergeCell ref="O1293:P1293"/>
    <mergeCell ref="Q1293:R1293"/>
    <mergeCell ref="U1293:V1293"/>
    <mergeCell ref="W1293:X1293"/>
    <mergeCell ref="A1287:B1287"/>
    <mergeCell ref="C1287:G1287"/>
    <mergeCell ref="I1287:J1287"/>
    <mergeCell ref="K1287:L1287"/>
    <mergeCell ref="M1287:N1287"/>
    <mergeCell ref="O1287:P1287"/>
    <mergeCell ref="Q1287:R1287"/>
    <mergeCell ref="U1287:V1287"/>
    <mergeCell ref="W1287:X1287"/>
    <mergeCell ref="A1289:B1289"/>
    <mergeCell ref="C1289:G1289"/>
    <mergeCell ref="I1289:J1289"/>
    <mergeCell ref="K1289:L1289"/>
    <mergeCell ref="M1289:N1289"/>
    <mergeCell ref="O1289:P1289"/>
    <mergeCell ref="Q1289:R1289"/>
    <mergeCell ref="U1289:V1289"/>
    <mergeCell ref="W1289:X1289"/>
    <mergeCell ref="A1283:B1283"/>
    <mergeCell ref="C1283:G1283"/>
    <mergeCell ref="I1283:J1283"/>
    <mergeCell ref="K1283:L1283"/>
    <mergeCell ref="M1283:N1283"/>
    <mergeCell ref="O1283:P1283"/>
    <mergeCell ref="Q1283:R1283"/>
    <mergeCell ref="U1283:V1283"/>
    <mergeCell ref="W1283:X1283"/>
    <mergeCell ref="A1285:B1285"/>
    <mergeCell ref="C1285:G1285"/>
    <mergeCell ref="I1285:J1285"/>
    <mergeCell ref="K1285:L1285"/>
    <mergeCell ref="M1285:N1285"/>
    <mergeCell ref="O1285:P1285"/>
    <mergeCell ref="Q1285:R1285"/>
    <mergeCell ref="U1285:V1285"/>
    <mergeCell ref="W1285:X1285"/>
    <mergeCell ref="A1279:B1279"/>
    <mergeCell ref="C1279:G1279"/>
    <mergeCell ref="I1279:J1279"/>
    <mergeCell ref="K1279:L1279"/>
    <mergeCell ref="M1279:N1279"/>
    <mergeCell ref="O1279:P1279"/>
    <mergeCell ref="Q1279:R1279"/>
    <mergeCell ref="U1279:V1279"/>
    <mergeCell ref="W1279:X1279"/>
    <mergeCell ref="A1281:B1281"/>
    <mergeCell ref="C1281:G1281"/>
    <mergeCell ref="I1281:J1281"/>
    <mergeCell ref="K1281:L1281"/>
    <mergeCell ref="M1281:N1281"/>
    <mergeCell ref="O1281:P1281"/>
    <mergeCell ref="Q1281:R1281"/>
    <mergeCell ref="U1281:V1281"/>
    <mergeCell ref="W1281:X1281"/>
    <mergeCell ref="K1271:L1272"/>
    <mergeCell ref="A1273:C1273"/>
    <mergeCell ref="K1273:L1273"/>
    <mergeCell ref="A1270:B1270"/>
    <mergeCell ref="C1270:G1270"/>
    <mergeCell ref="I1270:J1270"/>
    <mergeCell ref="K1270:L1270"/>
    <mergeCell ref="Q1266:R1266"/>
    <mergeCell ref="U1266:V1266"/>
    <mergeCell ref="J1276:L1276"/>
    <mergeCell ref="M1276:N1276"/>
    <mergeCell ref="O1276:P1276"/>
    <mergeCell ref="Q1276:R1276"/>
    <mergeCell ref="S1276:T1276"/>
    <mergeCell ref="U1276:V1276"/>
    <mergeCell ref="A1277:B1277"/>
    <mergeCell ref="D1277:V1277"/>
    <mergeCell ref="U1268:V1268"/>
    <mergeCell ref="W1268:X1268"/>
    <mergeCell ref="U1264:V1264"/>
    <mergeCell ref="W1264:X1264"/>
    <mergeCell ref="A1266:B1266"/>
    <mergeCell ref="C1266:G1266"/>
    <mergeCell ref="I1266:J1266"/>
    <mergeCell ref="K1266:L1266"/>
    <mergeCell ref="M1266:N1266"/>
    <mergeCell ref="O1266:P1266"/>
    <mergeCell ref="M1262:N1262"/>
    <mergeCell ref="O1262:P1262"/>
    <mergeCell ref="M1270:N1270"/>
    <mergeCell ref="O1270:P1270"/>
    <mergeCell ref="W1266:X1266"/>
    <mergeCell ref="A1268:B1268"/>
    <mergeCell ref="C1268:G1268"/>
    <mergeCell ref="I1268:J1268"/>
    <mergeCell ref="K1268:L1268"/>
    <mergeCell ref="M1268:N1268"/>
    <mergeCell ref="O1268:P1268"/>
    <mergeCell ref="Q1268:R1268"/>
    <mergeCell ref="Q1270:R1270"/>
    <mergeCell ref="U1270:V1270"/>
    <mergeCell ref="W1270:X1270"/>
    <mergeCell ref="O1264:P1264"/>
    <mergeCell ref="Q1264:R1264"/>
    <mergeCell ref="A1260:B1260"/>
    <mergeCell ref="D1260:V1260"/>
    <mergeCell ref="A1262:B1262"/>
    <mergeCell ref="C1262:G1262"/>
    <mergeCell ref="I1262:J1262"/>
    <mergeCell ref="K1262:L1262"/>
    <mergeCell ref="Q1262:R1262"/>
    <mergeCell ref="U1262:V1262"/>
    <mergeCell ref="W1262:X1262"/>
    <mergeCell ref="A1264:B1264"/>
    <mergeCell ref="C1264:G1264"/>
    <mergeCell ref="I1264:J1264"/>
    <mergeCell ref="K1264:L1264"/>
    <mergeCell ref="M1264:N1264"/>
    <mergeCell ref="A1253:B1253"/>
    <mergeCell ref="C1253:G1253"/>
    <mergeCell ref="I1253:J1253"/>
    <mergeCell ref="K1253:L1253"/>
    <mergeCell ref="M1253:N1253"/>
    <mergeCell ref="O1253:P1253"/>
    <mergeCell ref="Q1253:R1253"/>
    <mergeCell ref="A1256:B1256"/>
    <mergeCell ref="C1256:G1256"/>
    <mergeCell ref="I1256:J1256"/>
    <mergeCell ref="K1256:L1256"/>
    <mergeCell ref="M1256:N1256"/>
    <mergeCell ref="O1256:P1256"/>
    <mergeCell ref="O1258:P1258"/>
    <mergeCell ref="Q1258:R1258"/>
    <mergeCell ref="U1253:V1253"/>
    <mergeCell ref="W1253:X1253"/>
    <mergeCell ref="I1254:J1254"/>
    <mergeCell ref="N1254:O1254"/>
    <mergeCell ref="Q1256:R1256"/>
    <mergeCell ref="U1256:V1256"/>
    <mergeCell ref="W1256:X1256"/>
    <mergeCell ref="A1258:B1258"/>
    <mergeCell ref="C1258:G1259"/>
    <mergeCell ref="I1258:J1258"/>
    <mergeCell ref="K1258:L1258"/>
    <mergeCell ref="M1258:N1258"/>
    <mergeCell ref="W1247:X1247"/>
    <mergeCell ref="A1249:B1249"/>
    <mergeCell ref="C1249:G1249"/>
    <mergeCell ref="I1249:J1249"/>
    <mergeCell ref="K1249:L1249"/>
    <mergeCell ref="M1249:N1249"/>
    <mergeCell ref="O1249:P1249"/>
    <mergeCell ref="Q1249:R1249"/>
    <mergeCell ref="U1249:V1249"/>
    <mergeCell ref="W1249:X1249"/>
    <mergeCell ref="A1251:B1251"/>
    <mergeCell ref="C1251:G1252"/>
    <mergeCell ref="I1251:J1251"/>
    <mergeCell ref="K1251:L1251"/>
    <mergeCell ref="M1251:N1251"/>
    <mergeCell ref="O1251:P1251"/>
    <mergeCell ref="Q1251:R1251"/>
    <mergeCell ref="U1251:V1251"/>
    <mergeCell ref="W1251:X1251"/>
    <mergeCell ref="U1258:V1258"/>
    <mergeCell ref="W1258:X1258"/>
    <mergeCell ref="K1239:L1240"/>
    <mergeCell ref="A1241:C1241"/>
    <mergeCell ref="K1241:L1241"/>
    <mergeCell ref="A1238:B1238"/>
    <mergeCell ref="C1238:G1238"/>
    <mergeCell ref="I1238:J1238"/>
    <mergeCell ref="K1238:L1238"/>
    <mergeCell ref="J1244:L1244"/>
    <mergeCell ref="M1244:N1244"/>
    <mergeCell ref="O1244:P1244"/>
    <mergeCell ref="Q1244:R1244"/>
    <mergeCell ref="S1244:T1244"/>
    <mergeCell ref="U1244:V1244"/>
    <mergeCell ref="A1245:B1245"/>
    <mergeCell ref="D1245:V1245"/>
    <mergeCell ref="A1247:B1247"/>
    <mergeCell ref="C1247:G1247"/>
    <mergeCell ref="I1247:J1247"/>
    <mergeCell ref="K1247:L1247"/>
    <mergeCell ref="M1247:N1247"/>
    <mergeCell ref="O1247:P1247"/>
    <mergeCell ref="Q1247:R1247"/>
    <mergeCell ref="U1247:V1247"/>
    <mergeCell ref="U1236:V1236"/>
    <mergeCell ref="W1236:X1236"/>
    <mergeCell ref="U1232:V1232"/>
    <mergeCell ref="W1232:X1232"/>
    <mergeCell ref="A1234:B1234"/>
    <mergeCell ref="C1234:G1234"/>
    <mergeCell ref="I1234:J1234"/>
    <mergeCell ref="K1234:L1234"/>
    <mergeCell ref="M1234:N1234"/>
    <mergeCell ref="O1234:P1234"/>
    <mergeCell ref="M1238:N1238"/>
    <mergeCell ref="O1238:P1238"/>
    <mergeCell ref="W1234:X1234"/>
    <mergeCell ref="A1236:B1236"/>
    <mergeCell ref="C1236:G1237"/>
    <mergeCell ref="I1236:J1236"/>
    <mergeCell ref="K1236:L1236"/>
    <mergeCell ref="M1236:N1236"/>
    <mergeCell ref="O1236:P1236"/>
    <mergeCell ref="Q1236:R1236"/>
    <mergeCell ref="Q1238:R1238"/>
    <mergeCell ref="U1238:V1238"/>
    <mergeCell ref="W1238:X1238"/>
    <mergeCell ref="O1232:P1232"/>
    <mergeCell ref="Q1232:R1232"/>
    <mergeCell ref="A1230:B1230"/>
    <mergeCell ref="C1230:G1230"/>
    <mergeCell ref="I1230:J1230"/>
    <mergeCell ref="K1230:L1230"/>
    <mergeCell ref="M1230:N1230"/>
    <mergeCell ref="O1230:P1230"/>
    <mergeCell ref="Q1234:R1234"/>
    <mergeCell ref="U1234:V1234"/>
    <mergeCell ref="Q1230:R1230"/>
    <mergeCell ref="U1230:V1230"/>
    <mergeCell ref="W1230:X1230"/>
    <mergeCell ref="A1232:B1232"/>
    <mergeCell ref="C1232:G1232"/>
    <mergeCell ref="I1232:J1232"/>
    <mergeCell ref="K1232:L1232"/>
    <mergeCell ref="M1232:N1232"/>
    <mergeCell ref="A1226:B1226"/>
    <mergeCell ref="C1226:G1226"/>
    <mergeCell ref="I1226:J1226"/>
    <mergeCell ref="K1226:L1226"/>
    <mergeCell ref="M1226:N1226"/>
    <mergeCell ref="O1226:P1226"/>
    <mergeCell ref="Q1226:R1226"/>
    <mergeCell ref="U1226:V1226"/>
    <mergeCell ref="W1226:X1226"/>
    <mergeCell ref="A1228:B1228"/>
    <mergeCell ref="C1228:G1228"/>
    <mergeCell ref="I1228:J1228"/>
    <mergeCell ref="K1228:L1228"/>
    <mergeCell ref="M1228:N1228"/>
    <mergeCell ref="O1228:P1228"/>
    <mergeCell ref="Q1228:R1228"/>
    <mergeCell ref="U1228:V1228"/>
    <mergeCell ref="W1228:X1228"/>
    <mergeCell ref="A1222:B1222"/>
    <mergeCell ref="C1222:G1222"/>
    <mergeCell ref="I1222:J1222"/>
    <mergeCell ref="K1222:L1222"/>
    <mergeCell ref="M1222:N1222"/>
    <mergeCell ref="O1222:P1222"/>
    <mergeCell ref="Q1222:R1222"/>
    <mergeCell ref="U1222:V1222"/>
    <mergeCell ref="W1222:X1222"/>
    <mergeCell ref="A1224:B1224"/>
    <mergeCell ref="C1224:G1224"/>
    <mergeCell ref="I1224:J1224"/>
    <mergeCell ref="K1224:L1224"/>
    <mergeCell ref="M1224:N1224"/>
    <mergeCell ref="O1224:P1224"/>
    <mergeCell ref="Q1224:R1224"/>
    <mergeCell ref="U1224:V1224"/>
    <mergeCell ref="W1224:X1224"/>
    <mergeCell ref="A1218:B1218"/>
    <mergeCell ref="C1218:G1218"/>
    <mergeCell ref="I1218:J1218"/>
    <mergeCell ref="K1218:L1218"/>
    <mergeCell ref="M1218:N1218"/>
    <mergeCell ref="O1218:P1218"/>
    <mergeCell ref="Q1218:R1218"/>
    <mergeCell ref="U1218:V1218"/>
    <mergeCell ref="W1218:X1218"/>
    <mergeCell ref="A1220:B1220"/>
    <mergeCell ref="C1220:G1220"/>
    <mergeCell ref="I1220:J1220"/>
    <mergeCell ref="K1220:L1220"/>
    <mergeCell ref="M1220:N1220"/>
    <mergeCell ref="O1220:P1220"/>
    <mergeCell ref="Q1220:R1220"/>
    <mergeCell ref="U1220:V1220"/>
    <mergeCell ref="W1220:X1220"/>
    <mergeCell ref="A1213:B1213"/>
    <mergeCell ref="C1213:G1213"/>
    <mergeCell ref="I1213:J1213"/>
    <mergeCell ref="K1213:L1213"/>
    <mergeCell ref="M1213:N1213"/>
    <mergeCell ref="O1213:P1213"/>
    <mergeCell ref="Q1213:R1213"/>
    <mergeCell ref="U1213:V1213"/>
    <mergeCell ref="W1213:X1213"/>
    <mergeCell ref="I1214:J1214"/>
    <mergeCell ref="N1214:O1214"/>
    <mergeCell ref="A1216:B1216"/>
    <mergeCell ref="C1216:G1216"/>
    <mergeCell ref="I1216:J1216"/>
    <mergeCell ref="K1216:L1216"/>
    <mergeCell ref="M1216:N1216"/>
    <mergeCell ref="O1216:P1216"/>
    <mergeCell ref="Q1216:R1216"/>
    <mergeCell ref="U1216:V1216"/>
    <mergeCell ref="W1216:X1216"/>
    <mergeCell ref="A1209:B1209"/>
    <mergeCell ref="C1209:G1209"/>
    <mergeCell ref="I1209:J1209"/>
    <mergeCell ref="K1209:L1209"/>
    <mergeCell ref="M1209:N1209"/>
    <mergeCell ref="O1209:P1209"/>
    <mergeCell ref="Q1209:R1209"/>
    <mergeCell ref="U1209:V1209"/>
    <mergeCell ref="W1209:X1209"/>
    <mergeCell ref="A1211:B1211"/>
    <mergeCell ref="C1211:G1211"/>
    <mergeCell ref="I1211:J1211"/>
    <mergeCell ref="K1211:L1211"/>
    <mergeCell ref="M1211:N1211"/>
    <mergeCell ref="O1211:P1211"/>
    <mergeCell ref="Q1211:R1211"/>
    <mergeCell ref="U1211:V1211"/>
    <mergeCell ref="W1211:X1211"/>
    <mergeCell ref="A1205:B1205"/>
    <mergeCell ref="C1205:G1205"/>
    <mergeCell ref="I1205:J1205"/>
    <mergeCell ref="K1205:L1205"/>
    <mergeCell ref="M1205:N1205"/>
    <mergeCell ref="O1205:P1205"/>
    <mergeCell ref="Q1205:R1205"/>
    <mergeCell ref="U1205:V1205"/>
    <mergeCell ref="W1205:X1205"/>
    <mergeCell ref="A1207:B1207"/>
    <mergeCell ref="C1207:G1208"/>
    <mergeCell ref="I1207:J1207"/>
    <mergeCell ref="K1207:L1207"/>
    <mergeCell ref="M1207:N1207"/>
    <mergeCell ref="O1207:P1207"/>
    <mergeCell ref="Q1207:R1207"/>
    <mergeCell ref="U1207:V1207"/>
    <mergeCell ref="W1207:X1207"/>
    <mergeCell ref="A1201:B1201"/>
    <mergeCell ref="C1201:G1201"/>
    <mergeCell ref="I1201:J1201"/>
    <mergeCell ref="K1201:L1201"/>
    <mergeCell ref="M1201:N1201"/>
    <mergeCell ref="O1201:P1201"/>
    <mergeCell ref="Q1201:R1201"/>
    <mergeCell ref="U1201:V1201"/>
    <mergeCell ref="W1201:X1201"/>
    <mergeCell ref="A1203:B1203"/>
    <mergeCell ref="C1203:G1203"/>
    <mergeCell ref="I1203:J1203"/>
    <mergeCell ref="K1203:L1203"/>
    <mergeCell ref="M1203:N1203"/>
    <mergeCell ref="O1203:P1203"/>
    <mergeCell ref="Q1203:R1203"/>
    <mergeCell ref="U1203:V1203"/>
    <mergeCell ref="W1203:X1203"/>
    <mergeCell ref="A1197:B1197"/>
    <mergeCell ref="C1197:G1197"/>
    <mergeCell ref="I1197:J1197"/>
    <mergeCell ref="K1197:L1197"/>
    <mergeCell ref="M1197:N1197"/>
    <mergeCell ref="O1197:P1197"/>
    <mergeCell ref="Q1197:R1197"/>
    <mergeCell ref="U1197:V1197"/>
    <mergeCell ref="W1197:X1197"/>
    <mergeCell ref="A1199:B1199"/>
    <mergeCell ref="C1199:G1199"/>
    <mergeCell ref="I1199:J1199"/>
    <mergeCell ref="K1199:L1199"/>
    <mergeCell ref="M1199:N1199"/>
    <mergeCell ref="O1199:P1199"/>
    <mergeCell ref="Q1199:R1199"/>
    <mergeCell ref="U1199:V1199"/>
    <mergeCell ref="W1199:X1199"/>
    <mergeCell ref="A1191:B1191"/>
    <mergeCell ref="C1191:G1192"/>
    <mergeCell ref="I1191:J1191"/>
    <mergeCell ref="K1191:L1191"/>
    <mergeCell ref="M1191:N1191"/>
    <mergeCell ref="O1191:P1191"/>
    <mergeCell ref="Q1191:R1191"/>
    <mergeCell ref="U1191:V1191"/>
    <mergeCell ref="W1191:X1191"/>
    <mergeCell ref="A1193:B1193"/>
    <mergeCell ref="D1193:V1193"/>
    <mergeCell ref="A1195:B1195"/>
    <mergeCell ref="C1195:G1196"/>
    <mergeCell ref="I1195:J1195"/>
    <mergeCell ref="K1195:L1195"/>
    <mergeCell ref="M1195:N1195"/>
    <mergeCell ref="O1195:P1195"/>
    <mergeCell ref="Q1195:R1195"/>
    <mergeCell ref="U1195:V1195"/>
    <mergeCell ref="W1195:X1195"/>
    <mergeCell ref="A1187:B1187"/>
    <mergeCell ref="C1187:G1187"/>
    <mergeCell ref="I1187:J1187"/>
    <mergeCell ref="K1187:L1187"/>
    <mergeCell ref="M1187:N1187"/>
    <mergeCell ref="O1187:P1187"/>
    <mergeCell ref="Q1187:R1187"/>
    <mergeCell ref="U1187:V1187"/>
    <mergeCell ref="W1187:X1187"/>
    <mergeCell ref="A1189:B1189"/>
    <mergeCell ref="C1189:G1189"/>
    <mergeCell ref="I1189:J1189"/>
    <mergeCell ref="K1189:L1189"/>
    <mergeCell ref="M1189:N1189"/>
    <mergeCell ref="O1189:P1189"/>
    <mergeCell ref="Q1189:R1189"/>
    <mergeCell ref="U1189:V1189"/>
    <mergeCell ref="W1189:X1189"/>
    <mergeCell ref="A1183:B1183"/>
    <mergeCell ref="C1183:G1183"/>
    <mergeCell ref="I1183:J1183"/>
    <mergeCell ref="K1183:L1183"/>
    <mergeCell ref="M1183:N1183"/>
    <mergeCell ref="O1183:P1183"/>
    <mergeCell ref="Q1183:R1183"/>
    <mergeCell ref="U1183:V1183"/>
    <mergeCell ref="W1183:X1183"/>
    <mergeCell ref="A1185:B1185"/>
    <mergeCell ref="C1185:G1185"/>
    <mergeCell ref="I1185:J1185"/>
    <mergeCell ref="K1185:L1185"/>
    <mergeCell ref="M1185:N1185"/>
    <mergeCell ref="O1185:P1185"/>
    <mergeCell ref="Q1185:R1185"/>
    <mergeCell ref="U1185:V1185"/>
    <mergeCell ref="W1185:X1185"/>
    <mergeCell ref="A1179:B1179"/>
    <mergeCell ref="C1179:G1179"/>
    <mergeCell ref="I1179:J1179"/>
    <mergeCell ref="K1179:L1179"/>
    <mergeCell ref="M1179:N1179"/>
    <mergeCell ref="O1179:P1179"/>
    <mergeCell ref="Q1179:R1179"/>
    <mergeCell ref="U1179:V1179"/>
    <mergeCell ref="W1179:X1179"/>
    <mergeCell ref="A1181:B1181"/>
    <mergeCell ref="C1181:G1181"/>
    <mergeCell ref="I1181:J1181"/>
    <mergeCell ref="K1181:L1181"/>
    <mergeCell ref="M1181:N1181"/>
    <mergeCell ref="O1181:P1181"/>
    <mergeCell ref="Q1181:R1181"/>
    <mergeCell ref="U1181:V1181"/>
    <mergeCell ref="W1181:X1181"/>
    <mergeCell ref="A1175:B1175"/>
    <mergeCell ref="C1175:G1175"/>
    <mergeCell ref="I1175:J1175"/>
    <mergeCell ref="K1175:L1175"/>
    <mergeCell ref="M1175:N1175"/>
    <mergeCell ref="O1175:P1175"/>
    <mergeCell ref="Q1175:R1175"/>
    <mergeCell ref="U1175:V1175"/>
    <mergeCell ref="W1175:X1175"/>
    <mergeCell ref="A1177:B1177"/>
    <mergeCell ref="C1177:G1177"/>
    <mergeCell ref="I1177:J1177"/>
    <mergeCell ref="K1177:L1177"/>
    <mergeCell ref="M1177:N1177"/>
    <mergeCell ref="O1177:P1177"/>
    <mergeCell ref="Q1177:R1177"/>
    <mergeCell ref="U1177:V1177"/>
    <mergeCell ref="W1177:X1177"/>
    <mergeCell ref="A1171:B1171"/>
    <mergeCell ref="C1171:G1171"/>
    <mergeCell ref="I1171:J1171"/>
    <mergeCell ref="K1171:L1171"/>
    <mergeCell ref="M1171:N1171"/>
    <mergeCell ref="O1171:P1171"/>
    <mergeCell ref="Q1171:R1171"/>
    <mergeCell ref="U1171:V1171"/>
    <mergeCell ref="W1171:X1171"/>
    <mergeCell ref="A1173:B1173"/>
    <mergeCell ref="C1173:G1173"/>
    <mergeCell ref="I1173:J1173"/>
    <mergeCell ref="K1173:L1173"/>
    <mergeCell ref="M1173:N1173"/>
    <mergeCell ref="O1173:P1173"/>
    <mergeCell ref="Q1173:R1173"/>
    <mergeCell ref="U1173:V1173"/>
    <mergeCell ref="W1173:X1173"/>
    <mergeCell ref="A1167:B1167"/>
    <mergeCell ref="C1167:G1167"/>
    <mergeCell ref="I1167:J1167"/>
    <mergeCell ref="K1167:L1167"/>
    <mergeCell ref="M1167:N1167"/>
    <mergeCell ref="O1167:P1167"/>
    <mergeCell ref="Q1167:R1167"/>
    <mergeCell ref="U1167:V1167"/>
    <mergeCell ref="W1167:X1167"/>
    <mergeCell ref="A1169:B1169"/>
    <mergeCell ref="C1169:G1169"/>
    <mergeCell ref="I1169:J1169"/>
    <mergeCell ref="K1169:L1169"/>
    <mergeCell ref="M1169:N1169"/>
    <mergeCell ref="O1169:P1169"/>
    <mergeCell ref="Q1169:R1169"/>
    <mergeCell ref="U1169:V1169"/>
    <mergeCell ref="W1169:X1169"/>
    <mergeCell ref="A1163:B1163"/>
    <mergeCell ref="C1163:G1163"/>
    <mergeCell ref="I1163:J1163"/>
    <mergeCell ref="K1163:L1163"/>
    <mergeCell ref="M1163:N1163"/>
    <mergeCell ref="O1163:P1163"/>
    <mergeCell ref="Q1163:R1163"/>
    <mergeCell ref="U1163:V1163"/>
    <mergeCell ref="W1163:X1163"/>
    <mergeCell ref="A1165:B1165"/>
    <mergeCell ref="C1165:G1165"/>
    <mergeCell ref="I1165:J1165"/>
    <mergeCell ref="K1165:L1165"/>
    <mergeCell ref="M1165:N1165"/>
    <mergeCell ref="O1165:P1165"/>
    <mergeCell ref="Q1165:R1165"/>
    <mergeCell ref="U1165:V1165"/>
    <mergeCell ref="W1165:X1165"/>
    <mergeCell ref="A1159:B1159"/>
    <mergeCell ref="C1159:G1160"/>
    <mergeCell ref="I1159:J1159"/>
    <mergeCell ref="K1159:L1159"/>
    <mergeCell ref="M1159:N1159"/>
    <mergeCell ref="O1159:P1159"/>
    <mergeCell ref="Q1159:R1159"/>
    <mergeCell ref="U1159:V1159"/>
    <mergeCell ref="W1159:X1159"/>
    <mergeCell ref="A1161:B1161"/>
    <mergeCell ref="C1161:G1161"/>
    <mergeCell ref="I1161:J1161"/>
    <mergeCell ref="K1161:L1161"/>
    <mergeCell ref="M1161:N1161"/>
    <mergeCell ref="O1161:P1161"/>
    <mergeCell ref="Q1161:R1161"/>
    <mergeCell ref="U1161:V1161"/>
    <mergeCell ref="W1161:X1161"/>
    <mergeCell ref="A1155:B1155"/>
    <mergeCell ref="C1155:G1155"/>
    <mergeCell ref="I1155:J1155"/>
    <mergeCell ref="K1155:L1155"/>
    <mergeCell ref="M1155:N1155"/>
    <mergeCell ref="O1155:P1155"/>
    <mergeCell ref="Q1155:R1155"/>
    <mergeCell ref="U1155:V1155"/>
    <mergeCell ref="W1155:X1155"/>
    <mergeCell ref="A1157:B1157"/>
    <mergeCell ref="C1157:G1157"/>
    <mergeCell ref="I1157:J1157"/>
    <mergeCell ref="K1157:L1157"/>
    <mergeCell ref="M1157:N1157"/>
    <mergeCell ref="O1157:P1157"/>
    <mergeCell ref="Q1157:R1157"/>
    <mergeCell ref="U1157:V1157"/>
    <mergeCell ref="W1157:X1157"/>
    <mergeCell ref="A1151:B1151"/>
    <mergeCell ref="C1151:G1151"/>
    <mergeCell ref="I1151:J1151"/>
    <mergeCell ref="K1151:L1151"/>
    <mergeCell ref="M1151:N1151"/>
    <mergeCell ref="O1151:P1151"/>
    <mergeCell ref="Q1151:R1151"/>
    <mergeCell ref="U1151:V1151"/>
    <mergeCell ref="W1151:X1151"/>
    <mergeCell ref="A1153:B1153"/>
    <mergeCell ref="C1153:G1153"/>
    <mergeCell ref="I1153:J1153"/>
    <mergeCell ref="K1153:L1153"/>
    <mergeCell ref="M1153:N1153"/>
    <mergeCell ref="O1153:P1153"/>
    <mergeCell ref="Q1153:R1153"/>
    <mergeCell ref="U1153:V1153"/>
    <mergeCell ref="W1153:X1153"/>
    <mergeCell ref="A1147:B1147"/>
    <mergeCell ref="C1147:G1147"/>
    <mergeCell ref="I1147:J1147"/>
    <mergeCell ref="K1147:L1147"/>
    <mergeCell ref="M1147:N1147"/>
    <mergeCell ref="O1147:P1147"/>
    <mergeCell ref="Q1147:R1147"/>
    <mergeCell ref="U1147:V1147"/>
    <mergeCell ref="W1147:X1147"/>
    <mergeCell ref="A1149:B1149"/>
    <mergeCell ref="C1149:G1149"/>
    <mergeCell ref="I1149:J1149"/>
    <mergeCell ref="K1149:L1149"/>
    <mergeCell ref="M1149:N1149"/>
    <mergeCell ref="O1149:P1149"/>
    <mergeCell ref="Q1149:R1149"/>
    <mergeCell ref="U1149:V1149"/>
    <mergeCell ref="W1149:X1149"/>
    <mergeCell ref="A1143:B1143"/>
    <mergeCell ref="C1143:G1143"/>
    <mergeCell ref="I1143:J1143"/>
    <mergeCell ref="K1143:L1143"/>
    <mergeCell ref="M1143:N1143"/>
    <mergeCell ref="O1143:P1143"/>
    <mergeCell ref="Q1143:R1143"/>
    <mergeCell ref="U1143:V1143"/>
    <mergeCell ref="W1143:X1143"/>
    <mergeCell ref="A1145:B1145"/>
    <mergeCell ref="C1145:G1145"/>
    <mergeCell ref="I1145:J1145"/>
    <mergeCell ref="K1145:L1145"/>
    <mergeCell ref="M1145:N1145"/>
    <mergeCell ref="O1145:P1145"/>
    <mergeCell ref="Q1145:R1145"/>
    <mergeCell ref="U1145:V1145"/>
    <mergeCell ref="W1145:X1145"/>
    <mergeCell ref="A1139:B1139"/>
    <mergeCell ref="C1139:G1139"/>
    <mergeCell ref="I1139:J1139"/>
    <mergeCell ref="K1139:L1139"/>
    <mergeCell ref="M1139:N1139"/>
    <mergeCell ref="O1139:P1139"/>
    <mergeCell ref="Q1139:R1139"/>
    <mergeCell ref="U1139:V1139"/>
    <mergeCell ref="W1139:X1139"/>
    <mergeCell ref="A1141:B1141"/>
    <mergeCell ref="C1141:G1142"/>
    <mergeCell ref="I1141:J1141"/>
    <mergeCell ref="K1141:L1141"/>
    <mergeCell ref="M1141:N1141"/>
    <mergeCell ref="O1141:P1141"/>
    <mergeCell ref="Q1141:R1141"/>
    <mergeCell ref="U1141:V1141"/>
    <mergeCell ref="W1141:X1141"/>
    <mergeCell ref="A1135:B1135"/>
    <mergeCell ref="C1135:G1135"/>
    <mergeCell ref="I1135:J1135"/>
    <mergeCell ref="K1135:L1135"/>
    <mergeCell ref="M1135:N1135"/>
    <mergeCell ref="O1135:P1135"/>
    <mergeCell ref="Q1135:R1135"/>
    <mergeCell ref="U1135:V1135"/>
    <mergeCell ref="W1135:X1135"/>
    <mergeCell ref="A1137:B1137"/>
    <mergeCell ref="C1137:G1137"/>
    <mergeCell ref="I1137:J1137"/>
    <mergeCell ref="K1137:L1137"/>
    <mergeCell ref="M1137:N1137"/>
    <mergeCell ref="O1137:P1137"/>
    <mergeCell ref="Q1137:R1137"/>
    <mergeCell ref="U1137:V1137"/>
    <mergeCell ref="W1137:X1137"/>
    <mergeCell ref="A1131:B1131"/>
    <mergeCell ref="C1131:G1131"/>
    <mergeCell ref="I1131:J1131"/>
    <mergeCell ref="K1131:L1131"/>
    <mergeCell ref="M1131:N1131"/>
    <mergeCell ref="O1131:P1131"/>
    <mergeCell ref="Q1131:R1131"/>
    <mergeCell ref="U1131:V1131"/>
    <mergeCell ref="W1131:X1131"/>
    <mergeCell ref="A1133:B1133"/>
    <mergeCell ref="C1133:G1134"/>
    <mergeCell ref="I1133:J1133"/>
    <mergeCell ref="K1133:L1133"/>
    <mergeCell ref="M1133:N1133"/>
    <mergeCell ref="O1133:P1133"/>
    <mergeCell ref="Q1133:R1133"/>
    <mergeCell ref="U1133:V1133"/>
    <mergeCell ref="W1133:X1133"/>
    <mergeCell ref="A1127:B1127"/>
    <mergeCell ref="C1127:G1127"/>
    <mergeCell ref="I1127:J1127"/>
    <mergeCell ref="K1127:L1127"/>
    <mergeCell ref="M1127:N1127"/>
    <mergeCell ref="O1127:P1127"/>
    <mergeCell ref="Q1127:R1127"/>
    <mergeCell ref="U1127:V1127"/>
    <mergeCell ref="W1127:X1127"/>
    <mergeCell ref="A1129:B1129"/>
    <mergeCell ref="C1129:G1129"/>
    <mergeCell ref="I1129:J1129"/>
    <mergeCell ref="K1129:L1129"/>
    <mergeCell ref="M1129:N1129"/>
    <mergeCell ref="O1129:P1129"/>
    <mergeCell ref="Q1129:R1129"/>
    <mergeCell ref="U1129:V1129"/>
    <mergeCell ref="W1129:X1129"/>
    <mergeCell ref="A1122:B1122"/>
    <mergeCell ref="C1122:G1122"/>
    <mergeCell ref="I1122:J1122"/>
    <mergeCell ref="K1122:L1122"/>
    <mergeCell ref="M1122:N1122"/>
    <mergeCell ref="O1122:P1122"/>
    <mergeCell ref="Q1122:R1122"/>
    <mergeCell ref="U1122:V1122"/>
    <mergeCell ref="W1122:X1122"/>
    <mergeCell ref="A1123:B1123"/>
    <mergeCell ref="D1123:V1123"/>
    <mergeCell ref="A1125:B1125"/>
    <mergeCell ref="C1125:G1125"/>
    <mergeCell ref="I1125:J1125"/>
    <mergeCell ref="K1125:L1125"/>
    <mergeCell ref="M1125:N1125"/>
    <mergeCell ref="O1125:P1125"/>
    <mergeCell ref="Q1125:R1125"/>
    <mergeCell ref="U1125:V1125"/>
    <mergeCell ref="W1125:X1125"/>
    <mergeCell ref="A1118:B1118"/>
    <mergeCell ref="C1118:G1118"/>
    <mergeCell ref="I1118:J1118"/>
    <mergeCell ref="K1118:L1118"/>
    <mergeCell ref="M1118:N1118"/>
    <mergeCell ref="O1118:P1118"/>
    <mergeCell ref="Q1118:R1118"/>
    <mergeCell ref="U1118:V1118"/>
    <mergeCell ref="W1118:X1118"/>
    <mergeCell ref="A1120:B1120"/>
    <mergeCell ref="C1120:G1120"/>
    <mergeCell ref="I1120:J1120"/>
    <mergeCell ref="K1120:L1120"/>
    <mergeCell ref="M1120:N1120"/>
    <mergeCell ref="O1120:P1120"/>
    <mergeCell ref="Q1120:R1120"/>
    <mergeCell ref="U1120:V1120"/>
    <mergeCell ref="W1120:X1120"/>
    <mergeCell ref="A1114:B1114"/>
    <mergeCell ref="C1114:G1115"/>
    <mergeCell ref="I1114:J1114"/>
    <mergeCell ref="K1114:L1114"/>
    <mergeCell ref="M1114:N1114"/>
    <mergeCell ref="O1114:P1114"/>
    <mergeCell ref="Q1114:R1114"/>
    <mergeCell ref="U1114:V1114"/>
    <mergeCell ref="W1114:X1114"/>
    <mergeCell ref="A1116:B1116"/>
    <mergeCell ref="C1116:G1116"/>
    <mergeCell ref="I1116:J1116"/>
    <mergeCell ref="K1116:L1116"/>
    <mergeCell ref="M1116:N1116"/>
    <mergeCell ref="O1116:P1116"/>
    <mergeCell ref="Q1116:R1116"/>
    <mergeCell ref="U1116:V1116"/>
    <mergeCell ref="W1116:X1116"/>
    <mergeCell ref="A1110:B1110"/>
    <mergeCell ref="C1110:G1111"/>
    <mergeCell ref="I1110:J1110"/>
    <mergeCell ref="K1110:L1110"/>
    <mergeCell ref="M1110:N1110"/>
    <mergeCell ref="O1110:P1110"/>
    <mergeCell ref="Q1110:R1110"/>
    <mergeCell ref="U1110:V1110"/>
    <mergeCell ref="W1110:X1110"/>
    <mergeCell ref="A1112:B1112"/>
    <mergeCell ref="C1112:G1113"/>
    <mergeCell ref="I1112:J1112"/>
    <mergeCell ref="K1112:L1112"/>
    <mergeCell ref="M1112:N1112"/>
    <mergeCell ref="O1112:P1112"/>
    <mergeCell ref="Q1112:R1112"/>
    <mergeCell ref="U1112:V1112"/>
    <mergeCell ref="W1112:X1112"/>
    <mergeCell ref="A1106:B1106"/>
    <mergeCell ref="C1106:G1106"/>
    <mergeCell ref="I1106:J1106"/>
    <mergeCell ref="K1106:L1106"/>
    <mergeCell ref="M1106:N1106"/>
    <mergeCell ref="O1106:P1106"/>
    <mergeCell ref="Q1106:R1106"/>
    <mergeCell ref="U1106:V1106"/>
    <mergeCell ref="W1106:X1106"/>
    <mergeCell ref="A1108:B1108"/>
    <mergeCell ref="C1108:G1109"/>
    <mergeCell ref="I1108:J1108"/>
    <mergeCell ref="K1108:L1108"/>
    <mergeCell ref="M1108:N1108"/>
    <mergeCell ref="O1108:P1108"/>
    <mergeCell ref="Q1108:R1108"/>
    <mergeCell ref="U1108:V1108"/>
    <mergeCell ref="W1108:X1108"/>
    <mergeCell ref="A1102:B1102"/>
    <mergeCell ref="C1102:G1102"/>
    <mergeCell ref="I1102:J1102"/>
    <mergeCell ref="K1102:L1102"/>
    <mergeCell ref="M1102:N1102"/>
    <mergeCell ref="O1102:P1102"/>
    <mergeCell ref="Q1102:R1102"/>
    <mergeCell ref="U1102:V1102"/>
    <mergeCell ref="W1102:X1102"/>
    <mergeCell ref="A1104:B1104"/>
    <mergeCell ref="C1104:G1104"/>
    <mergeCell ref="I1104:J1104"/>
    <mergeCell ref="K1104:L1104"/>
    <mergeCell ref="M1104:N1104"/>
    <mergeCell ref="O1104:P1104"/>
    <mergeCell ref="Q1104:R1104"/>
    <mergeCell ref="U1104:V1104"/>
    <mergeCell ref="W1104:X1104"/>
    <mergeCell ref="A1098:B1098"/>
    <mergeCell ref="C1098:G1098"/>
    <mergeCell ref="I1098:J1098"/>
    <mergeCell ref="K1098:L1098"/>
    <mergeCell ref="M1098:N1098"/>
    <mergeCell ref="O1098:P1098"/>
    <mergeCell ref="Q1098:R1098"/>
    <mergeCell ref="U1098:V1098"/>
    <mergeCell ref="W1098:X1098"/>
    <mergeCell ref="A1100:B1100"/>
    <mergeCell ref="C1100:G1100"/>
    <mergeCell ref="I1100:J1100"/>
    <mergeCell ref="K1100:L1100"/>
    <mergeCell ref="M1100:N1100"/>
    <mergeCell ref="O1100:P1100"/>
    <mergeCell ref="Q1100:R1100"/>
    <mergeCell ref="U1100:V1100"/>
    <mergeCell ref="W1100:X1100"/>
    <mergeCell ref="A1094:B1094"/>
    <mergeCell ref="C1094:G1094"/>
    <mergeCell ref="I1094:J1094"/>
    <mergeCell ref="K1094:L1094"/>
    <mergeCell ref="M1094:N1094"/>
    <mergeCell ref="O1094:P1094"/>
    <mergeCell ref="Q1094:R1094"/>
    <mergeCell ref="U1094:V1094"/>
    <mergeCell ref="W1094:X1094"/>
    <mergeCell ref="A1096:B1096"/>
    <mergeCell ref="C1096:G1097"/>
    <mergeCell ref="I1096:J1096"/>
    <mergeCell ref="K1096:L1096"/>
    <mergeCell ref="M1096:N1096"/>
    <mergeCell ref="O1096:P1096"/>
    <mergeCell ref="Q1096:R1096"/>
    <mergeCell ref="U1096:V1096"/>
    <mergeCell ref="W1096:X1096"/>
    <mergeCell ref="A1090:B1090"/>
    <mergeCell ref="C1090:G1090"/>
    <mergeCell ref="I1090:J1090"/>
    <mergeCell ref="K1090:L1090"/>
    <mergeCell ref="M1090:N1090"/>
    <mergeCell ref="O1090:P1090"/>
    <mergeCell ref="Q1090:R1090"/>
    <mergeCell ref="U1090:V1090"/>
    <mergeCell ref="W1090:X1090"/>
    <mergeCell ref="A1092:B1092"/>
    <mergeCell ref="C1092:G1092"/>
    <mergeCell ref="I1092:J1092"/>
    <mergeCell ref="K1092:L1092"/>
    <mergeCell ref="M1092:N1092"/>
    <mergeCell ref="O1092:P1092"/>
    <mergeCell ref="Q1092:R1092"/>
    <mergeCell ref="U1092:V1092"/>
    <mergeCell ref="W1092:X1092"/>
    <mergeCell ref="A1085:B1085"/>
    <mergeCell ref="C1085:G1085"/>
    <mergeCell ref="I1085:J1085"/>
    <mergeCell ref="K1085:L1085"/>
    <mergeCell ref="M1085:N1085"/>
    <mergeCell ref="O1085:P1085"/>
    <mergeCell ref="Q1085:R1085"/>
    <mergeCell ref="U1085:V1085"/>
    <mergeCell ref="W1085:X1085"/>
    <mergeCell ref="I1086:J1086"/>
    <mergeCell ref="N1086:O1086"/>
    <mergeCell ref="A1088:B1088"/>
    <mergeCell ref="C1088:G1088"/>
    <mergeCell ref="I1088:J1088"/>
    <mergeCell ref="K1088:L1088"/>
    <mergeCell ref="M1088:N1088"/>
    <mergeCell ref="O1088:P1088"/>
    <mergeCell ref="Q1088:R1088"/>
    <mergeCell ref="U1088:V1088"/>
    <mergeCell ref="W1088:X1088"/>
    <mergeCell ref="A1081:B1081"/>
    <mergeCell ref="C1081:G1081"/>
    <mergeCell ref="I1081:J1081"/>
    <mergeCell ref="K1081:L1081"/>
    <mergeCell ref="M1081:N1081"/>
    <mergeCell ref="O1081:P1081"/>
    <mergeCell ref="Q1081:R1081"/>
    <mergeCell ref="U1081:V1081"/>
    <mergeCell ref="W1081:X1081"/>
    <mergeCell ref="A1083:B1083"/>
    <mergeCell ref="C1083:G1083"/>
    <mergeCell ref="I1083:J1083"/>
    <mergeCell ref="K1083:L1083"/>
    <mergeCell ref="M1083:N1083"/>
    <mergeCell ref="O1083:P1083"/>
    <mergeCell ref="Q1083:R1083"/>
    <mergeCell ref="U1083:V1083"/>
    <mergeCell ref="W1083:X1083"/>
    <mergeCell ref="A1077:B1077"/>
    <mergeCell ref="C1077:G1077"/>
    <mergeCell ref="I1077:J1077"/>
    <mergeCell ref="K1077:L1077"/>
    <mergeCell ref="M1077:N1077"/>
    <mergeCell ref="O1077:P1077"/>
    <mergeCell ref="Q1077:R1077"/>
    <mergeCell ref="U1077:V1077"/>
    <mergeCell ref="W1077:X1077"/>
    <mergeCell ref="A1079:B1079"/>
    <mergeCell ref="C1079:G1079"/>
    <mergeCell ref="I1079:J1079"/>
    <mergeCell ref="K1079:L1079"/>
    <mergeCell ref="M1079:N1079"/>
    <mergeCell ref="O1079:P1079"/>
    <mergeCell ref="Q1079:R1079"/>
    <mergeCell ref="U1079:V1079"/>
    <mergeCell ref="W1079:X1079"/>
    <mergeCell ref="A1073:B1073"/>
    <mergeCell ref="C1073:G1073"/>
    <mergeCell ref="I1073:J1073"/>
    <mergeCell ref="K1073:L1073"/>
    <mergeCell ref="M1073:N1073"/>
    <mergeCell ref="O1073:P1073"/>
    <mergeCell ref="Q1073:R1073"/>
    <mergeCell ref="U1073:V1073"/>
    <mergeCell ref="W1073:X1073"/>
    <mergeCell ref="A1075:B1075"/>
    <mergeCell ref="C1075:G1075"/>
    <mergeCell ref="I1075:J1075"/>
    <mergeCell ref="K1075:L1075"/>
    <mergeCell ref="M1075:N1075"/>
    <mergeCell ref="O1075:P1075"/>
    <mergeCell ref="Q1075:R1075"/>
    <mergeCell ref="U1075:V1075"/>
    <mergeCell ref="W1075:X1075"/>
    <mergeCell ref="A1069:B1069"/>
    <mergeCell ref="C1069:G1069"/>
    <mergeCell ref="I1069:J1069"/>
    <mergeCell ref="K1069:L1069"/>
    <mergeCell ref="M1069:N1069"/>
    <mergeCell ref="O1069:P1069"/>
    <mergeCell ref="Q1069:R1069"/>
    <mergeCell ref="U1069:V1069"/>
    <mergeCell ref="W1069:X1069"/>
    <mergeCell ref="A1071:B1071"/>
    <mergeCell ref="C1071:G1071"/>
    <mergeCell ref="I1071:J1071"/>
    <mergeCell ref="K1071:L1071"/>
    <mergeCell ref="M1071:N1071"/>
    <mergeCell ref="O1071:P1071"/>
    <mergeCell ref="Q1071:R1071"/>
    <mergeCell ref="U1071:V1071"/>
    <mergeCell ref="W1071:X1071"/>
    <mergeCell ref="A1065:B1065"/>
    <mergeCell ref="C1065:G1065"/>
    <mergeCell ref="I1065:J1065"/>
    <mergeCell ref="K1065:L1065"/>
    <mergeCell ref="M1065:N1065"/>
    <mergeCell ref="O1065:P1065"/>
    <mergeCell ref="Q1065:R1065"/>
    <mergeCell ref="U1065:V1065"/>
    <mergeCell ref="W1065:X1065"/>
    <mergeCell ref="A1067:B1067"/>
    <mergeCell ref="C1067:G1067"/>
    <mergeCell ref="I1067:J1067"/>
    <mergeCell ref="K1067:L1067"/>
    <mergeCell ref="M1067:N1067"/>
    <mergeCell ref="O1067:P1067"/>
    <mergeCell ref="Q1067:R1067"/>
    <mergeCell ref="U1067:V1067"/>
    <mergeCell ref="W1067:X1067"/>
    <mergeCell ref="A1061:B1061"/>
    <mergeCell ref="C1061:G1061"/>
    <mergeCell ref="I1061:J1061"/>
    <mergeCell ref="K1061:L1061"/>
    <mergeCell ref="M1061:N1061"/>
    <mergeCell ref="O1061:P1061"/>
    <mergeCell ref="Q1061:R1061"/>
    <mergeCell ref="U1061:V1061"/>
    <mergeCell ref="W1061:X1061"/>
    <mergeCell ref="A1063:B1063"/>
    <mergeCell ref="C1063:G1063"/>
    <mergeCell ref="I1063:J1063"/>
    <mergeCell ref="K1063:L1063"/>
    <mergeCell ref="M1063:N1063"/>
    <mergeCell ref="O1063:P1063"/>
    <mergeCell ref="Q1063:R1063"/>
    <mergeCell ref="U1063:V1063"/>
    <mergeCell ref="W1063:X1063"/>
    <mergeCell ref="A1056:B1056"/>
    <mergeCell ref="C1056:G1056"/>
    <mergeCell ref="I1056:J1056"/>
    <mergeCell ref="K1056:L1056"/>
    <mergeCell ref="M1056:N1056"/>
    <mergeCell ref="O1056:P1056"/>
    <mergeCell ref="Q1056:R1056"/>
    <mergeCell ref="U1056:V1056"/>
    <mergeCell ref="W1056:X1056"/>
    <mergeCell ref="A1057:B1057"/>
    <mergeCell ref="D1057:V1057"/>
    <mergeCell ref="A1059:B1059"/>
    <mergeCell ref="C1059:G1059"/>
    <mergeCell ref="I1059:J1059"/>
    <mergeCell ref="K1059:L1059"/>
    <mergeCell ref="M1059:N1059"/>
    <mergeCell ref="O1059:P1059"/>
    <mergeCell ref="Q1059:R1059"/>
    <mergeCell ref="U1059:V1059"/>
    <mergeCell ref="W1059:X1059"/>
    <mergeCell ref="A1052:B1052"/>
    <mergeCell ref="C1052:G1052"/>
    <mergeCell ref="I1052:J1052"/>
    <mergeCell ref="K1052:L1052"/>
    <mergeCell ref="M1052:N1052"/>
    <mergeCell ref="O1052:P1052"/>
    <mergeCell ref="Q1052:R1052"/>
    <mergeCell ref="U1052:V1052"/>
    <mergeCell ref="W1052:X1052"/>
    <mergeCell ref="A1054:B1054"/>
    <mergeCell ref="C1054:G1054"/>
    <mergeCell ref="I1054:J1054"/>
    <mergeCell ref="K1054:L1054"/>
    <mergeCell ref="M1054:N1054"/>
    <mergeCell ref="O1054:P1054"/>
    <mergeCell ref="Q1054:R1054"/>
    <mergeCell ref="U1054:V1054"/>
    <mergeCell ref="W1054:X1054"/>
    <mergeCell ref="A1048:B1048"/>
    <mergeCell ref="C1048:G1048"/>
    <mergeCell ref="I1048:J1048"/>
    <mergeCell ref="K1048:L1048"/>
    <mergeCell ref="M1048:N1048"/>
    <mergeCell ref="O1048:P1048"/>
    <mergeCell ref="Q1048:R1048"/>
    <mergeCell ref="U1048:V1048"/>
    <mergeCell ref="W1048:X1048"/>
    <mergeCell ref="A1050:B1050"/>
    <mergeCell ref="C1050:G1050"/>
    <mergeCell ref="I1050:J1050"/>
    <mergeCell ref="K1050:L1050"/>
    <mergeCell ref="M1050:N1050"/>
    <mergeCell ref="O1050:P1050"/>
    <mergeCell ref="Q1050:R1050"/>
    <mergeCell ref="U1050:V1050"/>
    <mergeCell ref="W1050:X1050"/>
    <mergeCell ref="A1044:B1044"/>
    <mergeCell ref="C1044:G1044"/>
    <mergeCell ref="I1044:J1044"/>
    <mergeCell ref="K1044:L1044"/>
    <mergeCell ref="M1044:N1044"/>
    <mergeCell ref="O1044:P1044"/>
    <mergeCell ref="Q1044:R1044"/>
    <mergeCell ref="U1044:V1044"/>
    <mergeCell ref="W1044:X1044"/>
    <mergeCell ref="A1046:B1046"/>
    <mergeCell ref="C1046:G1047"/>
    <mergeCell ref="I1046:J1046"/>
    <mergeCell ref="K1046:L1046"/>
    <mergeCell ref="M1046:N1046"/>
    <mergeCell ref="O1046:P1046"/>
    <mergeCell ref="Q1046:R1046"/>
    <mergeCell ref="U1046:V1046"/>
    <mergeCell ref="W1046:X1046"/>
    <mergeCell ref="A1040:B1040"/>
    <mergeCell ref="C1040:G1040"/>
    <mergeCell ref="I1040:J1040"/>
    <mergeCell ref="K1040:L1040"/>
    <mergeCell ref="M1040:N1040"/>
    <mergeCell ref="O1040:P1040"/>
    <mergeCell ref="Q1040:R1040"/>
    <mergeCell ref="U1040:V1040"/>
    <mergeCell ref="W1040:X1040"/>
    <mergeCell ref="A1042:B1042"/>
    <mergeCell ref="C1042:G1042"/>
    <mergeCell ref="I1042:J1042"/>
    <mergeCell ref="K1042:L1042"/>
    <mergeCell ref="M1042:N1042"/>
    <mergeCell ref="O1042:P1042"/>
    <mergeCell ref="Q1042:R1042"/>
    <mergeCell ref="U1042:V1042"/>
    <mergeCell ref="W1042:X1042"/>
    <mergeCell ref="A1036:B1036"/>
    <mergeCell ref="C1036:G1036"/>
    <mergeCell ref="I1036:J1036"/>
    <mergeCell ref="K1036:L1036"/>
    <mergeCell ref="M1036:N1036"/>
    <mergeCell ref="O1036:P1036"/>
    <mergeCell ref="Q1036:R1036"/>
    <mergeCell ref="U1036:V1036"/>
    <mergeCell ref="W1036:X1036"/>
    <mergeCell ref="A1038:B1038"/>
    <mergeCell ref="C1038:G1038"/>
    <mergeCell ref="I1038:J1038"/>
    <mergeCell ref="K1038:L1038"/>
    <mergeCell ref="M1038:N1038"/>
    <mergeCell ref="O1038:P1038"/>
    <mergeCell ref="Q1038:R1038"/>
    <mergeCell ref="U1038:V1038"/>
    <mergeCell ref="W1038:X1038"/>
    <mergeCell ref="A1032:B1032"/>
    <mergeCell ref="C1032:G1032"/>
    <mergeCell ref="I1032:J1032"/>
    <mergeCell ref="K1032:L1032"/>
    <mergeCell ref="M1032:N1032"/>
    <mergeCell ref="O1032:P1032"/>
    <mergeCell ref="Q1032:R1032"/>
    <mergeCell ref="U1032:V1032"/>
    <mergeCell ref="W1032:X1032"/>
    <mergeCell ref="A1034:B1034"/>
    <mergeCell ref="C1034:G1034"/>
    <mergeCell ref="I1034:J1034"/>
    <mergeCell ref="K1034:L1034"/>
    <mergeCell ref="M1034:N1034"/>
    <mergeCell ref="O1034:P1034"/>
    <mergeCell ref="Q1034:R1034"/>
    <mergeCell ref="U1034:V1034"/>
    <mergeCell ref="W1034:X1034"/>
    <mergeCell ref="A1028:B1028"/>
    <mergeCell ref="C1028:G1028"/>
    <mergeCell ref="I1028:J1028"/>
    <mergeCell ref="K1028:L1028"/>
    <mergeCell ref="M1028:N1028"/>
    <mergeCell ref="O1028:P1028"/>
    <mergeCell ref="Q1028:R1028"/>
    <mergeCell ref="U1028:V1028"/>
    <mergeCell ref="W1028:X1028"/>
    <mergeCell ref="A1030:B1030"/>
    <mergeCell ref="C1030:G1031"/>
    <mergeCell ref="I1030:J1030"/>
    <mergeCell ref="K1030:L1030"/>
    <mergeCell ref="M1030:N1030"/>
    <mergeCell ref="O1030:P1030"/>
    <mergeCell ref="Q1030:R1030"/>
    <mergeCell ref="U1030:V1030"/>
    <mergeCell ref="W1030:X1030"/>
    <mergeCell ref="A1024:B1024"/>
    <mergeCell ref="C1024:G1025"/>
    <mergeCell ref="I1024:J1024"/>
    <mergeCell ref="K1024:L1024"/>
    <mergeCell ref="M1024:N1024"/>
    <mergeCell ref="O1024:P1024"/>
    <mergeCell ref="Q1024:R1024"/>
    <mergeCell ref="U1024:V1024"/>
    <mergeCell ref="W1024:X1024"/>
    <mergeCell ref="A1026:B1026"/>
    <mergeCell ref="C1026:G1026"/>
    <mergeCell ref="I1026:J1026"/>
    <mergeCell ref="K1026:L1026"/>
    <mergeCell ref="M1026:N1026"/>
    <mergeCell ref="O1026:P1026"/>
    <mergeCell ref="Q1026:R1026"/>
    <mergeCell ref="U1026:V1026"/>
    <mergeCell ref="W1026:X1026"/>
    <mergeCell ref="A1020:B1020"/>
    <mergeCell ref="C1020:G1020"/>
    <mergeCell ref="I1020:J1020"/>
    <mergeCell ref="K1020:L1020"/>
    <mergeCell ref="M1020:N1020"/>
    <mergeCell ref="O1020:P1020"/>
    <mergeCell ref="Q1020:R1020"/>
    <mergeCell ref="U1020:V1020"/>
    <mergeCell ref="W1020:X1020"/>
    <mergeCell ref="A1022:B1022"/>
    <mergeCell ref="C1022:G1022"/>
    <mergeCell ref="I1022:J1022"/>
    <mergeCell ref="K1022:L1022"/>
    <mergeCell ref="M1022:N1022"/>
    <mergeCell ref="O1022:P1022"/>
    <mergeCell ref="Q1022:R1022"/>
    <mergeCell ref="U1022:V1022"/>
    <mergeCell ref="W1022:X1022"/>
    <mergeCell ref="A1016:B1016"/>
    <mergeCell ref="C1016:G1016"/>
    <mergeCell ref="I1016:J1016"/>
    <mergeCell ref="K1016:L1016"/>
    <mergeCell ref="M1016:N1016"/>
    <mergeCell ref="O1016:P1016"/>
    <mergeCell ref="Q1016:R1016"/>
    <mergeCell ref="U1016:V1016"/>
    <mergeCell ref="W1016:X1016"/>
    <mergeCell ref="A1018:B1018"/>
    <mergeCell ref="C1018:G1018"/>
    <mergeCell ref="I1018:J1018"/>
    <mergeCell ref="K1018:L1018"/>
    <mergeCell ref="M1018:N1018"/>
    <mergeCell ref="O1018:P1018"/>
    <mergeCell ref="Q1018:R1018"/>
    <mergeCell ref="U1018:V1018"/>
    <mergeCell ref="W1018:X1018"/>
    <mergeCell ref="A1012:B1012"/>
    <mergeCell ref="C1012:G1012"/>
    <mergeCell ref="I1012:J1012"/>
    <mergeCell ref="K1012:L1012"/>
    <mergeCell ref="M1012:N1012"/>
    <mergeCell ref="O1012:P1012"/>
    <mergeCell ref="Q1012:R1012"/>
    <mergeCell ref="U1012:V1012"/>
    <mergeCell ref="W1012:X1012"/>
    <mergeCell ref="A1014:B1014"/>
    <mergeCell ref="C1014:G1014"/>
    <mergeCell ref="I1014:J1014"/>
    <mergeCell ref="K1014:L1014"/>
    <mergeCell ref="M1014:N1014"/>
    <mergeCell ref="O1014:P1014"/>
    <mergeCell ref="Q1014:R1014"/>
    <mergeCell ref="U1014:V1014"/>
    <mergeCell ref="W1014:X1014"/>
    <mergeCell ref="A1008:B1008"/>
    <mergeCell ref="C1008:G1008"/>
    <mergeCell ref="I1008:J1008"/>
    <mergeCell ref="K1008:L1008"/>
    <mergeCell ref="M1008:N1008"/>
    <mergeCell ref="O1008:P1008"/>
    <mergeCell ref="Q1008:R1008"/>
    <mergeCell ref="U1008:V1008"/>
    <mergeCell ref="W1008:X1008"/>
    <mergeCell ref="A1010:B1010"/>
    <mergeCell ref="C1010:G1010"/>
    <mergeCell ref="I1010:J1010"/>
    <mergeCell ref="K1010:L1010"/>
    <mergeCell ref="M1010:N1010"/>
    <mergeCell ref="O1010:P1010"/>
    <mergeCell ref="Q1010:R1010"/>
    <mergeCell ref="U1010:V1010"/>
    <mergeCell ref="W1010:X1010"/>
    <mergeCell ref="A1004:B1004"/>
    <mergeCell ref="C1004:G1004"/>
    <mergeCell ref="I1004:J1004"/>
    <mergeCell ref="K1004:L1004"/>
    <mergeCell ref="M1004:N1004"/>
    <mergeCell ref="O1004:P1004"/>
    <mergeCell ref="Q1004:R1004"/>
    <mergeCell ref="U1004:V1004"/>
    <mergeCell ref="W1004:X1004"/>
    <mergeCell ref="A1006:B1006"/>
    <mergeCell ref="C1006:G1006"/>
    <mergeCell ref="I1006:J1006"/>
    <mergeCell ref="K1006:L1006"/>
    <mergeCell ref="M1006:N1006"/>
    <mergeCell ref="O1006:P1006"/>
    <mergeCell ref="Q1006:R1006"/>
    <mergeCell ref="U1006:V1006"/>
    <mergeCell ref="W1006:X1006"/>
    <mergeCell ref="A1000:B1000"/>
    <mergeCell ref="C1000:G1000"/>
    <mergeCell ref="I1000:J1000"/>
    <mergeCell ref="K1000:L1000"/>
    <mergeCell ref="M1000:N1000"/>
    <mergeCell ref="O1000:P1000"/>
    <mergeCell ref="Q1000:R1000"/>
    <mergeCell ref="U1000:V1000"/>
    <mergeCell ref="W1000:X1000"/>
    <mergeCell ref="A1002:B1002"/>
    <mergeCell ref="C1002:G1002"/>
    <mergeCell ref="I1002:J1002"/>
    <mergeCell ref="K1002:L1002"/>
    <mergeCell ref="M1002:N1002"/>
    <mergeCell ref="O1002:P1002"/>
    <mergeCell ref="Q1002:R1002"/>
    <mergeCell ref="U1002:V1002"/>
    <mergeCell ref="W1002:X1002"/>
    <mergeCell ref="A996:B996"/>
    <mergeCell ref="C996:G996"/>
    <mergeCell ref="I996:J996"/>
    <mergeCell ref="K996:L996"/>
    <mergeCell ref="M996:N996"/>
    <mergeCell ref="O996:P996"/>
    <mergeCell ref="Q996:R996"/>
    <mergeCell ref="U996:V996"/>
    <mergeCell ref="W996:X996"/>
    <mergeCell ref="A998:B998"/>
    <mergeCell ref="C998:G998"/>
    <mergeCell ref="I998:J998"/>
    <mergeCell ref="K998:L998"/>
    <mergeCell ref="M998:N998"/>
    <mergeCell ref="O998:P998"/>
    <mergeCell ref="Q998:R998"/>
    <mergeCell ref="U998:V998"/>
    <mergeCell ref="W998:X998"/>
    <mergeCell ref="A992:B992"/>
    <mergeCell ref="C992:G992"/>
    <mergeCell ref="I992:J992"/>
    <mergeCell ref="K992:L992"/>
    <mergeCell ref="M992:N992"/>
    <mergeCell ref="O992:P992"/>
    <mergeCell ref="Q992:R992"/>
    <mergeCell ref="U992:V992"/>
    <mergeCell ref="W992:X992"/>
    <mergeCell ref="A994:B994"/>
    <mergeCell ref="C994:G994"/>
    <mergeCell ref="I994:J994"/>
    <mergeCell ref="K994:L994"/>
    <mergeCell ref="M994:N994"/>
    <mergeCell ref="O994:P994"/>
    <mergeCell ref="Q994:R994"/>
    <mergeCell ref="U994:V994"/>
    <mergeCell ref="W994:X994"/>
    <mergeCell ref="A986:B986"/>
    <mergeCell ref="D986:V986"/>
    <mergeCell ref="A988:B988"/>
    <mergeCell ref="C988:G988"/>
    <mergeCell ref="I988:J988"/>
    <mergeCell ref="K988:L988"/>
    <mergeCell ref="M988:N988"/>
    <mergeCell ref="O988:P988"/>
    <mergeCell ref="Q988:R988"/>
    <mergeCell ref="U988:V988"/>
    <mergeCell ref="W988:X988"/>
    <mergeCell ref="A990:B990"/>
    <mergeCell ref="C990:G990"/>
    <mergeCell ref="I990:J990"/>
    <mergeCell ref="K990:L990"/>
    <mergeCell ref="M990:N990"/>
    <mergeCell ref="O990:P990"/>
    <mergeCell ref="Q990:R990"/>
    <mergeCell ref="U990:V990"/>
    <mergeCell ref="W990:X990"/>
    <mergeCell ref="A983:B983"/>
    <mergeCell ref="C983:G983"/>
    <mergeCell ref="I983:J983"/>
    <mergeCell ref="K983:L983"/>
    <mergeCell ref="M983:N983"/>
    <mergeCell ref="O983:P983"/>
    <mergeCell ref="Q983:R983"/>
    <mergeCell ref="U983:V983"/>
    <mergeCell ref="W983:X983"/>
    <mergeCell ref="A985:B985"/>
    <mergeCell ref="C985:G985"/>
    <mergeCell ref="I985:J985"/>
    <mergeCell ref="K985:L985"/>
    <mergeCell ref="M985:N985"/>
    <mergeCell ref="O985:P985"/>
    <mergeCell ref="Q985:R985"/>
    <mergeCell ref="U985:V985"/>
    <mergeCell ref="W985:X985"/>
    <mergeCell ref="A979:B979"/>
    <mergeCell ref="C979:G979"/>
    <mergeCell ref="I979:J979"/>
    <mergeCell ref="K979:L979"/>
    <mergeCell ref="M979:N979"/>
    <mergeCell ref="O979:P979"/>
    <mergeCell ref="Q979:R979"/>
    <mergeCell ref="U979:V979"/>
    <mergeCell ref="W979:X979"/>
    <mergeCell ref="A981:B981"/>
    <mergeCell ref="C981:G981"/>
    <mergeCell ref="I981:J981"/>
    <mergeCell ref="K981:L981"/>
    <mergeCell ref="M981:N981"/>
    <mergeCell ref="O981:P981"/>
    <mergeCell ref="Q981:R981"/>
    <mergeCell ref="U981:V981"/>
    <mergeCell ref="W981:X981"/>
    <mergeCell ref="A975:B975"/>
    <mergeCell ref="C975:G975"/>
    <mergeCell ref="I975:J975"/>
    <mergeCell ref="K975:L975"/>
    <mergeCell ref="M975:N975"/>
    <mergeCell ref="O975:P975"/>
    <mergeCell ref="Q975:R975"/>
    <mergeCell ref="U975:V975"/>
    <mergeCell ref="W975:X975"/>
    <mergeCell ref="A977:B977"/>
    <mergeCell ref="C977:G977"/>
    <mergeCell ref="I977:J977"/>
    <mergeCell ref="K977:L977"/>
    <mergeCell ref="M977:N977"/>
    <mergeCell ref="O977:P977"/>
    <mergeCell ref="Q977:R977"/>
    <mergeCell ref="U977:V977"/>
    <mergeCell ref="W977:X977"/>
    <mergeCell ref="A971:B971"/>
    <mergeCell ref="C971:G971"/>
    <mergeCell ref="I971:J971"/>
    <mergeCell ref="K971:L971"/>
    <mergeCell ref="M971:N971"/>
    <mergeCell ref="O971:P971"/>
    <mergeCell ref="Q971:R971"/>
    <mergeCell ref="U971:V971"/>
    <mergeCell ref="W971:X971"/>
    <mergeCell ref="A973:B973"/>
    <mergeCell ref="C973:G973"/>
    <mergeCell ref="I973:J973"/>
    <mergeCell ref="K973:L973"/>
    <mergeCell ref="M973:N973"/>
    <mergeCell ref="O973:P973"/>
    <mergeCell ref="Q973:R973"/>
    <mergeCell ref="U973:V973"/>
    <mergeCell ref="W973:X973"/>
    <mergeCell ref="A967:B967"/>
    <mergeCell ref="C967:G967"/>
    <mergeCell ref="I967:J967"/>
    <mergeCell ref="K967:L967"/>
    <mergeCell ref="M967:N967"/>
    <mergeCell ref="O967:P967"/>
    <mergeCell ref="Q967:R967"/>
    <mergeCell ref="U967:V967"/>
    <mergeCell ref="W967:X967"/>
    <mergeCell ref="A969:B969"/>
    <mergeCell ref="C969:G969"/>
    <mergeCell ref="I969:J969"/>
    <mergeCell ref="K969:L969"/>
    <mergeCell ref="M969:N969"/>
    <mergeCell ref="O969:P969"/>
    <mergeCell ref="Q969:R969"/>
    <mergeCell ref="U969:V969"/>
    <mergeCell ref="W969:X969"/>
    <mergeCell ref="A963:B963"/>
    <mergeCell ref="C963:G963"/>
    <mergeCell ref="I963:J963"/>
    <mergeCell ref="K963:L963"/>
    <mergeCell ref="M963:N963"/>
    <mergeCell ref="O963:P963"/>
    <mergeCell ref="Q963:R963"/>
    <mergeCell ref="U963:V963"/>
    <mergeCell ref="W963:X963"/>
    <mergeCell ref="A965:B965"/>
    <mergeCell ref="C965:G965"/>
    <mergeCell ref="I965:J965"/>
    <mergeCell ref="K965:L965"/>
    <mergeCell ref="M965:N965"/>
    <mergeCell ref="O965:P965"/>
    <mergeCell ref="Q965:R965"/>
    <mergeCell ref="U965:V965"/>
    <mergeCell ref="W965:X965"/>
    <mergeCell ref="A959:B959"/>
    <mergeCell ref="C959:G959"/>
    <mergeCell ref="I959:J959"/>
    <mergeCell ref="K959:L959"/>
    <mergeCell ref="M959:N959"/>
    <mergeCell ref="O959:P959"/>
    <mergeCell ref="Q959:R959"/>
    <mergeCell ref="U959:V959"/>
    <mergeCell ref="W959:X959"/>
    <mergeCell ref="A961:B961"/>
    <mergeCell ref="C961:G961"/>
    <mergeCell ref="I961:J961"/>
    <mergeCell ref="K961:L961"/>
    <mergeCell ref="M961:N961"/>
    <mergeCell ref="O961:P961"/>
    <mergeCell ref="Q961:R961"/>
    <mergeCell ref="U961:V961"/>
    <mergeCell ref="W961:X961"/>
    <mergeCell ref="A955:B955"/>
    <mergeCell ref="C955:G955"/>
    <mergeCell ref="I955:J955"/>
    <mergeCell ref="K955:L955"/>
    <mergeCell ref="M955:N955"/>
    <mergeCell ref="O955:P955"/>
    <mergeCell ref="Q955:R955"/>
    <mergeCell ref="U955:V955"/>
    <mergeCell ref="W955:X955"/>
    <mergeCell ref="A957:B957"/>
    <mergeCell ref="C957:G957"/>
    <mergeCell ref="I957:J957"/>
    <mergeCell ref="K957:L957"/>
    <mergeCell ref="M957:N957"/>
    <mergeCell ref="O957:P957"/>
    <mergeCell ref="Q957:R957"/>
    <mergeCell ref="U957:V957"/>
    <mergeCell ref="W957:X957"/>
    <mergeCell ref="A951:B951"/>
    <mergeCell ref="C951:G951"/>
    <mergeCell ref="I951:J951"/>
    <mergeCell ref="K951:L951"/>
    <mergeCell ref="M951:N951"/>
    <mergeCell ref="O951:P951"/>
    <mergeCell ref="Q951:R951"/>
    <mergeCell ref="U951:V951"/>
    <mergeCell ref="W951:X951"/>
    <mergeCell ref="A953:B953"/>
    <mergeCell ref="C953:G953"/>
    <mergeCell ref="I953:J953"/>
    <mergeCell ref="K953:L953"/>
    <mergeCell ref="M953:N953"/>
    <mergeCell ref="O953:P953"/>
    <mergeCell ref="Q953:R953"/>
    <mergeCell ref="U953:V953"/>
    <mergeCell ref="W953:X953"/>
    <mergeCell ref="A947:B947"/>
    <mergeCell ref="C947:G947"/>
    <mergeCell ref="I947:J947"/>
    <mergeCell ref="K947:L947"/>
    <mergeCell ref="M947:N947"/>
    <mergeCell ref="O947:P947"/>
    <mergeCell ref="Q947:R947"/>
    <mergeCell ref="U947:V947"/>
    <mergeCell ref="W947:X947"/>
    <mergeCell ref="A949:B949"/>
    <mergeCell ref="C949:G949"/>
    <mergeCell ref="I949:J949"/>
    <mergeCell ref="K949:L949"/>
    <mergeCell ref="M949:N949"/>
    <mergeCell ref="O949:P949"/>
    <mergeCell ref="Q949:R949"/>
    <mergeCell ref="U949:V949"/>
    <mergeCell ref="W949:X949"/>
    <mergeCell ref="A943:B943"/>
    <mergeCell ref="C943:G943"/>
    <mergeCell ref="I943:J943"/>
    <mergeCell ref="K943:L943"/>
    <mergeCell ref="M943:N943"/>
    <mergeCell ref="O943:P943"/>
    <mergeCell ref="Q943:R943"/>
    <mergeCell ref="U943:V943"/>
    <mergeCell ref="W943:X943"/>
    <mergeCell ref="A945:B945"/>
    <mergeCell ref="C945:G945"/>
    <mergeCell ref="I945:J945"/>
    <mergeCell ref="K945:L945"/>
    <mergeCell ref="M945:N945"/>
    <mergeCell ref="O945:P945"/>
    <mergeCell ref="Q945:R945"/>
    <mergeCell ref="U945:V945"/>
    <mergeCell ref="W945:X945"/>
    <mergeCell ref="A939:B939"/>
    <mergeCell ref="C939:G939"/>
    <mergeCell ref="I939:J939"/>
    <mergeCell ref="K939:L939"/>
    <mergeCell ref="M939:N939"/>
    <mergeCell ref="O939:P939"/>
    <mergeCell ref="Q939:R939"/>
    <mergeCell ref="U939:V939"/>
    <mergeCell ref="W939:X939"/>
    <mergeCell ref="A941:B941"/>
    <mergeCell ref="C941:G941"/>
    <mergeCell ref="I941:J941"/>
    <mergeCell ref="K941:L941"/>
    <mergeCell ref="M941:N941"/>
    <mergeCell ref="O941:P941"/>
    <mergeCell ref="Q941:R941"/>
    <mergeCell ref="U941:V941"/>
    <mergeCell ref="W941:X941"/>
    <mergeCell ref="A935:B935"/>
    <mergeCell ref="C935:G935"/>
    <mergeCell ref="I935:J935"/>
    <mergeCell ref="K935:L935"/>
    <mergeCell ref="M935:N935"/>
    <mergeCell ref="O935:P935"/>
    <mergeCell ref="Q935:R935"/>
    <mergeCell ref="U935:V935"/>
    <mergeCell ref="W935:X935"/>
    <mergeCell ref="A937:B937"/>
    <mergeCell ref="C937:G937"/>
    <mergeCell ref="I937:J937"/>
    <mergeCell ref="K937:L937"/>
    <mergeCell ref="M937:N937"/>
    <mergeCell ref="O937:P937"/>
    <mergeCell ref="Q937:R937"/>
    <mergeCell ref="U937:V937"/>
    <mergeCell ref="W937:X937"/>
    <mergeCell ref="A931:B931"/>
    <mergeCell ref="C931:G931"/>
    <mergeCell ref="I931:J931"/>
    <mergeCell ref="K931:L931"/>
    <mergeCell ref="M931:N931"/>
    <mergeCell ref="O931:P931"/>
    <mergeCell ref="Q931:R931"/>
    <mergeCell ref="U931:V931"/>
    <mergeCell ref="W931:X931"/>
    <mergeCell ref="A933:B933"/>
    <mergeCell ref="C933:G933"/>
    <mergeCell ref="I933:J933"/>
    <mergeCell ref="K933:L933"/>
    <mergeCell ref="M933:N933"/>
    <mergeCell ref="O933:P933"/>
    <mergeCell ref="Q933:R933"/>
    <mergeCell ref="U933:V933"/>
    <mergeCell ref="W933:X933"/>
    <mergeCell ref="A927:B927"/>
    <mergeCell ref="C927:G927"/>
    <mergeCell ref="I927:J927"/>
    <mergeCell ref="K927:L927"/>
    <mergeCell ref="M927:N927"/>
    <mergeCell ref="O927:P927"/>
    <mergeCell ref="Q927:R927"/>
    <mergeCell ref="U927:V927"/>
    <mergeCell ref="W927:X927"/>
    <mergeCell ref="A929:B929"/>
    <mergeCell ref="C929:G929"/>
    <mergeCell ref="I929:J929"/>
    <mergeCell ref="K929:L929"/>
    <mergeCell ref="M929:N929"/>
    <mergeCell ref="O929:P929"/>
    <mergeCell ref="Q929:R929"/>
    <mergeCell ref="U929:V929"/>
    <mergeCell ref="W929:X929"/>
    <mergeCell ref="A923:B923"/>
    <mergeCell ref="C923:G923"/>
    <mergeCell ref="I923:J923"/>
    <mergeCell ref="K923:L923"/>
    <mergeCell ref="M923:N923"/>
    <mergeCell ref="O923:P923"/>
    <mergeCell ref="Q923:R923"/>
    <mergeCell ref="U923:V923"/>
    <mergeCell ref="W923:X923"/>
    <mergeCell ref="A925:B925"/>
    <mergeCell ref="C925:G925"/>
    <mergeCell ref="I925:J925"/>
    <mergeCell ref="K925:L925"/>
    <mergeCell ref="M925:N925"/>
    <mergeCell ref="O925:P925"/>
    <mergeCell ref="Q925:R925"/>
    <mergeCell ref="U925:V925"/>
    <mergeCell ref="W925:X925"/>
    <mergeCell ref="A919:B919"/>
    <mergeCell ref="C919:G919"/>
    <mergeCell ref="I919:J919"/>
    <mergeCell ref="K919:L919"/>
    <mergeCell ref="M919:N919"/>
    <mergeCell ref="O919:P919"/>
    <mergeCell ref="Q919:R919"/>
    <mergeCell ref="U919:V919"/>
    <mergeCell ref="W919:X919"/>
    <mergeCell ref="A921:B921"/>
    <mergeCell ref="C921:G921"/>
    <mergeCell ref="I921:J921"/>
    <mergeCell ref="K921:L921"/>
    <mergeCell ref="M921:N921"/>
    <mergeCell ref="O921:P921"/>
    <mergeCell ref="Q921:R921"/>
    <mergeCell ref="U921:V921"/>
    <mergeCell ref="W921:X921"/>
    <mergeCell ref="A915:B915"/>
    <mergeCell ref="C915:G915"/>
    <mergeCell ref="I915:J915"/>
    <mergeCell ref="K915:L915"/>
    <mergeCell ref="M915:N915"/>
    <mergeCell ref="O915:P915"/>
    <mergeCell ref="Q915:R915"/>
    <mergeCell ref="U915:V915"/>
    <mergeCell ref="W915:X915"/>
    <mergeCell ref="A917:B917"/>
    <mergeCell ref="C917:G917"/>
    <mergeCell ref="I917:J917"/>
    <mergeCell ref="K917:L917"/>
    <mergeCell ref="M917:N917"/>
    <mergeCell ref="O917:P917"/>
    <mergeCell ref="Q917:R917"/>
    <mergeCell ref="U917:V917"/>
    <mergeCell ref="W917:X917"/>
    <mergeCell ref="A910:B910"/>
    <mergeCell ref="C910:G910"/>
    <mergeCell ref="I910:J910"/>
    <mergeCell ref="K910:L910"/>
    <mergeCell ref="M910:N910"/>
    <mergeCell ref="O910:P910"/>
    <mergeCell ref="Q910:R910"/>
    <mergeCell ref="U910:V910"/>
    <mergeCell ref="W910:X910"/>
    <mergeCell ref="A911:B911"/>
    <mergeCell ref="D911:V911"/>
    <mergeCell ref="A913:B913"/>
    <mergeCell ref="C913:G913"/>
    <mergeCell ref="I913:J913"/>
    <mergeCell ref="K913:L913"/>
    <mergeCell ref="M913:N913"/>
    <mergeCell ref="O913:P913"/>
    <mergeCell ref="Q913:R913"/>
    <mergeCell ref="U913:V913"/>
    <mergeCell ref="W913:X913"/>
    <mergeCell ref="A906:B906"/>
    <mergeCell ref="C906:G906"/>
    <mergeCell ref="I906:J906"/>
    <mergeCell ref="K906:L906"/>
    <mergeCell ref="M906:N906"/>
    <mergeCell ref="O906:P906"/>
    <mergeCell ref="Q906:R906"/>
    <mergeCell ref="U906:V906"/>
    <mergeCell ref="W906:X906"/>
    <mergeCell ref="A908:B908"/>
    <mergeCell ref="C908:G908"/>
    <mergeCell ref="I908:J908"/>
    <mergeCell ref="K908:L908"/>
    <mergeCell ref="M908:N908"/>
    <mergeCell ref="O908:P908"/>
    <mergeCell ref="Q908:R908"/>
    <mergeCell ref="U908:V908"/>
    <mergeCell ref="W908:X908"/>
    <mergeCell ref="A902:B902"/>
    <mergeCell ref="C902:G902"/>
    <mergeCell ref="I902:J902"/>
    <mergeCell ref="K902:L902"/>
    <mergeCell ref="M902:N902"/>
    <mergeCell ref="O902:P902"/>
    <mergeCell ref="Q902:R902"/>
    <mergeCell ref="U902:V902"/>
    <mergeCell ref="W902:X902"/>
    <mergeCell ref="A904:B904"/>
    <mergeCell ref="C904:G904"/>
    <mergeCell ref="I904:J904"/>
    <mergeCell ref="K904:L904"/>
    <mergeCell ref="M904:N904"/>
    <mergeCell ref="O904:P904"/>
    <mergeCell ref="Q904:R904"/>
    <mergeCell ref="U904:V904"/>
    <mergeCell ref="W904:X904"/>
    <mergeCell ref="A898:B898"/>
    <mergeCell ref="C898:G899"/>
    <mergeCell ref="I898:J898"/>
    <mergeCell ref="K898:L898"/>
    <mergeCell ref="M898:N898"/>
    <mergeCell ref="O898:P898"/>
    <mergeCell ref="Q898:R898"/>
    <mergeCell ref="U898:V898"/>
    <mergeCell ref="W898:X898"/>
    <mergeCell ref="A900:B900"/>
    <mergeCell ref="C900:G900"/>
    <mergeCell ref="I900:J900"/>
    <mergeCell ref="K900:L900"/>
    <mergeCell ref="M900:N900"/>
    <mergeCell ref="O900:P900"/>
    <mergeCell ref="Q900:R900"/>
    <mergeCell ref="U900:V900"/>
    <mergeCell ref="W900:X900"/>
    <mergeCell ref="A894:B894"/>
    <mergeCell ref="C894:G894"/>
    <mergeCell ref="I894:J894"/>
    <mergeCell ref="K894:L894"/>
    <mergeCell ref="M894:N894"/>
    <mergeCell ref="O894:P894"/>
    <mergeCell ref="Q894:R894"/>
    <mergeCell ref="U894:V894"/>
    <mergeCell ref="W894:X894"/>
    <mergeCell ref="A896:B896"/>
    <mergeCell ref="C896:G896"/>
    <mergeCell ref="I896:J896"/>
    <mergeCell ref="K896:L896"/>
    <mergeCell ref="M896:N896"/>
    <mergeCell ref="O896:P896"/>
    <mergeCell ref="Q896:R896"/>
    <mergeCell ref="U896:V896"/>
    <mergeCell ref="W896:X896"/>
    <mergeCell ref="A890:B890"/>
    <mergeCell ref="C890:G890"/>
    <mergeCell ref="I890:J890"/>
    <mergeCell ref="K890:L890"/>
    <mergeCell ref="M890:N890"/>
    <mergeCell ref="O890:P890"/>
    <mergeCell ref="Q890:R890"/>
    <mergeCell ref="U890:V890"/>
    <mergeCell ref="W890:X890"/>
    <mergeCell ref="A892:B892"/>
    <mergeCell ref="C892:G892"/>
    <mergeCell ref="I892:J892"/>
    <mergeCell ref="K892:L892"/>
    <mergeCell ref="M892:N892"/>
    <mergeCell ref="O892:P892"/>
    <mergeCell ref="Q892:R892"/>
    <mergeCell ref="U892:V892"/>
    <mergeCell ref="W892:X892"/>
    <mergeCell ref="A886:B886"/>
    <mergeCell ref="C886:G886"/>
    <mergeCell ref="I886:J886"/>
    <mergeCell ref="K886:L886"/>
    <mergeCell ref="M886:N886"/>
    <mergeCell ref="O886:P886"/>
    <mergeCell ref="Q886:R886"/>
    <mergeCell ref="U886:V886"/>
    <mergeCell ref="W886:X886"/>
    <mergeCell ref="A888:B888"/>
    <mergeCell ref="C888:G888"/>
    <mergeCell ref="I888:J888"/>
    <mergeCell ref="K888:L888"/>
    <mergeCell ref="M888:N888"/>
    <mergeCell ref="O888:P888"/>
    <mergeCell ref="Q888:R888"/>
    <mergeCell ref="U888:V888"/>
    <mergeCell ref="W888:X888"/>
    <mergeCell ref="A882:B882"/>
    <mergeCell ref="C882:G882"/>
    <mergeCell ref="I882:J882"/>
    <mergeCell ref="K882:L882"/>
    <mergeCell ref="M882:N882"/>
    <mergeCell ref="O882:P882"/>
    <mergeCell ref="Q882:R882"/>
    <mergeCell ref="U882:V882"/>
    <mergeCell ref="W882:X882"/>
    <mergeCell ref="A884:B884"/>
    <mergeCell ref="C884:G884"/>
    <mergeCell ref="I884:J884"/>
    <mergeCell ref="K884:L884"/>
    <mergeCell ref="M884:N884"/>
    <mergeCell ref="O884:P884"/>
    <mergeCell ref="Q884:R884"/>
    <mergeCell ref="U884:V884"/>
    <mergeCell ref="W884:X884"/>
    <mergeCell ref="A878:B878"/>
    <mergeCell ref="C878:G879"/>
    <mergeCell ref="I878:J878"/>
    <mergeCell ref="K878:L878"/>
    <mergeCell ref="M878:N878"/>
    <mergeCell ref="O878:P878"/>
    <mergeCell ref="Q878:R878"/>
    <mergeCell ref="U878:V878"/>
    <mergeCell ref="W878:X878"/>
    <mergeCell ref="A880:B880"/>
    <mergeCell ref="C880:G880"/>
    <mergeCell ref="I880:J880"/>
    <mergeCell ref="K880:L880"/>
    <mergeCell ref="M880:N880"/>
    <mergeCell ref="O880:P880"/>
    <mergeCell ref="Q880:R880"/>
    <mergeCell ref="U880:V880"/>
    <mergeCell ref="W880:X880"/>
    <mergeCell ref="A874:B874"/>
    <mergeCell ref="C874:G875"/>
    <mergeCell ref="I874:J874"/>
    <mergeCell ref="K874:L874"/>
    <mergeCell ref="M874:N874"/>
    <mergeCell ref="O874:P874"/>
    <mergeCell ref="Q874:R874"/>
    <mergeCell ref="U874:V874"/>
    <mergeCell ref="W874:X874"/>
    <mergeCell ref="A876:B876"/>
    <mergeCell ref="C876:G876"/>
    <mergeCell ref="I876:J876"/>
    <mergeCell ref="K876:L876"/>
    <mergeCell ref="M876:N876"/>
    <mergeCell ref="O876:P876"/>
    <mergeCell ref="Q876:R876"/>
    <mergeCell ref="U876:V876"/>
    <mergeCell ref="W876:X876"/>
    <mergeCell ref="A870:B870"/>
    <mergeCell ref="C870:G870"/>
    <mergeCell ref="I870:J870"/>
    <mergeCell ref="K870:L870"/>
    <mergeCell ref="M870:N870"/>
    <mergeCell ref="O870:P870"/>
    <mergeCell ref="Q870:R870"/>
    <mergeCell ref="U870:V870"/>
    <mergeCell ref="W870:X870"/>
    <mergeCell ref="A872:B872"/>
    <mergeCell ref="C872:G872"/>
    <mergeCell ref="I872:J872"/>
    <mergeCell ref="K872:L872"/>
    <mergeCell ref="M872:N872"/>
    <mergeCell ref="O872:P872"/>
    <mergeCell ref="Q872:R872"/>
    <mergeCell ref="U872:V872"/>
    <mergeCell ref="W872:X872"/>
    <mergeCell ref="A866:B866"/>
    <mergeCell ref="C866:G866"/>
    <mergeCell ref="I866:J866"/>
    <mergeCell ref="K866:L866"/>
    <mergeCell ref="M866:N866"/>
    <mergeCell ref="O866:P866"/>
    <mergeCell ref="Q866:R866"/>
    <mergeCell ref="U866:V866"/>
    <mergeCell ref="W866:X866"/>
    <mergeCell ref="A868:B868"/>
    <mergeCell ref="C868:G869"/>
    <mergeCell ref="I868:J868"/>
    <mergeCell ref="K868:L868"/>
    <mergeCell ref="M868:N868"/>
    <mergeCell ref="O868:P868"/>
    <mergeCell ref="Q868:R868"/>
    <mergeCell ref="U868:V868"/>
    <mergeCell ref="W868:X868"/>
    <mergeCell ref="A862:B862"/>
    <mergeCell ref="C862:G862"/>
    <mergeCell ref="I862:J862"/>
    <mergeCell ref="K862:L862"/>
    <mergeCell ref="M862:N862"/>
    <mergeCell ref="O862:P862"/>
    <mergeCell ref="Q862:R862"/>
    <mergeCell ref="U862:V862"/>
    <mergeCell ref="W862:X862"/>
    <mergeCell ref="A864:B864"/>
    <mergeCell ref="C864:G864"/>
    <mergeCell ref="I864:J864"/>
    <mergeCell ref="K864:L864"/>
    <mergeCell ref="M864:N864"/>
    <mergeCell ref="O864:P864"/>
    <mergeCell ref="Q864:R864"/>
    <mergeCell ref="U864:V864"/>
    <mergeCell ref="W864:X864"/>
    <mergeCell ref="A858:B858"/>
    <mergeCell ref="C858:G858"/>
    <mergeCell ref="I858:J858"/>
    <mergeCell ref="K858:L858"/>
    <mergeCell ref="M858:N858"/>
    <mergeCell ref="O858:P858"/>
    <mergeCell ref="Q858:R858"/>
    <mergeCell ref="U858:V858"/>
    <mergeCell ref="W858:X858"/>
    <mergeCell ref="A860:B860"/>
    <mergeCell ref="C860:G860"/>
    <mergeCell ref="I860:J860"/>
    <mergeCell ref="K860:L860"/>
    <mergeCell ref="M860:N860"/>
    <mergeCell ref="O860:P860"/>
    <mergeCell ref="Q860:R860"/>
    <mergeCell ref="U860:V860"/>
    <mergeCell ref="W860:X860"/>
    <mergeCell ref="A854:B854"/>
    <mergeCell ref="C854:G854"/>
    <mergeCell ref="I854:J854"/>
    <mergeCell ref="K854:L854"/>
    <mergeCell ref="M854:N854"/>
    <mergeCell ref="O854:P854"/>
    <mergeCell ref="Q854:R854"/>
    <mergeCell ref="U854:V854"/>
    <mergeCell ref="W854:X854"/>
    <mergeCell ref="A856:B856"/>
    <mergeCell ref="C856:G856"/>
    <mergeCell ref="I856:J856"/>
    <mergeCell ref="K856:L856"/>
    <mergeCell ref="M856:N856"/>
    <mergeCell ref="O856:P856"/>
    <mergeCell ref="Q856:R856"/>
    <mergeCell ref="U856:V856"/>
    <mergeCell ref="W856:X856"/>
    <mergeCell ref="A850:B850"/>
    <mergeCell ref="C850:G850"/>
    <mergeCell ref="I850:J850"/>
    <mergeCell ref="K850:L850"/>
    <mergeCell ref="M850:N850"/>
    <mergeCell ref="O850:P850"/>
    <mergeCell ref="Q850:R850"/>
    <mergeCell ref="U850:V850"/>
    <mergeCell ref="W850:X850"/>
    <mergeCell ref="A852:B852"/>
    <mergeCell ref="C852:G852"/>
    <mergeCell ref="I852:J852"/>
    <mergeCell ref="K852:L852"/>
    <mergeCell ref="M852:N852"/>
    <mergeCell ref="O852:P852"/>
    <mergeCell ref="Q852:R852"/>
    <mergeCell ref="U852:V852"/>
    <mergeCell ref="W852:X852"/>
    <mergeCell ref="A846:B846"/>
    <mergeCell ref="C846:G846"/>
    <mergeCell ref="I846:J846"/>
    <mergeCell ref="K846:L846"/>
    <mergeCell ref="M846:N846"/>
    <mergeCell ref="O846:P846"/>
    <mergeCell ref="Q846:R846"/>
    <mergeCell ref="U846:V846"/>
    <mergeCell ref="W846:X846"/>
    <mergeCell ref="A848:B848"/>
    <mergeCell ref="C848:G848"/>
    <mergeCell ref="I848:J848"/>
    <mergeCell ref="K848:L848"/>
    <mergeCell ref="M848:N848"/>
    <mergeCell ref="O848:P848"/>
    <mergeCell ref="Q848:R848"/>
    <mergeCell ref="U848:V848"/>
    <mergeCell ref="W848:X848"/>
    <mergeCell ref="A841:B841"/>
    <mergeCell ref="C841:G841"/>
    <mergeCell ref="I841:J841"/>
    <mergeCell ref="K841:L841"/>
    <mergeCell ref="M841:N841"/>
    <mergeCell ref="O841:P841"/>
    <mergeCell ref="Q841:R841"/>
    <mergeCell ref="U841:V841"/>
    <mergeCell ref="W841:X841"/>
    <mergeCell ref="A842:B842"/>
    <mergeCell ref="D842:V842"/>
    <mergeCell ref="A844:B844"/>
    <mergeCell ref="C844:G844"/>
    <mergeCell ref="I844:J844"/>
    <mergeCell ref="K844:L844"/>
    <mergeCell ref="M844:N844"/>
    <mergeCell ref="O844:P844"/>
    <mergeCell ref="Q844:R844"/>
    <mergeCell ref="U844:V844"/>
    <mergeCell ref="W844:X844"/>
    <mergeCell ref="A837:B837"/>
    <mergeCell ref="C837:G837"/>
    <mergeCell ref="I837:J837"/>
    <mergeCell ref="K837:L837"/>
    <mergeCell ref="M837:N837"/>
    <mergeCell ref="O837:P837"/>
    <mergeCell ref="Q837:R837"/>
    <mergeCell ref="U837:V837"/>
    <mergeCell ref="W837:X837"/>
    <mergeCell ref="A839:B839"/>
    <mergeCell ref="C839:G839"/>
    <mergeCell ref="I839:J839"/>
    <mergeCell ref="K839:L839"/>
    <mergeCell ref="M839:N839"/>
    <mergeCell ref="O839:P839"/>
    <mergeCell ref="Q839:R839"/>
    <mergeCell ref="U839:V839"/>
    <mergeCell ref="W839:X839"/>
    <mergeCell ref="A833:B833"/>
    <mergeCell ref="C833:G833"/>
    <mergeCell ref="I833:J833"/>
    <mergeCell ref="K833:L833"/>
    <mergeCell ref="M833:N833"/>
    <mergeCell ref="O833:P833"/>
    <mergeCell ref="Q833:R833"/>
    <mergeCell ref="U833:V833"/>
    <mergeCell ref="W833:X833"/>
    <mergeCell ref="A835:B835"/>
    <mergeCell ref="C835:G835"/>
    <mergeCell ref="I835:J835"/>
    <mergeCell ref="K835:L835"/>
    <mergeCell ref="M835:N835"/>
    <mergeCell ref="O835:P835"/>
    <mergeCell ref="Q835:R835"/>
    <mergeCell ref="U835:V835"/>
    <mergeCell ref="W835:X835"/>
    <mergeCell ref="A829:B829"/>
    <mergeCell ref="C829:G829"/>
    <mergeCell ref="I829:J829"/>
    <mergeCell ref="K829:L829"/>
    <mergeCell ref="M829:N829"/>
    <mergeCell ref="O829:P829"/>
    <mergeCell ref="Q829:R829"/>
    <mergeCell ref="U829:V829"/>
    <mergeCell ref="W829:X829"/>
    <mergeCell ref="A831:B831"/>
    <mergeCell ref="C831:G831"/>
    <mergeCell ref="I831:J831"/>
    <mergeCell ref="K831:L831"/>
    <mergeCell ref="M831:N831"/>
    <mergeCell ref="O831:P831"/>
    <mergeCell ref="Q831:R831"/>
    <mergeCell ref="U831:V831"/>
    <mergeCell ref="W831:X831"/>
    <mergeCell ref="A825:B825"/>
    <mergeCell ref="C825:G825"/>
    <mergeCell ref="I825:J825"/>
    <mergeCell ref="K825:L825"/>
    <mergeCell ref="M825:N825"/>
    <mergeCell ref="O825:P825"/>
    <mergeCell ref="Q825:R825"/>
    <mergeCell ref="U825:V825"/>
    <mergeCell ref="W825:X825"/>
    <mergeCell ref="A827:B827"/>
    <mergeCell ref="C827:G827"/>
    <mergeCell ref="I827:J827"/>
    <mergeCell ref="K827:L827"/>
    <mergeCell ref="M827:N827"/>
    <mergeCell ref="O827:P827"/>
    <mergeCell ref="Q827:R827"/>
    <mergeCell ref="U827:V827"/>
    <mergeCell ref="W827:X827"/>
    <mergeCell ref="A821:B821"/>
    <mergeCell ref="C821:G821"/>
    <mergeCell ref="I821:J821"/>
    <mergeCell ref="K821:L821"/>
    <mergeCell ref="M821:N821"/>
    <mergeCell ref="O821:P821"/>
    <mergeCell ref="Q821:R821"/>
    <mergeCell ref="U821:V821"/>
    <mergeCell ref="W821:X821"/>
    <mergeCell ref="A823:B823"/>
    <mergeCell ref="C823:G823"/>
    <mergeCell ref="I823:J823"/>
    <mergeCell ref="K823:L823"/>
    <mergeCell ref="M823:N823"/>
    <mergeCell ref="O823:P823"/>
    <mergeCell ref="Q823:R823"/>
    <mergeCell ref="U823:V823"/>
    <mergeCell ref="W823:X823"/>
    <mergeCell ref="A817:B817"/>
    <mergeCell ref="C817:G817"/>
    <mergeCell ref="I817:J817"/>
    <mergeCell ref="K817:L817"/>
    <mergeCell ref="M817:N817"/>
    <mergeCell ref="O817:P817"/>
    <mergeCell ref="Q817:R817"/>
    <mergeCell ref="U817:V817"/>
    <mergeCell ref="W817:X817"/>
    <mergeCell ref="A819:B819"/>
    <mergeCell ref="C819:G819"/>
    <mergeCell ref="I819:J819"/>
    <mergeCell ref="K819:L819"/>
    <mergeCell ref="M819:N819"/>
    <mergeCell ref="O819:P819"/>
    <mergeCell ref="Q819:R819"/>
    <mergeCell ref="U819:V819"/>
    <mergeCell ref="W819:X819"/>
    <mergeCell ref="A813:B813"/>
    <mergeCell ref="C813:G813"/>
    <mergeCell ref="I813:J813"/>
    <mergeCell ref="K813:L813"/>
    <mergeCell ref="M813:N813"/>
    <mergeCell ref="O813:P813"/>
    <mergeCell ref="Q813:R813"/>
    <mergeCell ref="U813:V813"/>
    <mergeCell ref="W813:X813"/>
    <mergeCell ref="A815:B815"/>
    <mergeCell ref="C815:G815"/>
    <mergeCell ref="I815:J815"/>
    <mergeCell ref="K815:L815"/>
    <mergeCell ref="M815:N815"/>
    <mergeCell ref="O815:P815"/>
    <mergeCell ref="Q815:R815"/>
    <mergeCell ref="U815:V815"/>
    <mergeCell ref="W815:X815"/>
    <mergeCell ref="A809:B809"/>
    <mergeCell ref="C809:G809"/>
    <mergeCell ref="I809:J809"/>
    <mergeCell ref="K809:L809"/>
    <mergeCell ref="M809:N809"/>
    <mergeCell ref="O809:P809"/>
    <mergeCell ref="Q809:R809"/>
    <mergeCell ref="U809:V809"/>
    <mergeCell ref="W809:X809"/>
    <mergeCell ref="A811:B811"/>
    <mergeCell ref="C811:G812"/>
    <mergeCell ref="I811:J811"/>
    <mergeCell ref="K811:L811"/>
    <mergeCell ref="M811:N811"/>
    <mergeCell ref="O811:P811"/>
    <mergeCell ref="Q811:R811"/>
    <mergeCell ref="U811:V811"/>
    <mergeCell ref="W811:X811"/>
    <mergeCell ref="A805:B805"/>
    <mergeCell ref="C805:G805"/>
    <mergeCell ref="I805:J805"/>
    <mergeCell ref="K805:L805"/>
    <mergeCell ref="M805:N805"/>
    <mergeCell ref="O805:P805"/>
    <mergeCell ref="Q805:R805"/>
    <mergeCell ref="U805:V805"/>
    <mergeCell ref="W805:X805"/>
    <mergeCell ref="A807:B807"/>
    <mergeCell ref="C807:G808"/>
    <mergeCell ref="I807:J807"/>
    <mergeCell ref="K807:L807"/>
    <mergeCell ref="M807:N807"/>
    <mergeCell ref="O807:P807"/>
    <mergeCell ref="Q807:R807"/>
    <mergeCell ref="U807:V807"/>
    <mergeCell ref="W807:X807"/>
    <mergeCell ref="A801:B801"/>
    <mergeCell ref="C801:G802"/>
    <mergeCell ref="I801:J801"/>
    <mergeCell ref="K801:L801"/>
    <mergeCell ref="M801:N801"/>
    <mergeCell ref="O801:P801"/>
    <mergeCell ref="Q801:R801"/>
    <mergeCell ref="U801:V801"/>
    <mergeCell ref="W801:X801"/>
    <mergeCell ref="A803:B803"/>
    <mergeCell ref="C803:G804"/>
    <mergeCell ref="I803:J803"/>
    <mergeCell ref="K803:L803"/>
    <mergeCell ref="M803:N803"/>
    <mergeCell ref="O803:P803"/>
    <mergeCell ref="Q803:R803"/>
    <mergeCell ref="U803:V803"/>
    <mergeCell ref="W803:X803"/>
    <mergeCell ref="A797:B797"/>
    <mergeCell ref="C797:G798"/>
    <mergeCell ref="I797:J797"/>
    <mergeCell ref="K797:L797"/>
    <mergeCell ref="M797:N797"/>
    <mergeCell ref="O797:P797"/>
    <mergeCell ref="Q797:R797"/>
    <mergeCell ref="U797:V797"/>
    <mergeCell ref="W797:X797"/>
    <mergeCell ref="A799:B799"/>
    <mergeCell ref="C799:G799"/>
    <mergeCell ref="I799:J799"/>
    <mergeCell ref="K799:L799"/>
    <mergeCell ref="M799:N799"/>
    <mergeCell ref="O799:P799"/>
    <mergeCell ref="Q799:R799"/>
    <mergeCell ref="U799:V799"/>
    <mergeCell ref="W799:X799"/>
    <mergeCell ref="A793:B793"/>
    <mergeCell ref="C793:G793"/>
    <mergeCell ref="I793:J793"/>
    <mergeCell ref="K793:L793"/>
    <mergeCell ref="M793:N793"/>
    <mergeCell ref="O793:P793"/>
    <mergeCell ref="Q793:R793"/>
    <mergeCell ref="U793:V793"/>
    <mergeCell ref="W793:X793"/>
    <mergeCell ref="A795:B795"/>
    <mergeCell ref="C795:G795"/>
    <mergeCell ref="I795:J795"/>
    <mergeCell ref="K795:L795"/>
    <mergeCell ref="M795:N795"/>
    <mergeCell ref="O795:P795"/>
    <mergeCell ref="Q795:R795"/>
    <mergeCell ref="U795:V795"/>
    <mergeCell ref="W795:X795"/>
    <mergeCell ref="A789:B789"/>
    <mergeCell ref="C789:G789"/>
    <mergeCell ref="I789:J789"/>
    <mergeCell ref="K789:L789"/>
    <mergeCell ref="M789:N789"/>
    <mergeCell ref="O789:P789"/>
    <mergeCell ref="Q789:R789"/>
    <mergeCell ref="U789:V789"/>
    <mergeCell ref="W789:X789"/>
    <mergeCell ref="A791:B791"/>
    <mergeCell ref="C791:G791"/>
    <mergeCell ref="I791:J791"/>
    <mergeCell ref="K791:L791"/>
    <mergeCell ref="M791:N791"/>
    <mergeCell ref="O791:P791"/>
    <mergeCell ref="Q791:R791"/>
    <mergeCell ref="U791:V791"/>
    <mergeCell ref="W791:X791"/>
    <mergeCell ref="A785:B785"/>
    <mergeCell ref="C785:G785"/>
    <mergeCell ref="I785:J785"/>
    <mergeCell ref="K785:L785"/>
    <mergeCell ref="M785:N785"/>
    <mergeCell ref="O785:P785"/>
    <mergeCell ref="Q785:R785"/>
    <mergeCell ref="U785:V785"/>
    <mergeCell ref="W785:X785"/>
    <mergeCell ref="A787:B787"/>
    <mergeCell ref="C787:G787"/>
    <mergeCell ref="I787:J787"/>
    <mergeCell ref="K787:L787"/>
    <mergeCell ref="M787:N787"/>
    <mergeCell ref="O787:P787"/>
    <mergeCell ref="Q787:R787"/>
    <mergeCell ref="U787:V787"/>
    <mergeCell ref="W787:X787"/>
    <mergeCell ref="A781:B781"/>
    <mergeCell ref="C781:G781"/>
    <mergeCell ref="I781:J781"/>
    <mergeCell ref="K781:L781"/>
    <mergeCell ref="M781:N781"/>
    <mergeCell ref="O781:P781"/>
    <mergeCell ref="Q781:R781"/>
    <mergeCell ref="U781:V781"/>
    <mergeCell ref="W781:X781"/>
    <mergeCell ref="A783:B783"/>
    <mergeCell ref="C783:G783"/>
    <mergeCell ref="I783:J783"/>
    <mergeCell ref="K783:L783"/>
    <mergeCell ref="M783:N783"/>
    <mergeCell ref="O783:P783"/>
    <mergeCell ref="Q783:R783"/>
    <mergeCell ref="U783:V783"/>
    <mergeCell ref="W783:X783"/>
    <mergeCell ref="A775:B775"/>
    <mergeCell ref="D775:V775"/>
    <mergeCell ref="A777:B777"/>
    <mergeCell ref="C777:G777"/>
    <mergeCell ref="I777:J777"/>
    <mergeCell ref="K777:L777"/>
    <mergeCell ref="M777:N777"/>
    <mergeCell ref="O777:P777"/>
    <mergeCell ref="Q777:R777"/>
    <mergeCell ref="U777:V777"/>
    <mergeCell ref="W777:X777"/>
    <mergeCell ref="A779:B779"/>
    <mergeCell ref="C779:G779"/>
    <mergeCell ref="I779:J779"/>
    <mergeCell ref="K779:L779"/>
    <mergeCell ref="M779:N779"/>
    <mergeCell ref="O779:P779"/>
    <mergeCell ref="Q779:R779"/>
    <mergeCell ref="U779:V779"/>
    <mergeCell ref="W779:X779"/>
    <mergeCell ref="A772:B772"/>
    <mergeCell ref="C772:G772"/>
    <mergeCell ref="I772:J772"/>
    <mergeCell ref="K772:L772"/>
    <mergeCell ref="M772:N772"/>
    <mergeCell ref="O772:P772"/>
    <mergeCell ref="Q772:R772"/>
    <mergeCell ref="U772:V772"/>
    <mergeCell ref="W772:X772"/>
    <mergeCell ref="A774:B774"/>
    <mergeCell ref="C774:G774"/>
    <mergeCell ref="I774:J774"/>
    <mergeCell ref="K774:L774"/>
    <mergeCell ref="M774:N774"/>
    <mergeCell ref="O774:P774"/>
    <mergeCell ref="Q774:R774"/>
    <mergeCell ref="U774:V774"/>
    <mergeCell ref="W774:X774"/>
    <mergeCell ref="A768:B768"/>
    <mergeCell ref="C768:G768"/>
    <mergeCell ref="I768:J768"/>
    <mergeCell ref="K768:L768"/>
    <mergeCell ref="M768:N768"/>
    <mergeCell ref="O768:P768"/>
    <mergeCell ref="Q768:R768"/>
    <mergeCell ref="U768:V768"/>
    <mergeCell ref="W768:X768"/>
    <mergeCell ref="A770:B770"/>
    <mergeCell ref="C770:G770"/>
    <mergeCell ref="I770:J770"/>
    <mergeCell ref="K770:L770"/>
    <mergeCell ref="M770:N770"/>
    <mergeCell ref="O770:P770"/>
    <mergeCell ref="Q770:R770"/>
    <mergeCell ref="U770:V770"/>
    <mergeCell ref="W770:X770"/>
    <mergeCell ref="A764:B764"/>
    <mergeCell ref="C764:G764"/>
    <mergeCell ref="I764:J764"/>
    <mergeCell ref="K764:L764"/>
    <mergeCell ref="M764:N764"/>
    <mergeCell ref="O764:P764"/>
    <mergeCell ref="Q764:R764"/>
    <mergeCell ref="U764:V764"/>
    <mergeCell ref="W764:X764"/>
    <mergeCell ref="A766:B766"/>
    <mergeCell ref="C766:G767"/>
    <mergeCell ref="I766:J766"/>
    <mergeCell ref="K766:L766"/>
    <mergeCell ref="M766:N766"/>
    <mergeCell ref="O766:P766"/>
    <mergeCell ref="Q766:R766"/>
    <mergeCell ref="U766:V766"/>
    <mergeCell ref="W766:X766"/>
    <mergeCell ref="A760:B760"/>
    <mergeCell ref="C760:G760"/>
    <mergeCell ref="I760:J760"/>
    <mergeCell ref="K760:L760"/>
    <mergeCell ref="M760:N760"/>
    <mergeCell ref="O760:P760"/>
    <mergeCell ref="Q760:R760"/>
    <mergeCell ref="U760:V760"/>
    <mergeCell ref="W760:X760"/>
    <mergeCell ref="A762:B762"/>
    <mergeCell ref="C762:G762"/>
    <mergeCell ref="I762:J762"/>
    <mergeCell ref="K762:L762"/>
    <mergeCell ref="M762:N762"/>
    <mergeCell ref="O762:P762"/>
    <mergeCell ref="Q762:R762"/>
    <mergeCell ref="U762:V762"/>
    <mergeCell ref="W762:X762"/>
    <mergeCell ref="A756:B756"/>
    <mergeCell ref="C756:G756"/>
    <mergeCell ref="I756:J756"/>
    <mergeCell ref="K756:L756"/>
    <mergeCell ref="M756:N756"/>
    <mergeCell ref="O756:P756"/>
    <mergeCell ref="Q756:R756"/>
    <mergeCell ref="U756:V756"/>
    <mergeCell ref="W756:X756"/>
    <mergeCell ref="A758:B758"/>
    <mergeCell ref="C758:G758"/>
    <mergeCell ref="I758:J758"/>
    <mergeCell ref="K758:L758"/>
    <mergeCell ref="M758:N758"/>
    <mergeCell ref="O758:P758"/>
    <mergeCell ref="Q758:R758"/>
    <mergeCell ref="U758:V758"/>
    <mergeCell ref="W758:X758"/>
    <mergeCell ref="A752:B752"/>
    <mergeCell ref="C752:G752"/>
    <mergeCell ref="I752:J752"/>
    <mergeCell ref="K752:L752"/>
    <mergeCell ref="M752:N752"/>
    <mergeCell ref="O752:P752"/>
    <mergeCell ref="Q752:R752"/>
    <mergeCell ref="U752:V752"/>
    <mergeCell ref="W752:X752"/>
    <mergeCell ref="A754:B754"/>
    <mergeCell ref="C754:G754"/>
    <mergeCell ref="I754:J754"/>
    <mergeCell ref="K754:L754"/>
    <mergeCell ref="M754:N754"/>
    <mergeCell ref="O754:P754"/>
    <mergeCell ref="Q754:R754"/>
    <mergeCell ref="U754:V754"/>
    <mergeCell ref="W754:X754"/>
    <mergeCell ref="A748:B748"/>
    <mergeCell ref="C748:G748"/>
    <mergeCell ref="I748:J748"/>
    <mergeCell ref="K748:L748"/>
    <mergeCell ref="M748:N748"/>
    <mergeCell ref="O748:P748"/>
    <mergeCell ref="Q748:R748"/>
    <mergeCell ref="U748:V748"/>
    <mergeCell ref="W748:X748"/>
    <mergeCell ref="A750:B750"/>
    <mergeCell ref="C750:G750"/>
    <mergeCell ref="I750:J750"/>
    <mergeCell ref="K750:L750"/>
    <mergeCell ref="M750:N750"/>
    <mergeCell ref="O750:P750"/>
    <mergeCell ref="Q750:R750"/>
    <mergeCell ref="U750:V750"/>
    <mergeCell ref="W750:X750"/>
    <mergeCell ref="A744:B744"/>
    <mergeCell ref="C744:G744"/>
    <mergeCell ref="I744:J744"/>
    <mergeCell ref="K744:L744"/>
    <mergeCell ref="M744:N744"/>
    <mergeCell ref="O744:P744"/>
    <mergeCell ref="Q744:R744"/>
    <mergeCell ref="U744:V744"/>
    <mergeCell ref="W744:X744"/>
    <mergeCell ref="A746:B746"/>
    <mergeCell ref="C746:G746"/>
    <mergeCell ref="I746:J746"/>
    <mergeCell ref="K746:L746"/>
    <mergeCell ref="M746:N746"/>
    <mergeCell ref="O746:P746"/>
    <mergeCell ref="Q746:R746"/>
    <mergeCell ref="U746:V746"/>
    <mergeCell ref="W746:X746"/>
    <mergeCell ref="A740:B740"/>
    <mergeCell ref="C740:G740"/>
    <mergeCell ref="I740:J740"/>
    <mergeCell ref="K740:L740"/>
    <mergeCell ref="M740:N740"/>
    <mergeCell ref="O740:P740"/>
    <mergeCell ref="Q740:R740"/>
    <mergeCell ref="U740:V740"/>
    <mergeCell ref="W740:X740"/>
    <mergeCell ref="A742:B742"/>
    <mergeCell ref="C742:G742"/>
    <mergeCell ref="I742:J742"/>
    <mergeCell ref="K742:L742"/>
    <mergeCell ref="M742:N742"/>
    <mergeCell ref="O742:P742"/>
    <mergeCell ref="Q742:R742"/>
    <mergeCell ref="U742:V742"/>
    <mergeCell ref="W742:X742"/>
    <mergeCell ref="A736:B736"/>
    <mergeCell ref="C736:G736"/>
    <mergeCell ref="I736:J736"/>
    <mergeCell ref="K736:L736"/>
    <mergeCell ref="M736:N736"/>
    <mergeCell ref="O736:P736"/>
    <mergeCell ref="Q736:R736"/>
    <mergeCell ref="U736:V736"/>
    <mergeCell ref="W736:X736"/>
    <mergeCell ref="A738:B738"/>
    <mergeCell ref="C738:G738"/>
    <mergeCell ref="I738:J738"/>
    <mergeCell ref="K738:L738"/>
    <mergeCell ref="M738:N738"/>
    <mergeCell ref="O738:P738"/>
    <mergeCell ref="Q738:R738"/>
    <mergeCell ref="U738:V738"/>
    <mergeCell ref="W738:X738"/>
    <mergeCell ref="A732:B732"/>
    <mergeCell ref="C732:G732"/>
    <mergeCell ref="I732:J732"/>
    <mergeCell ref="K732:L732"/>
    <mergeCell ref="M732:N732"/>
    <mergeCell ref="O732:P732"/>
    <mergeCell ref="Q732:R732"/>
    <mergeCell ref="U732:V732"/>
    <mergeCell ref="W732:X732"/>
    <mergeCell ref="A734:B734"/>
    <mergeCell ref="C734:G735"/>
    <mergeCell ref="I734:J734"/>
    <mergeCell ref="K734:L734"/>
    <mergeCell ref="M734:N734"/>
    <mergeCell ref="O734:P734"/>
    <mergeCell ref="Q734:R734"/>
    <mergeCell ref="U734:V734"/>
    <mergeCell ref="W734:X734"/>
    <mergeCell ref="A728:B728"/>
    <mergeCell ref="C728:G728"/>
    <mergeCell ref="I728:J728"/>
    <mergeCell ref="K728:L728"/>
    <mergeCell ref="M728:N728"/>
    <mergeCell ref="O728:P728"/>
    <mergeCell ref="Q728:R728"/>
    <mergeCell ref="U728:V728"/>
    <mergeCell ref="W728:X728"/>
    <mergeCell ref="A730:B730"/>
    <mergeCell ref="C730:G730"/>
    <mergeCell ref="I730:J730"/>
    <mergeCell ref="K730:L730"/>
    <mergeCell ref="M730:N730"/>
    <mergeCell ref="O730:P730"/>
    <mergeCell ref="Q730:R730"/>
    <mergeCell ref="U730:V730"/>
    <mergeCell ref="W730:X730"/>
    <mergeCell ref="A724:B724"/>
    <mergeCell ref="C724:G724"/>
    <mergeCell ref="I724:J724"/>
    <mergeCell ref="K724:L724"/>
    <mergeCell ref="M724:N724"/>
    <mergeCell ref="O724:P724"/>
    <mergeCell ref="Q724:R724"/>
    <mergeCell ref="U724:V724"/>
    <mergeCell ref="W724:X724"/>
    <mergeCell ref="A726:B726"/>
    <mergeCell ref="C726:G726"/>
    <mergeCell ref="I726:J726"/>
    <mergeCell ref="K726:L726"/>
    <mergeCell ref="M726:N726"/>
    <mergeCell ref="O726:P726"/>
    <mergeCell ref="Q726:R726"/>
    <mergeCell ref="U726:V726"/>
    <mergeCell ref="W726:X726"/>
    <mergeCell ref="A720:B720"/>
    <mergeCell ref="C720:G720"/>
    <mergeCell ref="I720:J720"/>
    <mergeCell ref="K720:L720"/>
    <mergeCell ref="M720:N720"/>
    <mergeCell ref="O720:P720"/>
    <mergeCell ref="Q720:R720"/>
    <mergeCell ref="U720:V720"/>
    <mergeCell ref="W720:X720"/>
    <mergeCell ref="A722:B722"/>
    <mergeCell ref="C722:G722"/>
    <mergeCell ref="I722:J722"/>
    <mergeCell ref="K722:L722"/>
    <mergeCell ref="M722:N722"/>
    <mergeCell ref="O722:P722"/>
    <mergeCell ref="Q722:R722"/>
    <mergeCell ref="U722:V722"/>
    <mergeCell ref="W722:X722"/>
    <mergeCell ref="A716:B716"/>
    <mergeCell ref="C716:G716"/>
    <mergeCell ref="I716:J716"/>
    <mergeCell ref="K716:L716"/>
    <mergeCell ref="M716:N716"/>
    <mergeCell ref="O716:P716"/>
    <mergeCell ref="Q716:R716"/>
    <mergeCell ref="U716:V716"/>
    <mergeCell ref="W716:X716"/>
    <mergeCell ref="A718:B718"/>
    <mergeCell ref="C718:G718"/>
    <mergeCell ref="I718:J718"/>
    <mergeCell ref="K718:L718"/>
    <mergeCell ref="M718:N718"/>
    <mergeCell ref="O718:P718"/>
    <mergeCell ref="Q718:R718"/>
    <mergeCell ref="U718:V718"/>
    <mergeCell ref="W718:X718"/>
    <mergeCell ref="A712:B712"/>
    <mergeCell ref="C712:G712"/>
    <mergeCell ref="I712:J712"/>
    <mergeCell ref="K712:L712"/>
    <mergeCell ref="M712:N712"/>
    <mergeCell ref="O712:P712"/>
    <mergeCell ref="Q712:R712"/>
    <mergeCell ref="U712:V712"/>
    <mergeCell ref="W712:X712"/>
    <mergeCell ref="A714:B714"/>
    <mergeCell ref="C714:G714"/>
    <mergeCell ref="I714:J714"/>
    <mergeCell ref="K714:L714"/>
    <mergeCell ref="M714:N714"/>
    <mergeCell ref="O714:P714"/>
    <mergeCell ref="Q714:R714"/>
    <mergeCell ref="U714:V714"/>
    <mergeCell ref="W714:X714"/>
    <mergeCell ref="A708:B708"/>
    <mergeCell ref="C708:G708"/>
    <mergeCell ref="I708:J708"/>
    <mergeCell ref="K708:L708"/>
    <mergeCell ref="M708:N708"/>
    <mergeCell ref="O708:P708"/>
    <mergeCell ref="Q708:R708"/>
    <mergeCell ref="U708:V708"/>
    <mergeCell ref="W708:X708"/>
    <mergeCell ref="A710:B710"/>
    <mergeCell ref="C710:G710"/>
    <mergeCell ref="I710:J710"/>
    <mergeCell ref="K710:L710"/>
    <mergeCell ref="M710:N710"/>
    <mergeCell ref="O710:P710"/>
    <mergeCell ref="Q710:R710"/>
    <mergeCell ref="U710:V710"/>
    <mergeCell ref="W710:X710"/>
    <mergeCell ref="A702:B702"/>
    <mergeCell ref="D702:V702"/>
    <mergeCell ref="A704:B704"/>
    <mergeCell ref="C704:G704"/>
    <mergeCell ref="I704:J704"/>
    <mergeCell ref="K704:L704"/>
    <mergeCell ref="M704:N704"/>
    <mergeCell ref="O704:P704"/>
    <mergeCell ref="Q704:R704"/>
    <mergeCell ref="U704:V704"/>
    <mergeCell ref="W704:X704"/>
    <mergeCell ref="A706:B706"/>
    <mergeCell ref="C706:G706"/>
    <mergeCell ref="I706:J706"/>
    <mergeCell ref="K706:L706"/>
    <mergeCell ref="M706:N706"/>
    <mergeCell ref="O706:P706"/>
    <mergeCell ref="Q706:R706"/>
    <mergeCell ref="U706:V706"/>
    <mergeCell ref="W706:X706"/>
    <mergeCell ref="A699:B699"/>
    <mergeCell ref="C699:G699"/>
    <mergeCell ref="I699:J699"/>
    <mergeCell ref="K699:L699"/>
    <mergeCell ref="M699:N699"/>
    <mergeCell ref="O699:P699"/>
    <mergeCell ref="Q699:R699"/>
    <mergeCell ref="U699:V699"/>
    <mergeCell ref="W699:X699"/>
    <mergeCell ref="A701:B701"/>
    <mergeCell ref="C701:G701"/>
    <mergeCell ref="I701:J701"/>
    <mergeCell ref="K701:L701"/>
    <mergeCell ref="M701:N701"/>
    <mergeCell ref="O701:P701"/>
    <mergeCell ref="Q701:R701"/>
    <mergeCell ref="U701:V701"/>
    <mergeCell ref="W701:X701"/>
    <mergeCell ref="A695:B695"/>
    <mergeCell ref="C695:G695"/>
    <mergeCell ref="I695:J695"/>
    <mergeCell ref="K695:L695"/>
    <mergeCell ref="M695:N695"/>
    <mergeCell ref="O695:P695"/>
    <mergeCell ref="Q695:R695"/>
    <mergeCell ref="U695:V695"/>
    <mergeCell ref="W695:X695"/>
    <mergeCell ref="A697:B697"/>
    <mergeCell ref="C697:G697"/>
    <mergeCell ref="I697:J697"/>
    <mergeCell ref="K697:L697"/>
    <mergeCell ref="M697:N697"/>
    <mergeCell ref="O697:P697"/>
    <mergeCell ref="Q697:R697"/>
    <mergeCell ref="U697:V697"/>
    <mergeCell ref="W697:X697"/>
    <mergeCell ref="A691:B691"/>
    <mergeCell ref="C691:G691"/>
    <mergeCell ref="I691:J691"/>
    <mergeCell ref="K691:L691"/>
    <mergeCell ref="M691:N691"/>
    <mergeCell ref="O691:P691"/>
    <mergeCell ref="Q691:R691"/>
    <mergeCell ref="U691:V691"/>
    <mergeCell ref="W691:X691"/>
    <mergeCell ref="A693:B693"/>
    <mergeCell ref="C693:G693"/>
    <mergeCell ref="I693:J693"/>
    <mergeCell ref="K693:L693"/>
    <mergeCell ref="M693:N693"/>
    <mergeCell ref="O693:P693"/>
    <mergeCell ref="Q693:R693"/>
    <mergeCell ref="U693:V693"/>
    <mergeCell ref="W693:X693"/>
    <mergeCell ref="A687:B687"/>
    <mergeCell ref="C687:G687"/>
    <mergeCell ref="I687:J687"/>
    <mergeCell ref="K687:L687"/>
    <mergeCell ref="M687:N687"/>
    <mergeCell ref="O687:P687"/>
    <mergeCell ref="Q687:R687"/>
    <mergeCell ref="U687:V687"/>
    <mergeCell ref="W687:X687"/>
    <mergeCell ref="A689:B689"/>
    <mergeCell ref="C689:G689"/>
    <mergeCell ref="I689:J689"/>
    <mergeCell ref="K689:L689"/>
    <mergeCell ref="M689:N689"/>
    <mergeCell ref="O689:P689"/>
    <mergeCell ref="Q689:R689"/>
    <mergeCell ref="U689:V689"/>
    <mergeCell ref="W689:X689"/>
    <mergeCell ref="A683:B683"/>
    <mergeCell ref="C683:G683"/>
    <mergeCell ref="I683:J683"/>
    <mergeCell ref="K683:L683"/>
    <mergeCell ref="M683:N683"/>
    <mergeCell ref="O683:P683"/>
    <mergeCell ref="Q683:R683"/>
    <mergeCell ref="U683:V683"/>
    <mergeCell ref="W683:X683"/>
    <mergeCell ref="A685:B685"/>
    <mergeCell ref="C685:G685"/>
    <mergeCell ref="I685:J685"/>
    <mergeCell ref="K685:L685"/>
    <mergeCell ref="M685:N685"/>
    <mergeCell ref="O685:P685"/>
    <mergeCell ref="Q685:R685"/>
    <mergeCell ref="U685:V685"/>
    <mergeCell ref="W685:X685"/>
    <mergeCell ref="A679:B679"/>
    <mergeCell ref="C679:G679"/>
    <mergeCell ref="I679:J679"/>
    <mergeCell ref="K679:L679"/>
    <mergeCell ref="M679:N679"/>
    <mergeCell ref="O679:P679"/>
    <mergeCell ref="Q679:R679"/>
    <mergeCell ref="U679:V679"/>
    <mergeCell ref="W679:X679"/>
    <mergeCell ref="A681:B681"/>
    <mergeCell ref="C681:G681"/>
    <mergeCell ref="I681:J681"/>
    <mergeCell ref="K681:L681"/>
    <mergeCell ref="M681:N681"/>
    <mergeCell ref="O681:P681"/>
    <mergeCell ref="Q681:R681"/>
    <mergeCell ref="U681:V681"/>
    <mergeCell ref="W681:X681"/>
    <mergeCell ref="A675:B675"/>
    <mergeCell ref="C675:G675"/>
    <mergeCell ref="I675:J675"/>
    <mergeCell ref="K675:L675"/>
    <mergeCell ref="M675:N675"/>
    <mergeCell ref="O675:P675"/>
    <mergeCell ref="Q675:R675"/>
    <mergeCell ref="U675:V675"/>
    <mergeCell ref="W675:X675"/>
    <mergeCell ref="A677:B677"/>
    <mergeCell ref="C677:G677"/>
    <mergeCell ref="I677:J677"/>
    <mergeCell ref="K677:L677"/>
    <mergeCell ref="M677:N677"/>
    <mergeCell ref="O677:P677"/>
    <mergeCell ref="Q677:R677"/>
    <mergeCell ref="U677:V677"/>
    <mergeCell ref="W677:X677"/>
    <mergeCell ref="A671:B671"/>
    <mergeCell ref="C671:G671"/>
    <mergeCell ref="I671:J671"/>
    <mergeCell ref="K671:L671"/>
    <mergeCell ref="M671:N671"/>
    <mergeCell ref="O671:P671"/>
    <mergeCell ref="Q671:R671"/>
    <mergeCell ref="U671:V671"/>
    <mergeCell ref="W671:X671"/>
    <mergeCell ref="A673:B673"/>
    <mergeCell ref="C673:G673"/>
    <mergeCell ref="I673:J673"/>
    <mergeCell ref="K673:L673"/>
    <mergeCell ref="M673:N673"/>
    <mergeCell ref="O673:P673"/>
    <mergeCell ref="Q673:R673"/>
    <mergeCell ref="U673:V673"/>
    <mergeCell ref="W673:X673"/>
    <mergeCell ref="A667:B667"/>
    <mergeCell ref="C667:G667"/>
    <mergeCell ref="I667:J667"/>
    <mergeCell ref="K667:L667"/>
    <mergeCell ref="M667:N667"/>
    <mergeCell ref="O667:P667"/>
    <mergeCell ref="Q667:R667"/>
    <mergeCell ref="U667:V667"/>
    <mergeCell ref="W667:X667"/>
    <mergeCell ref="A669:B669"/>
    <mergeCell ref="C669:G669"/>
    <mergeCell ref="I669:J669"/>
    <mergeCell ref="K669:L669"/>
    <mergeCell ref="M669:N669"/>
    <mergeCell ref="O669:P669"/>
    <mergeCell ref="Q669:R669"/>
    <mergeCell ref="U669:V669"/>
    <mergeCell ref="W669:X669"/>
    <mergeCell ref="A663:B663"/>
    <mergeCell ref="C663:G663"/>
    <mergeCell ref="I663:J663"/>
    <mergeCell ref="K663:L663"/>
    <mergeCell ref="M663:N663"/>
    <mergeCell ref="O663:P663"/>
    <mergeCell ref="Q663:R663"/>
    <mergeCell ref="U663:V663"/>
    <mergeCell ref="W663:X663"/>
    <mergeCell ref="A665:B665"/>
    <mergeCell ref="C665:G665"/>
    <mergeCell ref="I665:J665"/>
    <mergeCell ref="K665:L665"/>
    <mergeCell ref="M665:N665"/>
    <mergeCell ref="O665:P665"/>
    <mergeCell ref="Q665:R665"/>
    <mergeCell ref="U665:V665"/>
    <mergeCell ref="W665:X665"/>
    <mergeCell ref="A659:B659"/>
    <mergeCell ref="C659:G659"/>
    <mergeCell ref="I659:J659"/>
    <mergeCell ref="K659:L659"/>
    <mergeCell ref="M659:N659"/>
    <mergeCell ref="O659:P659"/>
    <mergeCell ref="Q659:R659"/>
    <mergeCell ref="U659:V659"/>
    <mergeCell ref="W659:X659"/>
    <mergeCell ref="A661:B661"/>
    <mergeCell ref="C661:G661"/>
    <mergeCell ref="I661:J661"/>
    <mergeCell ref="K661:L661"/>
    <mergeCell ref="M661:N661"/>
    <mergeCell ref="O661:P661"/>
    <mergeCell ref="Q661:R661"/>
    <mergeCell ref="U661:V661"/>
    <mergeCell ref="W661:X661"/>
    <mergeCell ref="A655:B655"/>
    <mergeCell ref="C655:G655"/>
    <mergeCell ref="I655:J655"/>
    <mergeCell ref="K655:L655"/>
    <mergeCell ref="M655:N655"/>
    <mergeCell ref="O655:P655"/>
    <mergeCell ref="Q655:R655"/>
    <mergeCell ref="U655:V655"/>
    <mergeCell ref="W655:X655"/>
    <mergeCell ref="A657:B657"/>
    <mergeCell ref="C657:G657"/>
    <mergeCell ref="I657:J657"/>
    <mergeCell ref="K657:L657"/>
    <mergeCell ref="M657:N657"/>
    <mergeCell ref="O657:P657"/>
    <mergeCell ref="Q657:R657"/>
    <mergeCell ref="U657:V657"/>
    <mergeCell ref="W657:X657"/>
    <mergeCell ref="A651:B651"/>
    <mergeCell ref="C651:G652"/>
    <mergeCell ref="I651:J651"/>
    <mergeCell ref="K651:L651"/>
    <mergeCell ref="M651:N651"/>
    <mergeCell ref="O651:P651"/>
    <mergeCell ref="Q651:R651"/>
    <mergeCell ref="U651:V651"/>
    <mergeCell ref="W651:X651"/>
    <mergeCell ref="A653:B653"/>
    <mergeCell ref="C653:G653"/>
    <mergeCell ref="I653:J653"/>
    <mergeCell ref="K653:L653"/>
    <mergeCell ref="M653:N653"/>
    <mergeCell ref="O653:P653"/>
    <mergeCell ref="Q653:R653"/>
    <mergeCell ref="U653:V653"/>
    <mergeCell ref="W653:X653"/>
    <mergeCell ref="A647:B647"/>
    <mergeCell ref="C647:G647"/>
    <mergeCell ref="I647:J647"/>
    <mergeCell ref="K647:L647"/>
    <mergeCell ref="M647:N647"/>
    <mergeCell ref="O647:P647"/>
    <mergeCell ref="Q647:R647"/>
    <mergeCell ref="U647:V647"/>
    <mergeCell ref="W647:X647"/>
    <mergeCell ref="A649:B649"/>
    <mergeCell ref="C649:G650"/>
    <mergeCell ref="I649:J649"/>
    <mergeCell ref="K649:L649"/>
    <mergeCell ref="M649:N649"/>
    <mergeCell ref="O649:P649"/>
    <mergeCell ref="Q649:R649"/>
    <mergeCell ref="U649:V649"/>
    <mergeCell ref="W649:X649"/>
    <mergeCell ref="A643:B643"/>
    <mergeCell ref="C643:G643"/>
    <mergeCell ref="I643:J643"/>
    <mergeCell ref="K643:L643"/>
    <mergeCell ref="M643:N643"/>
    <mergeCell ref="O643:P643"/>
    <mergeCell ref="Q643:R643"/>
    <mergeCell ref="U643:V643"/>
    <mergeCell ref="W643:X643"/>
    <mergeCell ref="A645:B645"/>
    <mergeCell ref="C645:G645"/>
    <mergeCell ref="I645:J645"/>
    <mergeCell ref="K645:L645"/>
    <mergeCell ref="M645:N645"/>
    <mergeCell ref="O645:P645"/>
    <mergeCell ref="Q645:R645"/>
    <mergeCell ref="U645:V645"/>
    <mergeCell ref="W645:X645"/>
    <mergeCell ref="A639:B639"/>
    <mergeCell ref="C639:G639"/>
    <mergeCell ref="I639:J639"/>
    <mergeCell ref="K639:L639"/>
    <mergeCell ref="M639:N639"/>
    <mergeCell ref="O639:P639"/>
    <mergeCell ref="Q639:R639"/>
    <mergeCell ref="U639:V639"/>
    <mergeCell ref="W639:X639"/>
    <mergeCell ref="A641:B641"/>
    <mergeCell ref="C641:G641"/>
    <mergeCell ref="I641:J641"/>
    <mergeCell ref="K641:L641"/>
    <mergeCell ref="M641:N641"/>
    <mergeCell ref="O641:P641"/>
    <mergeCell ref="Q641:R641"/>
    <mergeCell ref="U641:V641"/>
    <mergeCell ref="W641:X641"/>
    <mergeCell ref="I633:J633"/>
    <mergeCell ref="N633:O633"/>
    <mergeCell ref="A635:B635"/>
    <mergeCell ref="C635:G635"/>
    <mergeCell ref="I635:J635"/>
    <mergeCell ref="K635:L635"/>
    <mergeCell ref="M635:N635"/>
    <mergeCell ref="O635:P635"/>
    <mergeCell ref="Q635:R635"/>
    <mergeCell ref="U635:V635"/>
    <mergeCell ref="W635:X635"/>
    <mergeCell ref="A637:B637"/>
    <mergeCell ref="C637:G637"/>
    <mergeCell ref="I637:J637"/>
    <mergeCell ref="K637:L637"/>
    <mergeCell ref="M637:N637"/>
    <mergeCell ref="O637:P637"/>
    <mergeCell ref="Q637:R637"/>
    <mergeCell ref="U637:V637"/>
    <mergeCell ref="W637:X637"/>
    <mergeCell ref="A628:B628"/>
    <mergeCell ref="C628:G629"/>
    <mergeCell ref="I628:J628"/>
    <mergeCell ref="K628:L628"/>
    <mergeCell ref="M628:N628"/>
    <mergeCell ref="O628:P628"/>
    <mergeCell ref="Q628:R628"/>
    <mergeCell ref="U628:V628"/>
    <mergeCell ref="W628:X628"/>
    <mergeCell ref="A630:B630"/>
    <mergeCell ref="D630:V630"/>
    <mergeCell ref="A632:B632"/>
    <mergeCell ref="C632:G632"/>
    <mergeCell ref="I632:J632"/>
    <mergeCell ref="K632:L632"/>
    <mergeCell ref="M632:N632"/>
    <mergeCell ref="O632:P632"/>
    <mergeCell ref="Q632:R632"/>
    <mergeCell ref="U632:V632"/>
    <mergeCell ref="W632:X632"/>
    <mergeCell ref="A624:B624"/>
    <mergeCell ref="C624:G624"/>
    <mergeCell ref="I624:J624"/>
    <mergeCell ref="K624:L624"/>
    <mergeCell ref="M624:N624"/>
    <mergeCell ref="O624:P624"/>
    <mergeCell ref="Q624:R624"/>
    <mergeCell ref="U624:V624"/>
    <mergeCell ref="W624:X624"/>
    <mergeCell ref="A626:B626"/>
    <mergeCell ref="C626:G626"/>
    <mergeCell ref="I626:J626"/>
    <mergeCell ref="K626:L626"/>
    <mergeCell ref="M626:N626"/>
    <mergeCell ref="O626:P626"/>
    <mergeCell ref="Q626:R626"/>
    <mergeCell ref="U626:V626"/>
    <mergeCell ref="W626:X626"/>
    <mergeCell ref="A620:B620"/>
    <mergeCell ref="C620:G620"/>
    <mergeCell ref="I620:J620"/>
    <mergeCell ref="K620:L620"/>
    <mergeCell ref="M620:N620"/>
    <mergeCell ref="O620:P620"/>
    <mergeCell ref="Q620:R620"/>
    <mergeCell ref="U620:V620"/>
    <mergeCell ref="W620:X620"/>
    <mergeCell ref="A622:B622"/>
    <mergeCell ref="C622:G622"/>
    <mergeCell ref="I622:J622"/>
    <mergeCell ref="K622:L622"/>
    <mergeCell ref="M622:N622"/>
    <mergeCell ref="O622:P622"/>
    <mergeCell ref="Q622:R622"/>
    <mergeCell ref="U622:V622"/>
    <mergeCell ref="W622:X622"/>
    <mergeCell ref="A616:B616"/>
    <mergeCell ref="C616:G616"/>
    <mergeCell ref="I616:J616"/>
    <mergeCell ref="K616:L616"/>
    <mergeCell ref="M616:N616"/>
    <mergeCell ref="O616:P616"/>
    <mergeCell ref="Q616:R616"/>
    <mergeCell ref="U616:V616"/>
    <mergeCell ref="W616:X616"/>
    <mergeCell ref="A618:B618"/>
    <mergeCell ref="C618:G618"/>
    <mergeCell ref="I618:J618"/>
    <mergeCell ref="K618:L618"/>
    <mergeCell ref="M618:N618"/>
    <mergeCell ref="O618:P618"/>
    <mergeCell ref="Q618:R618"/>
    <mergeCell ref="U618:V618"/>
    <mergeCell ref="W618:X618"/>
    <mergeCell ref="A612:B612"/>
    <mergeCell ref="C612:G612"/>
    <mergeCell ref="I612:J612"/>
    <mergeCell ref="K612:L612"/>
    <mergeCell ref="M612:N612"/>
    <mergeCell ref="O612:P612"/>
    <mergeCell ref="Q612:R612"/>
    <mergeCell ref="U612:V612"/>
    <mergeCell ref="W612:X612"/>
    <mergeCell ref="A614:B614"/>
    <mergeCell ref="C614:G614"/>
    <mergeCell ref="I614:J614"/>
    <mergeCell ref="K614:L614"/>
    <mergeCell ref="M614:N614"/>
    <mergeCell ref="O614:P614"/>
    <mergeCell ref="Q614:R614"/>
    <mergeCell ref="U614:V614"/>
    <mergeCell ref="W614:X614"/>
    <mergeCell ref="A608:B608"/>
    <mergeCell ref="C608:G608"/>
    <mergeCell ref="I608:J608"/>
    <mergeCell ref="K608:L608"/>
    <mergeCell ref="M608:N608"/>
    <mergeCell ref="O608:P608"/>
    <mergeCell ref="Q608:R608"/>
    <mergeCell ref="U608:V608"/>
    <mergeCell ref="W608:X608"/>
    <mergeCell ref="A610:B610"/>
    <mergeCell ref="C610:G611"/>
    <mergeCell ref="I610:J610"/>
    <mergeCell ref="K610:L610"/>
    <mergeCell ref="M610:N610"/>
    <mergeCell ref="O610:P610"/>
    <mergeCell ref="Q610:R610"/>
    <mergeCell ref="U610:V610"/>
    <mergeCell ref="W610:X610"/>
    <mergeCell ref="A604:B604"/>
    <mergeCell ref="C604:G604"/>
    <mergeCell ref="I604:J604"/>
    <mergeCell ref="K604:L604"/>
    <mergeCell ref="M604:N604"/>
    <mergeCell ref="O604:P604"/>
    <mergeCell ref="Q604:R604"/>
    <mergeCell ref="U604:V604"/>
    <mergeCell ref="W604:X604"/>
    <mergeCell ref="A606:B606"/>
    <mergeCell ref="C606:G606"/>
    <mergeCell ref="I606:J606"/>
    <mergeCell ref="K606:L606"/>
    <mergeCell ref="M606:N606"/>
    <mergeCell ref="O606:P606"/>
    <mergeCell ref="Q606:R606"/>
    <mergeCell ref="U606:V606"/>
    <mergeCell ref="W606:X606"/>
    <mergeCell ref="A600:B600"/>
    <mergeCell ref="C600:G600"/>
    <mergeCell ref="I600:J600"/>
    <mergeCell ref="K600:L600"/>
    <mergeCell ref="M600:N600"/>
    <mergeCell ref="O600:P600"/>
    <mergeCell ref="Q600:R600"/>
    <mergeCell ref="U600:V600"/>
    <mergeCell ref="W600:X600"/>
    <mergeCell ref="A602:B602"/>
    <mergeCell ref="C602:G603"/>
    <mergeCell ref="I602:J602"/>
    <mergeCell ref="K602:L602"/>
    <mergeCell ref="M602:N602"/>
    <mergeCell ref="O602:P602"/>
    <mergeCell ref="Q602:R602"/>
    <mergeCell ref="U602:V602"/>
    <mergeCell ref="W602:X602"/>
    <mergeCell ref="A596:B596"/>
    <mergeCell ref="C596:G596"/>
    <mergeCell ref="I596:J596"/>
    <mergeCell ref="K596:L596"/>
    <mergeCell ref="M596:N596"/>
    <mergeCell ref="O596:P596"/>
    <mergeCell ref="Q596:R596"/>
    <mergeCell ref="U596:V596"/>
    <mergeCell ref="W596:X596"/>
    <mergeCell ref="A598:B598"/>
    <mergeCell ref="C598:G598"/>
    <mergeCell ref="I598:J598"/>
    <mergeCell ref="K598:L598"/>
    <mergeCell ref="M598:N598"/>
    <mergeCell ref="O598:P598"/>
    <mergeCell ref="Q598:R598"/>
    <mergeCell ref="U598:V598"/>
    <mergeCell ref="W598:X598"/>
    <mergeCell ref="A592:B592"/>
    <mergeCell ref="C592:G592"/>
    <mergeCell ref="I592:J592"/>
    <mergeCell ref="K592:L592"/>
    <mergeCell ref="M592:N592"/>
    <mergeCell ref="O592:P592"/>
    <mergeCell ref="Q592:R592"/>
    <mergeCell ref="U592:V592"/>
    <mergeCell ref="W592:X592"/>
    <mergeCell ref="A594:B594"/>
    <mergeCell ref="C594:G594"/>
    <mergeCell ref="I594:J594"/>
    <mergeCell ref="K594:L594"/>
    <mergeCell ref="M594:N594"/>
    <mergeCell ref="O594:P594"/>
    <mergeCell ref="Q594:R594"/>
    <mergeCell ref="U594:V594"/>
    <mergeCell ref="W594:X594"/>
    <mergeCell ref="A588:B588"/>
    <mergeCell ref="C588:G588"/>
    <mergeCell ref="I588:J588"/>
    <mergeCell ref="K588:L588"/>
    <mergeCell ref="M588:N588"/>
    <mergeCell ref="O588:P588"/>
    <mergeCell ref="Q588:R588"/>
    <mergeCell ref="U588:V588"/>
    <mergeCell ref="W588:X588"/>
    <mergeCell ref="A590:B590"/>
    <mergeCell ref="C590:G590"/>
    <mergeCell ref="I590:J590"/>
    <mergeCell ref="K590:L590"/>
    <mergeCell ref="M590:N590"/>
    <mergeCell ref="O590:P590"/>
    <mergeCell ref="Q590:R590"/>
    <mergeCell ref="U590:V590"/>
    <mergeCell ref="W590:X590"/>
    <mergeCell ref="A584:B584"/>
    <mergeCell ref="C584:G584"/>
    <mergeCell ref="I584:J584"/>
    <mergeCell ref="K584:L584"/>
    <mergeCell ref="M584:N584"/>
    <mergeCell ref="O584:P584"/>
    <mergeCell ref="Q584:R584"/>
    <mergeCell ref="U584:V584"/>
    <mergeCell ref="W584:X584"/>
    <mergeCell ref="A586:B586"/>
    <mergeCell ref="C586:G586"/>
    <mergeCell ref="I586:J586"/>
    <mergeCell ref="K586:L586"/>
    <mergeCell ref="M586:N586"/>
    <mergeCell ref="O586:P586"/>
    <mergeCell ref="Q586:R586"/>
    <mergeCell ref="U586:V586"/>
    <mergeCell ref="W586:X586"/>
    <mergeCell ref="A580:B580"/>
    <mergeCell ref="C580:G580"/>
    <mergeCell ref="I580:J580"/>
    <mergeCell ref="K580:L580"/>
    <mergeCell ref="M580:N580"/>
    <mergeCell ref="O580:P580"/>
    <mergeCell ref="Q580:R580"/>
    <mergeCell ref="U580:V580"/>
    <mergeCell ref="W580:X580"/>
    <mergeCell ref="A582:B582"/>
    <mergeCell ref="C582:G582"/>
    <mergeCell ref="I582:J582"/>
    <mergeCell ref="K582:L582"/>
    <mergeCell ref="M582:N582"/>
    <mergeCell ref="O582:P582"/>
    <mergeCell ref="Q582:R582"/>
    <mergeCell ref="U582:V582"/>
    <mergeCell ref="W582:X582"/>
    <mergeCell ref="A576:B576"/>
    <mergeCell ref="C576:G576"/>
    <mergeCell ref="I576:J576"/>
    <mergeCell ref="K576:L576"/>
    <mergeCell ref="M576:N576"/>
    <mergeCell ref="O576:P576"/>
    <mergeCell ref="Q576:R576"/>
    <mergeCell ref="U576:V576"/>
    <mergeCell ref="W576:X576"/>
    <mergeCell ref="A578:B578"/>
    <mergeCell ref="C578:G578"/>
    <mergeCell ref="I578:J578"/>
    <mergeCell ref="K578:L578"/>
    <mergeCell ref="M578:N578"/>
    <mergeCell ref="O578:P578"/>
    <mergeCell ref="Q578:R578"/>
    <mergeCell ref="U578:V578"/>
    <mergeCell ref="W578:X578"/>
    <mergeCell ref="A572:B572"/>
    <mergeCell ref="C572:G572"/>
    <mergeCell ref="I572:J572"/>
    <mergeCell ref="K572:L572"/>
    <mergeCell ref="M572:N572"/>
    <mergeCell ref="O572:P572"/>
    <mergeCell ref="Q572:R572"/>
    <mergeCell ref="U572:V572"/>
    <mergeCell ref="W572:X572"/>
    <mergeCell ref="A574:B574"/>
    <mergeCell ref="C574:G574"/>
    <mergeCell ref="I574:J574"/>
    <mergeCell ref="K574:L574"/>
    <mergeCell ref="M574:N574"/>
    <mergeCell ref="O574:P574"/>
    <mergeCell ref="Q574:R574"/>
    <mergeCell ref="U574:V574"/>
    <mergeCell ref="W574:X574"/>
    <mergeCell ref="A568:B568"/>
    <mergeCell ref="C568:G568"/>
    <mergeCell ref="I568:J568"/>
    <mergeCell ref="K568:L568"/>
    <mergeCell ref="M568:N568"/>
    <mergeCell ref="O568:P568"/>
    <mergeCell ref="Q568:R568"/>
    <mergeCell ref="U568:V568"/>
    <mergeCell ref="W568:X568"/>
    <mergeCell ref="A570:B570"/>
    <mergeCell ref="C570:G570"/>
    <mergeCell ref="I570:J570"/>
    <mergeCell ref="K570:L570"/>
    <mergeCell ref="M570:N570"/>
    <mergeCell ref="O570:P570"/>
    <mergeCell ref="Q570:R570"/>
    <mergeCell ref="U570:V570"/>
    <mergeCell ref="W570:X570"/>
    <mergeCell ref="A564:B564"/>
    <mergeCell ref="C564:G564"/>
    <mergeCell ref="I564:J564"/>
    <mergeCell ref="K564:L564"/>
    <mergeCell ref="M564:N564"/>
    <mergeCell ref="O564:P564"/>
    <mergeCell ref="Q564:R564"/>
    <mergeCell ref="U564:V564"/>
    <mergeCell ref="W564:X564"/>
    <mergeCell ref="A566:B566"/>
    <mergeCell ref="C566:G566"/>
    <mergeCell ref="I566:J566"/>
    <mergeCell ref="K566:L566"/>
    <mergeCell ref="M566:N566"/>
    <mergeCell ref="O566:P566"/>
    <mergeCell ref="Q566:R566"/>
    <mergeCell ref="U566:V566"/>
    <mergeCell ref="W566:X566"/>
    <mergeCell ref="A558:B558"/>
    <mergeCell ref="D558:V558"/>
    <mergeCell ref="A560:B560"/>
    <mergeCell ref="C560:G560"/>
    <mergeCell ref="I560:J560"/>
    <mergeCell ref="K560:L560"/>
    <mergeCell ref="M560:N560"/>
    <mergeCell ref="O560:P560"/>
    <mergeCell ref="Q560:R560"/>
    <mergeCell ref="U560:V560"/>
    <mergeCell ref="W560:X560"/>
    <mergeCell ref="A562:B562"/>
    <mergeCell ref="C562:G562"/>
    <mergeCell ref="I562:J562"/>
    <mergeCell ref="K562:L562"/>
    <mergeCell ref="M562:N562"/>
    <mergeCell ref="O562:P562"/>
    <mergeCell ref="Q562:R562"/>
    <mergeCell ref="U562:V562"/>
    <mergeCell ref="W562:X562"/>
    <mergeCell ref="A555:B555"/>
    <mergeCell ref="C555:G555"/>
    <mergeCell ref="I555:J555"/>
    <mergeCell ref="K555:L555"/>
    <mergeCell ref="M555:N555"/>
    <mergeCell ref="O555:P555"/>
    <mergeCell ref="Q555:R555"/>
    <mergeCell ref="U555:V555"/>
    <mergeCell ref="W555:X555"/>
    <mergeCell ref="A557:B557"/>
    <mergeCell ref="C557:G557"/>
    <mergeCell ref="I557:J557"/>
    <mergeCell ref="K557:L557"/>
    <mergeCell ref="M557:N557"/>
    <mergeCell ref="O557:P557"/>
    <mergeCell ref="Q557:R557"/>
    <mergeCell ref="U557:V557"/>
    <mergeCell ref="W557:X557"/>
    <mergeCell ref="A550:B550"/>
    <mergeCell ref="C550:G550"/>
    <mergeCell ref="I550:J550"/>
    <mergeCell ref="K550:L550"/>
    <mergeCell ref="M550:N550"/>
    <mergeCell ref="O550:P550"/>
    <mergeCell ref="Q550:R550"/>
    <mergeCell ref="U550:V550"/>
    <mergeCell ref="W550:X550"/>
    <mergeCell ref="I551:J551"/>
    <mergeCell ref="N551:O551"/>
    <mergeCell ref="A553:B553"/>
    <mergeCell ref="C553:G553"/>
    <mergeCell ref="I553:J553"/>
    <mergeCell ref="K553:L553"/>
    <mergeCell ref="M553:N553"/>
    <mergeCell ref="O553:P553"/>
    <mergeCell ref="Q553:R553"/>
    <mergeCell ref="U553:V553"/>
    <mergeCell ref="W553:X553"/>
    <mergeCell ref="A546:B546"/>
    <mergeCell ref="C546:G546"/>
    <mergeCell ref="I546:J546"/>
    <mergeCell ref="K546:L546"/>
    <mergeCell ref="M546:N546"/>
    <mergeCell ref="O546:P546"/>
    <mergeCell ref="Q546:R546"/>
    <mergeCell ref="U546:V546"/>
    <mergeCell ref="W546:X546"/>
    <mergeCell ref="A548:B548"/>
    <mergeCell ref="C548:G548"/>
    <mergeCell ref="I548:J548"/>
    <mergeCell ref="K548:L548"/>
    <mergeCell ref="M548:N548"/>
    <mergeCell ref="O548:P548"/>
    <mergeCell ref="Q548:R548"/>
    <mergeCell ref="U548:V548"/>
    <mergeCell ref="W548:X548"/>
    <mergeCell ref="A542:B542"/>
    <mergeCell ref="C542:G542"/>
    <mergeCell ref="I542:J542"/>
    <mergeCell ref="K542:L542"/>
    <mergeCell ref="M542:N542"/>
    <mergeCell ref="O542:P542"/>
    <mergeCell ref="Q542:R542"/>
    <mergeCell ref="U542:V542"/>
    <mergeCell ref="W542:X542"/>
    <mergeCell ref="A544:B544"/>
    <mergeCell ref="C544:G544"/>
    <mergeCell ref="I544:J544"/>
    <mergeCell ref="K544:L544"/>
    <mergeCell ref="M544:N544"/>
    <mergeCell ref="O544:P544"/>
    <mergeCell ref="Q544:R544"/>
    <mergeCell ref="U544:V544"/>
    <mergeCell ref="W544:X544"/>
    <mergeCell ref="A538:B538"/>
    <mergeCell ref="C538:G538"/>
    <mergeCell ref="I538:J538"/>
    <mergeCell ref="K538:L538"/>
    <mergeCell ref="M538:N538"/>
    <mergeCell ref="O538:P538"/>
    <mergeCell ref="Q538:R538"/>
    <mergeCell ref="U538:V538"/>
    <mergeCell ref="W538:X538"/>
    <mergeCell ref="A540:B540"/>
    <mergeCell ref="C540:G540"/>
    <mergeCell ref="I540:J540"/>
    <mergeCell ref="K540:L540"/>
    <mergeCell ref="M540:N540"/>
    <mergeCell ref="O540:P540"/>
    <mergeCell ref="Q540:R540"/>
    <mergeCell ref="U540:V540"/>
    <mergeCell ref="W540:X540"/>
    <mergeCell ref="A534:B534"/>
    <mergeCell ref="C534:G534"/>
    <mergeCell ref="I534:J534"/>
    <mergeCell ref="K534:L534"/>
    <mergeCell ref="M534:N534"/>
    <mergeCell ref="O534:P534"/>
    <mergeCell ref="Q534:R534"/>
    <mergeCell ref="U534:V534"/>
    <mergeCell ref="W534:X534"/>
    <mergeCell ref="A536:B536"/>
    <mergeCell ref="C536:G536"/>
    <mergeCell ref="I536:J536"/>
    <mergeCell ref="K536:L536"/>
    <mergeCell ref="M536:N536"/>
    <mergeCell ref="O536:P536"/>
    <mergeCell ref="Q536:R536"/>
    <mergeCell ref="U536:V536"/>
    <mergeCell ref="W536:X536"/>
    <mergeCell ref="A530:B530"/>
    <mergeCell ref="C530:G530"/>
    <mergeCell ref="I530:J530"/>
    <mergeCell ref="K530:L530"/>
    <mergeCell ref="M530:N530"/>
    <mergeCell ref="O530:P530"/>
    <mergeCell ref="Q530:R530"/>
    <mergeCell ref="U530:V530"/>
    <mergeCell ref="W530:X530"/>
    <mergeCell ref="A532:B532"/>
    <mergeCell ref="C532:G532"/>
    <mergeCell ref="I532:J532"/>
    <mergeCell ref="K532:L532"/>
    <mergeCell ref="M532:N532"/>
    <mergeCell ref="O532:P532"/>
    <mergeCell ref="Q532:R532"/>
    <mergeCell ref="U532:V532"/>
    <mergeCell ref="W532:X532"/>
    <mergeCell ref="A526:B526"/>
    <mergeCell ref="C526:G526"/>
    <mergeCell ref="I526:J526"/>
    <mergeCell ref="K526:L526"/>
    <mergeCell ref="M526:N526"/>
    <mergeCell ref="O526:P526"/>
    <mergeCell ref="Q526:R526"/>
    <mergeCell ref="U526:V526"/>
    <mergeCell ref="W526:X526"/>
    <mergeCell ref="A528:B528"/>
    <mergeCell ref="C528:G528"/>
    <mergeCell ref="I528:J528"/>
    <mergeCell ref="K528:L528"/>
    <mergeCell ref="M528:N528"/>
    <mergeCell ref="O528:P528"/>
    <mergeCell ref="Q528:R528"/>
    <mergeCell ref="U528:V528"/>
    <mergeCell ref="W528:X528"/>
    <mergeCell ref="A522:B522"/>
    <mergeCell ref="C522:G522"/>
    <mergeCell ref="I522:J522"/>
    <mergeCell ref="K522:L522"/>
    <mergeCell ref="M522:N522"/>
    <mergeCell ref="O522:P522"/>
    <mergeCell ref="Q522:R522"/>
    <mergeCell ref="U522:V522"/>
    <mergeCell ref="W522:X522"/>
    <mergeCell ref="A524:B524"/>
    <mergeCell ref="C524:G524"/>
    <mergeCell ref="I524:J524"/>
    <mergeCell ref="K524:L524"/>
    <mergeCell ref="M524:N524"/>
    <mergeCell ref="O524:P524"/>
    <mergeCell ref="Q524:R524"/>
    <mergeCell ref="U524:V524"/>
    <mergeCell ref="W524:X524"/>
    <mergeCell ref="A518:B518"/>
    <mergeCell ref="C518:G518"/>
    <mergeCell ref="I518:J518"/>
    <mergeCell ref="K518:L518"/>
    <mergeCell ref="M518:N518"/>
    <mergeCell ref="O518:P518"/>
    <mergeCell ref="Q518:R518"/>
    <mergeCell ref="U518:V518"/>
    <mergeCell ref="W518:X518"/>
    <mergeCell ref="A520:B520"/>
    <mergeCell ref="C520:G520"/>
    <mergeCell ref="I520:J520"/>
    <mergeCell ref="K520:L520"/>
    <mergeCell ref="M520:N520"/>
    <mergeCell ref="O520:P520"/>
    <mergeCell ref="Q520:R520"/>
    <mergeCell ref="U520:V520"/>
    <mergeCell ref="W520:X520"/>
    <mergeCell ref="A514:B514"/>
    <mergeCell ref="C514:G514"/>
    <mergeCell ref="I514:J514"/>
    <mergeCell ref="K514:L514"/>
    <mergeCell ref="M514:N514"/>
    <mergeCell ref="O514:P514"/>
    <mergeCell ref="Q514:R514"/>
    <mergeCell ref="U514:V514"/>
    <mergeCell ref="W514:X514"/>
    <mergeCell ref="A516:B516"/>
    <mergeCell ref="C516:G516"/>
    <mergeCell ref="I516:J516"/>
    <mergeCell ref="K516:L516"/>
    <mergeCell ref="M516:N516"/>
    <mergeCell ref="O516:P516"/>
    <mergeCell ref="Q516:R516"/>
    <mergeCell ref="U516:V516"/>
    <mergeCell ref="W516:X516"/>
    <mergeCell ref="A510:B510"/>
    <mergeCell ref="C510:G511"/>
    <mergeCell ref="I510:J510"/>
    <mergeCell ref="K510:L510"/>
    <mergeCell ref="M510:N510"/>
    <mergeCell ref="O510:P510"/>
    <mergeCell ref="Q510:R510"/>
    <mergeCell ref="U510:V510"/>
    <mergeCell ref="W510:X510"/>
    <mergeCell ref="A512:B512"/>
    <mergeCell ref="C512:G512"/>
    <mergeCell ref="I512:J512"/>
    <mergeCell ref="K512:L512"/>
    <mergeCell ref="M512:N512"/>
    <mergeCell ref="O512:P512"/>
    <mergeCell ref="Q512:R512"/>
    <mergeCell ref="U512:V512"/>
    <mergeCell ref="W512:X512"/>
    <mergeCell ref="A506:B506"/>
    <mergeCell ref="C506:G506"/>
    <mergeCell ref="I506:J506"/>
    <mergeCell ref="K506:L506"/>
    <mergeCell ref="M506:N506"/>
    <mergeCell ref="O506:P506"/>
    <mergeCell ref="Q506:R506"/>
    <mergeCell ref="U506:V506"/>
    <mergeCell ref="W506:X506"/>
    <mergeCell ref="A508:B508"/>
    <mergeCell ref="C508:G508"/>
    <mergeCell ref="I508:J508"/>
    <mergeCell ref="K508:L508"/>
    <mergeCell ref="M508:N508"/>
    <mergeCell ref="O508:P508"/>
    <mergeCell ref="Q508:R508"/>
    <mergeCell ref="U508:V508"/>
    <mergeCell ref="W508:X508"/>
    <mergeCell ref="A502:B502"/>
    <mergeCell ref="C502:G502"/>
    <mergeCell ref="I502:J502"/>
    <mergeCell ref="K502:L502"/>
    <mergeCell ref="M502:N502"/>
    <mergeCell ref="O502:P502"/>
    <mergeCell ref="Q502:R502"/>
    <mergeCell ref="U502:V502"/>
    <mergeCell ref="W502:X502"/>
    <mergeCell ref="A504:B504"/>
    <mergeCell ref="C504:G504"/>
    <mergeCell ref="I504:J504"/>
    <mergeCell ref="K504:L504"/>
    <mergeCell ref="M504:N504"/>
    <mergeCell ref="O504:P504"/>
    <mergeCell ref="Q504:R504"/>
    <mergeCell ref="U504:V504"/>
    <mergeCell ref="W504:X504"/>
    <mergeCell ref="A498:B498"/>
    <mergeCell ref="C498:G498"/>
    <mergeCell ref="I498:J498"/>
    <mergeCell ref="K498:L498"/>
    <mergeCell ref="M498:N498"/>
    <mergeCell ref="O498:P498"/>
    <mergeCell ref="Q498:R498"/>
    <mergeCell ref="U498:V498"/>
    <mergeCell ref="W498:X498"/>
    <mergeCell ref="A500:B500"/>
    <mergeCell ref="C500:G500"/>
    <mergeCell ref="I500:J500"/>
    <mergeCell ref="K500:L500"/>
    <mergeCell ref="M500:N500"/>
    <mergeCell ref="O500:P500"/>
    <mergeCell ref="Q500:R500"/>
    <mergeCell ref="U500:V500"/>
    <mergeCell ref="W500:X500"/>
    <mergeCell ref="A494:B494"/>
    <mergeCell ref="C494:G494"/>
    <mergeCell ref="I494:J494"/>
    <mergeCell ref="K494:L494"/>
    <mergeCell ref="M494:N494"/>
    <mergeCell ref="O494:P494"/>
    <mergeCell ref="Q494:R494"/>
    <mergeCell ref="U494:V494"/>
    <mergeCell ref="W494:X494"/>
    <mergeCell ref="A496:B496"/>
    <mergeCell ref="C496:G496"/>
    <mergeCell ref="I496:J496"/>
    <mergeCell ref="K496:L496"/>
    <mergeCell ref="M496:N496"/>
    <mergeCell ref="O496:P496"/>
    <mergeCell ref="Q496:R496"/>
    <mergeCell ref="U496:V496"/>
    <mergeCell ref="W496:X496"/>
    <mergeCell ref="A490:B490"/>
    <mergeCell ref="C490:G490"/>
    <mergeCell ref="I490:J490"/>
    <mergeCell ref="K490:L490"/>
    <mergeCell ref="M490:N490"/>
    <mergeCell ref="O490:P490"/>
    <mergeCell ref="Q490:R490"/>
    <mergeCell ref="U490:V490"/>
    <mergeCell ref="W490:X490"/>
    <mergeCell ref="A492:B492"/>
    <mergeCell ref="C492:G492"/>
    <mergeCell ref="I492:J492"/>
    <mergeCell ref="K492:L492"/>
    <mergeCell ref="M492:N492"/>
    <mergeCell ref="O492:P492"/>
    <mergeCell ref="Q492:R492"/>
    <mergeCell ref="U492:V492"/>
    <mergeCell ref="W492:X492"/>
    <mergeCell ref="A485:B485"/>
    <mergeCell ref="C485:G485"/>
    <mergeCell ref="I485:J485"/>
    <mergeCell ref="K485:L485"/>
    <mergeCell ref="M485:N485"/>
    <mergeCell ref="O485:P485"/>
    <mergeCell ref="Q485:R485"/>
    <mergeCell ref="U485:V485"/>
    <mergeCell ref="W485:X485"/>
    <mergeCell ref="A486:B486"/>
    <mergeCell ref="D486:V486"/>
    <mergeCell ref="A488:B488"/>
    <mergeCell ref="C488:G488"/>
    <mergeCell ref="I488:J488"/>
    <mergeCell ref="K488:L488"/>
    <mergeCell ref="M488:N488"/>
    <mergeCell ref="O488:P488"/>
    <mergeCell ref="Q488:R488"/>
    <mergeCell ref="U488:V488"/>
    <mergeCell ref="W488:X488"/>
    <mergeCell ref="A481:B481"/>
    <mergeCell ref="C481:G481"/>
    <mergeCell ref="I481:J481"/>
    <mergeCell ref="K481:L481"/>
    <mergeCell ref="M481:N481"/>
    <mergeCell ref="O481:P481"/>
    <mergeCell ref="Q481:R481"/>
    <mergeCell ref="U481:V481"/>
    <mergeCell ref="W481:X481"/>
    <mergeCell ref="A483:B483"/>
    <mergeCell ref="C483:G483"/>
    <mergeCell ref="I483:J483"/>
    <mergeCell ref="K483:L483"/>
    <mergeCell ref="M483:N483"/>
    <mergeCell ref="O483:P483"/>
    <mergeCell ref="Q483:R483"/>
    <mergeCell ref="U483:V483"/>
    <mergeCell ref="W483:X483"/>
    <mergeCell ref="A477:B477"/>
    <mergeCell ref="C477:G477"/>
    <mergeCell ref="I477:J477"/>
    <mergeCell ref="K477:L477"/>
    <mergeCell ref="M477:N477"/>
    <mergeCell ref="O477:P477"/>
    <mergeCell ref="Q477:R477"/>
    <mergeCell ref="U477:V477"/>
    <mergeCell ref="W477:X477"/>
    <mergeCell ref="A479:B479"/>
    <mergeCell ref="C479:G479"/>
    <mergeCell ref="I479:J479"/>
    <mergeCell ref="K479:L479"/>
    <mergeCell ref="M479:N479"/>
    <mergeCell ref="O479:P479"/>
    <mergeCell ref="Q479:R479"/>
    <mergeCell ref="U479:V479"/>
    <mergeCell ref="W479:X479"/>
    <mergeCell ref="A473:B473"/>
    <mergeCell ref="C473:G473"/>
    <mergeCell ref="I473:J473"/>
    <mergeCell ref="K473:L473"/>
    <mergeCell ref="M473:N473"/>
    <mergeCell ref="O473:P473"/>
    <mergeCell ref="Q473:R473"/>
    <mergeCell ref="U473:V473"/>
    <mergeCell ref="W473:X473"/>
    <mergeCell ref="A475:B475"/>
    <mergeCell ref="C475:G475"/>
    <mergeCell ref="I475:J475"/>
    <mergeCell ref="K475:L475"/>
    <mergeCell ref="M475:N475"/>
    <mergeCell ref="O475:P475"/>
    <mergeCell ref="Q475:R475"/>
    <mergeCell ref="U475:V475"/>
    <mergeCell ref="W475:X475"/>
    <mergeCell ref="A469:B469"/>
    <mergeCell ref="C469:G469"/>
    <mergeCell ref="I469:J469"/>
    <mergeCell ref="K469:L469"/>
    <mergeCell ref="M469:N469"/>
    <mergeCell ref="O469:P469"/>
    <mergeCell ref="Q469:R469"/>
    <mergeCell ref="U469:V469"/>
    <mergeCell ref="W469:X469"/>
    <mergeCell ref="A471:B471"/>
    <mergeCell ref="C471:G471"/>
    <mergeCell ref="I471:J471"/>
    <mergeCell ref="K471:L471"/>
    <mergeCell ref="M471:N471"/>
    <mergeCell ref="O471:P471"/>
    <mergeCell ref="Q471:R471"/>
    <mergeCell ref="U471:V471"/>
    <mergeCell ref="W471:X471"/>
    <mergeCell ref="A465:B465"/>
    <mergeCell ref="C465:G466"/>
    <mergeCell ref="I465:J465"/>
    <mergeCell ref="K465:L465"/>
    <mergeCell ref="M465:N465"/>
    <mergeCell ref="O465:P465"/>
    <mergeCell ref="Q465:R465"/>
    <mergeCell ref="U465:V465"/>
    <mergeCell ref="W465:X465"/>
    <mergeCell ref="A467:B467"/>
    <mergeCell ref="C467:G467"/>
    <mergeCell ref="I467:J467"/>
    <mergeCell ref="K467:L467"/>
    <mergeCell ref="M467:N467"/>
    <mergeCell ref="O467:P467"/>
    <mergeCell ref="Q467:R467"/>
    <mergeCell ref="U467:V467"/>
    <mergeCell ref="W467:X467"/>
    <mergeCell ref="A461:B461"/>
    <mergeCell ref="C461:G461"/>
    <mergeCell ref="I461:J461"/>
    <mergeCell ref="K461:L461"/>
    <mergeCell ref="M461:N461"/>
    <mergeCell ref="O461:P461"/>
    <mergeCell ref="Q461:R461"/>
    <mergeCell ref="U461:V461"/>
    <mergeCell ref="W461:X461"/>
    <mergeCell ref="A463:B463"/>
    <mergeCell ref="C463:G463"/>
    <mergeCell ref="I463:J463"/>
    <mergeCell ref="K463:L463"/>
    <mergeCell ref="M463:N463"/>
    <mergeCell ref="O463:P463"/>
    <mergeCell ref="Q463:R463"/>
    <mergeCell ref="U463:V463"/>
    <mergeCell ref="W463:X463"/>
    <mergeCell ref="A457:B457"/>
    <mergeCell ref="C457:G457"/>
    <mergeCell ref="I457:J457"/>
    <mergeCell ref="K457:L457"/>
    <mergeCell ref="M457:N457"/>
    <mergeCell ref="O457:P457"/>
    <mergeCell ref="Q457:R457"/>
    <mergeCell ref="U457:V457"/>
    <mergeCell ref="W457:X457"/>
    <mergeCell ref="A459:B459"/>
    <mergeCell ref="C459:G459"/>
    <mergeCell ref="I459:J459"/>
    <mergeCell ref="K459:L459"/>
    <mergeCell ref="M459:N459"/>
    <mergeCell ref="O459:P459"/>
    <mergeCell ref="Q459:R459"/>
    <mergeCell ref="U459:V459"/>
    <mergeCell ref="W459:X459"/>
    <mergeCell ref="A453:B453"/>
    <mergeCell ref="C453:G453"/>
    <mergeCell ref="I453:J453"/>
    <mergeCell ref="K453:L453"/>
    <mergeCell ref="M453:N453"/>
    <mergeCell ref="O453:P453"/>
    <mergeCell ref="Q453:R453"/>
    <mergeCell ref="U453:V453"/>
    <mergeCell ref="W453:X453"/>
    <mergeCell ref="A455:B455"/>
    <mergeCell ref="C455:G455"/>
    <mergeCell ref="I455:J455"/>
    <mergeCell ref="K455:L455"/>
    <mergeCell ref="M455:N455"/>
    <mergeCell ref="O455:P455"/>
    <mergeCell ref="Q455:R455"/>
    <mergeCell ref="U455:V455"/>
    <mergeCell ref="W455:X455"/>
    <mergeCell ref="A449:B449"/>
    <mergeCell ref="C449:G449"/>
    <mergeCell ref="I449:J449"/>
    <mergeCell ref="K449:L449"/>
    <mergeCell ref="M449:N449"/>
    <mergeCell ref="O449:P449"/>
    <mergeCell ref="Q449:R449"/>
    <mergeCell ref="U449:V449"/>
    <mergeCell ref="W449:X449"/>
    <mergeCell ref="A451:B451"/>
    <mergeCell ref="C451:G451"/>
    <mergeCell ref="I451:J451"/>
    <mergeCell ref="K451:L451"/>
    <mergeCell ref="M451:N451"/>
    <mergeCell ref="O451:P451"/>
    <mergeCell ref="Q451:R451"/>
    <mergeCell ref="U451:V451"/>
    <mergeCell ref="W451:X451"/>
    <mergeCell ref="A445:B445"/>
    <mergeCell ref="C445:G445"/>
    <mergeCell ref="I445:J445"/>
    <mergeCell ref="K445:L445"/>
    <mergeCell ref="M445:N445"/>
    <mergeCell ref="O445:P445"/>
    <mergeCell ref="Q445:R445"/>
    <mergeCell ref="U445:V445"/>
    <mergeCell ref="W445:X445"/>
    <mergeCell ref="A447:B447"/>
    <mergeCell ref="C447:G447"/>
    <mergeCell ref="I447:J447"/>
    <mergeCell ref="K447:L447"/>
    <mergeCell ref="M447:N447"/>
    <mergeCell ref="O447:P447"/>
    <mergeCell ref="Q447:R447"/>
    <mergeCell ref="U447:V447"/>
    <mergeCell ref="W447:X447"/>
    <mergeCell ref="A441:B441"/>
    <mergeCell ref="C441:G441"/>
    <mergeCell ref="I441:J441"/>
    <mergeCell ref="K441:L441"/>
    <mergeCell ref="M441:N441"/>
    <mergeCell ref="O441:P441"/>
    <mergeCell ref="Q441:R441"/>
    <mergeCell ref="U441:V441"/>
    <mergeCell ref="W441:X441"/>
    <mergeCell ref="A443:B443"/>
    <mergeCell ref="C443:G443"/>
    <mergeCell ref="I443:J443"/>
    <mergeCell ref="K443:L443"/>
    <mergeCell ref="M443:N443"/>
    <mergeCell ref="O443:P443"/>
    <mergeCell ref="Q443:R443"/>
    <mergeCell ref="U443:V443"/>
    <mergeCell ref="W443:X443"/>
    <mergeCell ref="A437:B437"/>
    <mergeCell ref="C437:G437"/>
    <mergeCell ref="I437:J437"/>
    <mergeCell ref="K437:L437"/>
    <mergeCell ref="M437:N437"/>
    <mergeCell ref="O437:P437"/>
    <mergeCell ref="Q437:R437"/>
    <mergeCell ref="U437:V437"/>
    <mergeCell ref="W437:X437"/>
    <mergeCell ref="A439:B439"/>
    <mergeCell ref="C439:G439"/>
    <mergeCell ref="I439:J439"/>
    <mergeCell ref="K439:L439"/>
    <mergeCell ref="M439:N439"/>
    <mergeCell ref="O439:P439"/>
    <mergeCell ref="Q439:R439"/>
    <mergeCell ref="U439:V439"/>
    <mergeCell ref="W439:X439"/>
    <mergeCell ref="A433:B433"/>
    <mergeCell ref="C433:G433"/>
    <mergeCell ref="I433:J433"/>
    <mergeCell ref="K433:L433"/>
    <mergeCell ref="M433:N433"/>
    <mergeCell ref="O433:P433"/>
    <mergeCell ref="Q433:R433"/>
    <mergeCell ref="U433:V433"/>
    <mergeCell ref="W433:X433"/>
    <mergeCell ref="A435:B435"/>
    <mergeCell ref="C435:G435"/>
    <mergeCell ref="I435:J435"/>
    <mergeCell ref="K435:L435"/>
    <mergeCell ref="M435:N435"/>
    <mergeCell ref="O435:P435"/>
    <mergeCell ref="Q435:R435"/>
    <mergeCell ref="U435:V435"/>
    <mergeCell ref="W435:X435"/>
    <mergeCell ref="A429:B429"/>
    <mergeCell ref="C429:G429"/>
    <mergeCell ref="I429:J429"/>
    <mergeCell ref="K429:L429"/>
    <mergeCell ref="M429:N429"/>
    <mergeCell ref="O429:P429"/>
    <mergeCell ref="Q429:R429"/>
    <mergeCell ref="U429:V429"/>
    <mergeCell ref="W429:X429"/>
    <mergeCell ref="A431:B431"/>
    <mergeCell ref="C431:G431"/>
    <mergeCell ref="I431:J431"/>
    <mergeCell ref="K431:L431"/>
    <mergeCell ref="M431:N431"/>
    <mergeCell ref="O431:P431"/>
    <mergeCell ref="Q431:R431"/>
    <mergeCell ref="U431:V431"/>
    <mergeCell ref="W431:X431"/>
    <mergeCell ref="A425:B425"/>
    <mergeCell ref="C425:G425"/>
    <mergeCell ref="I425:J425"/>
    <mergeCell ref="K425:L425"/>
    <mergeCell ref="M425:N425"/>
    <mergeCell ref="O425:P425"/>
    <mergeCell ref="Q425:R425"/>
    <mergeCell ref="U425:V425"/>
    <mergeCell ref="W425:X425"/>
    <mergeCell ref="A427:B427"/>
    <mergeCell ref="C427:G427"/>
    <mergeCell ref="I427:J427"/>
    <mergeCell ref="K427:L427"/>
    <mergeCell ref="M427:N427"/>
    <mergeCell ref="O427:P427"/>
    <mergeCell ref="Q427:R427"/>
    <mergeCell ref="U427:V427"/>
    <mergeCell ref="W427:X427"/>
    <mergeCell ref="A421:B421"/>
    <mergeCell ref="C421:G422"/>
    <mergeCell ref="I421:J421"/>
    <mergeCell ref="K421:L421"/>
    <mergeCell ref="M421:N421"/>
    <mergeCell ref="O421:P421"/>
    <mergeCell ref="Q421:R421"/>
    <mergeCell ref="U421:V421"/>
    <mergeCell ref="W421:X421"/>
    <mergeCell ref="A423:B423"/>
    <mergeCell ref="C423:G423"/>
    <mergeCell ref="I423:J423"/>
    <mergeCell ref="K423:L423"/>
    <mergeCell ref="M423:N423"/>
    <mergeCell ref="O423:P423"/>
    <mergeCell ref="Q423:R423"/>
    <mergeCell ref="U423:V423"/>
    <mergeCell ref="W423:X423"/>
    <mergeCell ref="A417:B417"/>
    <mergeCell ref="C417:G417"/>
    <mergeCell ref="I417:J417"/>
    <mergeCell ref="K417:L417"/>
    <mergeCell ref="M417:N417"/>
    <mergeCell ref="O417:P417"/>
    <mergeCell ref="Q417:R417"/>
    <mergeCell ref="U417:V417"/>
    <mergeCell ref="W417:X417"/>
    <mergeCell ref="A419:B419"/>
    <mergeCell ref="C419:G419"/>
    <mergeCell ref="I419:J419"/>
    <mergeCell ref="K419:L419"/>
    <mergeCell ref="M419:N419"/>
    <mergeCell ref="O419:P419"/>
    <mergeCell ref="Q419:R419"/>
    <mergeCell ref="U419:V419"/>
    <mergeCell ref="W419:X419"/>
    <mergeCell ref="A412:B412"/>
    <mergeCell ref="C412:G412"/>
    <mergeCell ref="I412:J412"/>
    <mergeCell ref="K412:L412"/>
    <mergeCell ref="M412:N412"/>
    <mergeCell ref="O412:P412"/>
    <mergeCell ref="Q412:R412"/>
    <mergeCell ref="U412:V412"/>
    <mergeCell ref="W412:X412"/>
    <mergeCell ref="A413:B413"/>
    <mergeCell ref="D413:V413"/>
    <mergeCell ref="A415:B415"/>
    <mergeCell ref="C415:G415"/>
    <mergeCell ref="I415:J415"/>
    <mergeCell ref="K415:L415"/>
    <mergeCell ref="M415:N415"/>
    <mergeCell ref="O415:P415"/>
    <mergeCell ref="Q415:R415"/>
    <mergeCell ref="U415:V415"/>
    <mergeCell ref="W415:X415"/>
    <mergeCell ref="A408:B408"/>
    <mergeCell ref="C408:G408"/>
    <mergeCell ref="I408:J408"/>
    <mergeCell ref="K408:L408"/>
    <mergeCell ref="M408:N408"/>
    <mergeCell ref="O408:P408"/>
    <mergeCell ref="Q408:R408"/>
    <mergeCell ref="U408:V408"/>
    <mergeCell ref="W408:X408"/>
    <mergeCell ref="A410:B410"/>
    <mergeCell ref="C410:G410"/>
    <mergeCell ref="I410:J410"/>
    <mergeCell ref="K410:L410"/>
    <mergeCell ref="M410:N410"/>
    <mergeCell ref="O410:P410"/>
    <mergeCell ref="Q410:R410"/>
    <mergeCell ref="U410:V410"/>
    <mergeCell ref="W410:X410"/>
    <mergeCell ref="A404:B404"/>
    <mergeCell ref="C404:G404"/>
    <mergeCell ref="I404:J404"/>
    <mergeCell ref="K404:L404"/>
    <mergeCell ref="M404:N404"/>
    <mergeCell ref="O404:P404"/>
    <mergeCell ref="Q404:R404"/>
    <mergeCell ref="U404:V404"/>
    <mergeCell ref="W404:X404"/>
    <mergeCell ref="A406:B406"/>
    <mergeCell ref="C406:G406"/>
    <mergeCell ref="I406:J406"/>
    <mergeCell ref="K406:L406"/>
    <mergeCell ref="M406:N406"/>
    <mergeCell ref="O406:P406"/>
    <mergeCell ref="Q406:R406"/>
    <mergeCell ref="U406:V406"/>
    <mergeCell ref="W406:X406"/>
    <mergeCell ref="A400:B400"/>
    <mergeCell ref="C400:G400"/>
    <mergeCell ref="I400:J400"/>
    <mergeCell ref="K400:L400"/>
    <mergeCell ref="M400:N400"/>
    <mergeCell ref="O400:P400"/>
    <mergeCell ref="Q400:R400"/>
    <mergeCell ref="U400:V400"/>
    <mergeCell ref="W400:X400"/>
    <mergeCell ref="A402:B402"/>
    <mergeCell ref="C402:G403"/>
    <mergeCell ref="I402:J402"/>
    <mergeCell ref="K402:L402"/>
    <mergeCell ref="M402:N402"/>
    <mergeCell ref="O402:P402"/>
    <mergeCell ref="Q402:R402"/>
    <mergeCell ref="U402:V402"/>
    <mergeCell ref="W402:X402"/>
    <mergeCell ref="A396:B396"/>
    <mergeCell ref="C396:G396"/>
    <mergeCell ref="I396:J396"/>
    <mergeCell ref="K396:L396"/>
    <mergeCell ref="M396:N396"/>
    <mergeCell ref="O396:P396"/>
    <mergeCell ref="Q396:R396"/>
    <mergeCell ref="U396:V396"/>
    <mergeCell ref="W396:X396"/>
    <mergeCell ref="A398:B398"/>
    <mergeCell ref="C398:G398"/>
    <mergeCell ref="I398:J398"/>
    <mergeCell ref="K398:L398"/>
    <mergeCell ref="M398:N398"/>
    <mergeCell ref="O398:P398"/>
    <mergeCell ref="Q398:R398"/>
    <mergeCell ref="U398:V398"/>
    <mergeCell ref="W398:X398"/>
    <mergeCell ref="A392:B392"/>
    <mergeCell ref="C392:G392"/>
    <mergeCell ref="I392:J392"/>
    <mergeCell ref="K392:L392"/>
    <mergeCell ref="M392:N392"/>
    <mergeCell ref="O392:P392"/>
    <mergeCell ref="Q392:R392"/>
    <mergeCell ref="U392:V392"/>
    <mergeCell ref="W392:X392"/>
    <mergeCell ref="A394:B394"/>
    <mergeCell ref="C394:G394"/>
    <mergeCell ref="I394:J394"/>
    <mergeCell ref="K394:L394"/>
    <mergeCell ref="M394:N394"/>
    <mergeCell ref="O394:P394"/>
    <mergeCell ref="Q394:R394"/>
    <mergeCell ref="U394:V394"/>
    <mergeCell ref="W394:X394"/>
    <mergeCell ref="A388:B388"/>
    <mergeCell ref="C388:G388"/>
    <mergeCell ref="I388:J388"/>
    <mergeCell ref="K388:L388"/>
    <mergeCell ref="M388:N388"/>
    <mergeCell ref="O388:P388"/>
    <mergeCell ref="Q388:R388"/>
    <mergeCell ref="U388:V388"/>
    <mergeCell ref="W388:X388"/>
    <mergeCell ref="A390:B390"/>
    <mergeCell ref="C390:G390"/>
    <mergeCell ref="I390:J390"/>
    <mergeCell ref="K390:L390"/>
    <mergeCell ref="M390:N390"/>
    <mergeCell ref="O390:P390"/>
    <mergeCell ref="Q390:R390"/>
    <mergeCell ref="U390:V390"/>
    <mergeCell ref="W390:X390"/>
    <mergeCell ref="A384:B384"/>
    <mergeCell ref="C384:G384"/>
    <mergeCell ref="I384:J384"/>
    <mergeCell ref="K384:L384"/>
    <mergeCell ref="M384:N384"/>
    <mergeCell ref="O384:P384"/>
    <mergeCell ref="Q384:R384"/>
    <mergeCell ref="U384:V384"/>
    <mergeCell ref="W384:X384"/>
    <mergeCell ref="A386:B386"/>
    <mergeCell ref="C386:G386"/>
    <mergeCell ref="I386:J386"/>
    <mergeCell ref="K386:L386"/>
    <mergeCell ref="M386:N386"/>
    <mergeCell ref="O386:P386"/>
    <mergeCell ref="Q386:R386"/>
    <mergeCell ref="U386:V386"/>
    <mergeCell ref="W386:X386"/>
    <mergeCell ref="A380:B380"/>
    <mergeCell ref="C380:G380"/>
    <mergeCell ref="I380:J380"/>
    <mergeCell ref="K380:L380"/>
    <mergeCell ref="M380:N380"/>
    <mergeCell ref="O380:P380"/>
    <mergeCell ref="Q380:R380"/>
    <mergeCell ref="U380:V380"/>
    <mergeCell ref="W380:X380"/>
    <mergeCell ref="A382:B382"/>
    <mergeCell ref="C382:G382"/>
    <mergeCell ref="I382:J382"/>
    <mergeCell ref="K382:L382"/>
    <mergeCell ref="M382:N382"/>
    <mergeCell ref="O382:P382"/>
    <mergeCell ref="Q382:R382"/>
    <mergeCell ref="U382:V382"/>
    <mergeCell ref="W382:X382"/>
    <mergeCell ref="A376:B376"/>
    <mergeCell ref="C376:G376"/>
    <mergeCell ref="I376:J376"/>
    <mergeCell ref="K376:L376"/>
    <mergeCell ref="M376:N376"/>
    <mergeCell ref="O376:P376"/>
    <mergeCell ref="Q376:R376"/>
    <mergeCell ref="U376:V376"/>
    <mergeCell ref="W376:X376"/>
    <mergeCell ref="A378:B378"/>
    <mergeCell ref="C378:G378"/>
    <mergeCell ref="I378:J378"/>
    <mergeCell ref="K378:L378"/>
    <mergeCell ref="M378:N378"/>
    <mergeCell ref="O378:P378"/>
    <mergeCell ref="Q378:R378"/>
    <mergeCell ref="U378:V378"/>
    <mergeCell ref="W378:X378"/>
    <mergeCell ref="A372:B372"/>
    <mergeCell ref="C372:G372"/>
    <mergeCell ref="I372:J372"/>
    <mergeCell ref="K372:L372"/>
    <mergeCell ref="M372:N372"/>
    <mergeCell ref="O372:P372"/>
    <mergeCell ref="Q372:R372"/>
    <mergeCell ref="U372:V372"/>
    <mergeCell ref="W372:X372"/>
    <mergeCell ref="A374:B374"/>
    <mergeCell ref="C374:G374"/>
    <mergeCell ref="I374:J374"/>
    <mergeCell ref="K374:L374"/>
    <mergeCell ref="M374:N374"/>
    <mergeCell ref="O374:P374"/>
    <mergeCell ref="Q374:R374"/>
    <mergeCell ref="U374:V374"/>
    <mergeCell ref="W374:X374"/>
    <mergeCell ref="A368:B368"/>
    <mergeCell ref="C368:G368"/>
    <mergeCell ref="I368:J368"/>
    <mergeCell ref="K368:L368"/>
    <mergeCell ref="M368:N368"/>
    <mergeCell ref="O368:P368"/>
    <mergeCell ref="Q368:R368"/>
    <mergeCell ref="U368:V368"/>
    <mergeCell ref="W368:X368"/>
    <mergeCell ref="A370:B370"/>
    <mergeCell ref="C370:G370"/>
    <mergeCell ref="I370:J370"/>
    <mergeCell ref="K370:L370"/>
    <mergeCell ref="M370:N370"/>
    <mergeCell ref="O370:P370"/>
    <mergeCell ref="Q370:R370"/>
    <mergeCell ref="U370:V370"/>
    <mergeCell ref="W370:X370"/>
    <mergeCell ref="A364:B364"/>
    <mergeCell ref="C364:G364"/>
    <mergeCell ref="I364:J364"/>
    <mergeCell ref="K364:L364"/>
    <mergeCell ref="M364:N364"/>
    <mergeCell ref="O364:P364"/>
    <mergeCell ref="Q364:R364"/>
    <mergeCell ref="U364:V364"/>
    <mergeCell ref="W364:X364"/>
    <mergeCell ref="A366:B366"/>
    <mergeCell ref="C366:G366"/>
    <mergeCell ref="I366:J366"/>
    <mergeCell ref="K366:L366"/>
    <mergeCell ref="M366:N366"/>
    <mergeCell ref="O366:P366"/>
    <mergeCell ref="Q366:R366"/>
    <mergeCell ref="U366:V366"/>
    <mergeCell ref="W366:X366"/>
    <mergeCell ref="A360:B360"/>
    <mergeCell ref="C360:G360"/>
    <mergeCell ref="I360:J360"/>
    <mergeCell ref="K360:L360"/>
    <mergeCell ref="M360:N360"/>
    <mergeCell ref="O360:P360"/>
    <mergeCell ref="Q360:R360"/>
    <mergeCell ref="U360:V360"/>
    <mergeCell ref="W360:X360"/>
    <mergeCell ref="A362:B362"/>
    <mergeCell ref="C362:G362"/>
    <mergeCell ref="I362:J362"/>
    <mergeCell ref="K362:L362"/>
    <mergeCell ref="M362:N362"/>
    <mergeCell ref="O362:P362"/>
    <mergeCell ref="Q362:R362"/>
    <mergeCell ref="U362:V362"/>
    <mergeCell ref="W362:X362"/>
    <mergeCell ref="A353:B353"/>
    <mergeCell ref="C353:G355"/>
    <mergeCell ref="I353:J353"/>
    <mergeCell ref="K353:L353"/>
    <mergeCell ref="M353:N353"/>
    <mergeCell ref="O353:P353"/>
    <mergeCell ref="Q353:R353"/>
    <mergeCell ref="U353:V353"/>
    <mergeCell ref="W353:X353"/>
    <mergeCell ref="I355:J356"/>
    <mergeCell ref="N355:O356"/>
    <mergeCell ref="A358:B358"/>
    <mergeCell ref="C358:G358"/>
    <mergeCell ref="I358:J358"/>
    <mergeCell ref="K358:L358"/>
    <mergeCell ref="M358:N358"/>
    <mergeCell ref="O358:P358"/>
    <mergeCell ref="Q358:R358"/>
    <mergeCell ref="U358:V358"/>
    <mergeCell ref="W358:X358"/>
    <mergeCell ref="A349:B349"/>
    <mergeCell ref="C349:G349"/>
    <mergeCell ref="I349:J349"/>
    <mergeCell ref="K349:L349"/>
    <mergeCell ref="M349:N349"/>
    <mergeCell ref="O349:P349"/>
    <mergeCell ref="Q349:R349"/>
    <mergeCell ref="U349:V349"/>
    <mergeCell ref="W349:X349"/>
    <mergeCell ref="A351:B351"/>
    <mergeCell ref="C351:G351"/>
    <mergeCell ref="I351:J351"/>
    <mergeCell ref="K351:L351"/>
    <mergeCell ref="M351:N351"/>
    <mergeCell ref="O351:P351"/>
    <mergeCell ref="Q351:R351"/>
    <mergeCell ref="U351:V351"/>
    <mergeCell ref="W351:X351"/>
    <mergeCell ref="A345:B345"/>
    <mergeCell ref="C345:G345"/>
    <mergeCell ref="I345:J345"/>
    <mergeCell ref="K345:L345"/>
    <mergeCell ref="M345:N345"/>
    <mergeCell ref="O345:P345"/>
    <mergeCell ref="Q345:R345"/>
    <mergeCell ref="U345:V345"/>
    <mergeCell ref="W345:X345"/>
    <mergeCell ref="A347:B347"/>
    <mergeCell ref="C347:G347"/>
    <mergeCell ref="I347:J347"/>
    <mergeCell ref="K347:L347"/>
    <mergeCell ref="M347:N347"/>
    <mergeCell ref="O347:P347"/>
    <mergeCell ref="Q347:R347"/>
    <mergeCell ref="U347:V347"/>
    <mergeCell ref="W347:X347"/>
    <mergeCell ref="A339:B339"/>
    <mergeCell ref="D339:V339"/>
    <mergeCell ref="A341:B341"/>
    <mergeCell ref="C341:G341"/>
    <mergeCell ref="I341:J341"/>
    <mergeCell ref="K341:L341"/>
    <mergeCell ref="M341:N341"/>
    <mergeCell ref="O341:P341"/>
    <mergeCell ref="Q341:R341"/>
    <mergeCell ref="U341:V341"/>
    <mergeCell ref="W341:X341"/>
    <mergeCell ref="A343:B343"/>
    <mergeCell ref="C343:G343"/>
    <mergeCell ref="I343:J343"/>
    <mergeCell ref="K343:L343"/>
    <mergeCell ref="M343:N343"/>
    <mergeCell ref="O343:P343"/>
    <mergeCell ref="Q343:R343"/>
    <mergeCell ref="U343:V343"/>
    <mergeCell ref="W343:X343"/>
    <mergeCell ref="A336:B336"/>
    <mergeCell ref="C336:G336"/>
    <mergeCell ref="I336:J336"/>
    <mergeCell ref="K336:L336"/>
    <mergeCell ref="M336:N336"/>
    <mergeCell ref="O336:P336"/>
    <mergeCell ref="Q336:R336"/>
    <mergeCell ref="U336:V336"/>
    <mergeCell ref="W336:X336"/>
    <mergeCell ref="A338:B338"/>
    <mergeCell ref="C338:G338"/>
    <mergeCell ref="I338:J338"/>
    <mergeCell ref="K338:L338"/>
    <mergeCell ref="M338:N338"/>
    <mergeCell ref="O338:P338"/>
    <mergeCell ref="Q338:R338"/>
    <mergeCell ref="U338:V338"/>
    <mergeCell ref="W338:X338"/>
    <mergeCell ref="A332:B332"/>
    <mergeCell ref="C332:G332"/>
    <mergeCell ref="I332:J332"/>
    <mergeCell ref="K332:L332"/>
    <mergeCell ref="M332:N332"/>
    <mergeCell ref="O332:P332"/>
    <mergeCell ref="Q332:R332"/>
    <mergeCell ref="U332:V332"/>
    <mergeCell ref="W332:X332"/>
    <mergeCell ref="A334:B334"/>
    <mergeCell ref="C334:G334"/>
    <mergeCell ref="I334:J334"/>
    <mergeCell ref="K334:L334"/>
    <mergeCell ref="M334:N334"/>
    <mergeCell ref="O334:P334"/>
    <mergeCell ref="Q334:R334"/>
    <mergeCell ref="U334:V334"/>
    <mergeCell ref="W334:X334"/>
    <mergeCell ref="A328:B328"/>
    <mergeCell ref="C328:G329"/>
    <mergeCell ref="I328:J328"/>
    <mergeCell ref="K328:L328"/>
    <mergeCell ref="M328:N328"/>
    <mergeCell ref="O328:P328"/>
    <mergeCell ref="Q328:R328"/>
    <mergeCell ref="U328:V328"/>
    <mergeCell ref="W328:X328"/>
    <mergeCell ref="A330:B330"/>
    <mergeCell ref="C330:G331"/>
    <mergeCell ref="I330:J330"/>
    <mergeCell ref="K330:L330"/>
    <mergeCell ref="M330:N330"/>
    <mergeCell ref="O330:P330"/>
    <mergeCell ref="Q330:R330"/>
    <mergeCell ref="U330:V330"/>
    <mergeCell ref="W330:X330"/>
    <mergeCell ref="A324:B324"/>
    <mergeCell ref="C324:G324"/>
    <mergeCell ref="I324:J324"/>
    <mergeCell ref="K324:L324"/>
    <mergeCell ref="M324:N324"/>
    <mergeCell ref="O324:P324"/>
    <mergeCell ref="Q324:R324"/>
    <mergeCell ref="U324:V324"/>
    <mergeCell ref="W324:X324"/>
    <mergeCell ref="A326:B326"/>
    <mergeCell ref="C326:G326"/>
    <mergeCell ref="I326:J326"/>
    <mergeCell ref="K326:L326"/>
    <mergeCell ref="M326:N326"/>
    <mergeCell ref="O326:P326"/>
    <mergeCell ref="Q326:R326"/>
    <mergeCell ref="U326:V326"/>
    <mergeCell ref="W326:X326"/>
    <mergeCell ref="A320:B320"/>
    <mergeCell ref="C320:G320"/>
    <mergeCell ref="I320:J320"/>
    <mergeCell ref="K320:L320"/>
    <mergeCell ref="M320:N320"/>
    <mergeCell ref="O320:P320"/>
    <mergeCell ref="Q320:R320"/>
    <mergeCell ref="U320:V320"/>
    <mergeCell ref="W320:X320"/>
    <mergeCell ref="A322:B322"/>
    <mergeCell ref="C322:G322"/>
    <mergeCell ref="I322:J322"/>
    <mergeCell ref="K322:L322"/>
    <mergeCell ref="M322:N322"/>
    <mergeCell ref="O322:P322"/>
    <mergeCell ref="Q322:R322"/>
    <mergeCell ref="U322:V322"/>
    <mergeCell ref="W322:X322"/>
    <mergeCell ref="A316:B316"/>
    <mergeCell ref="C316:G316"/>
    <mergeCell ref="I316:J316"/>
    <mergeCell ref="K316:L316"/>
    <mergeCell ref="M316:N316"/>
    <mergeCell ref="O316:P316"/>
    <mergeCell ref="Q316:R316"/>
    <mergeCell ref="U316:V316"/>
    <mergeCell ref="W316:X316"/>
    <mergeCell ref="A318:B318"/>
    <mergeCell ref="C318:G318"/>
    <mergeCell ref="I318:J318"/>
    <mergeCell ref="K318:L318"/>
    <mergeCell ref="M318:N318"/>
    <mergeCell ref="O318:P318"/>
    <mergeCell ref="Q318:R318"/>
    <mergeCell ref="U318:V318"/>
    <mergeCell ref="W318:X318"/>
    <mergeCell ref="A312:B312"/>
    <mergeCell ref="C312:G312"/>
    <mergeCell ref="I312:J312"/>
    <mergeCell ref="K312:L312"/>
    <mergeCell ref="M312:N312"/>
    <mergeCell ref="O312:P312"/>
    <mergeCell ref="Q312:R312"/>
    <mergeCell ref="U312:V312"/>
    <mergeCell ref="W312:X312"/>
    <mergeCell ref="A314:B314"/>
    <mergeCell ref="C314:G314"/>
    <mergeCell ref="I314:J314"/>
    <mergeCell ref="K314:L314"/>
    <mergeCell ref="M314:N314"/>
    <mergeCell ref="O314:P314"/>
    <mergeCell ref="Q314:R314"/>
    <mergeCell ref="U314:V314"/>
    <mergeCell ref="W314:X314"/>
    <mergeCell ref="A307:B307"/>
    <mergeCell ref="C307:G307"/>
    <mergeCell ref="I307:J307"/>
    <mergeCell ref="K307:L307"/>
    <mergeCell ref="M307:N307"/>
    <mergeCell ref="O307:P307"/>
    <mergeCell ref="Q307:R307"/>
    <mergeCell ref="U307:V307"/>
    <mergeCell ref="W307:X307"/>
    <mergeCell ref="J309:L309"/>
    <mergeCell ref="M309:N309"/>
    <mergeCell ref="O309:P309"/>
    <mergeCell ref="Q309:R309"/>
    <mergeCell ref="S309:T309"/>
    <mergeCell ref="U309:V309"/>
    <mergeCell ref="A310:B310"/>
    <mergeCell ref="D310:V310"/>
    <mergeCell ref="A303:B303"/>
    <mergeCell ref="C303:G304"/>
    <mergeCell ref="I303:J303"/>
    <mergeCell ref="K303:L303"/>
    <mergeCell ref="M303:N303"/>
    <mergeCell ref="O303:P303"/>
    <mergeCell ref="Q303:R303"/>
    <mergeCell ref="U303:V303"/>
    <mergeCell ref="W303:X303"/>
    <mergeCell ref="A305:B305"/>
    <mergeCell ref="C305:G306"/>
    <mergeCell ref="I305:J305"/>
    <mergeCell ref="K305:L305"/>
    <mergeCell ref="M305:N305"/>
    <mergeCell ref="O305:P305"/>
    <mergeCell ref="Q305:R305"/>
    <mergeCell ref="U305:V305"/>
    <mergeCell ref="W305:X305"/>
    <mergeCell ref="A299:B299"/>
    <mergeCell ref="C299:G299"/>
    <mergeCell ref="I299:J299"/>
    <mergeCell ref="K299:L299"/>
    <mergeCell ref="M299:N299"/>
    <mergeCell ref="O299:P299"/>
    <mergeCell ref="Q299:R299"/>
    <mergeCell ref="U299:V299"/>
    <mergeCell ref="W299:X299"/>
    <mergeCell ref="A301:B301"/>
    <mergeCell ref="C301:G301"/>
    <mergeCell ref="I301:J301"/>
    <mergeCell ref="K301:L301"/>
    <mergeCell ref="M301:N301"/>
    <mergeCell ref="O301:P301"/>
    <mergeCell ref="Q301:R301"/>
    <mergeCell ref="U301:V301"/>
    <mergeCell ref="W301:X301"/>
    <mergeCell ref="A295:B295"/>
    <mergeCell ref="C295:G295"/>
    <mergeCell ref="I295:J295"/>
    <mergeCell ref="K295:L295"/>
    <mergeCell ref="M295:N295"/>
    <mergeCell ref="O295:P295"/>
    <mergeCell ref="Q295:R295"/>
    <mergeCell ref="U295:V295"/>
    <mergeCell ref="W295:X295"/>
    <mergeCell ref="A297:B297"/>
    <mergeCell ref="C297:G297"/>
    <mergeCell ref="I297:J297"/>
    <mergeCell ref="K297:L297"/>
    <mergeCell ref="M297:N297"/>
    <mergeCell ref="O297:P297"/>
    <mergeCell ref="Q297:R297"/>
    <mergeCell ref="U297:V297"/>
    <mergeCell ref="W297:X297"/>
    <mergeCell ref="A291:B291"/>
    <mergeCell ref="C291:G291"/>
    <mergeCell ref="I291:J291"/>
    <mergeCell ref="K291:L291"/>
    <mergeCell ref="M291:N291"/>
    <mergeCell ref="O291:P291"/>
    <mergeCell ref="Q291:R291"/>
    <mergeCell ref="U291:V291"/>
    <mergeCell ref="W291:X291"/>
    <mergeCell ref="A293:B293"/>
    <mergeCell ref="C293:G293"/>
    <mergeCell ref="I293:J293"/>
    <mergeCell ref="K293:L293"/>
    <mergeCell ref="M293:N293"/>
    <mergeCell ref="O293:P293"/>
    <mergeCell ref="Q293:R293"/>
    <mergeCell ref="U293:V293"/>
    <mergeCell ref="W293:X293"/>
    <mergeCell ref="A287:B287"/>
    <mergeCell ref="C287:G287"/>
    <mergeCell ref="I287:J287"/>
    <mergeCell ref="K287:L287"/>
    <mergeCell ref="M287:N287"/>
    <mergeCell ref="O287:P287"/>
    <mergeCell ref="Q287:R287"/>
    <mergeCell ref="U287:V287"/>
    <mergeCell ref="W287:X287"/>
    <mergeCell ref="A289:B289"/>
    <mergeCell ref="C289:G289"/>
    <mergeCell ref="I289:J289"/>
    <mergeCell ref="K289:L289"/>
    <mergeCell ref="M289:N289"/>
    <mergeCell ref="O289:P289"/>
    <mergeCell ref="Q289:R289"/>
    <mergeCell ref="U289:V289"/>
    <mergeCell ref="W289:X289"/>
    <mergeCell ref="A283:B283"/>
    <mergeCell ref="C283:G283"/>
    <mergeCell ref="I283:J283"/>
    <mergeCell ref="K283:L283"/>
    <mergeCell ref="M283:N283"/>
    <mergeCell ref="O283:P283"/>
    <mergeCell ref="Q283:R283"/>
    <mergeCell ref="U283:V283"/>
    <mergeCell ref="W283:X283"/>
    <mergeCell ref="A285:B285"/>
    <mergeCell ref="C285:G285"/>
    <mergeCell ref="I285:J285"/>
    <mergeCell ref="K285:L285"/>
    <mergeCell ref="M285:N285"/>
    <mergeCell ref="O285:P285"/>
    <mergeCell ref="Q285:R285"/>
    <mergeCell ref="U285:V285"/>
    <mergeCell ref="W285:X285"/>
    <mergeCell ref="A279:B279"/>
    <mergeCell ref="C279:G279"/>
    <mergeCell ref="I279:J279"/>
    <mergeCell ref="K279:L279"/>
    <mergeCell ref="M279:N279"/>
    <mergeCell ref="O279:P279"/>
    <mergeCell ref="Q279:R279"/>
    <mergeCell ref="U279:V279"/>
    <mergeCell ref="W279:X279"/>
    <mergeCell ref="A281:B281"/>
    <mergeCell ref="C281:G281"/>
    <mergeCell ref="I281:J281"/>
    <mergeCell ref="K281:L281"/>
    <mergeCell ref="M281:N281"/>
    <mergeCell ref="O281:P281"/>
    <mergeCell ref="Q281:R281"/>
    <mergeCell ref="U281:V281"/>
    <mergeCell ref="W281:X281"/>
    <mergeCell ref="A275:B275"/>
    <mergeCell ref="C275:G275"/>
    <mergeCell ref="I275:J275"/>
    <mergeCell ref="K275:L275"/>
    <mergeCell ref="M275:N275"/>
    <mergeCell ref="O275:P275"/>
    <mergeCell ref="Q275:R275"/>
    <mergeCell ref="U275:V275"/>
    <mergeCell ref="W275:X275"/>
    <mergeCell ref="A277:B277"/>
    <mergeCell ref="C277:G277"/>
    <mergeCell ref="I277:J277"/>
    <mergeCell ref="K277:L277"/>
    <mergeCell ref="M277:N277"/>
    <mergeCell ref="O277:P277"/>
    <mergeCell ref="Q277:R277"/>
    <mergeCell ref="U277:V277"/>
    <mergeCell ref="W277:X277"/>
    <mergeCell ref="A270:B270"/>
    <mergeCell ref="C270:G270"/>
    <mergeCell ref="I270:J270"/>
    <mergeCell ref="K270:L270"/>
    <mergeCell ref="M270:N270"/>
    <mergeCell ref="O270:P270"/>
    <mergeCell ref="Q270:R270"/>
    <mergeCell ref="U270:V270"/>
    <mergeCell ref="W270:X270"/>
    <mergeCell ref="A271:B271"/>
    <mergeCell ref="D271:V271"/>
    <mergeCell ref="A273:B273"/>
    <mergeCell ref="C273:G273"/>
    <mergeCell ref="I273:J273"/>
    <mergeCell ref="K273:L273"/>
    <mergeCell ref="M273:N273"/>
    <mergeCell ref="O273:P273"/>
    <mergeCell ref="Q273:R273"/>
    <mergeCell ref="U273:V273"/>
    <mergeCell ref="W273:X273"/>
    <mergeCell ref="A266:B266"/>
    <mergeCell ref="C266:G266"/>
    <mergeCell ref="I266:J266"/>
    <mergeCell ref="K266:L266"/>
    <mergeCell ref="M266:N266"/>
    <mergeCell ref="O266:P266"/>
    <mergeCell ref="Q266:R266"/>
    <mergeCell ref="U266:V266"/>
    <mergeCell ref="W266:X266"/>
    <mergeCell ref="A268:B268"/>
    <mergeCell ref="C268:G268"/>
    <mergeCell ref="I268:J268"/>
    <mergeCell ref="K268:L268"/>
    <mergeCell ref="M268:N268"/>
    <mergeCell ref="O268:P268"/>
    <mergeCell ref="Q268:R268"/>
    <mergeCell ref="U268:V268"/>
    <mergeCell ref="W268:X268"/>
    <mergeCell ref="A262:B262"/>
    <mergeCell ref="C262:G262"/>
    <mergeCell ref="I262:J262"/>
    <mergeCell ref="K262:L262"/>
    <mergeCell ref="M262:N262"/>
    <mergeCell ref="O262:P262"/>
    <mergeCell ref="Q262:R262"/>
    <mergeCell ref="U262:V262"/>
    <mergeCell ref="W262:X262"/>
    <mergeCell ref="A264:B264"/>
    <mergeCell ref="C264:G264"/>
    <mergeCell ref="I264:J264"/>
    <mergeCell ref="K264:L264"/>
    <mergeCell ref="M264:N264"/>
    <mergeCell ref="O264:P264"/>
    <mergeCell ref="Q264:R264"/>
    <mergeCell ref="U264:V264"/>
    <mergeCell ref="W264:X264"/>
    <mergeCell ref="A258:B258"/>
    <mergeCell ref="C258:G258"/>
    <mergeCell ref="I258:J258"/>
    <mergeCell ref="K258:L258"/>
    <mergeCell ref="M258:N258"/>
    <mergeCell ref="O258:P258"/>
    <mergeCell ref="Q258:R258"/>
    <mergeCell ref="U258:V258"/>
    <mergeCell ref="W258:X258"/>
    <mergeCell ref="A260:B260"/>
    <mergeCell ref="C260:G260"/>
    <mergeCell ref="I260:J260"/>
    <mergeCell ref="K260:L260"/>
    <mergeCell ref="M260:N260"/>
    <mergeCell ref="O260:P260"/>
    <mergeCell ref="Q260:R260"/>
    <mergeCell ref="U260:V260"/>
    <mergeCell ref="W260:X260"/>
    <mergeCell ref="A254:B254"/>
    <mergeCell ref="C254:G254"/>
    <mergeCell ref="I254:J254"/>
    <mergeCell ref="K254:L254"/>
    <mergeCell ref="M254:N254"/>
    <mergeCell ref="O254:P254"/>
    <mergeCell ref="Q254:R254"/>
    <mergeCell ref="U254:V254"/>
    <mergeCell ref="W254:X254"/>
    <mergeCell ref="A256:B256"/>
    <mergeCell ref="C256:G256"/>
    <mergeCell ref="I256:J256"/>
    <mergeCell ref="K256:L256"/>
    <mergeCell ref="M256:N256"/>
    <mergeCell ref="O256:P256"/>
    <mergeCell ref="Q256:R256"/>
    <mergeCell ref="U256:V256"/>
    <mergeCell ref="W256:X256"/>
    <mergeCell ref="A250:B250"/>
    <mergeCell ref="C250:G250"/>
    <mergeCell ref="I250:J250"/>
    <mergeCell ref="K250:L250"/>
    <mergeCell ref="M250:N250"/>
    <mergeCell ref="O250:P250"/>
    <mergeCell ref="Q250:R250"/>
    <mergeCell ref="U250:V250"/>
    <mergeCell ref="W250:X250"/>
    <mergeCell ref="A252:B252"/>
    <mergeCell ref="C252:G252"/>
    <mergeCell ref="I252:J252"/>
    <mergeCell ref="K252:L252"/>
    <mergeCell ref="M252:N252"/>
    <mergeCell ref="O252:P252"/>
    <mergeCell ref="Q252:R252"/>
    <mergeCell ref="U252:V252"/>
    <mergeCell ref="W252:X252"/>
    <mergeCell ref="A246:B246"/>
    <mergeCell ref="C246:G246"/>
    <mergeCell ref="I246:J246"/>
    <mergeCell ref="K246:L246"/>
    <mergeCell ref="M246:N246"/>
    <mergeCell ref="O246:P246"/>
    <mergeCell ref="Q246:R246"/>
    <mergeCell ref="U246:V246"/>
    <mergeCell ref="W246:X246"/>
    <mergeCell ref="A248:B248"/>
    <mergeCell ref="C248:G248"/>
    <mergeCell ref="I248:J248"/>
    <mergeCell ref="K248:L248"/>
    <mergeCell ref="M248:N248"/>
    <mergeCell ref="O248:P248"/>
    <mergeCell ref="Q248:R248"/>
    <mergeCell ref="U248:V248"/>
    <mergeCell ref="W248:X248"/>
    <mergeCell ref="A242:B242"/>
    <mergeCell ref="C242:G242"/>
    <mergeCell ref="I242:J242"/>
    <mergeCell ref="K242:L242"/>
    <mergeCell ref="M242:N242"/>
    <mergeCell ref="O242:P242"/>
    <mergeCell ref="Q242:R242"/>
    <mergeCell ref="U242:V242"/>
    <mergeCell ref="W242:X242"/>
    <mergeCell ref="A244:B244"/>
    <mergeCell ref="C244:G244"/>
    <mergeCell ref="I244:J244"/>
    <mergeCell ref="K244:L244"/>
    <mergeCell ref="M244:N244"/>
    <mergeCell ref="O244:P244"/>
    <mergeCell ref="Q244:R244"/>
    <mergeCell ref="U244:V244"/>
    <mergeCell ref="W244:X244"/>
    <mergeCell ref="A238:B238"/>
    <mergeCell ref="C238:G238"/>
    <mergeCell ref="I238:J238"/>
    <mergeCell ref="K238:L238"/>
    <mergeCell ref="M238:N238"/>
    <mergeCell ref="O238:P238"/>
    <mergeCell ref="Q238:R238"/>
    <mergeCell ref="U238:V238"/>
    <mergeCell ref="W238:X238"/>
    <mergeCell ref="A240:B240"/>
    <mergeCell ref="C240:G240"/>
    <mergeCell ref="I240:J240"/>
    <mergeCell ref="K240:L240"/>
    <mergeCell ref="M240:N240"/>
    <mergeCell ref="O240:P240"/>
    <mergeCell ref="Q240:R240"/>
    <mergeCell ref="U240:V240"/>
    <mergeCell ref="W240:X240"/>
    <mergeCell ref="A234:B234"/>
    <mergeCell ref="C234:G234"/>
    <mergeCell ref="I234:J234"/>
    <mergeCell ref="K234:L234"/>
    <mergeCell ref="M234:N234"/>
    <mergeCell ref="O234:P234"/>
    <mergeCell ref="Q234:R234"/>
    <mergeCell ref="U234:V234"/>
    <mergeCell ref="W234:X234"/>
    <mergeCell ref="A236:B236"/>
    <mergeCell ref="C236:G236"/>
    <mergeCell ref="I236:J236"/>
    <mergeCell ref="K236:L236"/>
    <mergeCell ref="M236:N236"/>
    <mergeCell ref="O236:P236"/>
    <mergeCell ref="Q236:R236"/>
    <mergeCell ref="U236:V236"/>
    <mergeCell ref="W236:X236"/>
    <mergeCell ref="A230:B230"/>
    <mergeCell ref="C230:G230"/>
    <mergeCell ref="I230:J230"/>
    <mergeCell ref="K230:L230"/>
    <mergeCell ref="M230:N230"/>
    <mergeCell ref="O230:P230"/>
    <mergeCell ref="Q230:R230"/>
    <mergeCell ref="U230:V230"/>
    <mergeCell ref="W230:X230"/>
    <mergeCell ref="A232:B232"/>
    <mergeCell ref="C232:G232"/>
    <mergeCell ref="I232:J232"/>
    <mergeCell ref="K232:L232"/>
    <mergeCell ref="M232:N232"/>
    <mergeCell ref="O232:P232"/>
    <mergeCell ref="Q232:R232"/>
    <mergeCell ref="U232:V232"/>
    <mergeCell ref="W232:X232"/>
    <mergeCell ref="A226:B226"/>
    <mergeCell ref="C226:G226"/>
    <mergeCell ref="I226:J226"/>
    <mergeCell ref="K226:L226"/>
    <mergeCell ref="M226:N226"/>
    <mergeCell ref="O226:P226"/>
    <mergeCell ref="Q226:R226"/>
    <mergeCell ref="U226:V226"/>
    <mergeCell ref="W226:X226"/>
    <mergeCell ref="A228:B228"/>
    <mergeCell ref="C228:G228"/>
    <mergeCell ref="I228:J228"/>
    <mergeCell ref="K228:L228"/>
    <mergeCell ref="M228:N228"/>
    <mergeCell ref="O228:P228"/>
    <mergeCell ref="Q228:R228"/>
    <mergeCell ref="U228:V228"/>
    <mergeCell ref="W228:X228"/>
    <mergeCell ref="A222:B222"/>
    <mergeCell ref="C222:G222"/>
    <mergeCell ref="I222:J222"/>
    <mergeCell ref="K222:L222"/>
    <mergeCell ref="M222:N222"/>
    <mergeCell ref="O222:P222"/>
    <mergeCell ref="Q222:R222"/>
    <mergeCell ref="U222:V222"/>
    <mergeCell ref="W222:X222"/>
    <mergeCell ref="A224:B224"/>
    <mergeCell ref="C224:G224"/>
    <mergeCell ref="I224:J224"/>
    <mergeCell ref="K224:L224"/>
    <mergeCell ref="M224:N224"/>
    <mergeCell ref="O224:P224"/>
    <mergeCell ref="Q224:R224"/>
    <mergeCell ref="U224:V224"/>
    <mergeCell ref="W224:X224"/>
    <mergeCell ref="A218:B218"/>
    <mergeCell ref="C218:G218"/>
    <mergeCell ref="I218:J218"/>
    <mergeCell ref="K218:L218"/>
    <mergeCell ref="M218:N218"/>
    <mergeCell ref="O218:P218"/>
    <mergeCell ref="Q218:R218"/>
    <mergeCell ref="U218:V218"/>
    <mergeCell ref="W218:X218"/>
    <mergeCell ref="A220:B220"/>
    <mergeCell ref="C220:G220"/>
    <mergeCell ref="I220:J220"/>
    <mergeCell ref="K220:L220"/>
    <mergeCell ref="M220:N220"/>
    <mergeCell ref="O220:P220"/>
    <mergeCell ref="Q220:R220"/>
    <mergeCell ref="U220:V220"/>
    <mergeCell ref="W220:X220"/>
    <mergeCell ref="A214:B214"/>
    <mergeCell ref="C214:G214"/>
    <mergeCell ref="I214:J214"/>
    <mergeCell ref="K214:L214"/>
    <mergeCell ref="M214:N214"/>
    <mergeCell ref="O214:P214"/>
    <mergeCell ref="Q214:R214"/>
    <mergeCell ref="U214:V214"/>
    <mergeCell ref="W214:X214"/>
    <mergeCell ref="A216:B216"/>
    <mergeCell ref="C216:G216"/>
    <mergeCell ref="I216:J216"/>
    <mergeCell ref="K216:L216"/>
    <mergeCell ref="M216:N216"/>
    <mergeCell ref="O216:P216"/>
    <mergeCell ref="Q216:R216"/>
    <mergeCell ref="U216:V216"/>
    <mergeCell ref="W216:X216"/>
    <mergeCell ref="A210:B210"/>
    <mergeCell ref="C210:G210"/>
    <mergeCell ref="I210:J210"/>
    <mergeCell ref="K210:L210"/>
    <mergeCell ref="M210:N210"/>
    <mergeCell ref="O210:P210"/>
    <mergeCell ref="Q210:R210"/>
    <mergeCell ref="U210:V210"/>
    <mergeCell ref="W210:X210"/>
    <mergeCell ref="A212:B212"/>
    <mergeCell ref="C212:G212"/>
    <mergeCell ref="I212:J212"/>
    <mergeCell ref="K212:L212"/>
    <mergeCell ref="M212:N212"/>
    <mergeCell ref="O212:P212"/>
    <mergeCell ref="Q212:R212"/>
    <mergeCell ref="U212:V212"/>
    <mergeCell ref="W212:X212"/>
    <mergeCell ref="A206:B206"/>
    <mergeCell ref="C206:G207"/>
    <mergeCell ref="I206:J206"/>
    <mergeCell ref="K206:L206"/>
    <mergeCell ref="M206:N206"/>
    <mergeCell ref="O206:P206"/>
    <mergeCell ref="Q206:R206"/>
    <mergeCell ref="U206:V206"/>
    <mergeCell ref="W206:X206"/>
    <mergeCell ref="A208:B208"/>
    <mergeCell ref="C208:G208"/>
    <mergeCell ref="I208:J208"/>
    <mergeCell ref="K208:L208"/>
    <mergeCell ref="M208:N208"/>
    <mergeCell ref="O208:P208"/>
    <mergeCell ref="Q208:R208"/>
    <mergeCell ref="U208:V208"/>
    <mergeCell ref="W208:X208"/>
    <mergeCell ref="A202:B202"/>
    <mergeCell ref="C202:G202"/>
    <mergeCell ref="I202:J202"/>
    <mergeCell ref="K202:L202"/>
    <mergeCell ref="M202:N202"/>
    <mergeCell ref="O202:P202"/>
    <mergeCell ref="Q202:R202"/>
    <mergeCell ref="U202:V202"/>
    <mergeCell ref="W202:X202"/>
    <mergeCell ref="A204:B204"/>
    <mergeCell ref="C204:G204"/>
    <mergeCell ref="I204:J204"/>
    <mergeCell ref="K204:L204"/>
    <mergeCell ref="M204:N204"/>
    <mergeCell ref="O204:P204"/>
    <mergeCell ref="Q204:R204"/>
    <mergeCell ref="U204:V204"/>
    <mergeCell ref="W204:X204"/>
    <mergeCell ref="A196:B196"/>
    <mergeCell ref="C196:G197"/>
    <mergeCell ref="I196:J196"/>
    <mergeCell ref="K196:L196"/>
    <mergeCell ref="M196:N196"/>
    <mergeCell ref="O196:P196"/>
    <mergeCell ref="Q196:R196"/>
    <mergeCell ref="U196:V196"/>
    <mergeCell ref="W196:X196"/>
    <mergeCell ref="A198:B198"/>
    <mergeCell ref="D198:V198"/>
    <mergeCell ref="A200:B200"/>
    <mergeCell ref="C200:G201"/>
    <mergeCell ref="I200:J200"/>
    <mergeCell ref="K200:L200"/>
    <mergeCell ref="M200:N200"/>
    <mergeCell ref="O200:P200"/>
    <mergeCell ref="Q200:R200"/>
    <mergeCell ref="U200:V200"/>
    <mergeCell ref="W200:X200"/>
    <mergeCell ref="A192:B192"/>
    <mergeCell ref="C192:G193"/>
    <mergeCell ref="I192:J192"/>
    <mergeCell ref="K192:L192"/>
    <mergeCell ref="M192:N192"/>
    <mergeCell ref="O192:P192"/>
    <mergeCell ref="Q192:R192"/>
    <mergeCell ref="U192:V192"/>
    <mergeCell ref="W192:X192"/>
    <mergeCell ref="A194:B194"/>
    <mergeCell ref="C194:G195"/>
    <mergeCell ref="I194:J194"/>
    <mergeCell ref="K194:L194"/>
    <mergeCell ref="M194:N194"/>
    <mergeCell ref="O194:P194"/>
    <mergeCell ref="Q194:R194"/>
    <mergeCell ref="U194:V194"/>
    <mergeCell ref="W194:X194"/>
    <mergeCell ref="A188:B188"/>
    <mergeCell ref="C188:G188"/>
    <mergeCell ref="I188:J188"/>
    <mergeCell ref="K188:L188"/>
    <mergeCell ref="M188:N188"/>
    <mergeCell ref="O188:P188"/>
    <mergeCell ref="Q188:R188"/>
    <mergeCell ref="U188:V188"/>
    <mergeCell ref="W188:X188"/>
    <mergeCell ref="A190:B190"/>
    <mergeCell ref="C190:G190"/>
    <mergeCell ref="I190:J190"/>
    <mergeCell ref="K190:L190"/>
    <mergeCell ref="M190:N190"/>
    <mergeCell ref="O190:P190"/>
    <mergeCell ref="Q190:R190"/>
    <mergeCell ref="U190:V190"/>
    <mergeCell ref="W190:X190"/>
    <mergeCell ref="A184:B184"/>
    <mergeCell ref="C184:G184"/>
    <mergeCell ref="I184:J184"/>
    <mergeCell ref="K184:L184"/>
    <mergeCell ref="M184:N184"/>
    <mergeCell ref="O184:P184"/>
    <mergeCell ref="Q184:R184"/>
    <mergeCell ref="U184:V184"/>
    <mergeCell ref="W184:X184"/>
    <mergeCell ref="A186:B186"/>
    <mergeCell ref="C186:G186"/>
    <mergeCell ref="I186:J186"/>
    <mergeCell ref="K186:L186"/>
    <mergeCell ref="M186:N186"/>
    <mergeCell ref="O186:P186"/>
    <mergeCell ref="Q186:R186"/>
    <mergeCell ref="U186:V186"/>
    <mergeCell ref="W186:X186"/>
    <mergeCell ref="A180:B180"/>
    <mergeCell ref="C180:G181"/>
    <mergeCell ref="I180:J180"/>
    <mergeCell ref="K180:L180"/>
    <mergeCell ref="M180:N180"/>
    <mergeCell ref="O180:P180"/>
    <mergeCell ref="Q180:R180"/>
    <mergeCell ref="U180:V180"/>
    <mergeCell ref="W180:X180"/>
    <mergeCell ref="A182:B182"/>
    <mergeCell ref="C182:G182"/>
    <mergeCell ref="I182:J182"/>
    <mergeCell ref="K182:L182"/>
    <mergeCell ref="M182:N182"/>
    <mergeCell ref="O182:P182"/>
    <mergeCell ref="Q182:R182"/>
    <mergeCell ref="U182:V182"/>
    <mergeCell ref="W182:X182"/>
    <mergeCell ref="A176:B176"/>
    <mergeCell ref="C176:G177"/>
    <mergeCell ref="I176:J176"/>
    <mergeCell ref="K176:L176"/>
    <mergeCell ref="M176:N176"/>
    <mergeCell ref="O176:P176"/>
    <mergeCell ref="Q176:R176"/>
    <mergeCell ref="U176:V176"/>
    <mergeCell ref="W176:X176"/>
    <mergeCell ref="A178:B178"/>
    <mergeCell ref="C178:G178"/>
    <mergeCell ref="I178:J178"/>
    <mergeCell ref="K178:L178"/>
    <mergeCell ref="M178:N178"/>
    <mergeCell ref="O178:P178"/>
    <mergeCell ref="Q178:R178"/>
    <mergeCell ref="U178:V178"/>
    <mergeCell ref="W178:X178"/>
    <mergeCell ref="A172:B172"/>
    <mergeCell ref="C172:G172"/>
    <mergeCell ref="I172:J172"/>
    <mergeCell ref="K172:L172"/>
    <mergeCell ref="M172:N172"/>
    <mergeCell ref="O172:P172"/>
    <mergeCell ref="Q172:R172"/>
    <mergeCell ref="U172:V172"/>
    <mergeCell ref="W172:X172"/>
    <mergeCell ref="A174:B174"/>
    <mergeCell ref="C174:G174"/>
    <mergeCell ref="I174:J174"/>
    <mergeCell ref="K174:L174"/>
    <mergeCell ref="M174:N174"/>
    <mergeCell ref="O174:P174"/>
    <mergeCell ref="Q174:R174"/>
    <mergeCell ref="U174:V174"/>
    <mergeCell ref="W174:X174"/>
    <mergeCell ref="A168:B168"/>
    <mergeCell ref="C168:G168"/>
    <mergeCell ref="I168:J168"/>
    <mergeCell ref="K168:L168"/>
    <mergeCell ref="M168:N168"/>
    <mergeCell ref="O168:P168"/>
    <mergeCell ref="Q168:R168"/>
    <mergeCell ref="U168:V168"/>
    <mergeCell ref="W168:X168"/>
    <mergeCell ref="A170:B170"/>
    <mergeCell ref="C170:G170"/>
    <mergeCell ref="I170:J170"/>
    <mergeCell ref="K170:L170"/>
    <mergeCell ref="M170:N170"/>
    <mergeCell ref="O170:P170"/>
    <mergeCell ref="Q170:R170"/>
    <mergeCell ref="U170:V170"/>
    <mergeCell ref="W170:X170"/>
    <mergeCell ref="A164:B164"/>
    <mergeCell ref="C164:G164"/>
    <mergeCell ref="I164:J164"/>
    <mergeCell ref="K164:L164"/>
    <mergeCell ref="M164:N164"/>
    <mergeCell ref="O164:P164"/>
    <mergeCell ref="Q164:R164"/>
    <mergeCell ref="U164:V164"/>
    <mergeCell ref="W164:X164"/>
    <mergeCell ref="A166:B166"/>
    <mergeCell ref="C166:G166"/>
    <mergeCell ref="I166:J166"/>
    <mergeCell ref="K166:L166"/>
    <mergeCell ref="M166:N166"/>
    <mergeCell ref="O166:P166"/>
    <mergeCell ref="Q166:R166"/>
    <mergeCell ref="U166:V166"/>
    <mergeCell ref="W166:X166"/>
    <mergeCell ref="A160:B160"/>
    <mergeCell ref="C160:G160"/>
    <mergeCell ref="I160:J160"/>
    <mergeCell ref="K160:L160"/>
    <mergeCell ref="M160:N160"/>
    <mergeCell ref="O160:P160"/>
    <mergeCell ref="Q160:R160"/>
    <mergeCell ref="U160:V160"/>
    <mergeCell ref="W160:X160"/>
    <mergeCell ref="A162:B162"/>
    <mergeCell ref="C162:G162"/>
    <mergeCell ref="I162:J162"/>
    <mergeCell ref="K162:L162"/>
    <mergeCell ref="M162:N162"/>
    <mergeCell ref="O162:P162"/>
    <mergeCell ref="Q162:R162"/>
    <mergeCell ref="U162:V162"/>
    <mergeCell ref="W162:X162"/>
    <mergeCell ref="A156:B156"/>
    <mergeCell ref="C156:G156"/>
    <mergeCell ref="I156:J156"/>
    <mergeCell ref="K156:L156"/>
    <mergeCell ref="M156:N156"/>
    <mergeCell ref="O156:P156"/>
    <mergeCell ref="Q156:R156"/>
    <mergeCell ref="U156:V156"/>
    <mergeCell ref="W156:X156"/>
    <mergeCell ref="A158:B158"/>
    <mergeCell ref="C158:G158"/>
    <mergeCell ref="I158:J158"/>
    <mergeCell ref="K158:L158"/>
    <mergeCell ref="M158:N158"/>
    <mergeCell ref="O158:P158"/>
    <mergeCell ref="Q158:R158"/>
    <mergeCell ref="U158:V158"/>
    <mergeCell ref="W158:X158"/>
    <mergeCell ref="A152:B152"/>
    <mergeCell ref="C152:G152"/>
    <mergeCell ref="I152:J152"/>
    <mergeCell ref="K152:L152"/>
    <mergeCell ref="M152:N152"/>
    <mergeCell ref="O152:P152"/>
    <mergeCell ref="Q152:R152"/>
    <mergeCell ref="U152:V152"/>
    <mergeCell ref="W152:X152"/>
    <mergeCell ref="A154:B154"/>
    <mergeCell ref="C154:G154"/>
    <mergeCell ref="I154:J154"/>
    <mergeCell ref="K154:L154"/>
    <mergeCell ref="M154:N154"/>
    <mergeCell ref="O154:P154"/>
    <mergeCell ref="Q154:R154"/>
    <mergeCell ref="U154:V154"/>
    <mergeCell ref="W154:X154"/>
    <mergeCell ref="A148:B148"/>
    <mergeCell ref="C148:G149"/>
    <mergeCell ref="I148:J148"/>
    <mergeCell ref="K148:L148"/>
    <mergeCell ref="M148:N148"/>
    <mergeCell ref="O148:P148"/>
    <mergeCell ref="Q148:R148"/>
    <mergeCell ref="U148:V148"/>
    <mergeCell ref="W148:X148"/>
    <mergeCell ref="A150:B150"/>
    <mergeCell ref="C150:G150"/>
    <mergeCell ref="I150:J150"/>
    <mergeCell ref="K150:L150"/>
    <mergeCell ref="M150:N150"/>
    <mergeCell ref="O150:P150"/>
    <mergeCell ref="Q150:R150"/>
    <mergeCell ref="U150:V150"/>
    <mergeCell ref="W150:X150"/>
    <mergeCell ref="A144:B144"/>
    <mergeCell ref="C144:G144"/>
    <mergeCell ref="I144:J144"/>
    <mergeCell ref="K144:L144"/>
    <mergeCell ref="M144:N144"/>
    <mergeCell ref="O144:P144"/>
    <mergeCell ref="Q144:R144"/>
    <mergeCell ref="U144:V144"/>
    <mergeCell ref="W144:X144"/>
    <mergeCell ref="A146:B146"/>
    <mergeCell ref="C146:G146"/>
    <mergeCell ref="I146:J146"/>
    <mergeCell ref="K146:L146"/>
    <mergeCell ref="M146:N146"/>
    <mergeCell ref="O146:P146"/>
    <mergeCell ref="Q146:R146"/>
    <mergeCell ref="U146:V146"/>
    <mergeCell ref="W146:X146"/>
    <mergeCell ref="A140:B140"/>
    <mergeCell ref="C140:G141"/>
    <mergeCell ref="I140:J140"/>
    <mergeCell ref="K140:L140"/>
    <mergeCell ref="M140:N140"/>
    <mergeCell ref="O140:P140"/>
    <mergeCell ref="Q140:R140"/>
    <mergeCell ref="U140:V140"/>
    <mergeCell ref="W140:X140"/>
    <mergeCell ref="A142:B142"/>
    <mergeCell ref="C142:G142"/>
    <mergeCell ref="I142:J142"/>
    <mergeCell ref="K142:L142"/>
    <mergeCell ref="M142:N142"/>
    <mergeCell ref="O142:P142"/>
    <mergeCell ref="Q142:R142"/>
    <mergeCell ref="U142:V142"/>
    <mergeCell ref="W142:X142"/>
    <mergeCell ref="A134:B134"/>
    <mergeCell ref="D134:V134"/>
    <mergeCell ref="A136:B136"/>
    <mergeCell ref="C136:G136"/>
    <mergeCell ref="I136:J136"/>
    <mergeCell ref="K136:L136"/>
    <mergeCell ref="M136:N136"/>
    <mergeCell ref="O136:P136"/>
    <mergeCell ref="Q136:R136"/>
    <mergeCell ref="U136:V136"/>
    <mergeCell ref="W136:X136"/>
    <mergeCell ref="A138:B138"/>
    <mergeCell ref="C138:G138"/>
    <mergeCell ref="I138:J138"/>
    <mergeCell ref="K138:L138"/>
    <mergeCell ref="M138:N138"/>
    <mergeCell ref="O138:P138"/>
    <mergeCell ref="Q138:R138"/>
    <mergeCell ref="U138:V138"/>
    <mergeCell ref="W138:X138"/>
    <mergeCell ref="A131:B131"/>
    <mergeCell ref="C131:G131"/>
    <mergeCell ref="I131:J131"/>
    <mergeCell ref="K131:L131"/>
    <mergeCell ref="M131:N131"/>
    <mergeCell ref="O131:P131"/>
    <mergeCell ref="Q131:R131"/>
    <mergeCell ref="U131:V131"/>
    <mergeCell ref="W131:X131"/>
    <mergeCell ref="A133:B133"/>
    <mergeCell ref="C133:G133"/>
    <mergeCell ref="I133:J133"/>
    <mergeCell ref="K133:L133"/>
    <mergeCell ref="M133:N133"/>
    <mergeCell ref="O133:P133"/>
    <mergeCell ref="Q133:R133"/>
    <mergeCell ref="U133:V133"/>
    <mergeCell ref="W133:X133"/>
    <mergeCell ref="A127:B127"/>
    <mergeCell ref="C127:G127"/>
    <mergeCell ref="I127:J127"/>
    <mergeCell ref="K127:L127"/>
    <mergeCell ref="M127:N127"/>
    <mergeCell ref="O127:P127"/>
    <mergeCell ref="Q127:R127"/>
    <mergeCell ref="U127:V127"/>
    <mergeCell ref="W127:X127"/>
    <mergeCell ref="A129:B129"/>
    <mergeCell ref="C129:G129"/>
    <mergeCell ref="I129:J129"/>
    <mergeCell ref="K129:L129"/>
    <mergeCell ref="M129:N129"/>
    <mergeCell ref="O129:P129"/>
    <mergeCell ref="Q129:R129"/>
    <mergeCell ref="U129:V129"/>
    <mergeCell ref="W129:X129"/>
    <mergeCell ref="A123:B123"/>
    <mergeCell ref="C123:G123"/>
    <mergeCell ref="I123:J123"/>
    <mergeCell ref="K123:L123"/>
    <mergeCell ref="M123:N123"/>
    <mergeCell ref="O123:P123"/>
    <mergeCell ref="Q123:R123"/>
    <mergeCell ref="U123:V123"/>
    <mergeCell ref="W123:X123"/>
    <mergeCell ref="A125:B125"/>
    <mergeCell ref="C125:G125"/>
    <mergeCell ref="I125:J125"/>
    <mergeCell ref="K125:L125"/>
    <mergeCell ref="M125:N125"/>
    <mergeCell ref="O125:P125"/>
    <mergeCell ref="Q125:R125"/>
    <mergeCell ref="U125:V125"/>
    <mergeCell ref="W125:X125"/>
    <mergeCell ref="A119:B119"/>
    <mergeCell ref="C119:G119"/>
    <mergeCell ref="I119:J119"/>
    <mergeCell ref="K119:L119"/>
    <mergeCell ref="M119:N119"/>
    <mergeCell ref="O119:P119"/>
    <mergeCell ref="Q119:R119"/>
    <mergeCell ref="U119:V119"/>
    <mergeCell ref="W119:X119"/>
    <mergeCell ref="A121:B121"/>
    <mergeCell ref="C121:G122"/>
    <mergeCell ref="I121:J121"/>
    <mergeCell ref="K121:L121"/>
    <mergeCell ref="M121:N121"/>
    <mergeCell ref="O121:P121"/>
    <mergeCell ref="Q121:R121"/>
    <mergeCell ref="U121:V121"/>
    <mergeCell ref="W121:X121"/>
    <mergeCell ref="A115:B115"/>
    <mergeCell ref="C115:G115"/>
    <mergeCell ref="I115:J115"/>
    <mergeCell ref="K115:L115"/>
    <mergeCell ref="M115:N115"/>
    <mergeCell ref="O115:P115"/>
    <mergeCell ref="Q115:R115"/>
    <mergeCell ref="U115:V115"/>
    <mergeCell ref="W115:X115"/>
    <mergeCell ref="A117:B117"/>
    <mergeCell ref="C117:G118"/>
    <mergeCell ref="I117:J117"/>
    <mergeCell ref="K117:L117"/>
    <mergeCell ref="M117:N117"/>
    <mergeCell ref="O117:P117"/>
    <mergeCell ref="Q117:R117"/>
    <mergeCell ref="U117:V117"/>
    <mergeCell ref="W117:X117"/>
    <mergeCell ref="A111:B111"/>
    <mergeCell ref="C111:G111"/>
    <mergeCell ref="I111:J111"/>
    <mergeCell ref="K111:L111"/>
    <mergeCell ref="M111:N111"/>
    <mergeCell ref="O111:P111"/>
    <mergeCell ref="Q111:R111"/>
    <mergeCell ref="U111:V111"/>
    <mergeCell ref="W111:X111"/>
    <mergeCell ref="A113:B113"/>
    <mergeCell ref="C113:G113"/>
    <mergeCell ref="I113:J113"/>
    <mergeCell ref="K113:L113"/>
    <mergeCell ref="M113:N113"/>
    <mergeCell ref="O113:P113"/>
    <mergeCell ref="Q113:R113"/>
    <mergeCell ref="U113:V113"/>
    <mergeCell ref="W113:X113"/>
    <mergeCell ref="A107:B107"/>
    <mergeCell ref="C107:G107"/>
    <mergeCell ref="I107:J107"/>
    <mergeCell ref="K107:L107"/>
    <mergeCell ref="M107:N107"/>
    <mergeCell ref="O107:P107"/>
    <mergeCell ref="Q107:R107"/>
    <mergeCell ref="U107:V107"/>
    <mergeCell ref="W107:X107"/>
    <mergeCell ref="A109:B109"/>
    <mergeCell ref="C109:G109"/>
    <mergeCell ref="I109:J109"/>
    <mergeCell ref="K109:L109"/>
    <mergeCell ref="M109:N109"/>
    <mergeCell ref="O109:P109"/>
    <mergeCell ref="Q109:R109"/>
    <mergeCell ref="U109:V109"/>
    <mergeCell ref="W109:X109"/>
    <mergeCell ref="A103:B103"/>
    <mergeCell ref="C103:G103"/>
    <mergeCell ref="I103:J103"/>
    <mergeCell ref="K103:L103"/>
    <mergeCell ref="M103:N103"/>
    <mergeCell ref="O103:P103"/>
    <mergeCell ref="Q103:R103"/>
    <mergeCell ref="U103:V103"/>
    <mergeCell ref="W103:X103"/>
    <mergeCell ref="A105:B105"/>
    <mergeCell ref="C105:G105"/>
    <mergeCell ref="I105:J105"/>
    <mergeCell ref="K105:L105"/>
    <mergeCell ref="M105:N105"/>
    <mergeCell ref="O105:P105"/>
    <mergeCell ref="Q105:R105"/>
    <mergeCell ref="U105:V105"/>
    <mergeCell ref="W105:X105"/>
    <mergeCell ref="A99:B99"/>
    <mergeCell ref="C99:G99"/>
    <mergeCell ref="I99:J99"/>
    <mergeCell ref="K99:L99"/>
    <mergeCell ref="M99:N99"/>
    <mergeCell ref="O99:P99"/>
    <mergeCell ref="Q99:R99"/>
    <mergeCell ref="U99:V99"/>
    <mergeCell ref="W99:X99"/>
    <mergeCell ref="A101:B101"/>
    <mergeCell ref="C101:G101"/>
    <mergeCell ref="I101:J101"/>
    <mergeCell ref="K101:L101"/>
    <mergeCell ref="M101:N101"/>
    <mergeCell ref="O101:P101"/>
    <mergeCell ref="Q101:R101"/>
    <mergeCell ref="U101:V101"/>
    <mergeCell ref="W101:X101"/>
    <mergeCell ref="A95:B95"/>
    <mergeCell ref="C95:G95"/>
    <mergeCell ref="I95:J95"/>
    <mergeCell ref="K95:L95"/>
    <mergeCell ref="M95:N95"/>
    <mergeCell ref="O95:P95"/>
    <mergeCell ref="Q95:R95"/>
    <mergeCell ref="U95:V95"/>
    <mergeCell ref="W95:X95"/>
    <mergeCell ref="A97:B97"/>
    <mergeCell ref="C97:G97"/>
    <mergeCell ref="I97:J97"/>
    <mergeCell ref="K97:L97"/>
    <mergeCell ref="M97:N97"/>
    <mergeCell ref="O97:P97"/>
    <mergeCell ref="Q97:R97"/>
    <mergeCell ref="U97:V97"/>
    <mergeCell ref="W97:X97"/>
    <mergeCell ref="A91:B91"/>
    <mergeCell ref="C91:G92"/>
    <mergeCell ref="I91:J91"/>
    <mergeCell ref="K91:L91"/>
    <mergeCell ref="M91:N91"/>
    <mergeCell ref="O91:P91"/>
    <mergeCell ref="Q91:R91"/>
    <mergeCell ref="U91:V91"/>
    <mergeCell ref="W91:X91"/>
    <mergeCell ref="A93:B93"/>
    <mergeCell ref="C93:G93"/>
    <mergeCell ref="I93:J93"/>
    <mergeCell ref="K93:L93"/>
    <mergeCell ref="M93:N93"/>
    <mergeCell ref="O93:P93"/>
    <mergeCell ref="Q93:R93"/>
    <mergeCell ref="U93:V93"/>
    <mergeCell ref="W93:X93"/>
    <mergeCell ref="A87:B87"/>
    <mergeCell ref="C87:G87"/>
    <mergeCell ref="I87:J87"/>
    <mergeCell ref="K87:L87"/>
    <mergeCell ref="M87:N87"/>
    <mergeCell ref="O87:P87"/>
    <mergeCell ref="Q87:R87"/>
    <mergeCell ref="U87:V87"/>
    <mergeCell ref="W87:X87"/>
    <mergeCell ref="A89:B89"/>
    <mergeCell ref="C89:G89"/>
    <mergeCell ref="I89:J89"/>
    <mergeCell ref="K89:L89"/>
    <mergeCell ref="M89:N89"/>
    <mergeCell ref="O89:P89"/>
    <mergeCell ref="Q89:R89"/>
    <mergeCell ref="U89:V89"/>
    <mergeCell ref="W89:X89"/>
    <mergeCell ref="A83:B83"/>
    <mergeCell ref="C83:G83"/>
    <mergeCell ref="I83:J83"/>
    <mergeCell ref="K83:L83"/>
    <mergeCell ref="M83:N83"/>
    <mergeCell ref="O83:P83"/>
    <mergeCell ref="Q83:R83"/>
    <mergeCell ref="U83:V83"/>
    <mergeCell ref="W83:X83"/>
    <mergeCell ref="A85:B85"/>
    <mergeCell ref="C85:G85"/>
    <mergeCell ref="I85:J85"/>
    <mergeCell ref="K85:L85"/>
    <mergeCell ref="M85:N85"/>
    <mergeCell ref="O85:P85"/>
    <mergeCell ref="Q85:R85"/>
    <mergeCell ref="U85:V85"/>
    <mergeCell ref="W85:X85"/>
    <mergeCell ref="A79:B79"/>
    <mergeCell ref="C79:G79"/>
    <mergeCell ref="I79:J79"/>
    <mergeCell ref="K79:L79"/>
    <mergeCell ref="M79:N79"/>
    <mergeCell ref="O79:P79"/>
    <mergeCell ref="Q79:R79"/>
    <mergeCell ref="U79:V79"/>
    <mergeCell ref="W79:X79"/>
    <mergeCell ref="A81:B81"/>
    <mergeCell ref="C81:G81"/>
    <mergeCell ref="I81:J81"/>
    <mergeCell ref="K81:L81"/>
    <mergeCell ref="M81:N81"/>
    <mergeCell ref="O81:P81"/>
    <mergeCell ref="Q81:R81"/>
    <mergeCell ref="U81:V81"/>
    <mergeCell ref="W81:X81"/>
    <mergeCell ref="A75:B75"/>
    <mergeCell ref="C75:G75"/>
    <mergeCell ref="I75:J75"/>
    <mergeCell ref="K75:L75"/>
    <mergeCell ref="M75:N75"/>
    <mergeCell ref="O75:P75"/>
    <mergeCell ref="Q75:R75"/>
    <mergeCell ref="U75:V75"/>
    <mergeCell ref="W75:X75"/>
    <mergeCell ref="A77:B77"/>
    <mergeCell ref="C77:G77"/>
    <mergeCell ref="I77:J77"/>
    <mergeCell ref="K77:L77"/>
    <mergeCell ref="M77:N77"/>
    <mergeCell ref="O77:P77"/>
    <mergeCell ref="Q77:R77"/>
    <mergeCell ref="U77:V77"/>
    <mergeCell ref="W77:X77"/>
    <mergeCell ref="A71:B71"/>
    <mergeCell ref="C71:G72"/>
    <mergeCell ref="I71:J71"/>
    <mergeCell ref="K71:L71"/>
    <mergeCell ref="M71:N71"/>
    <mergeCell ref="O71:P71"/>
    <mergeCell ref="Q71:R71"/>
    <mergeCell ref="U71:V71"/>
    <mergeCell ref="W71:X71"/>
    <mergeCell ref="A73:B73"/>
    <mergeCell ref="C73:G74"/>
    <mergeCell ref="I73:J73"/>
    <mergeCell ref="K73:L73"/>
    <mergeCell ref="M73:N73"/>
    <mergeCell ref="O73:P73"/>
    <mergeCell ref="Q73:R73"/>
    <mergeCell ref="U73:V73"/>
    <mergeCell ref="W73:X73"/>
    <mergeCell ref="A66:B66"/>
    <mergeCell ref="C66:G66"/>
    <mergeCell ref="I66:J66"/>
    <mergeCell ref="K66:L66"/>
    <mergeCell ref="M66:N66"/>
    <mergeCell ref="O66:P66"/>
    <mergeCell ref="Q66:R66"/>
    <mergeCell ref="U66:V66"/>
    <mergeCell ref="W66:X66"/>
    <mergeCell ref="A67:B67"/>
    <mergeCell ref="D67:V67"/>
    <mergeCell ref="A69:B69"/>
    <mergeCell ref="C69:G70"/>
    <mergeCell ref="I69:J69"/>
    <mergeCell ref="K69:L69"/>
    <mergeCell ref="M69:N69"/>
    <mergeCell ref="O69:P69"/>
    <mergeCell ref="Q69:R69"/>
    <mergeCell ref="U69:V69"/>
    <mergeCell ref="W69:X69"/>
    <mergeCell ref="A62:B62"/>
    <mergeCell ref="C62:G63"/>
    <mergeCell ref="I62:J62"/>
    <mergeCell ref="K62:L62"/>
    <mergeCell ref="M62:N62"/>
    <mergeCell ref="O62:P62"/>
    <mergeCell ref="Q62:R62"/>
    <mergeCell ref="U62:V62"/>
    <mergeCell ref="W62:X62"/>
    <mergeCell ref="A64:B64"/>
    <mergeCell ref="C64:G65"/>
    <mergeCell ref="I64:J64"/>
    <mergeCell ref="K64:L64"/>
    <mergeCell ref="M64:N64"/>
    <mergeCell ref="O64:P64"/>
    <mergeCell ref="Q64:R64"/>
    <mergeCell ref="U64:V64"/>
    <mergeCell ref="W64:X64"/>
    <mergeCell ref="A58:B58"/>
    <mergeCell ref="C58:G59"/>
    <mergeCell ref="I58:J58"/>
    <mergeCell ref="K58:L58"/>
    <mergeCell ref="M58:N58"/>
    <mergeCell ref="O58:P58"/>
    <mergeCell ref="Q58:R58"/>
    <mergeCell ref="U58:V58"/>
    <mergeCell ref="W58:X58"/>
    <mergeCell ref="A60:B60"/>
    <mergeCell ref="C60:G60"/>
    <mergeCell ref="I60:J60"/>
    <mergeCell ref="K60:L60"/>
    <mergeCell ref="M60:N60"/>
    <mergeCell ref="O60:P60"/>
    <mergeCell ref="Q60:R60"/>
    <mergeCell ref="U60:V60"/>
    <mergeCell ref="W60:X60"/>
    <mergeCell ref="A54:B54"/>
    <mergeCell ref="C54:G54"/>
    <mergeCell ref="I54:J54"/>
    <mergeCell ref="K54:L54"/>
    <mergeCell ref="M54:N54"/>
    <mergeCell ref="O54:P54"/>
    <mergeCell ref="Q54:R54"/>
    <mergeCell ref="U54:V54"/>
    <mergeCell ref="W54:X54"/>
    <mergeCell ref="A56:B56"/>
    <mergeCell ref="C56:G56"/>
    <mergeCell ref="I56:J56"/>
    <mergeCell ref="K56:L56"/>
    <mergeCell ref="M56:N56"/>
    <mergeCell ref="O56:P56"/>
    <mergeCell ref="Q56:R56"/>
    <mergeCell ref="U56:V56"/>
    <mergeCell ref="W56:X56"/>
    <mergeCell ref="A50:B50"/>
    <mergeCell ref="C50:G50"/>
    <mergeCell ref="I50:J50"/>
    <mergeCell ref="K50:L50"/>
    <mergeCell ref="M50:N50"/>
    <mergeCell ref="O50:P50"/>
    <mergeCell ref="Q50:R50"/>
    <mergeCell ref="U50:V50"/>
    <mergeCell ref="W50:X50"/>
    <mergeCell ref="A52:B52"/>
    <mergeCell ref="C52:G52"/>
    <mergeCell ref="I52:J52"/>
    <mergeCell ref="K52:L52"/>
    <mergeCell ref="M52:N52"/>
    <mergeCell ref="O52:P52"/>
    <mergeCell ref="Q52:R52"/>
    <mergeCell ref="U52:V52"/>
    <mergeCell ref="W52:X52"/>
    <mergeCell ref="A46:B46"/>
    <mergeCell ref="C46:G46"/>
    <mergeCell ref="I46:J46"/>
    <mergeCell ref="K46:L46"/>
    <mergeCell ref="M46:N46"/>
    <mergeCell ref="O46:P46"/>
    <mergeCell ref="Q46:R46"/>
    <mergeCell ref="U46:V46"/>
    <mergeCell ref="W46:X46"/>
    <mergeCell ref="A48:B48"/>
    <mergeCell ref="C48:G48"/>
    <mergeCell ref="I48:J48"/>
    <mergeCell ref="K48:L48"/>
    <mergeCell ref="M48:N48"/>
    <mergeCell ref="O48:P48"/>
    <mergeCell ref="Q48:R48"/>
    <mergeCell ref="U48:V48"/>
    <mergeCell ref="W48:X48"/>
    <mergeCell ref="A42:B42"/>
    <mergeCell ref="C42:G42"/>
    <mergeCell ref="I42:J42"/>
    <mergeCell ref="K42:L42"/>
    <mergeCell ref="M42:N42"/>
    <mergeCell ref="O42:P42"/>
    <mergeCell ref="Q42:R42"/>
    <mergeCell ref="U42:V42"/>
    <mergeCell ref="W42:X42"/>
    <mergeCell ref="A44:B44"/>
    <mergeCell ref="C44:G44"/>
    <mergeCell ref="I44:J44"/>
    <mergeCell ref="K44:L44"/>
    <mergeCell ref="M44:N44"/>
    <mergeCell ref="O44:P44"/>
    <mergeCell ref="Q44:R44"/>
    <mergeCell ref="U44:V44"/>
    <mergeCell ref="W44:X44"/>
    <mergeCell ref="A38:B38"/>
    <mergeCell ref="C38:G38"/>
    <mergeCell ref="I38:J38"/>
    <mergeCell ref="K38:L38"/>
    <mergeCell ref="M38:N38"/>
    <mergeCell ref="O38:P38"/>
    <mergeCell ref="Q38:R38"/>
    <mergeCell ref="U38:V38"/>
    <mergeCell ref="W38:X38"/>
    <mergeCell ref="A40:B40"/>
    <mergeCell ref="C40:G41"/>
    <mergeCell ref="I40:J40"/>
    <mergeCell ref="K40:L40"/>
    <mergeCell ref="M40:N40"/>
    <mergeCell ref="O40:P40"/>
    <mergeCell ref="Q40:R40"/>
    <mergeCell ref="U40:V40"/>
    <mergeCell ref="W40:X40"/>
    <mergeCell ref="A34:B34"/>
    <mergeCell ref="C34:G35"/>
    <mergeCell ref="I34:J34"/>
    <mergeCell ref="K34:L34"/>
    <mergeCell ref="M34:N34"/>
    <mergeCell ref="O34:P34"/>
    <mergeCell ref="Q34:R34"/>
    <mergeCell ref="U34:V34"/>
    <mergeCell ref="W34:X34"/>
    <mergeCell ref="A36:B36"/>
    <mergeCell ref="C36:G37"/>
    <mergeCell ref="I36:J36"/>
    <mergeCell ref="K36:L36"/>
    <mergeCell ref="M36:N36"/>
    <mergeCell ref="O36:P36"/>
    <mergeCell ref="Q36:R36"/>
    <mergeCell ref="U36:V36"/>
    <mergeCell ref="W36:X36"/>
    <mergeCell ref="A30:B30"/>
    <mergeCell ref="C30:G30"/>
    <mergeCell ref="I30:J30"/>
    <mergeCell ref="K30:L30"/>
    <mergeCell ref="M30:N30"/>
    <mergeCell ref="O30:P30"/>
    <mergeCell ref="Q30:R30"/>
    <mergeCell ref="U30:V30"/>
    <mergeCell ref="W30:X30"/>
    <mergeCell ref="A32:B32"/>
    <mergeCell ref="C32:G33"/>
    <mergeCell ref="I32:J32"/>
    <mergeCell ref="K32:L32"/>
    <mergeCell ref="M32:N32"/>
    <mergeCell ref="O32:P32"/>
    <mergeCell ref="Q32:R32"/>
    <mergeCell ref="U32:V32"/>
    <mergeCell ref="W32:X32"/>
    <mergeCell ref="A26:B26"/>
    <mergeCell ref="C26:G26"/>
    <mergeCell ref="I26:J26"/>
    <mergeCell ref="K26:L26"/>
    <mergeCell ref="M26:N26"/>
    <mergeCell ref="O26:P26"/>
    <mergeCell ref="Q26:R26"/>
    <mergeCell ref="U26:V26"/>
    <mergeCell ref="W26:X26"/>
    <mergeCell ref="A28:B28"/>
    <mergeCell ref="C28:G29"/>
    <mergeCell ref="I28:J28"/>
    <mergeCell ref="K28:L28"/>
    <mergeCell ref="M28:N28"/>
    <mergeCell ref="O28:P28"/>
    <mergeCell ref="Q28:R28"/>
    <mergeCell ref="U28:V28"/>
    <mergeCell ref="W28:X28"/>
    <mergeCell ref="A22:B22"/>
    <mergeCell ref="C22:G22"/>
    <mergeCell ref="I22:J22"/>
    <mergeCell ref="K22:L22"/>
    <mergeCell ref="M22:N22"/>
    <mergeCell ref="O22:P22"/>
    <mergeCell ref="Q22:R22"/>
    <mergeCell ref="U22:V22"/>
    <mergeCell ref="W22:X22"/>
    <mergeCell ref="A24:B24"/>
    <mergeCell ref="C24:G24"/>
    <mergeCell ref="I24:J24"/>
    <mergeCell ref="K24:L24"/>
    <mergeCell ref="M24:N24"/>
    <mergeCell ref="O24:P24"/>
    <mergeCell ref="Q24:R24"/>
    <mergeCell ref="U24:V24"/>
    <mergeCell ref="W24:X24"/>
    <mergeCell ref="A18:B18"/>
    <mergeCell ref="C18:G19"/>
    <mergeCell ref="I18:J18"/>
    <mergeCell ref="K18:L18"/>
    <mergeCell ref="M18:N18"/>
    <mergeCell ref="O18:P18"/>
    <mergeCell ref="Q18:R18"/>
    <mergeCell ref="U18:V18"/>
    <mergeCell ref="W18:X18"/>
    <mergeCell ref="A20:B20"/>
    <mergeCell ref="C20:G21"/>
    <mergeCell ref="I20:J20"/>
    <mergeCell ref="K20:L20"/>
    <mergeCell ref="M20:N20"/>
    <mergeCell ref="O20:P20"/>
    <mergeCell ref="Q20:R20"/>
    <mergeCell ref="U20:V20"/>
    <mergeCell ref="W20:X20"/>
    <mergeCell ref="A14:B14"/>
    <mergeCell ref="C14:G15"/>
    <mergeCell ref="I14:J14"/>
    <mergeCell ref="K14:L14"/>
    <mergeCell ref="M14:N14"/>
    <mergeCell ref="O14:P14"/>
    <mergeCell ref="Q14:R14"/>
    <mergeCell ref="U14:V14"/>
    <mergeCell ref="W14:X14"/>
    <mergeCell ref="A16:B16"/>
    <mergeCell ref="C16:G17"/>
    <mergeCell ref="I16:J16"/>
    <mergeCell ref="K16:L16"/>
    <mergeCell ref="M16:N16"/>
    <mergeCell ref="O16:P16"/>
    <mergeCell ref="Q16:R16"/>
    <mergeCell ref="U16:V16"/>
    <mergeCell ref="W16:X16"/>
    <mergeCell ref="X7:X9"/>
    <mergeCell ref="A9:C10"/>
    <mergeCell ref="B1:V1"/>
    <mergeCell ref="T2:V2"/>
    <mergeCell ref="B4:V4"/>
    <mergeCell ref="B5:V5"/>
    <mergeCell ref="H7:H9"/>
    <mergeCell ref="I7:J9"/>
    <mergeCell ref="K7:K9"/>
    <mergeCell ref="M7:N9"/>
    <mergeCell ref="O7:P9"/>
    <mergeCell ref="Q7:R9"/>
    <mergeCell ref="S7:S9"/>
    <mergeCell ref="V7:V9"/>
    <mergeCell ref="E8:G9"/>
    <mergeCell ref="A12:B12"/>
    <mergeCell ref="C12:G12"/>
    <mergeCell ref="I12:J12"/>
    <mergeCell ref="K12:L12"/>
    <mergeCell ref="M12:N12"/>
    <mergeCell ref="O12:P12"/>
    <mergeCell ref="Q12:R12"/>
    <mergeCell ref="U12:V12"/>
    <mergeCell ref="W12:X12"/>
  </mergeCells>
  <pageMargins left="0.18819444444444444" right="0.19652777777777777" top="0.19652777777777777" bottom="0.19375000000000001" header="0" footer="0"/>
  <pageSetup paperSize="9" fitToWidth="0" fitToHeight="0" orientation="portrait" horizontalDpi="0" verticalDpi="0" copies="0"/>
  <headerFooter alignWithMargins="0"/>
  <rowBreaks count="27" manualBreakCount="27">
    <brk id="66" min="1" max="256" man="1"/>
    <brk id="133" min="1" max="256" man="1"/>
    <brk id="197" min="1" max="256" man="1"/>
    <brk id="270" min="1" max="256" man="1"/>
    <brk id="338" min="1" max="256" man="1"/>
    <brk id="412" min="1" max="256" man="1"/>
    <brk id="485" min="1" max="256" man="1"/>
    <brk id="557" min="1" max="256" man="1"/>
    <brk id="629" min="1" max="256" man="1"/>
    <brk id="701" min="1" max="256" man="1"/>
    <brk id="774" min="1" max="256" man="1"/>
    <brk id="841" min="1" max="256" man="1"/>
    <brk id="910" min="1" max="256" man="1"/>
    <brk id="985" min="1" max="256" man="1"/>
    <brk id="1056" min="1" max="256" man="1"/>
    <brk id="1122" min="1" max="256" man="1"/>
    <brk id="1192" min="1" max="256" man="1"/>
    <brk id="1259" min="1" max="256" man="1"/>
    <brk id="1331" min="1" max="256" man="1"/>
    <brk id="1404" min="1" max="256" man="1"/>
    <brk id="1468" min="1" max="256" man="1"/>
    <brk id="1535" min="1" max="256" man="1"/>
    <brk id="1606" min="1" max="256" man="1"/>
    <brk id="1673" min="1" max="256" man="1"/>
    <brk id="1745" min="1" max="256" man="1"/>
    <brk id="1817" min="1" max="256" man="1"/>
    <brk id="1819" min="1" max="25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08"/>
  <sheetViews>
    <sheetView topLeftCell="A49" workbookViewId="0">
      <selection activeCell="S107" sqref="S107"/>
    </sheetView>
  </sheetViews>
  <sheetFormatPr defaultRowHeight="12.75" x14ac:dyDescent="0.2"/>
  <cols>
    <col min="3" max="3" width="39.140625" bestFit="1" customWidth="1"/>
  </cols>
  <sheetData>
    <row r="1" spans="1:20" ht="14.25" x14ac:dyDescent="0.2">
      <c r="B1" s="128"/>
      <c r="C1" s="128"/>
      <c r="D1" s="128"/>
      <c r="E1" s="128"/>
      <c r="F1" s="128" t="s">
        <v>1670</v>
      </c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</row>
    <row r="2" spans="1:20" x14ac:dyDescent="0.2">
      <c r="P2" s="539" t="s">
        <v>1671</v>
      </c>
      <c r="Q2" s="539"/>
      <c r="R2" s="539"/>
    </row>
    <row r="4" spans="1:20" ht="12.75" customHeight="1" x14ac:dyDescent="0.2">
      <c r="B4" s="125"/>
      <c r="C4" s="125"/>
      <c r="D4" s="125"/>
      <c r="E4" s="8" t="s">
        <v>1</v>
      </c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</row>
    <row r="5" spans="1:20" ht="12.75" customHeight="1" x14ac:dyDescent="0.2">
      <c r="B5" s="129"/>
      <c r="C5" s="129"/>
      <c r="D5" s="129"/>
      <c r="E5" s="130" t="s">
        <v>2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</row>
    <row r="7" spans="1:20" ht="38.25" x14ac:dyDescent="0.2">
      <c r="E7" s="125" t="s">
        <v>4</v>
      </c>
      <c r="F7" s="125"/>
      <c r="G7" s="125" t="s">
        <v>5</v>
      </c>
      <c r="H7" s="126"/>
      <c r="I7" s="125" t="s">
        <v>6</v>
      </c>
      <c r="J7" s="125"/>
      <c r="K7" s="125" t="s">
        <v>7</v>
      </c>
      <c r="L7" s="125"/>
      <c r="M7" s="125" t="s">
        <v>8</v>
      </c>
      <c r="N7" s="125"/>
      <c r="O7" s="125" t="s">
        <v>1822</v>
      </c>
      <c r="P7" s="125" t="s">
        <v>1672</v>
      </c>
      <c r="Q7" s="125" t="s">
        <v>9</v>
      </c>
      <c r="R7" s="125"/>
      <c r="S7" s="125" t="s">
        <v>10</v>
      </c>
    </row>
    <row r="8" spans="1:20" ht="12.75" customHeight="1" x14ac:dyDescent="0.2">
      <c r="A8" s="8" t="s">
        <v>11</v>
      </c>
      <c r="B8" s="8"/>
      <c r="C8" s="8" t="s">
        <v>12</v>
      </c>
      <c r="D8" s="8"/>
      <c r="E8" s="125"/>
      <c r="F8" s="125"/>
      <c r="G8" s="125"/>
      <c r="H8" s="126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6"/>
    </row>
    <row r="9" spans="1:20" x14ac:dyDescent="0.2">
      <c r="B9" s="8"/>
      <c r="C9" s="8"/>
      <c r="D9" s="8"/>
      <c r="E9" s="125"/>
      <c r="F9" s="125"/>
      <c r="G9" s="125"/>
      <c r="H9" s="126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6"/>
    </row>
    <row r="10" spans="1:20" ht="15" customHeight="1" x14ac:dyDescent="0.2">
      <c r="A10" s="117" t="s">
        <v>1673</v>
      </c>
      <c r="B10" s="117"/>
      <c r="C10" s="118" t="s">
        <v>1674</v>
      </c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</row>
    <row r="12" spans="1:20" ht="12.75" customHeight="1" x14ac:dyDescent="0.2">
      <c r="A12" s="121" t="s">
        <v>1675</v>
      </c>
      <c r="B12" s="121"/>
      <c r="C12" s="122" t="s">
        <v>1676</v>
      </c>
      <c r="D12" s="122"/>
      <c r="E12" s="123">
        <v>41780</v>
      </c>
      <c r="F12" s="123"/>
      <c r="G12" s="124">
        <v>3730</v>
      </c>
      <c r="H12" s="124"/>
      <c r="I12" s="124">
        <v>3348</v>
      </c>
      <c r="J12" s="124"/>
      <c r="K12" s="124">
        <v>0</v>
      </c>
      <c r="L12" s="124"/>
      <c r="M12" s="124">
        <v>0</v>
      </c>
      <c r="N12" s="124"/>
      <c r="O12" s="115">
        <v>2.5</v>
      </c>
      <c r="P12" s="116" t="s">
        <v>17</v>
      </c>
      <c r="Q12" s="124">
        <v>39</v>
      </c>
      <c r="R12" s="124"/>
      <c r="S12" s="124">
        <v>3309</v>
      </c>
      <c r="T12" s="124"/>
    </row>
    <row r="13" spans="1:20" x14ac:dyDescent="0.2">
      <c r="A13" s="121" t="s">
        <v>1677</v>
      </c>
      <c r="B13" s="121"/>
      <c r="C13" s="122" t="s">
        <v>1678</v>
      </c>
      <c r="D13" s="122"/>
      <c r="E13" s="123">
        <v>41780</v>
      </c>
      <c r="F13" s="123"/>
      <c r="G13" s="124">
        <v>15123.76</v>
      </c>
      <c r="H13" s="124"/>
      <c r="I13" s="124">
        <v>13569.76</v>
      </c>
      <c r="J13" s="124"/>
      <c r="K13" s="124">
        <v>0</v>
      </c>
      <c r="L13" s="124"/>
      <c r="M13" s="124">
        <v>0</v>
      </c>
      <c r="N13" s="124"/>
      <c r="O13" s="115">
        <v>2.5</v>
      </c>
      <c r="P13" s="116" t="s">
        <v>17</v>
      </c>
      <c r="Q13" s="124">
        <v>158</v>
      </c>
      <c r="R13" s="124"/>
      <c r="S13" s="124">
        <v>13411.76</v>
      </c>
      <c r="T13" s="124"/>
    </row>
    <row r="14" spans="1:20" ht="12.75" customHeight="1" x14ac:dyDescent="0.2">
      <c r="A14" s="121" t="s">
        <v>1679</v>
      </c>
      <c r="B14" s="121"/>
      <c r="C14" s="122" t="s">
        <v>1676</v>
      </c>
      <c r="D14" s="122"/>
      <c r="E14" s="123">
        <v>41820</v>
      </c>
      <c r="F14" s="123"/>
      <c r="G14" s="124">
        <v>8798.5500000000011</v>
      </c>
      <c r="H14" s="124"/>
      <c r="I14" s="124">
        <v>7917.55</v>
      </c>
      <c r="J14" s="124"/>
      <c r="K14" s="124">
        <v>0</v>
      </c>
      <c r="L14" s="124"/>
      <c r="M14" s="124">
        <v>0</v>
      </c>
      <c r="N14" s="124"/>
      <c r="O14" s="115">
        <v>2.5</v>
      </c>
      <c r="P14" s="116" t="s">
        <v>17</v>
      </c>
      <c r="Q14" s="124">
        <v>92</v>
      </c>
      <c r="R14" s="124"/>
      <c r="S14" s="124">
        <v>7825.55</v>
      </c>
      <c r="T14" s="124"/>
    </row>
    <row r="15" spans="1:20" ht="12.75" customHeight="1" x14ac:dyDescent="0.2">
      <c r="A15" s="121" t="s">
        <v>1680</v>
      </c>
      <c r="B15" s="121"/>
      <c r="C15" s="122" t="s">
        <v>1681</v>
      </c>
      <c r="D15" s="122"/>
      <c r="E15" s="123">
        <v>41863</v>
      </c>
      <c r="F15" s="123"/>
      <c r="G15" s="124">
        <v>6110</v>
      </c>
      <c r="H15" s="124"/>
      <c r="I15" s="124">
        <v>5516</v>
      </c>
      <c r="J15" s="124"/>
      <c r="K15" s="124">
        <v>0</v>
      </c>
      <c r="L15" s="124"/>
      <c r="M15" s="124">
        <v>0</v>
      </c>
      <c r="N15" s="124"/>
      <c r="O15" s="115">
        <v>2.5</v>
      </c>
      <c r="P15" s="116" t="s">
        <v>17</v>
      </c>
      <c r="Q15" s="124">
        <v>64</v>
      </c>
      <c r="R15" s="124"/>
      <c r="S15" s="124">
        <v>5452</v>
      </c>
      <c r="T15" s="124"/>
    </row>
    <row r="16" spans="1:20" ht="12.75" customHeight="1" x14ac:dyDescent="0.2">
      <c r="A16" s="121" t="s">
        <v>1682</v>
      </c>
      <c r="B16" s="121"/>
      <c r="C16" s="122" t="s">
        <v>1683</v>
      </c>
      <c r="D16" s="122"/>
      <c r="E16" s="123">
        <v>41891</v>
      </c>
      <c r="F16" s="123"/>
      <c r="G16" s="124">
        <v>1128.6400000000001</v>
      </c>
      <c r="H16" s="124"/>
      <c r="I16" s="124">
        <v>1021.64</v>
      </c>
      <c r="J16" s="124"/>
      <c r="K16" s="124">
        <v>0</v>
      </c>
      <c r="L16" s="124"/>
      <c r="M16" s="124">
        <v>0</v>
      </c>
      <c r="N16" s="124"/>
      <c r="O16" s="115">
        <v>2.5</v>
      </c>
      <c r="P16" s="116" t="s">
        <v>17</v>
      </c>
      <c r="Q16" s="124">
        <v>12</v>
      </c>
      <c r="R16" s="124"/>
      <c r="S16" s="124">
        <v>1009.64</v>
      </c>
      <c r="T16" s="124"/>
    </row>
    <row r="17" spans="1:20" ht="12.75" customHeight="1" x14ac:dyDescent="0.2">
      <c r="A17" s="121" t="s">
        <v>1684</v>
      </c>
      <c r="B17" s="121"/>
      <c r="C17" s="122" t="s">
        <v>1681</v>
      </c>
      <c r="D17" s="122"/>
      <c r="E17" s="123">
        <v>41891</v>
      </c>
      <c r="F17" s="123"/>
      <c r="G17" s="124">
        <v>5296</v>
      </c>
      <c r="H17" s="124"/>
      <c r="I17" s="124">
        <v>4793</v>
      </c>
      <c r="J17" s="124"/>
      <c r="K17" s="124">
        <v>0</v>
      </c>
      <c r="L17" s="124"/>
      <c r="M17" s="124">
        <v>0</v>
      </c>
      <c r="N17" s="124"/>
      <c r="O17" s="115">
        <v>2.5</v>
      </c>
      <c r="P17" s="116" t="s">
        <v>17</v>
      </c>
      <c r="Q17" s="124">
        <v>55</v>
      </c>
      <c r="R17" s="124"/>
      <c r="S17" s="124">
        <v>4738</v>
      </c>
      <c r="T17" s="124"/>
    </row>
    <row r="18" spans="1:20" ht="12.75" customHeight="1" x14ac:dyDescent="0.2">
      <c r="A18" s="121" t="s">
        <v>1685</v>
      </c>
      <c r="B18" s="121"/>
      <c r="C18" s="122" t="s">
        <v>1676</v>
      </c>
      <c r="D18" s="122"/>
      <c r="E18" s="123">
        <v>41935</v>
      </c>
      <c r="F18" s="123"/>
      <c r="G18" s="124">
        <v>5708.11</v>
      </c>
      <c r="H18" s="124"/>
      <c r="I18" s="124">
        <v>5181.1099999999997</v>
      </c>
      <c r="J18" s="124"/>
      <c r="K18" s="124">
        <v>0</v>
      </c>
      <c r="L18" s="124"/>
      <c r="M18" s="124">
        <v>0</v>
      </c>
      <c r="N18" s="124"/>
      <c r="O18" s="115">
        <v>2.5</v>
      </c>
      <c r="P18" s="116" t="s">
        <v>17</v>
      </c>
      <c r="Q18" s="124">
        <v>60</v>
      </c>
      <c r="R18" s="124"/>
      <c r="S18" s="124">
        <v>5121.1099999999997</v>
      </c>
      <c r="T18" s="124"/>
    </row>
    <row r="19" spans="1:20" ht="12.75" customHeight="1" x14ac:dyDescent="0.2">
      <c r="A19" s="121" t="s">
        <v>1686</v>
      </c>
      <c r="B19" s="121"/>
      <c r="C19" s="122" t="s">
        <v>1687</v>
      </c>
      <c r="D19" s="122"/>
      <c r="E19" s="123">
        <v>42122</v>
      </c>
      <c r="F19" s="123"/>
      <c r="G19" s="124">
        <v>6247.2</v>
      </c>
      <c r="H19" s="124"/>
      <c r="I19" s="124">
        <v>5752.2</v>
      </c>
      <c r="J19" s="124"/>
      <c r="K19" s="124">
        <v>0</v>
      </c>
      <c r="L19" s="124"/>
      <c r="M19" s="124">
        <v>0</v>
      </c>
      <c r="N19" s="124"/>
      <c r="O19" s="115">
        <v>2.5</v>
      </c>
      <c r="P19" s="116" t="s">
        <v>17</v>
      </c>
      <c r="Q19" s="124">
        <v>65</v>
      </c>
      <c r="R19" s="124"/>
      <c r="S19" s="124">
        <v>5687.2</v>
      </c>
      <c r="T19" s="124"/>
    </row>
    <row r="20" spans="1:20" ht="12.75" customHeight="1" x14ac:dyDescent="0.2">
      <c r="A20" s="121" t="s">
        <v>1688</v>
      </c>
      <c r="B20" s="121"/>
      <c r="C20" s="122" t="s">
        <v>1689</v>
      </c>
      <c r="D20" s="122"/>
      <c r="E20" s="123">
        <v>41935</v>
      </c>
      <c r="F20" s="123"/>
      <c r="G20" s="124">
        <v>1900.75</v>
      </c>
      <c r="H20" s="124"/>
      <c r="I20" s="124">
        <v>1723.75</v>
      </c>
      <c r="J20" s="124"/>
      <c r="K20" s="124">
        <v>0</v>
      </c>
      <c r="L20" s="124"/>
      <c r="M20" s="124">
        <v>0</v>
      </c>
      <c r="N20" s="124"/>
      <c r="O20" s="115">
        <v>2.5</v>
      </c>
      <c r="P20" s="116" t="s">
        <v>17</v>
      </c>
      <c r="Q20" s="124">
        <v>20</v>
      </c>
      <c r="R20" s="124"/>
      <c r="S20" s="124">
        <v>1703.75</v>
      </c>
      <c r="T20" s="124"/>
    </row>
    <row r="21" spans="1:20" ht="12.75" customHeight="1" x14ac:dyDescent="0.2">
      <c r="A21" s="121" t="s">
        <v>1690</v>
      </c>
      <c r="B21" s="121"/>
      <c r="C21" s="122" t="s">
        <v>1689</v>
      </c>
      <c r="D21" s="122"/>
      <c r="E21" s="123">
        <v>42095</v>
      </c>
      <c r="F21" s="123"/>
      <c r="G21" s="124">
        <v>4463.6500000000005</v>
      </c>
      <c r="H21" s="124"/>
      <c r="I21" s="124">
        <v>4099.6499999999996</v>
      </c>
      <c r="J21" s="124"/>
      <c r="K21" s="124">
        <v>0</v>
      </c>
      <c r="L21" s="124"/>
      <c r="M21" s="124">
        <v>0</v>
      </c>
      <c r="N21" s="124"/>
      <c r="O21" s="115">
        <v>2.5</v>
      </c>
      <c r="P21" s="116" t="s">
        <v>17</v>
      </c>
      <c r="Q21" s="124">
        <v>47</v>
      </c>
      <c r="R21" s="124"/>
      <c r="S21" s="124">
        <v>4052.65</v>
      </c>
      <c r="T21" s="124"/>
    </row>
    <row r="22" spans="1:20" ht="12.75" customHeight="1" x14ac:dyDescent="0.2">
      <c r="A22" s="121" t="s">
        <v>1691</v>
      </c>
      <c r="B22" s="121"/>
      <c r="C22" s="122" t="s">
        <v>1689</v>
      </c>
      <c r="D22" s="122"/>
      <c r="E22" s="123">
        <v>42170</v>
      </c>
      <c r="F22" s="123"/>
      <c r="G22" s="124">
        <v>2366.9299999999998</v>
      </c>
      <c r="H22" s="124"/>
      <c r="I22" s="124">
        <v>2186.9299999999998</v>
      </c>
      <c r="J22" s="124"/>
      <c r="K22" s="124">
        <v>0</v>
      </c>
      <c r="L22" s="124"/>
      <c r="M22" s="124">
        <v>0</v>
      </c>
      <c r="N22" s="124"/>
      <c r="O22" s="115">
        <v>2.5</v>
      </c>
      <c r="P22" s="116" t="s">
        <v>17</v>
      </c>
      <c r="Q22" s="124">
        <v>25</v>
      </c>
      <c r="R22" s="124"/>
      <c r="S22" s="124">
        <v>2161.9299999999998</v>
      </c>
      <c r="T22" s="124"/>
    </row>
    <row r="23" spans="1:20" x14ac:dyDescent="0.2">
      <c r="A23" s="121" t="s">
        <v>1692</v>
      </c>
      <c r="B23" s="121"/>
      <c r="C23" s="122" t="s">
        <v>1693</v>
      </c>
      <c r="D23" s="122"/>
      <c r="E23" s="123">
        <v>41960</v>
      </c>
      <c r="F23" s="123"/>
      <c r="G23" s="124">
        <v>20320</v>
      </c>
      <c r="H23" s="124"/>
      <c r="I23" s="124">
        <v>5612</v>
      </c>
      <c r="J23" s="124"/>
      <c r="K23" s="124">
        <v>0</v>
      </c>
      <c r="L23" s="124"/>
      <c r="M23" s="124">
        <v>0</v>
      </c>
      <c r="N23" s="124"/>
      <c r="O23" s="115">
        <v>20</v>
      </c>
      <c r="P23" s="116" t="s">
        <v>17</v>
      </c>
      <c r="Q23" s="124">
        <v>1704</v>
      </c>
      <c r="R23" s="124"/>
      <c r="S23" s="124">
        <v>3908</v>
      </c>
      <c r="T23" s="124"/>
    </row>
    <row r="24" spans="1:20" x14ac:dyDescent="0.2">
      <c r="A24" s="121" t="s">
        <v>1694</v>
      </c>
      <c r="B24" s="121"/>
      <c r="C24" s="122" t="s">
        <v>1695</v>
      </c>
      <c r="D24" s="122"/>
      <c r="E24" s="123">
        <v>41971</v>
      </c>
      <c r="F24" s="123"/>
      <c r="G24" s="124">
        <v>6712</v>
      </c>
      <c r="H24" s="124"/>
      <c r="I24" s="124">
        <v>6109</v>
      </c>
      <c r="J24" s="124"/>
      <c r="K24" s="124">
        <v>0</v>
      </c>
      <c r="L24" s="124"/>
      <c r="M24" s="124">
        <v>0</v>
      </c>
      <c r="N24" s="124"/>
      <c r="O24" s="115">
        <v>2.5</v>
      </c>
      <c r="P24" s="116" t="s">
        <v>17</v>
      </c>
      <c r="Q24" s="124">
        <v>70</v>
      </c>
      <c r="R24" s="124"/>
      <c r="S24" s="124">
        <v>6039</v>
      </c>
      <c r="T24" s="124"/>
    </row>
    <row r="25" spans="1:20" x14ac:dyDescent="0.2">
      <c r="A25" s="121" t="s">
        <v>1696</v>
      </c>
      <c r="B25" s="121"/>
      <c r="C25" s="122" t="s">
        <v>1695</v>
      </c>
      <c r="D25" s="122"/>
      <c r="E25" s="123">
        <v>42082</v>
      </c>
      <c r="F25" s="123"/>
      <c r="G25" s="124">
        <v>1425</v>
      </c>
      <c r="H25" s="124"/>
      <c r="I25" s="124">
        <v>1307</v>
      </c>
      <c r="J25" s="124"/>
      <c r="K25" s="124">
        <v>0</v>
      </c>
      <c r="L25" s="124"/>
      <c r="M25" s="124">
        <v>0</v>
      </c>
      <c r="N25" s="124"/>
      <c r="O25" s="115">
        <v>2.5</v>
      </c>
      <c r="P25" s="116" t="s">
        <v>17</v>
      </c>
      <c r="Q25" s="124">
        <v>15</v>
      </c>
      <c r="R25" s="124"/>
      <c r="S25" s="124">
        <v>1292</v>
      </c>
      <c r="T25" s="124"/>
    </row>
    <row r="26" spans="1:20" ht="12.75" customHeight="1" x14ac:dyDescent="0.2">
      <c r="A26" s="121" t="s">
        <v>1697</v>
      </c>
      <c r="B26" s="121"/>
      <c r="C26" s="122" t="s">
        <v>1698</v>
      </c>
      <c r="D26" s="122"/>
      <c r="E26" s="123">
        <v>42018</v>
      </c>
      <c r="F26" s="123"/>
      <c r="G26" s="124">
        <v>35118.58</v>
      </c>
      <c r="H26" s="124"/>
      <c r="I26" s="124">
        <v>32080.58</v>
      </c>
      <c r="J26" s="124"/>
      <c r="K26" s="124">
        <v>0</v>
      </c>
      <c r="L26" s="124"/>
      <c r="M26" s="124">
        <v>0</v>
      </c>
      <c r="N26" s="124"/>
      <c r="O26" s="115">
        <v>2.5</v>
      </c>
      <c r="P26" s="116" t="s">
        <v>17</v>
      </c>
      <c r="Q26" s="124">
        <v>368</v>
      </c>
      <c r="R26" s="124"/>
      <c r="S26" s="124">
        <v>31712.58</v>
      </c>
      <c r="T26" s="124"/>
    </row>
    <row r="27" spans="1:20" x14ac:dyDescent="0.2">
      <c r="A27" s="121" t="s">
        <v>1699</v>
      </c>
      <c r="B27" s="121"/>
      <c r="C27" s="122" t="s">
        <v>1695</v>
      </c>
      <c r="D27" s="122"/>
      <c r="E27" s="123">
        <v>42096</v>
      </c>
      <c r="F27" s="123"/>
      <c r="G27" s="124">
        <v>763</v>
      </c>
      <c r="H27" s="124"/>
      <c r="I27" s="124">
        <v>701</v>
      </c>
      <c r="J27" s="124"/>
      <c r="K27" s="124">
        <v>0</v>
      </c>
      <c r="L27" s="124"/>
      <c r="M27" s="124">
        <v>0</v>
      </c>
      <c r="N27" s="124"/>
      <c r="O27" s="115">
        <v>2.5</v>
      </c>
      <c r="P27" s="116" t="s">
        <v>17</v>
      </c>
      <c r="Q27" s="124">
        <v>8</v>
      </c>
      <c r="R27" s="124"/>
      <c r="S27" s="124">
        <v>693</v>
      </c>
      <c r="T27" s="124"/>
    </row>
    <row r="28" spans="1:20" ht="12.75" customHeight="1" x14ac:dyDescent="0.2">
      <c r="A28" s="121" t="s">
        <v>1700</v>
      </c>
      <c r="B28" s="121"/>
      <c r="C28" s="122" t="s">
        <v>1698</v>
      </c>
      <c r="D28" s="122"/>
      <c r="E28" s="123">
        <v>42130</v>
      </c>
      <c r="F28" s="123"/>
      <c r="G28" s="124">
        <v>5339.55</v>
      </c>
      <c r="H28" s="124"/>
      <c r="I28" s="124">
        <v>4920.55</v>
      </c>
      <c r="J28" s="124"/>
      <c r="K28" s="124">
        <v>0</v>
      </c>
      <c r="L28" s="124"/>
      <c r="M28" s="124">
        <v>0</v>
      </c>
      <c r="N28" s="124"/>
      <c r="O28" s="115">
        <v>2.5</v>
      </c>
      <c r="P28" s="116" t="s">
        <v>17</v>
      </c>
      <c r="Q28" s="124">
        <v>56</v>
      </c>
      <c r="R28" s="124"/>
      <c r="S28" s="124">
        <v>4864.55</v>
      </c>
      <c r="T28" s="124"/>
    </row>
    <row r="29" spans="1:20" x14ac:dyDescent="0.2">
      <c r="A29" s="121" t="s">
        <v>1701</v>
      </c>
      <c r="B29" s="121"/>
      <c r="C29" s="122" t="s">
        <v>1702</v>
      </c>
      <c r="D29" s="122"/>
      <c r="E29" s="123">
        <v>42175</v>
      </c>
      <c r="F29" s="123"/>
      <c r="G29" s="124">
        <v>196.81</v>
      </c>
      <c r="H29" s="124"/>
      <c r="I29" s="124">
        <v>180.81</v>
      </c>
      <c r="J29" s="124"/>
      <c r="K29" s="124">
        <v>0</v>
      </c>
      <c r="L29" s="124"/>
      <c r="M29" s="124">
        <v>0</v>
      </c>
      <c r="N29" s="124"/>
      <c r="O29" s="115">
        <v>2.5</v>
      </c>
      <c r="P29" s="116" t="s">
        <v>17</v>
      </c>
      <c r="Q29" s="124">
        <v>2</v>
      </c>
      <c r="R29" s="124"/>
      <c r="S29" s="124">
        <v>178.81</v>
      </c>
      <c r="T29" s="124"/>
    </row>
    <row r="30" spans="1:20" ht="12.75" customHeight="1" x14ac:dyDescent="0.2">
      <c r="A30" s="121" t="s">
        <v>1703</v>
      </c>
      <c r="B30" s="121"/>
      <c r="C30" s="122" t="s">
        <v>1704</v>
      </c>
      <c r="D30" s="122"/>
      <c r="E30" s="123">
        <v>42186</v>
      </c>
      <c r="F30" s="123"/>
      <c r="G30" s="124">
        <v>33936.89</v>
      </c>
      <c r="H30" s="124"/>
      <c r="I30" s="124">
        <v>31392.89</v>
      </c>
      <c r="J30" s="124"/>
      <c r="K30" s="124">
        <v>0</v>
      </c>
      <c r="L30" s="124"/>
      <c r="M30" s="124">
        <v>0</v>
      </c>
      <c r="N30" s="124"/>
      <c r="O30" s="115">
        <v>2.5</v>
      </c>
      <c r="P30" s="116" t="s">
        <v>17</v>
      </c>
      <c r="Q30" s="124">
        <v>356</v>
      </c>
      <c r="R30" s="124"/>
      <c r="S30" s="124">
        <v>31036.89</v>
      </c>
      <c r="T30" s="124"/>
    </row>
    <row r="31" spans="1:20" ht="12.75" customHeight="1" x14ac:dyDescent="0.2">
      <c r="A31" s="121" t="s">
        <v>1705</v>
      </c>
      <c r="B31" s="121"/>
      <c r="C31" s="122" t="s">
        <v>1706</v>
      </c>
      <c r="D31" s="122"/>
      <c r="E31" s="123">
        <v>42514</v>
      </c>
      <c r="F31" s="123"/>
      <c r="G31" s="124">
        <v>1746.3600000000001</v>
      </c>
      <c r="H31" s="124"/>
      <c r="I31" s="124">
        <v>1192.3600000000001</v>
      </c>
      <c r="J31" s="124"/>
      <c r="K31" s="124">
        <v>0</v>
      </c>
      <c r="L31" s="124"/>
      <c r="M31" s="124">
        <v>0</v>
      </c>
      <c r="N31" s="124"/>
      <c r="O31" s="115">
        <v>16.669999999999998</v>
      </c>
      <c r="P31" s="116" t="s">
        <v>289</v>
      </c>
      <c r="Q31" s="124">
        <v>83</v>
      </c>
      <c r="R31" s="124"/>
      <c r="S31" s="124">
        <v>1109.3600000000001</v>
      </c>
      <c r="T31" s="124"/>
    </row>
    <row r="32" spans="1:20" ht="12.75" customHeight="1" x14ac:dyDescent="0.2">
      <c r="A32" s="121" t="s">
        <v>1707</v>
      </c>
      <c r="B32" s="121"/>
      <c r="C32" s="122" t="s">
        <v>1708</v>
      </c>
      <c r="D32" s="122"/>
      <c r="E32" s="123">
        <v>42514</v>
      </c>
      <c r="F32" s="123"/>
      <c r="G32" s="124">
        <v>4398.41</v>
      </c>
      <c r="H32" s="124"/>
      <c r="I32" s="124">
        <v>4167.41</v>
      </c>
      <c r="J32" s="124"/>
      <c r="K32" s="124">
        <v>0</v>
      </c>
      <c r="L32" s="124"/>
      <c r="M32" s="124">
        <v>0</v>
      </c>
      <c r="N32" s="124"/>
      <c r="O32" s="115">
        <v>2.5</v>
      </c>
      <c r="P32" s="116" t="s">
        <v>17</v>
      </c>
      <c r="Q32" s="124">
        <v>46</v>
      </c>
      <c r="R32" s="124"/>
      <c r="S32" s="124">
        <v>4121.41</v>
      </c>
      <c r="T32" s="124"/>
    </row>
    <row r="33" spans="1:20" ht="12.75" customHeight="1" x14ac:dyDescent="0.2">
      <c r="A33" s="121" t="s">
        <v>1709</v>
      </c>
      <c r="B33" s="121"/>
      <c r="C33" s="122" t="s">
        <v>1710</v>
      </c>
      <c r="D33" s="122"/>
      <c r="E33" s="123">
        <v>42514</v>
      </c>
      <c r="F33" s="123"/>
      <c r="G33" s="124">
        <v>3646.48</v>
      </c>
      <c r="H33" s="124"/>
      <c r="I33" s="124">
        <v>3455.48</v>
      </c>
      <c r="J33" s="124"/>
      <c r="K33" s="124">
        <v>0</v>
      </c>
      <c r="L33" s="124"/>
      <c r="M33" s="124">
        <v>0</v>
      </c>
      <c r="N33" s="124"/>
      <c r="O33" s="115">
        <v>2.5</v>
      </c>
      <c r="P33" s="116" t="s">
        <v>17</v>
      </c>
      <c r="Q33" s="124">
        <v>38</v>
      </c>
      <c r="R33" s="124"/>
      <c r="S33" s="124">
        <v>3417.48</v>
      </c>
      <c r="T33" s="124"/>
    </row>
    <row r="34" spans="1:20" ht="12.75" customHeight="1" x14ac:dyDescent="0.2">
      <c r="A34" s="121" t="s">
        <v>1711</v>
      </c>
      <c r="B34" s="121"/>
      <c r="C34" s="122" t="s">
        <v>1096</v>
      </c>
      <c r="D34" s="122"/>
      <c r="E34" s="123">
        <v>42514</v>
      </c>
      <c r="F34" s="123"/>
      <c r="G34" s="124">
        <v>445</v>
      </c>
      <c r="H34" s="124"/>
      <c r="I34" s="124">
        <v>279</v>
      </c>
      <c r="J34" s="124"/>
      <c r="K34" s="124">
        <v>0</v>
      </c>
      <c r="L34" s="124"/>
      <c r="M34" s="124">
        <v>0</v>
      </c>
      <c r="N34" s="124"/>
      <c r="O34" s="115">
        <v>20</v>
      </c>
      <c r="P34" s="116" t="s">
        <v>289</v>
      </c>
      <c r="Q34" s="124">
        <v>23</v>
      </c>
      <c r="R34" s="124"/>
      <c r="S34" s="124">
        <v>256</v>
      </c>
      <c r="T34" s="124"/>
    </row>
    <row r="35" spans="1:20" x14ac:dyDescent="0.2">
      <c r="A35" s="121" t="s">
        <v>1712</v>
      </c>
      <c r="B35" s="121"/>
      <c r="C35" s="122" t="s">
        <v>1713</v>
      </c>
      <c r="D35" s="122"/>
      <c r="E35" s="123">
        <v>42514</v>
      </c>
      <c r="F35" s="123"/>
      <c r="G35" s="124">
        <v>434.09000000000003</v>
      </c>
      <c r="H35" s="124"/>
      <c r="I35" s="124">
        <v>411.09000000000003</v>
      </c>
      <c r="J35" s="124"/>
      <c r="K35" s="124">
        <v>0</v>
      </c>
      <c r="L35" s="124"/>
      <c r="M35" s="124">
        <v>0</v>
      </c>
      <c r="N35" s="124"/>
      <c r="O35" s="115">
        <v>2.5</v>
      </c>
      <c r="P35" s="116" t="s">
        <v>17</v>
      </c>
      <c r="Q35" s="124">
        <v>5</v>
      </c>
      <c r="R35" s="124"/>
      <c r="S35" s="124">
        <v>406.09000000000003</v>
      </c>
      <c r="T35" s="124"/>
    </row>
    <row r="36" spans="1:20" x14ac:dyDescent="0.2">
      <c r="A36" s="121" t="s">
        <v>1714</v>
      </c>
      <c r="B36" s="121"/>
      <c r="C36" s="122" t="s">
        <v>1715</v>
      </c>
      <c r="D36" s="122"/>
      <c r="E36" s="123">
        <v>42514</v>
      </c>
      <c r="F36" s="123"/>
      <c r="G36" s="124">
        <v>118.18</v>
      </c>
      <c r="H36" s="124"/>
      <c r="I36" s="124">
        <v>111.18</v>
      </c>
      <c r="J36" s="124"/>
      <c r="K36" s="124">
        <v>0</v>
      </c>
      <c r="L36" s="124"/>
      <c r="M36" s="124">
        <v>0</v>
      </c>
      <c r="N36" s="124"/>
      <c r="O36" s="115">
        <v>2.5</v>
      </c>
      <c r="P36" s="116" t="s">
        <v>17</v>
      </c>
      <c r="Q36" s="124">
        <v>1</v>
      </c>
      <c r="R36" s="124"/>
      <c r="S36" s="124">
        <v>110.18</v>
      </c>
      <c r="T36" s="124"/>
    </row>
    <row r="37" spans="1:20" ht="12.75" customHeight="1" x14ac:dyDescent="0.2">
      <c r="A37" s="121" t="s">
        <v>1716</v>
      </c>
      <c r="B37" s="121"/>
      <c r="C37" s="122" t="s">
        <v>1717</v>
      </c>
      <c r="D37" s="122"/>
      <c r="E37" s="123">
        <v>42514</v>
      </c>
      <c r="F37" s="123"/>
      <c r="G37" s="124">
        <v>4480</v>
      </c>
      <c r="H37" s="124"/>
      <c r="I37" s="124">
        <v>1546</v>
      </c>
      <c r="J37" s="124"/>
      <c r="K37" s="124">
        <v>0</v>
      </c>
      <c r="L37" s="124"/>
      <c r="M37" s="124">
        <v>0</v>
      </c>
      <c r="N37" s="124"/>
      <c r="O37" s="115">
        <v>40</v>
      </c>
      <c r="P37" s="116" t="s">
        <v>289</v>
      </c>
      <c r="Q37" s="124">
        <v>259</v>
      </c>
      <c r="R37" s="124"/>
      <c r="S37" s="124">
        <v>1287</v>
      </c>
      <c r="T37" s="124"/>
    </row>
    <row r="38" spans="1:20" x14ac:dyDescent="0.2">
      <c r="A38" s="121" t="s">
        <v>1718</v>
      </c>
      <c r="B38" s="121"/>
      <c r="C38" s="122" t="s">
        <v>1719</v>
      </c>
      <c r="D38" s="122"/>
      <c r="E38" s="123">
        <v>42514</v>
      </c>
      <c r="F38" s="123"/>
      <c r="G38" s="124">
        <v>945.45</v>
      </c>
      <c r="H38" s="124"/>
      <c r="I38" s="124">
        <v>592.45000000000005</v>
      </c>
      <c r="J38" s="124"/>
      <c r="K38" s="124">
        <v>0</v>
      </c>
      <c r="L38" s="124"/>
      <c r="M38" s="124">
        <v>0</v>
      </c>
      <c r="N38" s="124"/>
      <c r="O38" s="115">
        <v>20</v>
      </c>
      <c r="P38" s="116" t="s">
        <v>289</v>
      </c>
      <c r="Q38" s="124">
        <v>50</v>
      </c>
      <c r="R38" s="124"/>
      <c r="S38" s="124">
        <v>542.45000000000005</v>
      </c>
      <c r="T38" s="124"/>
    </row>
    <row r="39" spans="1:20" ht="12.75" customHeight="1" x14ac:dyDescent="0.2">
      <c r="A39" s="121" t="s">
        <v>1720</v>
      </c>
      <c r="B39" s="121"/>
      <c r="C39" s="122" t="s">
        <v>1721</v>
      </c>
      <c r="D39" s="122"/>
      <c r="E39" s="123">
        <v>42514</v>
      </c>
      <c r="F39" s="123"/>
      <c r="G39" s="124">
        <v>7439</v>
      </c>
      <c r="H39" s="124"/>
      <c r="I39" s="124">
        <v>7048</v>
      </c>
      <c r="J39" s="124"/>
      <c r="K39" s="124">
        <v>0</v>
      </c>
      <c r="L39" s="124"/>
      <c r="M39" s="124">
        <v>0</v>
      </c>
      <c r="N39" s="124"/>
      <c r="O39" s="115">
        <v>2.5</v>
      </c>
      <c r="P39" s="116" t="s">
        <v>17</v>
      </c>
      <c r="Q39" s="124">
        <v>78</v>
      </c>
      <c r="R39" s="124"/>
      <c r="S39" s="124">
        <v>6970</v>
      </c>
      <c r="T39" s="124"/>
    </row>
    <row r="40" spans="1:20" ht="12.75" customHeight="1" x14ac:dyDescent="0.2">
      <c r="A40" s="121" t="s">
        <v>1722</v>
      </c>
      <c r="B40" s="121"/>
      <c r="C40" s="122" t="s">
        <v>1723</v>
      </c>
      <c r="D40" s="122"/>
      <c r="E40" s="123">
        <v>42551</v>
      </c>
      <c r="F40" s="123"/>
      <c r="G40" s="124">
        <v>5339.55</v>
      </c>
      <c r="H40" s="124"/>
      <c r="I40" s="124">
        <v>5072.55</v>
      </c>
      <c r="J40" s="124"/>
      <c r="K40" s="124">
        <v>0</v>
      </c>
      <c r="L40" s="124"/>
      <c r="M40" s="124">
        <v>0</v>
      </c>
      <c r="N40" s="124"/>
      <c r="O40" s="115">
        <v>2.5</v>
      </c>
      <c r="P40" s="116" t="s">
        <v>17</v>
      </c>
      <c r="Q40" s="124">
        <v>56</v>
      </c>
      <c r="R40" s="124"/>
      <c r="S40" s="124">
        <v>5016.55</v>
      </c>
      <c r="T40" s="124"/>
    </row>
    <row r="41" spans="1:20" ht="12.75" customHeight="1" x14ac:dyDescent="0.2">
      <c r="A41" s="121" t="s">
        <v>1724</v>
      </c>
      <c r="B41" s="121"/>
      <c r="C41" s="122" t="s">
        <v>1725</v>
      </c>
      <c r="D41" s="122"/>
      <c r="E41" s="123">
        <v>42592</v>
      </c>
      <c r="F41" s="123"/>
      <c r="G41" s="124">
        <v>1027.25</v>
      </c>
      <c r="H41" s="124"/>
      <c r="I41" s="124">
        <v>978.25</v>
      </c>
      <c r="J41" s="124"/>
      <c r="K41" s="124">
        <v>0</v>
      </c>
      <c r="L41" s="124"/>
      <c r="M41" s="124">
        <v>0</v>
      </c>
      <c r="N41" s="124"/>
      <c r="O41" s="115">
        <v>2.5</v>
      </c>
      <c r="P41" s="116" t="s">
        <v>17</v>
      </c>
      <c r="Q41" s="124">
        <v>11</v>
      </c>
      <c r="R41" s="124"/>
      <c r="S41" s="124">
        <v>967.25</v>
      </c>
      <c r="T41" s="124"/>
    </row>
    <row r="42" spans="1:20" ht="12.75" customHeight="1" x14ac:dyDescent="0.2">
      <c r="A42" s="121" t="s">
        <v>1726</v>
      </c>
      <c r="B42" s="121"/>
      <c r="C42" s="122" t="s">
        <v>1727</v>
      </c>
      <c r="D42" s="122"/>
      <c r="E42" s="123">
        <v>42690</v>
      </c>
      <c r="F42" s="123"/>
      <c r="G42" s="124">
        <v>58590</v>
      </c>
      <c r="H42" s="124"/>
      <c r="I42" s="124">
        <v>49451</v>
      </c>
      <c r="J42" s="124"/>
      <c r="K42" s="124">
        <v>0</v>
      </c>
      <c r="L42" s="124"/>
      <c r="M42" s="124">
        <v>0</v>
      </c>
      <c r="N42" s="124"/>
      <c r="O42" s="115">
        <v>10</v>
      </c>
      <c r="P42" s="116" t="s">
        <v>289</v>
      </c>
      <c r="Q42" s="124">
        <v>2073</v>
      </c>
      <c r="R42" s="124"/>
      <c r="S42" s="124">
        <v>47378</v>
      </c>
      <c r="T42" s="124"/>
    </row>
    <row r="43" spans="1:20" ht="12.75" customHeight="1" x14ac:dyDescent="0.2">
      <c r="A43" s="121" t="s">
        <v>1728</v>
      </c>
      <c r="B43" s="121"/>
      <c r="C43" s="125" t="s">
        <v>1729</v>
      </c>
      <c r="D43" s="125"/>
      <c r="E43" s="123">
        <v>42704</v>
      </c>
      <c r="F43" s="123"/>
      <c r="G43" s="124">
        <v>2700</v>
      </c>
      <c r="H43" s="124"/>
      <c r="I43" s="124">
        <v>2593</v>
      </c>
      <c r="J43" s="124"/>
      <c r="K43" s="124">
        <v>0</v>
      </c>
      <c r="L43" s="124"/>
      <c r="M43" s="124">
        <v>0</v>
      </c>
      <c r="N43" s="124"/>
      <c r="O43" s="115">
        <v>2.5</v>
      </c>
      <c r="P43" s="116" t="s">
        <v>17</v>
      </c>
      <c r="Q43" s="124">
        <v>28</v>
      </c>
      <c r="R43" s="124"/>
      <c r="S43" s="124">
        <v>2565</v>
      </c>
      <c r="T43" s="124"/>
    </row>
    <row r="44" spans="1:20" ht="12.75" customHeight="1" x14ac:dyDescent="0.2">
      <c r="A44" s="121" t="s">
        <v>1730</v>
      </c>
      <c r="B44" s="121"/>
      <c r="C44" s="122" t="s">
        <v>1731</v>
      </c>
      <c r="D44" s="122"/>
      <c r="E44" s="123">
        <v>42781</v>
      </c>
      <c r="F44" s="123"/>
      <c r="G44" s="124">
        <v>4582</v>
      </c>
      <c r="H44" s="124"/>
      <c r="I44" s="124">
        <v>4424</v>
      </c>
      <c r="J44" s="124"/>
      <c r="K44" s="124">
        <v>0</v>
      </c>
      <c r="L44" s="124"/>
      <c r="M44" s="124">
        <v>0</v>
      </c>
      <c r="N44" s="124"/>
      <c r="O44" s="115">
        <v>2.5</v>
      </c>
      <c r="P44" s="116" t="s">
        <v>17</v>
      </c>
      <c r="Q44" s="124">
        <v>48</v>
      </c>
      <c r="R44" s="124"/>
      <c r="S44" s="124">
        <v>4376</v>
      </c>
      <c r="T44" s="124"/>
    </row>
    <row r="45" spans="1:20" ht="12.75" customHeight="1" x14ac:dyDescent="0.2">
      <c r="A45" s="121" t="s">
        <v>1732</v>
      </c>
      <c r="B45" s="121"/>
      <c r="C45" s="125" t="s">
        <v>1733</v>
      </c>
      <c r="D45" s="125"/>
      <c r="E45" s="123">
        <v>42794</v>
      </c>
      <c r="F45" s="123"/>
      <c r="G45" s="124">
        <v>4900</v>
      </c>
      <c r="H45" s="124"/>
      <c r="I45" s="124">
        <v>4736</v>
      </c>
      <c r="J45" s="124"/>
      <c r="K45" s="124">
        <v>0</v>
      </c>
      <c r="L45" s="124"/>
      <c r="M45" s="124">
        <v>0</v>
      </c>
      <c r="N45" s="124"/>
      <c r="O45" s="115">
        <v>2.5</v>
      </c>
      <c r="P45" s="116" t="s">
        <v>17</v>
      </c>
      <c r="Q45" s="124">
        <v>51</v>
      </c>
      <c r="R45" s="124"/>
      <c r="S45" s="124">
        <v>4685</v>
      </c>
      <c r="T45" s="124"/>
    </row>
    <row r="46" spans="1:20" ht="12.75" customHeight="1" x14ac:dyDescent="0.2">
      <c r="A46" s="121" t="s">
        <v>1734</v>
      </c>
      <c r="B46" s="121"/>
      <c r="C46" s="122" t="s">
        <v>1735</v>
      </c>
      <c r="D46" s="122"/>
      <c r="E46" s="123">
        <v>42794</v>
      </c>
      <c r="F46" s="123"/>
      <c r="G46" s="124">
        <v>53058.36</v>
      </c>
      <c r="H46" s="124"/>
      <c r="I46" s="124">
        <v>51285.36</v>
      </c>
      <c r="J46" s="124"/>
      <c r="K46" s="124">
        <v>0</v>
      </c>
      <c r="L46" s="124"/>
      <c r="M46" s="124">
        <v>0</v>
      </c>
      <c r="N46" s="124"/>
      <c r="O46" s="115">
        <v>2.5</v>
      </c>
      <c r="P46" s="116" t="s">
        <v>17</v>
      </c>
      <c r="Q46" s="124">
        <v>556</v>
      </c>
      <c r="R46" s="124"/>
      <c r="S46" s="124">
        <v>50729.36</v>
      </c>
      <c r="T46" s="124"/>
    </row>
    <row r="47" spans="1:20" ht="12.75" customHeight="1" x14ac:dyDescent="0.2">
      <c r="A47" s="121" t="s">
        <v>1736</v>
      </c>
      <c r="B47" s="121"/>
      <c r="C47" s="122" t="s">
        <v>1737</v>
      </c>
      <c r="D47" s="122"/>
      <c r="E47" s="123">
        <v>42821</v>
      </c>
      <c r="F47" s="123"/>
      <c r="G47" s="124">
        <v>363</v>
      </c>
      <c r="H47" s="124"/>
      <c r="I47" s="124">
        <v>352</v>
      </c>
      <c r="J47" s="124"/>
      <c r="K47" s="124">
        <v>0</v>
      </c>
      <c r="L47" s="124"/>
      <c r="M47" s="124">
        <v>0</v>
      </c>
      <c r="N47" s="124"/>
      <c r="O47" s="115">
        <v>2.5</v>
      </c>
      <c r="P47" s="116" t="s">
        <v>17</v>
      </c>
      <c r="Q47" s="124">
        <v>4</v>
      </c>
      <c r="R47" s="124"/>
      <c r="S47" s="124">
        <v>348</v>
      </c>
      <c r="T47" s="124"/>
    </row>
    <row r="48" spans="1:20" ht="12.75" customHeight="1" x14ac:dyDescent="0.2">
      <c r="A48" s="121" t="s">
        <v>1738</v>
      </c>
      <c r="B48" s="121"/>
      <c r="C48" s="122" t="s">
        <v>1735</v>
      </c>
      <c r="D48" s="122"/>
      <c r="E48" s="123">
        <v>42826</v>
      </c>
      <c r="F48" s="123"/>
      <c r="G48" s="124">
        <v>30767.5</v>
      </c>
      <c r="H48" s="124"/>
      <c r="I48" s="124">
        <v>29806.5</v>
      </c>
      <c r="J48" s="124"/>
      <c r="K48" s="124">
        <v>0</v>
      </c>
      <c r="L48" s="124"/>
      <c r="M48" s="124">
        <v>0</v>
      </c>
      <c r="N48" s="124"/>
      <c r="O48" s="115">
        <v>2.5</v>
      </c>
      <c r="P48" s="116" t="s">
        <v>17</v>
      </c>
      <c r="Q48" s="124">
        <v>322</v>
      </c>
      <c r="R48" s="124"/>
      <c r="S48" s="124">
        <v>29484.5</v>
      </c>
      <c r="T48" s="124"/>
    </row>
    <row r="49" spans="1:20" ht="12.75" customHeight="1" x14ac:dyDescent="0.2">
      <c r="A49" s="121" t="s">
        <v>1739</v>
      </c>
      <c r="B49" s="121"/>
      <c r="C49" s="122" t="s">
        <v>1735</v>
      </c>
      <c r="D49" s="122"/>
      <c r="E49" s="123">
        <v>42828</v>
      </c>
      <c r="F49" s="123"/>
      <c r="G49" s="124">
        <v>3377.5</v>
      </c>
      <c r="H49" s="124"/>
      <c r="I49" s="124">
        <v>3272.5</v>
      </c>
      <c r="J49" s="124"/>
      <c r="K49" s="124">
        <v>0</v>
      </c>
      <c r="L49" s="124"/>
      <c r="M49" s="124">
        <v>0</v>
      </c>
      <c r="N49" s="124"/>
      <c r="O49" s="115">
        <v>2.5</v>
      </c>
      <c r="P49" s="116" t="s">
        <v>17</v>
      </c>
      <c r="Q49" s="124">
        <v>35</v>
      </c>
      <c r="R49" s="124"/>
      <c r="S49" s="124">
        <v>3237.5</v>
      </c>
      <c r="T49" s="124"/>
    </row>
    <row r="50" spans="1:20" ht="12.75" customHeight="1" x14ac:dyDescent="0.2">
      <c r="A50" s="121" t="s">
        <v>1740</v>
      </c>
      <c r="B50" s="121"/>
      <c r="C50" s="122" t="s">
        <v>1735</v>
      </c>
      <c r="D50" s="122"/>
      <c r="E50" s="123">
        <v>42855</v>
      </c>
      <c r="F50" s="123"/>
      <c r="G50" s="124">
        <v>10177</v>
      </c>
      <c r="H50" s="124"/>
      <c r="I50" s="124">
        <v>9880</v>
      </c>
      <c r="J50" s="124"/>
      <c r="K50" s="124">
        <v>0</v>
      </c>
      <c r="L50" s="124"/>
      <c r="M50" s="124">
        <v>0</v>
      </c>
      <c r="N50" s="124"/>
      <c r="O50" s="115">
        <v>2.5</v>
      </c>
      <c r="P50" s="116" t="s">
        <v>17</v>
      </c>
      <c r="Q50" s="124">
        <v>107</v>
      </c>
      <c r="R50" s="124"/>
      <c r="S50" s="124">
        <v>9773</v>
      </c>
      <c r="T50" s="124"/>
    </row>
    <row r="51" spans="1:20" ht="12.75" customHeight="1" x14ac:dyDescent="0.2">
      <c r="A51" s="121" t="s">
        <v>1741</v>
      </c>
      <c r="B51" s="121"/>
      <c r="C51" s="122" t="s">
        <v>1742</v>
      </c>
      <c r="D51" s="122"/>
      <c r="E51" s="123">
        <v>42884</v>
      </c>
      <c r="F51" s="123"/>
      <c r="G51" s="124">
        <v>1260</v>
      </c>
      <c r="H51" s="124"/>
      <c r="I51" s="124">
        <v>1225</v>
      </c>
      <c r="J51" s="124"/>
      <c r="K51" s="124">
        <v>0</v>
      </c>
      <c r="L51" s="124"/>
      <c r="M51" s="124">
        <v>0</v>
      </c>
      <c r="N51" s="124"/>
      <c r="O51" s="115">
        <v>2.5</v>
      </c>
      <c r="P51" s="116" t="s">
        <v>17</v>
      </c>
      <c r="Q51" s="124">
        <v>13</v>
      </c>
      <c r="R51" s="124"/>
      <c r="S51" s="124">
        <v>1212</v>
      </c>
      <c r="T51" s="124"/>
    </row>
    <row r="52" spans="1:20" ht="12.75" customHeight="1" x14ac:dyDescent="0.2">
      <c r="A52" s="121" t="s">
        <v>1743</v>
      </c>
      <c r="B52" s="121"/>
      <c r="C52" s="122" t="s">
        <v>1735</v>
      </c>
      <c r="D52" s="122"/>
      <c r="E52" s="123">
        <v>42886</v>
      </c>
      <c r="F52" s="123"/>
      <c r="G52" s="124">
        <v>10975</v>
      </c>
      <c r="H52" s="124"/>
      <c r="I52" s="124">
        <v>10678</v>
      </c>
      <c r="J52" s="124"/>
      <c r="K52" s="124">
        <v>0</v>
      </c>
      <c r="L52" s="124"/>
      <c r="M52" s="124">
        <v>0</v>
      </c>
      <c r="N52" s="124"/>
      <c r="O52" s="115">
        <v>2.5</v>
      </c>
      <c r="P52" s="116" t="s">
        <v>17</v>
      </c>
      <c r="Q52" s="124">
        <v>115</v>
      </c>
      <c r="R52" s="124"/>
      <c r="S52" s="124">
        <v>10563</v>
      </c>
      <c r="T52" s="124"/>
    </row>
    <row r="53" spans="1:20" ht="12.75" customHeight="1" x14ac:dyDescent="0.2">
      <c r="A53" s="121" t="s">
        <v>1744</v>
      </c>
      <c r="B53" s="121"/>
      <c r="C53" s="122" t="s">
        <v>1735</v>
      </c>
      <c r="D53" s="122"/>
      <c r="E53" s="123">
        <v>42886</v>
      </c>
      <c r="F53" s="123"/>
      <c r="G53" s="124">
        <v>15437.5</v>
      </c>
      <c r="H53" s="124"/>
      <c r="I53" s="124">
        <v>15018.5</v>
      </c>
      <c r="J53" s="124"/>
      <c r="K53" s="124">
        <v>0</v>
      </c>
      <c r="L53" s="124"/>
      <c r="M53" s="124">
        <v>0</v>
      </c>
      <c r="N53" s="124"/>
      <c r="O53" s="115">
        <v>2.5</v>
      </c>
      <c r="P53" s="116" t="s">
        <v>17</v>
      </c>
      <c r="Q53" s="124">
        <v>162</v>
      </c>
      <c r="R53" s="124"/>
      <c r="S53" s="124">
        <v>14856.5</v>
      </c>
      <c r="T53" s="124"/>
    </row>
    <row r="54" spans="1:20" ht="12.75" customHeight="1" x14ac:dyDescent="0.2">
      <c r="A54" s="121" t="s">
        <v>1745</v>
      </c>
      <c r="B54" s="121"/>
      <c r="C54" s="122" t="s">
        <v>1746</v>
      </c>
      <c r="D54" s="122"/>
      <c r="E54" s="123">
        <v>42886</v>
      </c>
      <c r="F54" s="123"/>
      <c r="G54" s="124">
        <v>10656.25</v>
      </c>
      <c r="H54" s="124"/>
      <c r="I54" s="124">
        <v>10367.25</v>
      </c>
      <c r="J54" s="124"/>
      <c r="K54" s="124">
        <v>0</v>
      </c>
      <c r="L54" s="124"/>
      <c r="M54" s="124">
        <v>0</v>
      </c>
      <c r="N54" s="124"/>
      <c r="O54" s="115">
        <v>2.5</v>
      </c>
      <c r="P54" s="116" t="s">
        <v>17</v>
      </c>
      <c r="Q54" s="124">
        <v>112</v>
      </c>
      <c r="R54" s="124"/>
      <c r="S54" s="124">
        <v>10255.25</v>
      </c>
      <c r="T54" s="124"/>
    </row>
    <row r="55" spans="1:20" ht="12.75" customHeight="1" x14ac:dyDescent="0.2">
      <c r="A55" s="121" t="s">
        <v>1747</v>
      </c>
      <c r="B55" s="121"/>
      <c r="C55" s="122" t="s">
        <v>1748</v>
      </c>
      <c r="D55" s="122"/>
      <c r="E55" s="123">
        <v>42887</v>
      </c>
      <c r="F55" s="123"/>
      <c r="G55" s="124">
        <v>437.5</v>
      </c>
      <c r="H55" s="124"/>
      <c r="I55" s="124">
        <v>425.5</v>
      </c>
      <c r="J55" s="124"/>
      <c r="K55" s="124">
        <v>0</v>
      </c>
      <c r="L55" s="124"/>
      <c r="M55" s="124">
        <v>0</v>
      </c>
      <c r="N55" s="124"/>
      <c r="O55" s="115">
        <v>2.5</v>
      </c>
      <c r="P55" s="116" t="s">
        <v>17</v>
      </c>
      <c r="Q55" s="124">
        <v>5</v>
      </c>
      <c r="R55" s="124"/>
      <c r="S55" s="124">
        <v>420.5</v>
      </c>
      <c r="T55" s="124"/>
    </row>
    <row r="56" spans="1:20" ht="12.75" customHeight="1" x14ac:dyDescent="0.2">
      <c r="A56" s="121" t="s">
        <v>1749</v>
      </c>
      <c r="B56" s="121"/>
      <c r="C56" s="122" t="s">
        <v>1750</v>
      </c>
      <c r="D56" s="122"/>
      <c r="E56" s="123">
        <v>42894</v>
      </c>
      <c r="F56" s="123"/>
      <c r="G56" s="124">
        <v>16875</v>
      </c>
      <c r="H56" s="124"/>
      <c r="I56" s="124">
        <v>16426</v>
      </c>
      <c r="J56" s="124"/>
      <c r="K56" s="124">
        <v>0</v>
      </c>
      <c r="L56" s="124"/>
      <c r="M56" s="124">
        <v>0</v>
      </c>
      <c r="N56" s="124"/>
      <c r="O56" s="115">
        <v>2.5</v>
      </c>
      <c r="P56" s="116" t="s">
        <v>17</v>
      </c>
      <c r="Q56" s="124">
        <v>177</v>
      </c>
      <c r="R56" s="124"/>
      <c r="S56" s="124">
        <v>16249</v>
      </c>
      <c r="T56" s="124"/>
    </row>
    <row r="57" spans="1:20" ht="12.75" customHeight="1" x14ac:dyDescent="0.2">
      <c r="A57" s="121" t="s">
        <v>1751</v>
      </c>
      <c r="B57" s="121"/>
      <c r="C57" s="122" t="s">
        <v>1752</v>
      </c>
      <c r="D57" s="122"/>
      <c r="E57" s="123">
        <v>42744</v>
      </c>
      <c r="F57" s="123"/>
      <c r="G57" s="124">
        <v>4150</v>
      </c>
      <c r="H57" s="124"/>
      <c r="I57" s="124">
        <v>3006</v>
      </c>
      <c r="J57" s="124"/>
      <c r="K57" s="124">
        <v>0</v>
      </c>
      <c r="L57" s="124"/>
      <c r="M57" s="124">
        <v>0</v>
      </c>
      <c r="N57" s="124"/>
      <c r="O57" s="115">
        <v>20</v>
      </c>
      <c r="P57" s="116" t="s">
        <v>289</v>
      </c>
      <c r="Q57" s="124">
        <v>252</v>
      </c>
      <c r="R57" s="124"/>
      <c r="S57" s="124">
        <v>2754</v>
      </c>
      <c r="T57" s="124"/>
    </row>
    <row r="58" spans="1:20" ht="12.75" customHeight="1" x14ac:dyDescent="0.2">
      <c r="A58" s="121" t="s">
        <v>1753</v>
      </c>
      <c r="B58" s="121"/>
      <c r="C58" s="122" t="s">
        <v>1754</v>
      </c>
      <c r="D58" s="122"/>
      <c r="E58" s="123">
        <v>42754</v>
      </c>
      <c r="F58" s="123"/>
      <c r="G58" s="124">
        <v>90.91</v>
      </c>
      <c r="H58" s="124"/>
      <c r="I58" s="124">
        <v>87.91</v>
      </c>
      <c r="J58" s="124"/>
      <c r="K58" s="124">
        <v>0</v>
      </c>
      <c r="L58" s="124"/>
      <c r="M58" s="124">
        <v>0</v>
      </c>
      <c r="N58" s="124"/>
      <c r="O58" s="115">
        <v>2.5</v>
      </c>
      <c r="P58" s="116" t="s">
        <v>17</v>
      </c>
      <c r="Q58" s="124">
        <v>1</v>
      </c>
      <c r="R58" s="124"/>
      <c r="S58" s="124">
        <v>86.91</v>
      </c>
      <c r="T58" s="124"/>
    </row>
    <row r="59" spans="1:20" ht="12.75" customHeight="1" x14ac:dyDescent="0.2">
      <c r="A59" s="121" t="s">
        <v>1755</v>
      </c>
      <c r="B59" s="121"/>
      <c r="C59" s="122" t="s">
        <v>1756</v>
      </c>
      <c r="D59" s="122"/>
      <c r="E59" s="123">
        <v>42552</v>
      </c>
      <c r="F59" s="123"/>
      <c r="G59" s="124">
        <v>19603</v>
      </c>
      <c r="H59" s="124"/>
      <c r="I59" s="124">
        <v>18623</v>
      </c>
      <c r="J59" s="124"/>
      <c r="K59" s="124">
        <v>0</v>
      </c>
      <c r="L59" s="124"/>
      <c r="M59" s="124">
        <v>0</v>
      </c>
      <c r="N59" s="124"/>
      <c r="O59" s="115">
        <v>2.5</v>
      </c>
      <c r="P59" s="116" t="s">
        <v>17</v>
      </c>
      <c r="Q59" s="124">
        <v>205</v>
      </c>
      <c r="R59" s="124"/>
      <c r="S59" s="124">
        <v>18418</v>
      </c>
      <c r="T59" s="124"/>
    </row>
    <row r="60" spans="1:20" ht="12.75" customHeight="1" x14ac:dyDescent="0.2">
      <c r="A60" s="121" t="s">
        <v>1757</v>
      </c>
      <c r="B60" s="121"/>
      <c r="C60" s="122" t="s">
        <v>1758</v>
      </c>
      <c r="D60" s="122"/>
      <c r="E60" s="123">
        <v>42670</v>
      </c>
      <c r="F60" s="123"/>
      <c r="G60" s="124">
        <v>713</v>
      </c>
      <c r="H60" s="124"/>
      <c r="I60" s="124">
        <v>683</v>
      </c>
      <c r="J60" s="124"/>
      <c r="K60" s="124">
        <v>0</v>
      </c>
      <c r="L60" s="124"/>
      <c r="M60" s="124">
        <v>0</v>
      </c>
      <c r="N60" s="124"/>
      <c r="O60" s="115">
        <v>2.5</v>
      </c>
      <c r="P60" s="116" t="s">
        <v>17</v>
      </c>
      <c r="Q60" s="124">
        <v>7</v>
      </c>
      <c r="R60" s="124"/>
      <c r="S60" s="124">
        <v>676</v>
      </c>
      <c r="T60" s="124"/>
    </row>
    <row r="61" spans="1:20" ht="12.75" customHeight="1" x14ac:dyDescent="0.2">
      <c r="A61" s="121" t="s">
        <v>1759</v>
      </c>
      <c r="B61" s="121"/>
      <c r="C61" s="122" t="s">
        <v>1760</v>
      </c>
      <c r="D61" s="122"/>
      <c r="E61" s="123">
        <v>42772</v>
      </c>
      <c r="F61" s="123"/>
      <c r="G61" s="124">
        <v>15000</v>
      </c>
      <c r="H61" s="124"/>
      <c r="I61" s="124">
        <v>14476</v>
      </c>
      <c r="J61" s="124"/>
      <c r="K61" s="124">
        <v>0</v>
      </c>
      <c r="L61" s="124"/>
      <c r="M61" s="124">
        <v>0</v>
      </c>
      <c r="N61" s="124"/>
      <c r="O61" s="115">
        <v>2.5</v>
      </c>
      <c r="P61" s="116" t="s">
        <v>17</v>
      </c>
      <c r="Q61" s="124">
        <v>157</v>
      </c>
      <c r="R61" s="124"/>
      <c r="S61" s="124">
        <v>14319</v>
      </c>
      <c r="T61" s="124"/>
    </row>
    <row r="62" spans="1:20" ht="12.75" customHeight="1" x14ac:dyDescent="0.2">
      <c r="A62" s="121" t="s">
        <v>1761</v>
      </c>
      <c r="B62" s="121"/>
      <c r="C62" s="122" t="s">
        <v>1762</v>
      </c>
      <c r="D62" s="122"/>
      <c r="E62" s="123">
        <v>42801</v>
      </c>
      <c r="F62" s="123"/>
      <c r="G62" s="124">
        <v>102416.55</v>
      </c>
      <c r="H62" s="124"/>
      <c r="I62" s="124">
        <v>89245.55</v>
      </c>
      <c r="J62" s="124"/>
      <c r="K62" s="124">
        <v>0</v>
      </c>
      <c r="L62" s="124"/>
      <c r="M62" s="124">
        <v>0</v>
      </c>
      <c r="N62" s="124"/>
      <c r="O62" s="115">
        <v>10</v>
      </c>
      <c r="P62" s="116" t="s">
        <v>289</v>
      </c>
      <c r="Q62" s="124">
        <v>3741</v>
      </c>
      <c r="R62" s="124"/>
      <c r="S62" s="124">
        <v>85504.55</v>
      </c>
      <c r="T62" s="124"/>
    </row>
    <row r="63" spans="1:20" ht="12.75" customHeight="1" x14ac:dyDescent="0.2">
      <c r="A63" s="121" t="s">
        <v>1763</v>
      </c>
      <c r="B63" s="121"/>
      <c r="C63" s="125" t="s">
        <v>1764</v>
      </c>
      <c r="D63" s="125"/>
      <c r="E63" s="123">
        <v>42915</v>
      </c>
      <c r="F63" s="123"/>
      <c r="G63" s="124">
        <v>11342</v>
      </c>
      <c r="H63" s="124"/>
      <c r="I63" s="124">
        <v>9064</v>
      </c>
      <c r="J63" s="124"/>
      <c r="K63" s="124">
        <v>0</v>
      </c>
      <c r="L63" s="124"/>
      <c r="M63" s="124">
        <v>0</v>
      </c>
      <c r="N63" s="124"/>
      <c r="O63" s="115">
        <v>20</v>
      </c>
      <c r="P63" s="116" t="s">
        <v>289</v>
      </c>
      <c r="Q63" s="124">
        <v>760</v>
      </c>
      <c r="R63" s="124"/>
      <c r="S63" s="124">
        <v>8304</v>
      </c>
      <c r="T63" s="124"/>
    </row>
    <row r="64" spans="1:20" ht="12.75" customHeight="1" x14ac:dyDescent="0.2">
      <c r="A64" s="121" t="s">
        <v>1765</v>
      </c>
      <c r="B64" s="121"/>
      <c r="C64" s="122" t="s">
        <v>1766</v>
      </c>
      <c r="D64" s="122"/>
      <c r="E64" s="123">
        <v>42947</v>
      </c>
      <c r="F64" s="123"/>
      <c r="G64" s="124">
        <v>180000</v>
      </c>
      <c r="H64" s="124"/>
      <c r="I64" s="124">
        <v>175870</v>
      </c>
      <c r="J64" s="124"/>
      <c r="K64" s="124">
        <v>0</v>
      </c>
      <c r="L64" s="124"/>
      <c r="M64" s="124">
        <v>0</v>
      </c>
      <c r="N64" s="124"/>
      <c r="O64" s="115">
        <v>2.5</v>
      </c>
      <c r="P64" s="116" t="s">
        <v>17</v>
      </c>
      <c r="Q64" s="124">
        <v>1886</v>
      </c>
      <c r="R64" s="124"/>
      <c r="S64" s="124">
        <v>173984</v>
      </c>
      <c r="T64" s="124"/>
    </row>
    <row r="65" spans="1:20" ht="12.75" customHeight="1" x14ac:dyDescent="0.2">
      <c r="A65" s="121" t="s">
        <v>1767</v>
      </c>
      <c r="B65" s="121"/>
      <c r="C65" s="122" t="s">
        <v>1768</v>
      </c>
      <c r="D65" s="122"/>
      <c r="E65" s="123">
        <v>43074</v>
      </c>
      <c r="F65" s="123"/>
      <c r="G65" s="124">
        <v>6596.1</v>
      </c>
      <c r="H65" s="124"/>
      <c r="I65" s="124">
        <v>6502.1</v>
      </c>
      <c r="J65" s="124"/>
      <c r="K65" s="124">
        <v>0</v>
      </c>
      <c r="L65" s="124"/>
      <c r="M65" s="124">
        <v>0</v>
      </c>
      <c r="N65" s="124"/>
      <c r="O65" s="115">
        <v>2.5</v>
      </c>
      <c r="P65" s="116" t="s">
        <v>17</v>
      </c>
      <c r="Q65" s="124">
        <v>69</v>
      </c>
      <c r="R65" s="124"/>
      <c r="S65" s="124">
        <v>6433.1</v>
      </c>
      <c r="T65" s="124"/>
    </row>
    <row r="66" spans="1:20" ht="12.75" customHeight="1" x14ac:dyDescent="0.2">
      <c r="A66" s="121" t="s">
        <v>1769</v>
      </c>
      <c r="B66" s="121"/>
      <c r="C66" s="125" t="s">
        <v>1770</v>
      </c>
      <c r="D66" s="125"/>
      <c r="E66" s="123">
        <v>43009</v>
      </c>
      <c r="F66" s="123"/>
      <c r="G66" s="124">
        <v>5520</v>
      </c>
      <c r="H66" s="124"/>
      <c r="I66" s="124">
        <v>5417</v>
      </c>
      <c r="J66" s="124"/>
      <c r="K66" s="124">
        <v>0</v>
      </c>
      <c r="L66" s="124"/>
      <c r="M66" s="124">
        <v>0</v>
      </c>
      <c r="N66" s="124"/>
      <c r="O66" s="115">
        <v>2.5</v>
      </c>
      <c r="P66" s="116" t="s">
        <v>17</v>
      </c>
      <c r="Q66" s="124">
        <v>58</v>
      </c>
      <c r="R66" s="124"/>
      <c r="S66" s="124">
        <v>5359</v>
      </c>
      <c r="T66" s="124"/>
    </row>
    <row r="67" spans="1:20" ht="12.75" customHeight="1" x14ac:dyDescent="0.2">
      <c r="A67" s="121" t="s">
        <v>1771</v>
      </c>
      <c r="B67" s="121"/>
      <c r="C67" s="125" t="s">
        <v>1770</v>
      </c>
      <c r="D67" s="125"/>
      <c r="E67" s="123">
        <v>43101</v>
      </c>
      <c r="F67" s="123"/>
      <c r="G67" s="124">
        <v>15432.130000000001</v>
      </c>
      <c r="H67" s="124"/>
      <c r="I67" s="124">
        <v>15241.130000000001</v>
      </c>
      <c r="J67" s="124"/>
      <c r="K67" s="124">
        <v>0</v>
      </c>
      <c r="L67" s="124"/>
      <c r="M67" s="124">
        <v>0</v>
      </c>
      <c r="N67" s="124"/>
      <c r="O67" s="115">
        <v>2.5</v>
      </c>
      <c r="P67" s="116" t="s">
        <v>17</v>
      </c>
      <c r="Q67" s="124">
        <v>162</v>
      </c>
      <c r="R67" s="124"/>
      <c r="S67" s="124">
        <v>15079.130000000001</v>
      </c>
      <c r="T67" s="124"/>
    </row>
    <row r="68" spans="1:20" ht="12.75" customHeight="1" x14ac:dyDescent="0.2">
      <c r="A68" s="121" t="s">
        <v>1772</v>
      </c>
      <c r="B68" s="121"/>
      <c r="C68" s="125" t="s">
        <v>1770</v>
      </c>
      <c r="D68" s="125"/>
      <c r="E68" s="123">
        <v>43165</v>
      </c>
      <c r="F68" s="123"/>
      <c r="G68" s="124">
        <v>1125</v>
      </c>
      <c r="H68" s="124"/>
      <c r="I68" s="124">
        <v>1116</v>
      </c>
      <c r="J68" s="124"/>
      <c r="K68" s="124">
        <v>0</v>
      </c>
      <c r="L68" s="124"/>
      <c r="M68" s="124">
        <v>0</v>
      </c>
      <c r="N68" s="124"/>
      <c r="O68" s="115">
        <v>2.5</v>
      </c>
      <c r="P68" s="116" t="s">
        <v>17</v>
      </c>
      <c r="Q68" s="124">
        <v>12</v>
      </c>
      <c r="R68" s="124"/>
      <c r="S68" s="124">
        <v>1104</v>
      </c>
      <c r="T68" s="124"/>
    </row>
    <row r="69" spans="1:20" ht="12.75" customHeight="1" x14ac:dyDescent="0.2">
      <c r="A69" s="121" t="s">
        <v>1773</v>
      </c>
      <c r="B69" s="121"/>
      <c r="C69" s="125" t="s">
        <v>1770</v>
      </c>
      <c r="D69" s="125"/>
      <c r="E69" s="123">
        <v>43168</v>
      </c>
      <c r="F69" s="123"/>
      <c r="G69" s="124">
        <v>10016.25</v>
      </c>
      <c r="H69" s="124"/>
      <c r="I69" s="124">
        <v>9938.25</v>
      </c>
      <c r="J69" s="124"/>
      <c r="K69" s="124">
        <v>0</v>
      </c>
      <c r="L69" s="124"/>
      <c r="M69" s="124">
        <v>0</v>
      </c>
      <c r="N69" s="124"/>
      <c r="O69" s="115">
        <v>2.5</v>
      </c>
      <c r="P69" s="116" t="s">
        <v>17</v>
      </c>
      <c r="Q69" s="124">
        <v>105</v>
      </c>
      <c r="R69" s="124"/>
      <c r="S69" s="124">
        <v>9833.25</v>
      </c>
      <c r="T69" s="124"/>
    </row>
    <row r="70" spans="1:20" ht="12.75" customHeight="1" x14ac:dyDescent="0.2">
      <c r="A70" s="121" t="s">
        <v>1774</v>
      </c>
      <c r="B70" s="121"/>
      <c r="C70" s="125" t="s">
        <v>1770</v>
      </c>
      <c r="D70" s="125"/>
      <c r="E70" s="123">
        <v>43175</v>
      </c>
      <c r="F70" s="123"/>
      <c r="G70" s="124">
        <v>10222.5</v>
      </c>
      <c r="H70" s="124"/>
      <c r="I70" s="124">
        <v>10147.5</v>
      </c>
      <c r="J70" s="124"/>
      <c r="K70" s="124">
        <v>0</v>
      </c>
      <c r="L70" s="124"/>
      <c r="M70" s="124">
        <v>0</v>
      </c>
      <c r="N70" s="124"/>
      <c r="O70" s="115">
        <v>2.5</v>
      </c>
      <c r="P70" s="116" t="s">
        <v>17</v>
      </c>
      <c r="Q70" s="124">
        <v>107</v>
      </c>
      <c r="R70" s="124"/>
      <c r="S70" s="124">
        <v>10040.5</v>
      </c>
      <c r="T70" s="124"/>
    </row>
    <row r="71" spans="1:20" ht="12.75" customHeight="1" x14ac:dyDescent="0.2">
      <c r="A71" s="121" t="s">
        <v>1775</v>
      </c>
      <c r="B71" s="121"/>
      <c r="C71" s="125" t="s">
        <v>1770</v>
      </c>
      <c r="D71" s="125"/>
      <c r="E71" s="123">
        <v>43178</v>
      </c>
      <c r="F71" s="123"/>
      <c r="G71" s="124">
        <v>12062.5</v>
      </c>
      <c r="H71" s="124"/>
      <c r="I71" s="124">
        <v>11976.5</v>
      </c>
      <c r="J71" s="124"/>
      <c r="K71" s="124">
        <v>0</v>
      </c>
      <c r="L71" s="124"/>
      <c r="M71" s="124">
        <v>0</v>
      </c>
      <c r="N71" s="124"/>
      <c r="O71" s="115">
        <v>2.5</v>
      </c>
      <c r="P71" s="116" t="s">
        <v>17</v>
      </c>
      <c r="Q71" s="124">
        <v>126</v>
      </c>
      <c r="R71" s="124"/>
      <c r="S71" s="124">
        <v>11850.5</v>
      </c>
      <c r="T71" s="124"/>
    </row>
    <row r="72" spans="1:20" ht="12.75" customHeight="1" x14ac:dyDescent="0.2">
      <c r="A72" s="121" t="s">
        <v>1776</v>
      </c>
      <c r="B72" s="121"/>
      <c r="C72" s="125" t="s">
        <v>1770</v>
      </c>
      <c r="D72" s="125"/>
      <c r="E72" s="123">
        <v>43223</v>
      </c>
      <c r="F72" s="123"/>
      <c r="G72" s="124">
        <v>42609.42</v>
      </c>
      <c r="H72" s="124"/>
      <c r="I72" s="124">
        <v>42437.42</v>
      </c>
      <c r="J72" s="124"/>
      <c r="K72" s="124">
        <v>0</v>
      </c>
      <c r="L72" s="124"/>
      <c r="M72" s="124">
        <v>0</v>
      </c>
      <c r="N72" s="124"/>
      <c r="O72" s="115">
        <v>2.5</v>
      </c>
      <c r="P72" s="116" t="s">
        <v>17</v>
      </c>
      <c r="Q72" s="124">
        <v>447</v>
      </c>
      <c r="R72" s="124"/>
      <c r="S72" s="124">
        <v>41990.42</v>
      </c>
      <c r="T72" s="124"/>
    </row>
    <row r="73" spans="1:20" ht="12.75" customHeight="1" x14ac:dyDescent="0.2">
      <c r="A73" s="121" t="s">
        <v>1777</v>
      </c>
      <c r="B73" s="121"/>
      <c r="C73" s="125" t="s">
        <v>1770</v>
      </c>
      <c r="D73" s="125"/>
      <c r="E73" s="123">
        <v>43229</v>
      </c>
      <c r="F73" s="123"/>
      <c r="G73" s="124">
        <v>51124.42</v>
      </c>
      <c r="H73" s="124"/>
      <c r="I73" s="124">
        <v>50938.42</v>
      </c>
      <c r="J73" s="124"/>
      <c r="K73" s="124">
        <v>0</v>
      </c>
      <c r="L73" s="124"/>
      <c r="M73" s="124">
        <v>0</v>
      </c>
      <c r="N73" s="124"/>
      <c r="O73" s="115">
        <v>2.5</v>
      </c>
      <c r="P73" s="116" t="s">
        <v>17</v>
      </c>
      <c r="Q73" s="124">
        <v>536</v>
      </c>
      <c r="R73" s="124"/>
      <c r="S73" s="124">
        <v>50402.42</v>
      </c>
      <c r="T73" s="124"/>
    </row>
    <row r="74" spans="1:20" ht="12.75" customHeight="1" x14ac:dyDescent="0.2">
      <c r="A74" s="121" t="s">
        <v>1778</v>
      </c>
      <c r="B74" s="121"/>
      <c r="C74" s="125" t="s">
        <v>1770</v>
      </c>
      <c r="D74" s="125"/>
      <c r="E74" s="123">
        <v>43265</v>
      </c>
      <c r="F74" s="123"/>
      <c r="G74" s="124">
        <v>625</v>
      </c>
      <c r="H74" s="124"/>
      <c r="I74" s="124">
        <v>624</v>
      </c>
      <c r="J74" s="124"/>
      <c r="K74" s="124">
        <v>0</v>
      </c>
      <c r="L74" s="124"/>
      <c r="M74" s="124">
        <v>0</v>
      </c>
      <c r="N74" s="124"/>
      <c r="O74" s="115">
        <v>2.5</v>
      </c>
      <c r="P74" s="116" t="s">
        <v>17</v>
      </c>
      <c r="Q74" s="124">
        <v>7</v>
      </c>
      <c r="R74" s="124"/>
      <c r="S74" s="124">
        <v>617</v>
      </c>
      <c r="T74" s="124"/>
    </row>
    <row r="75" spans="1:20" ht="12.75" customHeight="1" x14ac:dyDescent="0.2">
      <c r="A75" s="121" t="s">
        <v>1779</v>
      </c>
      <c r="B75" s="121"/>
      <c r="C75" s="122" t="s">
        <v>1780</v>
      </c>
      <c r="D75" s="122"/>
      <c r="E75" s="123">
        <v>43311</v>
      </c>
      <c r="F75" s="123"/>
      <c r="G75" s="124">
        <v>66926</v>
      </c>
      <c r="H75" s="124"/>
      <c r="I75" s="124">
        <v>0</v>
      </c>
      <c r="J75" s="124"/>
      <c r="K75" s="124">
        <v>66926</v>
      </c>
      <c r="L75" s="124"/>
      <c r="M75" s="124">
        <v>0</v>
      </c>
      <c r="N75" s="124"/>
      <c r="O75" s="115">
        <v>2.5</v>
      </c>
      <c r="P75" s="116" t="s">
        <v>17</v>
      </c>
      <c r="Q75" s="124">
        <v>568</v>
      </c>
      <c r="R75" s="124"/>
      <c r="S75" s="124">
        <v>66358</v>
      </c>
      <c r="T75" s="124"/>
    </row>
    <row r="76" spans="1:20" ht="12.75" customHeight="1" x14ac:dyDescent="0.2">
      <c r="A76" s="121" t="s">
        <v>1781</v>
      </c>
      <c r="B76" s="121"/>
      <c r="C76" s="122" t="s">
        <v>1780</v>
      </c>
      <c r="D76" s="122"/>
      <c r="E76" s="123">
        <v>43343</v>
      </c>
      <c r="F76" s="123"/>
      <c r="G76" s="124">
        <v>251248</v>
      </c>
      <c r="H76" s="124"/>
      <c r="I76" s="124">
        <v>0</v>
      </c>
      <c r="J76" s="124"/>
      <c r="K76" s="124">
        <v>251248</v>
      </c>
      <c r="L76" s="124"/>
      <c r="M76" s="124">
        <v>0</v>
      </c>
      <c r="N76" s="124"/>
      <c r="O76" s="115">
        <v>2.5</v>
      </c>
      <c r="P76" s="116" t="s">
        <v>17</v>
      </c>
      <c r="Q76" s="124">
        <v>1583</v>
      </c>
      <c r="R76" s="124"/>
      <c r="S76" s="124">
        <v>249665</v>
      </c>
      <c r="T76" s="124"/>
    </row>
    <row r="77" spans="1:20" ht="12.75" customHeight="1" x14ac:dyDescent="0.2">
      <c r="A77" s="121" t="s">
        <v>1782</v>
      </c>
      <c r="B77" s="121"/>
      <c r="C77" s="122" t="s">
        <v>1783</v>
      </c>
      <c r="D77" s="122"/>
      <c r="E77" s="123">
        <v>43345</v>
      </c>
      <c r="F77" s="123"/>
      <c r="G77" s="124">
        <v>6368</v>
      </c>
      <c r="H77" s="124"/>
      <c r="I77" s="124">
        <v>0</v>
      </c>
      <c r="J77" s="124"/>
      <c r="K77" s="124">
        <v>6368</v>
      </c>
      <c r="L77" s="124"/>
      <c r="M77" s="124">
        <v>0</v>
      </c>
      <c r="N77" s="124"/>
      <c r="O77" s="115">
        <v>2.5</v>
      </c>
      <c r="P77" s="116" t="s">
        <v>17</v>
      </c>
      <c r="Q77" s="124">
        <v>39</v>
      </c>
      <c r="R77" s="124"/>
      <c r="S77" s="124">
        <v>6329</v>
      </c>
      <c r="T77" s="124"/>
    </row>
    <row r="78" spans="1:20" ht="12.75" customHeight="1" x14ac:dyDescent="0.2">
      <c r="A78" s="121" t="s">
        <v>1784</v>
      </c>
      <c r="B78" s="121"/>
      <c r="C78" s="122" t="s">
        <v>1785</v>
      </c>
      <c r="D78" s="122"/>
      <c r="E78" s="123">
        <v>43345</v>
      </c>
      <c r="F78" s="123"/>
      <c r="G78" s="124">
        <v>4524.2</v>
      </c>
      <c r="H78" s="124"/>
      <c r="I78" s="124">
        <v>0</v>
      </c>
      <c r="J78" s="124"/>
      <c r="K78" s="124">
        <v>4524.2</v>
      </c>
      <c r="L78" s="124"/>
      <c r="M78" s="124">
        <v>0</v>
      </c>
      <c r="N78" s="124"/>
      <c r="O78" s="115">
        <v>2.5</v>
      </c>
      <c r="P78" s="116" t="s">
        <v>17</v>
      </c>
      <c r="Q78" s="124">
        <v>28</v>
      </c>
      <c r="R78" s="124"/>
      <c r="S78" s="124">
        <v>4496.2</v>
      </c>
      <c r="T78" s="124"/>
    </row>
    <row r="79" spans="1:20" ht="12.75" customHeight="1" x14ac:dyDescent="0.2">
      <c r="A79" s="121" t="s">
        <v>1786</v>
      </c>
      <c r="B79" s="121"/>
      <c r="C79" s="122" t="s">
        <v>1787</v>
      </c>
      <c r="D79" s="122"/>
      <c r="E79" s="123">
        <v>43345</v>
      </c>
      <c r="F79" s="123"/>
      <c r="G79" s="124">
        <v>3120</v>
      </c>
      <c r="H79" s="124"/>
      <c r="I79" s="124">
        <v>0</v>
      </c>
      <c r="J79" s="124"/>
      <c r="K79" s="124">
        <v>3120</v>
      </c>
      <c r="L79" s="124"/>
      <c r="M79" s="124">
        <v>0</v>
      </c>
      <c r="N79" s="124"/>
      <c r="O79" s="115">
        <v>2.5</v>
      </c>
      <c r="P79" s="116" t="s">
        <v>17</v>
      </c>
      <c r="Q79" s="124">
        <v>19</v>
      </c>
      <c r="R79" s="124"/>
      <c r="S79" s="124">
        <v>3101</v>
      </c>
      <c r="T79" s="124"/>
    </row>
    <row r="80" spans="1:20" ht="12.75" customHeight="1" x14ac:dyDescent="0.2">
      <c r="A80" s="121" t="s">
        <v>1788</v>
      </c>
      <c r="B80" s="121"/>
      <c r="C80" s="122" t="s">
        <v>1789</v>
      </c>
      <c r="D80" s="122"/>
      <c r="E80" s="123">
        <v>43345</v>
      </c>
      <c r="F80" s="123"/>
      <c r="G80" s="124">
        <v>8877.8000000000011</v>
      </c>
      <c r="H80" s="124"/>
      <c r="I80" s="124">
        <v>0</v>
      </c>
      <c r="J80" s="124"/>
      <c r="K80" s="124">
        <v>8877.8000000000011</v>
      </c>
      <c r="L80" s="124"/>
      <c r="M80" s="124">
        <v>0</v>
      </c>
      <c r="N80" s="124"/>
      <c r="O80" s="115">
        <v>2.5</v>
      </c>
      <c r="P80" s="116" t="s">
        <v>17</v>
      </c>
      <c r="Q80" s="124">
        <v>55</v>
      </c>
      <c r="R80" s="124"/>
      <c r="S80" s="124">
        <v>8822.8000000000011</v>
      </c>
      <c r="T80" s="124"/>
    </row>
    <row r="81" spans="1:20" ht="12.75" customHeight="1" x14ac:dyDescent="0.2">
      <c r="A81" s="121" t="s">
        <v>1790</v>
      </c>
      <c r="B81" s="121"/>
      <c r="C81" s="122" t="s">
        <v>1791</v>
      </c>
      <c r="D81" s="122"/>
      <c r="E81" s="123">
        <v>43370</v>
      </c>
      <c r="F81" s="123"/>
      <c r="G81" s="124">
        <v>42733</v>
      </c>
      <c r="H81" s="124"/>
      <c r="I81" s="124">
        <v>0</v>
      </c>
      <c r="J81" s="124"/>
      <c r="K81" s="124">
        <v>42733</v>
      </c>
      <c r="L81" s="124"/>
      <c r="M81" s="124">
        <v>0</v>
      </c>
      <c r="N81" s="124"/>
      <c r="O81" s="115">
        <v>2.5</v>
      </c>
      <c r="P81" s="116" t="s">
        <v>17</v>
      </c>
      <c r="Q81" s="124">
        <v>190</v>
      </c>
      <c r="R81" s="124"/>
      <c r="S81" s="124">
        <v>42543</v>
      </c>
      <c r="T81" s="124"/>
    </row>
    <row r="82" spans="1:20" ht="12.75" customHeight="1" x14ac:dyDescent="0.2">
      <c r="A82" s="121" t="s">
        <v>1792</v>
      </c>
      <c r="B82" s="121"/>
      <c r="C82" s="122" t="s">
        <v>1789</v>
      </c>
      <c r="D82" s="122"/>
      <c r="E82" s="123">
        <v>43374</v>
      </c>
      <c r="F82" s="123"/>
      <c r="G82" s="124">
        <v>6718.4000000000005</v>
      </c>
      <c r="H82" s="124"/>
      <c r="I82" s="124">
        <v>0</v>
      </c>
      <c r="J82" s="124"/>
      <c r="K82" s="124">
        <v>6718.4000000000005</v>
      </c>
      <c r="L82" s="124"/>
      <c r="M82" s="124">
        <v>0</v>
      </c>
      <c r="N82" s="124"/>
      <c r="O82" s="115">
        <v>2.5</v>
      </c>
      <c r="P82" s="116" t="s">
        <v>17</v>
      </c>
      <c r="Q82" s="124">
        <v>28</v>
      </c>
      <c r="R82" s="124"/>
      <c r="S82" s="124">
        <v>6690.4000000000005</v>
      </c>
      <c r="T82" s="124"/>
    </row>
    <row r="83" spans="1:20" ht="12.75" customHeight="1" x14ac:dyDescent="0.2">
      <c r="A83" s="121" t="s">
        <v>1793</v>
      </c>
      <c r="B83" s="121"/>
      <c r="C83" s="125" t="s">
        <v>1794</v>
      </c>
      <c r="D83" s="125"/>
      <c r="E83" s="123">
        <v>43374</v>
      </c>
      <c r="F83" s="123"/>
      <c r="G83" s="124">
        <v>3739.9</v>
      </c>
      <c r="H83" s="124"/>
      <c r="I83" s="124">
        <v>0</v>
      </c>
      <c r="J83" s="124"/>
      <c r="K83" s="124">
        <v>3739.9</v>
      </c>
      <c r="L83" s="124"/>
      <c r="M83" s="124">
        <v>0</v>
      </c>
      <c r="N83" s="124"/>
      <c r="O83" s="115">
        <v>2.5</v>
      </c>
      <c r="P83" s="116" t="s">
        <v>17</v>
      </c>
      <c r="Q83" s="124">
        <v>16</v>
      </c>
      <c r="R83" s="124"/>
      <c r="S83" s="124">
        <v>3723.9</v>
      </c>
      <c r="T83" s="124"/>
    </row>
    <row r="84" spans="1:20" ht="12.75" customHeight="1" x14ac:dyDescent="0.2">
      <c r="A84" s="121" t="s">
        <v>1795</v>
      </c>
      <c r="B84" s="121"/>
      <c r="C84" s="125" t="s">
        <v>1796</v>
      </c>
      <c r="D84" s="125"/>
      <c r="E84" s="123">
        <v>43385</v>
      </c>
      <c r="F84" s="123"/>
      <c r="G84" s="124">
        <v>16314</v>
      </c>
      <c r="H84" s="124"/>
      <c r="I84" s="124">
        <v>0</v>
      </c>
      <c r="J84" s="124"/>
      <c r="K84" s="124">
        <v>16314</v>
      </c>
      <c r="L84" s="124"/>
      <c r="M84" s="124">
        <v>0</v>
      </c>
      <c r="N84" s="124"/>
      <c r="O84" s="115">
        <v>2.5</v>
      </c>
      <c r="P84" s="116" t="s">
        <v>17</v>
      </c>
      <c r="Q84" s="124">
        <v>56</v>
      </c>
      <c r="R84" s="124"/>
      <c r="S84" s="124">
        <v>16258</v>
      </c>
      <c r="T84" s="124"/>
    </row>
    <row r="85" spans="1:20" ht="12.75" customHeight="1" x14ac:dyDescent="0.2">
      <c r="A85" s="121" t="s">
        <v>1797</v>
      </c>
      <c r="B85" s="121"/>
      <c r="C85" s="122" t="s">
        <v>1798</v>
      </c>
      <c r="D85" s="122"/>
      <c r="E85" s="123">
        <v>43413</v>
      </c>
      <c r="F85" s="123"/>
      <c r="G85" s="124">
        <v>181818.18</v>
      </c>
      <c r="H85" s="124"/>
      <c r="I85" s="124">
        <v>0</v>
      </c>
      <c r="J85" s="124"/>
      <c r="K85" s="124">
        <v>181818.18</v>
      </c>
      <c r="L85" s="124"/>
      <c r="M85" s="124">
        <v>0</v>
      </c>
      <c r="N85" s="124"/>
      <c r="O85" s="115">
        <v>2.5</v>
      </c>
      <c r="P85" s="116" t="s">
        <v>17</v>
      </c>
      <c r="Q85" s="124">
        <v>274</v>
      </c>
      <c r="R85" s="124"/>
      <c r="S85" s="124">
        <v>181544.18</v>
      </c>
      <c r="T85" s="124"/>
    </row>
    <row r="86" spans="1:20" ht="12.75" customHeight="1" x14ac:dyDescent="0.2">
      <c r="A86" s="121" t="s">
        <v>1799</v>
      </c>
      <c r="B86" s="121"/>
      <c r="C86" s="122" t="s">
        <v>1800</v>
      </c>
      <c r="D86" s="122"/>
      <c r="E86" s="123">
        <v>43374</v>
      </c>
      <c r="F86" s="123"/>
      <c r="G86" s="124">
        <v>10259.15</v>
      </c>
      <c r="H86" s="124"/>
      <c r="I86" s="124">
        <v>0</v>
      </c>
      <c r="J86" s="124"/>
      <c r="K86" s="124">
        <v>10259.15</v>
      </c>
      <c r="L86" s="124"/>
      <c r="M86" s="124">
        <v>0</v>
      </c>
      <c r="N86" s="124"/>
      <c r="O86" s="115">
        <v>2.5</v>
      </c>
      <c r="P86" s="116" t="s">
        <v>17</v>
      </c>
      <c r="Q86" s="124">
        <v>43</v>
      </c>
      <c r="R86" s="124"/>
      <c r="S86" s="124">
        <v>10216.15</v>
      </c>
      <c r="T86" s="124"/>
    </row>
    <row r="87" spans="1:20" ht="12.75" customHeight="1" x14ac:dyDescent="0.2">
      <c r="A87" s="121" t="s">
        <v>1801</v>
      </c>
      <c r="B87" s="121"/>
      <c r="C87" s="122" t="s">
        <v>1802</v>
      </c>
      <c r="D87" s="122"/>
      <c r="E87" s="123">
        <v>43374</v>
      </c>
      <c r="F87" s="123"/>
      <c r="G87" s="124">
        <v>12387.5</v>
      </c>
      <c r="H87" s="124"/>
      <c r="I87" s="124">
        <v>0</v>
      </c>
      <c r="J87" s="124"/>
      <c r="K87" s="124">
        <v>12387.5</v>
      </c>
      <c r="L87" s="124"/>
      <c r="M87" s="124">
        <v>0</v>
      </c>
      <c r="N87" s="124"/>
      <c r="O87" s="115">
        <v>2.5</v>
      </c>
      <c r="P87" s="116" t="s">
        <v>17</v>
      </c>
      <c r="Q87" s="124">
        <v>52</v>
      </c>
      <c r="R87" s="124"/>
      <c r="S87" s="124">
        <v>12335.5</v>
      </c>
      <c r="T87" s="124"/>
    </row>
    <row r="88" spans="1:20" ht="12.75" customHeight="1" x14ac:dyDescent="0.2">
      <c r="A88" s="121" t="s">
        <v>1803</v>
      </c>
      <c r="B88" s="121"/>
      <c r="C88" s="122" t="s">
        <v>1804</v>
      </c>
      <c r="D88" s="122"/>
      <c r="E88" s="123">
        <v>43412</v>
      </c>
      <c r="F88" s="123"/>
      <c r="G88" s="124">
        <v>22391.93</v>
      </c>
      <c r="H88" s="124"/>
      <c r="I88" s="124">
        <v>0</v>
      </c>
      <c r="J88" s="124"/>
      <c r="K88" s="124">
        <v>22391.93</v>
      </c>
      <c r="L88" s="124"/>
      <c r="M88" s="124">
        <v>0</v>
      </c>
      <c r="N88" s="124"/>
      <c r="O88" s="115">
        <v>2.5</v>
      </c>
      <c r="P88" s="116" t="s">
        <v>17</v>
      </c>
      <c r="Q88" s="124">
        <v>35</v>
      </c>
      <c r="R88" s="124"/>
      <c r="S88" s="124">
        <v>22356.93</v>
      </c>
      <c r="T88" s="124"/>
    </row>
    <row r="89" spans="1:20" ht="12.75" customHeight="1" x14ac:dyDescent="0.2">
      <c r="A89" s="121" t="s">
        <v>1805</v>
      </c>
      <c r="B89" s="121"/>
      <c r="C89" s="125" t="s">
        <v>1806</v>
      </c>
      <c r="D89" s="125"/>
      <c r="E89" s="123">
        <v>43419</v>
      </c>
      <c r="F89" s="123"/>
      <c r="G89" s="124">
        <v>8732.85</v>
      </c>
      <c r="H89" s="124"/>
      <c r="I89" s="124">
        <v>0</v>
      </c>
      <c r="J89" s="124"/>
      <c r="K89" s="124">
        <v>8732.85</v>
      </c>
      <c r="L89" s="124"/>
      <c r="M89" s="124">
        <v>0</v>
      </c>
      <c r="N89" s="124"/>
      <c r="O89" s="115">
        <v>2.5</v>
      </c>
      <c r="P89" s="116" t="s">
        <v>17</v>
      </c>
      <c r="Q89" s="124">
        <v>10</v>
      </c>
      <c r="R89" s="124"/>
      <c r="S89" s="124">
        <v>8722.85</v>
      </c>
      <c r="T89" s="124"/>
    </row>
    <row r="90" spans="1:20" ht="12.75" customHeight="1" x14ac:dyDescent="0.2">
      <c r="A90" s="121" t="s">
        <v>1807</v>
      </c>
      <c r="B90" s="121"/>
      <c r="C90" s="122" t="s">
        <v>1808</v>
      </c>
      <c r="D90" s="122"/>
      <c r="E90" s="123">
        <v>43425</v>
      </c>
      <c r="F90" s="123"/>
      <c r="G90" s="124">
        <v>972.6</v>
      </c>
      <c r="H90" s="124"/>
      <c r="I90" s="124">
        <v>0</v>
      </c>
      <c r="J90" s="124"/>
      <c r="K90" s="124">
        <v>972.6</v>
      </c>
      <c r="L90" s="124"/>
      <c r="M90" s="124">
        <v>0</v>
      </c>
      <c r="N90" s="124"/>
      <c r="O90" s="115">
        <v>2.5</v>
      </c>
      <c r="P90" s="116" t="s">
        <v>17</v>
      </c>
      <c r="Q90" s="124">
        <v>1</v>
      </c>
      <c r="R90" s="124"/>
      <c r="S90" s="124">
        <v>971.6</v>
      </c>
      <c r="T90" s="124"/>
    </row>
    <row r="91" spans="1:20" ht="12.75" customHeight="1" x14ac:dyDescent="0.2">
      <c r="A91" s="121" t="s">
        <v>1809</v>
      </c>
      <c r="B91" s="121"/>
      <c r="C91" s="125" t="s">
        <v>1810</v>
      </c>
      <c r="D91" s="125"/>
      <c r="E91" s="123">
        <v>43430</v>
      </c>
      <c r="F91" s="123"/>
      <c r="G91" s="124">
        <v>1423</v>
      </c>
      <c r="H91" s="124"/>
      <c r="I91" s="124">
        <v>0</v>
      </c>
      <c r="J91" s="124"/>
      <c r="K91" s="124">
        <v>1423</v>
      </c>
      <c r="L91" s="124"/>
      <c r="M91" s="124">
        <v>0</v>
      </c>
      <c r="N91" s="124"/>
      <c r="O91" s="115">
        <v>2.5</v>
      </c>
      <c r="P91" s="116" t="s">
        <v>17</v>
      </c>
      <c r="Q91" s="124">
        <v>1</v>
      </c>
      <c r="R91" s="124"/>
      <c r="S91" s="124">
        <v>1422</v>
      </c>
      <c r="T91" s="124"/>
    </row>
    <row r="92" spans="1:20" x14ac:dyDescent="0.2">
      <c r="C92" s="125"/>
      <c r="D92" s="125"/>
    </row>
    <row r="93" spans="1:20" x14ac:dyDescent="0.2">
      <c r="F93" s="120"/>
      <c r="G93" s="120">
        <f>SUM(G12:G92)</f>
        <v>1556065.0899999999</v>
      </c>
      <c r="H93" s="120"/>
      <c r="I93" s="120">
        <f>SUM(I12:I92)</f>
        <v>837601.58000000007</v>
      </c>
      <c r="J93" s="119"/>
      <c r="K93" s="120">
        <f>SUM(K12:K92)</f>
        <v>648554.51</v>
      </c>
      <c r="L93" s="120"/>
      <c r="M93" s="119">
        <v>0</v>
      </c>
      <c r="N93" s="119"/>
      <c r="O93" s="119"/>
      <c r="P93" s="119"/>
      <c r="Q93" s="120">
        <f>SUM(Q12:Q92)</f>
        <v>19310</v>
      </c>
      <c r="R93" s="119"/>
      <c r="S93" s="120">
        <f>SUM(S12:S92)</f>
        <v>1466846.0899999999</v>
      </c>
    </row>
    <row r="94" spans="1:20" x14ac:dyDescent="0.2">
      <c r="F94" s="120"/>
      <c r="G94" s="120">
        <v>1556065.09</v>
      </c>
      <c r="H94" s="120"/>
      <c r="I94" s="119">
        <v>837601.58000000007</v>
      </c>
      <c r="J94" s="119"/>
      <c r="K94" s="120">
        <v>648554.51</v>
      </c>
      <c r="L94" s="120"/>
      <c r="M94" s="119">
        <v>0</v>
      </c>
      <c r="N94" s="119"/>
      <c r="O94" s="119"/>
      <c r="P94" s="119"/>
      <c r="Q94" s="119">
        <v>19310</v>
      </c>
      <c r="R94" s="119"/>
      <c r="S94" s="119">
        <v>1466846.09</v>
      </c>
    </row>
    <row r="95" spans="1:20" ht="15" customHeight="1" x14ac:dyDescent="0.2">
      <c r="A95" s="117" t="s">
        <v>13</v>
      </c>
      <c r="B95" s="117"/>
      <c r="C95" s="114" t="s">
        <v>1577</v>
      </c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</row>
    <row r="97" spans="1:20" ht="12.75" customHeight="1" x14ac:dyDescent="0.2">
      <c r="A97" s="121" t="s">
        <v>1811</v>
      </c>
      <c r="B97" s="121"/>
      <c r="C97" s="122" t="s">
        <v>1812</v>
      </c>
      <c r="D97" s="122"/>
      <c r="E97" s="123">
        <v>41913</v>
      </c>
      <c r="F97" s="123"/>
      <c r="G97" s="124">
        <v>14536.36</v>
      </c>
      <c r="H97" s="124"/>
      <c r="I97" s="124">
        <v>3641.36</v>
      </c>
      <c r="J97" s="124"/>
      <c r="K97" s="124">
        <v>0</v>
      </c>
      <c r="L97" s="124"/>
      <c r="M97" s="124">
        <v>0</v>
      </c>
      <c r="N97" s="124"/>
      <c r="O97" s="115">
        <v>20</v>
      </c>
      <c r="P97" s="116" t="s">
        <v>17</v>
      </c>
      <c r="Q97" s="124">
        <v>1219</v>
      </c>
      <c r="R97" s="124"/>
      <c r="S97" s="124">
        <v>2422.36</v>
      </c>
      <c r="T97" s="124"/>
    </row>
    <row r="98" spans="1:20" ht="12.75" customHeight="1" x14ac:dyDescent="0.2">
      <c r="A98" s="121" t="s">
        <v>1813</v>
      </c>
      <c r="B98" s="121"/>
      <c r="C98" s="122" t="s">
        <v>1814</v>
      </c>
      <c r="D98" s="122"/>
      <c r="E98" s="123">
        <v>42664</v>
      </c>
      <c r="F98" s="123"/>
      <c r="G98" s="124">
        <v>7409.09</v>
      </c>
      <c r="H98" s="124"/>
      <c r="I98" s="124">
        <v>5106.09</v>
      </c>
      <c r="J98" s="124"/>
      <c r="K98" s="124">
        <v>0</v>
      </c>
      <c r="L98" s="124"/>
      <c r="M98" s="124">
        <v>0</v>
      </c>
      <c r="N98" s="124"/>
      <c r="O98" s="115">
        <v>20</v>
      </c>
      <c r="P98" s="116" t="s">
        <v>289</v>
      </c>
      <c r="Q98" s="124">
        <v>428</v>
      </c>
      <c r="R98" s="124"/>
      <c r="S98" s="124">
        <v>4678.09</v>
      </c>
      <c r="T98" s="124"/>
    </row>
    <row r="99" spans="1:20" ht="12.75" customHeight="1" x14ac:dyDescent="0.2">
      <c r="A99" s="121" t="s">
        <v>1815</v>
      </c>
      <c r="B99" s="121"/>
      <c r="C99" s="122" t="s">
        <v>1816</v>
      </c>
      <c r="D99" s="122"/>
      <c r="E99" s="123">
        <v>42664</v>
      </c>
      <c r="F99" s="123"/>
      <c r="G99" s="124">
        <v>1227.27</v>
      </c>
      <c r="H99" s="124"/>
      <c r="I99" s="124">
        <v>846.27</v>
      </c>
      <c r="J99" s="124"/>
      <c r="K99" s="124">
        <v>0</v>
      </c>
      <c r="L99" s="124"/>
      <c r="M99" s="124">
        <v>0</v>
      </c>
      <c r="N99" s="124"/>
      <c r="O99" s="115">
        <v>20</v>
      </c>
      <c r="P99" s="116" t="s">
        <v>289</v>
      </c>
      <c r="Q99" s="124">
        <v>71</v>
      </c>
      <c r="R99" s="124"/>
      <c r="S99" s="124">
        <v>775.27</v>
      </c>
      <c r="T99" s="124"/>
    </row>
    <row r="100" spans="1:20" ht="12.75" customHeight="1" x14ac:dyDescent="0.2">
      <c r="A100" s="121" t="s">
        <v>1817</v>
      </c>
      <c r="B100" s="121"/>
      <c r="C100" s="122" t="s">
        <v>1818</v>
      </c>
      <c r="D100" s="122"/>
      <c r="E100" s="123">
        <v>42990</v>
      </c>
      <c r="F100" s="123"/>
      <c r="G100" s="124">
        <v>1471.43</v>
      </c>
      <c r="H100" s="124"/>
      <c r="I100" s="124">
        <v>1236.43</v>
      </c>
      <c r="J100" s="124"/>
      <c r="K100" s="124">
        <v>0</v>
      </c>
      <c r="L100" s="124"/>
      <c r="M100" s="124">
        <v>0</v>
      </c>
      <c r="N100" s="124"/>
      <c r="O100" s="115">
        <v>20</v>
      </c>
      <c r="P100" s="116" t="s">
        <v>289</v>
      </c>
      <c r="Q100" s="124">
        <v>104</v>
      </c>
      <c r="R100" s="124"/>
      <c r="S100" s="124">
        <v>1132.43</v>
      </c>
      <c r="T100" s="124"/>
    </row>
    <row r="101" spans="1:20" ht="12.75" customHeight="1" x14ac:dyDescent="0.2">
      <c r="A101" s="121" t="s">
        <v>1819</v>
      </c>
      <c r="B101" s="121"/>
      <c r="C101" s="122" t="s">
        <v>1820</v>
      </c>
      <c r="D101" s="122"/>
      <c r="E101" s="123">
        <v>43139</v>
      </c>
      <c r="F101" s="123"/>
      <c r="G101" s="124">
        <v>2500</v>
      </c>
      <c r="H101" s="124"/>
      <c r="I101" s="124">
        <v>2304</v>
      </c>
      <c r="J101" s="124"/>
      <c r="K101" s="124">
        <v>0</v>
      </c>
      <c r="L101" s="124"/>
      <c r="M101" s="124">
        <v>0</v>
      </c>
      <c r="N101" s="124"/>
      <c r="O101" s="115">
        <v>20</v>
      </c>
      <c r="P101" s="116" t="s">
        <v>289</v>
      </c>
      <c r="Q101" s="124">
        <v>193</v>
      </c>
      <c r="R101" s="124"/>
      <c r="S101" s="124">
        <v>2111</v>
      </c>
      <c r="T101" s="124"/>
    </row>
    <row r="103" spans="1:20" x14ac:dyDescent="0.2">
      <c r="G103" s="120">
        <f>SUM(G97:G102)</f>
        <v>27144.15</v>
      </c>
      <c r="H103" s="120"/>
      <c r="I103" s="120">
        <f>SUM(I97:I102)</f>
        <v>13134.150000000001</v>
      </c>
      <c r="J103" s="119"/>
      <c r="K103" s="120">
        <f>SUM(K97:K102)</f>
        <v>0</v>
      </c>
      <c r="L103" s="120"/>
      <c r="M103" s="120">
        <f>SUM(M97:M102)</f>
        <v>0</v>
      </c>
      <c r="N103" s="119"/>
      <c r="O103" s="120"/>
      <c r="P103" s="119"/>
      <c r="Q103" s="120">
        <f>SUM(Q97:Q102)</f>
        <v>2015</v>
      </c>
      <c r="R103" s="119"/>
      <c r="S103" s="120">
        <f>SUM(S97:S102)</f>
        <v>11119.150000000001</v>
      </c>
    </row>
    <row r="104" spans="1:20" x14ac:dyDescent="0.2">
      <c r="G104" s="120">
        <v>27144.15</v>
      </c>
      <c r="H104" s="120"/>
      <c r="I104" s="119">
        <v>13134.15</v>
      </c>
      <c r="J104" s="119"/>
      <c r="K104" s="120">
        <v>0</v>
      </c>
      <c r="L104" s="120"/>
      <c r="M104" s="119">
        <v>0</v>
      </c>
      <c r="N104" s="119"/>
      <c r="O104" s="119"/>
      <c r="P104" s="119"/>
      <c r="Q104" s="119">
        <v>2015</v>
      </c>
      <c r="R104" s="119"/>
      <c r="S104" s="119">
        <v>11119.15</v>
      </c>
    </row>
    <row r="106" spans="1:20" x14ac:dyDescent="0.2">
      <c r="A106" s="127" t="s">
        <v>1632</v>
      </c>
      <c r="B106" s="127"/>
      <c r="C106" s="127"/>
      <c r="G106" s="120">
        <f>+G93+G103</f>
        <v>1583209.2399999998</v>
      </c>
      <c r="H106" s="120"/>
      <c r="I106" s="120">
        <f>+I93+I103</f>
        <v>850735.7300000001</v>
      </c>
      <c r="J106" s="120"/>
      <c r="K106" s="120">
        <f>+K93+K103</f>
        <v>648554.51</v>
      </c>
      <c r="L106" s="120"/>
      <c r="M106" s="120">
        <f>+M93+M103</f>
        <v>0</v>
      </c>
      <c r="N106" s="119"/>
      <c r="O106" s="120"/>
      <c r="P106" s="120"/>
      <c r="Q106" s="120">
        <f>+Q93+Q103</f>
        <v>21325</v>
      </c>
      <c r="R106" s="120"/>
      <c r="S106" s="120">
        <f>+S93+S103</f>
        <v>1477965.2399999998</v>
      </c>
    </row>
    <row r="107" spans="1:20" x14ac:dyDescent="0.2">
      <c r="A107" t="s">
        <v>1632</v>
      </c>
      <c r="G107">
        <v>1583209.24</v>
      </c>
      <c r="I107">
        <v>850735.73</v>
      </c>
      <c r="K107">
        <v>648554.51</v>
      </c>
      <c r="M107">
        <v>0</v>
      </c>
      <c r="Q107">
        <v>21325</v>
      </c>
      <c r="S107">
        <v>1477965.24</v>
      </c>
    </row>
    <row r="108" spans="1:20" ht="12.75" customHeight="1" x14ac:dyDescent="0.2">
      <c r="A108" s="127" t="s">
        <v>1821</v>
      </c>
      <c r="B108" s="127" t="s">
        <v>1823</v>
      </c>
      <c r="C108" s="127"/>
      <c r="D108" s="127"/>
      <c r="E108" s="127"/>
      <c r="F108" s="127"/>
      <c r="G108" s="131">
        <f>+G106-G107</f>
        <v>0</v>
      </c>
      <c r="H108" s="127"/>
      <c r="I108" s="131">
        <f>+I106-I107</f>
        <v>0</v>
      </c>
      <c r="J108" s="127"/>
      <c r="K108" s="131">
        <f>+K106-K107</f>
        <v>0</v>
      </c>
      <c r="M108" s="131">
        <f>+M106-M107</f>
        <v>0</v>
      </c>
      <c r="Q108" s="131">
        <f>+Q106-Q107</f>
        <v>0</v>
      </c>
      <c r="S108" s="131">
        <f>+S106-S107</f>
        <v>0</v>
      </c>
    </row>
  </sheetData>
  <mergeCells count="1">
    <mergeCell ref="P2:R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F6397-38B1-4773-B5A3-9558B234D7C1}">
  <sheetPr>
    <pageSetUpPr fitToPage="1"/>
  </sheetPr>
  <dimension ref="A1:Z182"/>
  <sheetViews>
    <sheetView workbookViewId="0">
      <pane ySplit="1770" activePane="bottomLeft"/>
      <selection activeCell="K3" sqref="K3"/>
      <selection pane="bottomLeft" activeCell="C14" sqref="C14"/>
    </sheetView>
  </sheetViews>
  <sheetFormatPr defaultColWidth="6.85546875" defaultRowHeight="12.75" x14ac:dyDescent="0.2"/>
  <cols>
    <col min="1" max="2" width="6.85546875" style="11"/>
    <col min="3" max="3" width="42.85546875" style="11" customWidth="1"/>
    <col min="4" max="4" width="10.28515625" style="11" bestFit="1" customWidth="1"/>
    <col min="5" max="5" width="6.5703125" style="18" customWidth="1"/>
    <col min="6" max="6" width="8.28515625" style="19" customWidth="1"/>
    <col min="7" max="7" width="6" style="19" customWidth="1"/>
    <col min="8" max="8" width="12.85546875" style="11" bestFit="1" customWidth="1"/>
    <col min="9" max="9" width="12.85546875" style="42" bestFit="1" customWidth="1"/>
    <col min="10" max="10" width="11.85546875" style="11" customWidth="1"/>
    <col min="11" max="11" width="6.5703125" style="11" customWidth="1"/>
    <col min="12" max="12" width="6.7109375" style="11" customWidth="1"/>
    <col min="13" max="13" width="7" style="11" bestFit="1" customWidth="1"/>
    <col min="14" max="14" width="6.85546875" style="44"/>
    <col min="15" max="15" width="8.7109375" style="44" hidden="1" customWidth="1"/>
    <col min="16" max="16" width="8.7109375" style="11" hidden="1" customWidth="1"/>
    <col min="17" max="17" width="9.85546875" style="11" hidden="1" customWidth="1"/>
    <col min="18" max="18" width="8.7109375" style="44" hidden="1" customWidth="1"/>
    <col min="19" max="19" width="8.7109375" style="11" hidden="1" customWidth="1"/>
    <col min="20" max="20" width="10.28515625" style="11" bestFit="1" customWidth="1"/>
    <col min="21" max="21" width="12.85546875" style="258" bestFit="1" customWidth="1"/>
    <col min="22" max="22" width="9.85546875" style="11" bestFit="1" customWidth="1"/>
    <col min="23" max="23" width="8.42578125" style="11" bestFit="1" customWidth="1"/>
    <col min="24" max="24" width="6.85546875" style="11"/>
    <col min="25" max="25" width="11.28515625" style="11" bestFit="1" customWidth="1"/>
    <col min="26" max="26" width="7.7109375" style="11" bestFit="1" customWidth="1"/>
    <col min="27" max="16384" width="6.85546875" style="11"/>
  </cols>
  <sheetData>
    <row r="1" spans="1:25" ht="13.5" customHeight="1" x14ac:dyDescent="0.2">
      <c r="A1" s="14"/>
      <c r="B1" s="15"/>
      <c r="C1" s="15"/>
      <c r="D1" s="519" t="s">
        <v>1824</v>
      </c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161"/>
    </row>
    <row r="2" spans="1:25" ht="15.75" customHeight="1" x14ac:dyDescent="0.2">
      <c r="A2" s="14"/>
      <c r="B2" s="16"/>
      <c r="C2" s="16"/>
      <c r="D2" s="520" t="s">
        <v>1</v>
      </c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161"/>
    </row>
    <row r="3" spans="1:25" ht="13.5" customHeight="1" x14ac:dyDescent="0.2">
      <c r="A3" s="14"/>
      <c r="B3" s="17"/>
      <c r="C3" s="17"/>
      <c r="D3" s="17"/>
      <c r="H3" s="345">
        <v>44197</v>
      </c>
      <c r="I3" s="346" t="s">
        <v>1637</v>
      </c>
      <c r="J3" s="345">
        <v>44377</v>
      </c>
      <c r="K3" s="17"/>
      <c r="L3" s="17"/>
      <c r="M3" s="17"/>
      <c r="N3" s="22"/>
      <c r="O3" s="22"/>
      <c r="P3" s="17"/>
      <c r="Q3" s="17"/>
      <c r="R3" s="22"/>
      <c r="S3" s="17"/>
      <c r="T3" s="17" t="s">
        <v>1639</v>
      </c>
      <c r="U3" s="260">
        <f>ROUND((+J3-H3)/365*12,0)</f>
        <v>6</v>
      </c>
      <c r="V3" s="172"/>
    </row>
    <row r="4" spans="1:25" ht="3" customHeight="1" x14ac:dyDescent="0.2">
      <c r="A4" s="14"/>
      <c r="B4" s="14"/>
      <c r="C4" s="14"/>
      <c r="D4" s="14"/>
      <c r="E4" s="24"/>
      <c r="F4" s="23"/>
      <c r="G4" s="23"/>
      <c r="H4" s="14"/>
      <c r="I4" s="347"/>
      <c r="J4" s="14"/>
      <c r="K4" s="14"/>
      <c r="L4" s="14"/>
      <c r="M4" s="14"/>
      <c r="N4" s="509"/>
      <c r="O4" s="509"/>
      <c r="P4" s="14"/>
      <c r="Q4" s="14"/>
      <c r="R4" s="509"/>
      <c r="S4" s="14"/>
      <c r="T4" s="14"/>
      <c r="U4" s="261"/>
      <c r="V4" s="164"/>
    </row>
    <row r="5" spans="1:25" ht="15" customHeight="1" x14ac:dyDescent="0.2">
      <c r="A5" s="54"/>
      <c r="B5" s="55"/>
      <c r="C5" s="55"/>
      <c r="D5" s="26" t="s">
        <v>4</v>
      </c>
      <c r="E5" s="27" t="s">
        <v>1641</v>
      </c>
      <c r="F5" s="28" t="s">
        <v>2401</v>
      </c>
      <c r="G5" s="29"/>
      <c r="H5" s="30" t="s">
        <v>1643</v>
      </c>
      <c r="I5" s="348" t="s">
        <v>1646</v>
      </c>
      <c r="J5" s="32" t="s">
        <v>1647</v>
      </c>
      <c r="K5" s="31" t="s">
        <v>1649</v>
      </c>
      <c r="L5" s="31" t="s">
        <v>1650</v>
      </c>
      <c r="M5" s="31" t="s">
        <v>1634</v>
      </c>
      <c r="N5" s="33" t="s">
        <v>1634</v>
      </c>
      <c r="O5" s="33" t="s">
        <v>1664</v>
      </c>
      <c r="P5" s="31" t="s">
        <v>1665</v>
      </c>
      <c r="Q5" s="31" t="s">
        <v>1666</v>
      </c>
      <c r="R5" s="33" t="s">
        <v>1661</v>
      </c>
      <c r="S5" s="31" t="s">
        <v>1660</v>
      </c>
      <c r="T5" s="31" t="s">
        <v>1662</v>
      </c>
      <c r="U5" s="262" t="s">
        <v>1653</v>
      </c>
      <c r="V5" s="184" t="s">
        <v>2086</v>
      </c>
    </row>
    <row r="6" spans="1:25" ht="15" customHeight="1" x14ac:dyDescent="0.2">
      <c r="A6" s="56" t="s">
        <v>1636</v>
      </c>
      <c r="B6" s="57"/>
      <c r="C6" s="57" t="s">
        <v>12</v>
      </c>
      <c r="D6" s="34" t="s">
        <v>1640</v>
      </c>
      <c r="E6" s="35" t="s">
        <v>1640</v>
      </c>
      <c r="F6" s="36" t="s">
        <v>2400</v>
      </c>
      <c r="G6" s="37" t="s">
        <v>1644</v>
      </c>
      <c r="H6" s="38" t="s">
        <v>1644</v>
      </c>
      <c r="I6" s="349" t="s">
        <v>1645</v>
      </c>
      <c r="J6" s="34"/>
      <c r="K6" s="34"/>
      <c r="L6" s="34"/>
      <c r="M6" s="39" t="s">
        <v>1651</v>
      </c>
      <c r="N6" s="40" t="s">
        <v>1633</v>
      </c>
      <c r="O6" s="40" t="s">
        <v>1634</v>
      </c>
      <c r="P6" s="40" t="s">
        <v>1634</v>
      </c>
      <c r="Q6" s="40" t="s">
        <v>1667</v>
      </c>
      <c r="R6" s="40" t="s">
        <v>1634</v>
      </c>
      <c r="S6" s="40" t="s">
        <v>1634</v>
      </c>
      <c r="T6" s="40" t="s">
        <v>1634</v>
      </c>
      <c r="U6" s="263" t="s">
        <v>1652</v>
      </c>
      <c r="V6" s="193" t="s">
        <v>2087</v>
      </c>
      <c r="W6" s="487" t="s">
        <v>2390</v>
      </c>
    </row>
    <row r="7" spans="1:25" ht="15.75" customHeight="1" x14ac:dyDescent="0.2">
      <c r="A7" s="278"/>
      <c r="B7" s="279"/>
      <c r="C7" s="58"/>
      <c r="D7" s="59"/>
      <c r="E7" s="60"/>
      <c r="F7" s="61"/>
      <c r="G7" s="61"/>
      <c r="H7" s="61"/>
      <c r="I7" s="350"/>
      <c r="J7" s="61"/>
      <c r="K7" s="61"/>
      <c r="L7" s="61"/>
      <c r="M7" s="59"/>
      <c r="N7" s="62"/>
      <c r="O7" s="62"/>
      <c r="P7" s="59"/>
      <c r="Q7" s="59"/>
      <c r="R7" s="62"/>
      <c r="S7" s="59"/>
      <c r="T7" s="59"/>
      <c r="U7" s="264"/>
      <c r="V7" s="200"/>
      <c r="W7" s="343"/>
    </row>
    <row r="8" spans="1:25" ht="15.75" customHeight="1" x14ac:dyDescent="0.2">
      <c r="A8" s="269" t="s">
        <v>2102</v>
      </c>
      <c r="B8" s="270"/>
      <c r="C8" s="271"/>
      <c r="D8" s="272"/>
      <c r="E8" s="273"/>
      <c r="F8" s="274"/>
      <c r="G8" s="274"/>
      <c r="H8" s="274"/>
      <c r="I8" s="351"/>
      <c r="J8" s="274"/>
      <c r="K8" s="274"/>
      <c r="L8" s="274"/>
      <c r="M8" s="272"/>
      <c r="N8" s="275"/>
      <c r="O8" s="275"/>
      <c r="P8" s="272"/>
      <c r="Q8" s="272"/>
      <c r="R8" s="275"/>
      <c r="S8" s="272"/>
      <c r="T8" s="272"/>
      <c r="U8" s="276"/>
      <c r="V8" s="277"/>
      <c r="W8" s="449" cm="1">
        <f t="array" ref="W8">+IF(U8&lt;0,error,0)</f>
        <v>0</v>
      </c>
      <c r="Y8" s="347" t="s">
        <v>2404</v>
      </c>
    </row>
    <row r="9" spans="1:25" ht="36.75" customHeight="1" x14ac:dyDescent="0.2">
      <c r="A9" s="280"/>
      <c r="B9" s="270"/>
      <c r="C9" s="271" t="s">
        <v>2103</v>
      </c>
      <c r="D9" s="286">
        <v>41761</v>
      </c>
      <c r="E9" s="282"/>
      <c r="F9" s="283"/>
      <c r="G9" s="283"/>
      <c r="H9" s="283">
        <v>1764225.9</v>
      </c>
      <c r="I9" s="352">
        <f>+H9</f>
        <v>1764225.9</v>
      </c>
      <c r="J9" s="283"/>
      <c r="K9" s="283"/>
      <c r="L9" s="283"/>
      <c r="M9" s="284"/>
      <c r="N9" s="285"/>
      <c r="O9" s="285"/>
      <c r="P9" s="284"/>
      <c r="Q9" s="284"/>
      <c r="R9" s="285"/>
      <c r="S9" s="284"/>
      <c r="T9" s="284"/>
      <c r="U9" s="276">
        <f>+I9</f>
        <v>1764225.9</v>
      </c>
      <c r="V9" s="277"/>
      <c r="W9" s="449" cm="1">
        <f t="array" ref="W9">+IF(U9&lt;0,error,0)</f>
        <v>0</v>
      </c>
      <c r="Y9" s="511" t="s">
        <v>2405</v>
      </c>
    </row>
    <row r="10" spans="1:25" ht="36.75" customHeight="1" x14ac:dyDescent="0.2">
      <c r="A10" s="280"/>
      <c r="B10" s="270"/>
      <c r="C10" s="271" t="s">
        <v>2104</v>
      </c>
      <c r="D10" s="281">
        <v>42171</v>
      </c>
      <c r="E10" s="282"/>
      <c r="F10" s="283"/>
      <c r="G10" s="283"/>
      <c r="H10" s="283">
        <v>159527.31</v>
      </c>
      <c r="I10" s="352">
        <f>+H10</f>
        <v>159527.31</v>
      </c>
      <c r="J10" s="283"/>
      <c r="K10" s="283"/>
      <c r="L10" s="283"/>
      <c r="M10" s="284"/>
      <c r="N10" s="285"/>
      <c r="O10" s="285"/>
      <c r="P10" s="284"/>
      <c r="Q10" s="284"/>
      <c r="R10" s="285"/>
      <c r="S10" s="284"/>
      <c r="T10" s="284"/>
      <c r="U10" s="276">
        <f>+I10</f>
        <v>159527.31</v>
      </c>
      <c r="V10" s="277"/>
      <c r="W10" s="449" cm="1">
        <f t="array" ref="W10">+IF(U10&lt;0,error,0)</f>
        <v>0</v>
      </c>
      <c r="Y10" s="511" t="s">
        <v>2406</v>
      </c>
    </row>
    <row r="11" spans="1:25" ht="36.75" customHeight="1" x14ac:dyDescent="0.2">
      <c r="A11" s="280"/>
      <c r="B11" s="270"/>
      <c r="C11" s="271" t="s">
        <v>2105</v>
      </c>
      <c r="D11" s="281">
        <v>42186</v>
      </c>
      <c r="E11" s="282"/>
      <c r="F11" s="283"/>
      <c r="G11" s="283"/>
      <c r="H11" s="283">
        <v>1310</v>
      </c>
      <c r="I11" s="352">
        <f>+H11</f>
        <v>1310</v>
      </c>
      <c r="J11" s="283"/>
      <c r="K11" s="283"/>
      <c r="L11" s="283"/>
      <c r="M11" s="284"/>
      <c r="N11" s="285"/>
      <c r="O11" s="285"/>
      <c r="P11" s="284"/>
      <c r="Q11" s="284"/>
      <c r="R11" s="285"/>
      <c r="S11" s="284"/>
      <c r="T11" s="284"/>
      <c r="U11" s="276">
        <f>+I11</f>
        <v>1310</v>
      </c>
      <c r="V11" s="277"/>
      <c r="W11" s="449" cm="1">
        <f t="array" ref="W11">+IF(U11&lt;0,error,0)</f>
        <v>0</v>
      </c>
      <c r="Y11" s="511" t="s">
        <v>2425</v>
      </c>
    </row>
    <row r="12" spans="1:25" ht="36.75" customHeight="1" x14ac:dyDescent="0.2">
      <c r="A12" s="280"/>
      <c r="B12" s="270"/>
      <c r="C12" s="271"/>
      <c r="D12" s="281"/>
      <c r="E12" s="282"/>
      <c r="F12" s="283"/>
      <c r="G12" s="283"/>
      <c r="H12" s="283"/>
      <c r="I12" s="352"/>
      <c r="J12" s="283"/>
      <c r="K12" s="283"/>
      <c r="L12" s="283"/>
      <c r="M12" s="284"/>
      <c r="N12" s="285"/>
      <c r="O12" s="285"/>
      <c r="P12" s="284"/>
      <c r="Q12" s="284"/>
      <c r="R12" s="285"/>
      <c r="S12" s="284"/>
      <c r="T12" s="284"/>
      <c r="U12" s="276"/>
      <c r="V12" s="277"/>
      <c r="W12" s="449" cm="1">
        <f t="array" ref="W12">+IF(U12&lt;0,error,0)</f>
        <v>0</v>
      </c>
      <c r="Y12" s="511" t="s">
        <v>2426</v>
      </c>
    </row>
    <row r="13" spans="1:25" s="14" customFormat="1" ht="36.75" customHeight="1" x14ac:dyDescent="0.2">
      <c r="A13" s="105"/>
      <c r="B13" s="106"/>
      <c r="C13" s="77" t="s">
        <v>2106</v>
      </c>
      <c r="D13" s="76"/>
      <c r="E13" s="78"/>
      <c r="F13" s="79">
        <f t="shared" ref="F13:L13" si="0">SUM(F8:F12)</f>
        <v>0</v>
      </c>
      <c r="G13" s="79">
        <f t="shared" si="0"/>
        <v>0</v>
      </c>
      <c r="H13" s="268">
        <f t="shared" si="0"/>
        <v>1925063.21</v>
      </c>
      <c r="I13" s="353">
        <f t="shared" si="0"/>
        <v>1925063.21</v>
      </c>
      <c r="J13" s="79">
        <f t="shared" si="0"/>
        <v>0</v>
      </c>
      <c r="K13" s="79">
        <f t="shared" si="0"/>
        <v>0</v>
      </c>
      <c r="L13" s="79">
        <f t="shared" si="0"/>
        <v>0</v>
      </c>
      <c r="M13" s="80"/>
      <c r="N13" s="81"/>
      <c r="O13" s="79" t="e">
        <f>SUM(#REF!)</f>
        <v>#REF!</v>
      </c>
      <c r="P13" s="79" t="e">
        <f>SUM(#REF!)</f>
        <v>#REF!</v>
      </c>
      <c r="Q13" s="79"/>
      <c r="R13" s="79" t="e">
        <f>SUM(#REF!)</f>
        <v>#REF!</v>
      </c>
      <c r="S13" s="79" t="e">
        <f>SUM(#REF!)</f>
        <v>#REF!</v>
      </c>
      <c r="T13" s="79">
        <f>SUM(T8:T12)</f>
        <v>0</v>
      </c>
      <c r="U13" s="267">
        <f>SUM(U8:U12)</f>
        <v>1925063.21</v>
      </c>
      <c r="V13" s="79">
        <f>SUM(V8:V12)</f>
        <v>0</v>
      </c>
      <c r="W13" s="449" cm="1">
        <f t="array" ref="W13">+IF(U13&lt;0,error,0)</f>
        <v>0</v>
      </c>
      <c r="Y13" s="511" t="s">
        <v>2427</v>
      </c>
    </row>
    <row r="14" spans="1:25" ht="36.75" customHeight="1" x14ac:dyDescent="0.2">
      <c r="A14" s="269"/>
      <c r="B14" s="270"/>
      <c r="C14" s="271"/>
      <c r="D14" s="272"/>
      <c r="E14" s="273"/>
      <c r="F14" s="274"/>
      <c r="G14" s="274"/>
      <c r="H14" s="274"/>
      <c r="I14" s="351"/>
      <c r="J14" s="274"/>
      <c r="K14" s="274"/>
      <c r="L14" s="274"/>
      <c r="M14" s="272"/>
      <c r="N14" s="275"/>
      <c r="O14" s="275"/>
      <c r="P14" s="272"/>
      <c r="Q14" s="272"/>
      <c r="R14" s="275"/>
      <c r="S14" s="272"/>
      <c r="T14" s="272"/>
      <c r="U14" s="276"/>
      <c r="V14" s="277"/>
      <c r="W14" s="449" cm="1">
        <f t="array" ref="W14">+IF(U14&lt;0,error,0)</f>
        <v>0</v>
      </c>
      <c r="Y14" s="511" t="s">
        <v>2428</v>
      </c>
    </row>
    <row r="15" spans="1:25" ht="36.75" customHeight="1" x14ac:dyDescent="0.2">
      <c r="A15" s="269" t="s">
        <v>1674</v>
      </c>
      <c r="B15" s="270"/>
      <c r="C15" s="271"/>
      <c r="D15" s="272"/>
      <c r="E15" s="273"/>
      <c r="F15" s="274"/>
      <c r="G15" s="274"/>
      <c r="H15" s="274"/>
      <c r="I15" s="351"/>
      <c r="J15" s="274"/>
      <c r="K15" s="274"/>
      <c r="L15" s="274"/>
      <c r="M15" s="272"/>
      <c r="N15" s="275"/>
      <c r="O15" s="275"/>
      <c r="P15" s="272"/>
      <c r="Q15" s="272"/>
      <c r="R15" s="275"/>
      <c r="S15" s="272"/>
      <c r="T15" s="272"/>
      <c r="U15" s="276"/>
      <c r="V15" s="277"/>
      <c r="W15" s="449" cm="1">
        <f t="array" ref="W15">+IF(U15&lt;0,error,0)</f>
        <v>0</v>
      </c>
    </row>
    <row r="16" spans="1:25" ht="36.75" customHeight="1" x14ac:dyDescent="0.2">
      <c r="A16" s="101" t="s">
        <v>1675</v>
      </c>
      <c r="B16" s="102"/>
      <c r="C16" s="64" t="s">
        <v>1676</v>
      </c>
      <c r="D16" s="65">
        <v>41780</v>
      </c>
      <c r="E16" s="66"/>
      <c r="F16" s="67"/>
      <c r="G16" s="67"/>
      <c r="H16" s="67">
        <v>3730</v>
      </c>
      <c r="I16" s="354">
        <v>3117</v>
      </c>
      <c r="J16" s="67">
        <v>0</v>
      </c>
      <c r="K16" s="68">
        <f t="shared" ref="K16:K79" si="1">INT(IF($E16&gt;0,IF(+F16-I16+Q16&lt;0,0,+F16-I16+Q16),0))</f>
        <v>0</v>
      </c>
      <c r="L16" s="68">
        <f t="shared" ref="L16:L79" si="2">INT(IF($E16&gt;0,IF(K16=0,-F16+I16-Q16,0),0))</f>
        <v>0</v>
      </c>
      <c r="M16" s="69">
        <v>2.5</v>
      </c>
      <c r="N16" s="70" t="s">
        <v>17</v>
      </c>
      <c r="O16" s="68">
        <f>IF(E16&gt;0,INT(IF($N16="D",IF($D16&lt;$H$3,$I16*($M16/100)*((E16-$H$3)/365),$J16*($M16/100)*($J$3-$D16)/365),0)),0)</f>
        <v>0</v>
      </c>
      <c r="P16" s="68">
        <f>IF(E16&gt;0,INT(IF($N16="P",IF($D16&lt;$H$3,$H16*($M16/100)*(E16-$H$3)/365,$J16*($M16/100)*($J$3-$D16)/365),0)),0)</f>
        <v>0</v>
      </c>
      <c r="Q16" s="68">
        <f>+O16+P16</f>
        <v>0</v>
      </c>
      <c r="R16" s="68">
        <f t="shared" ref="R16:R79" si="3">INT(IF($E16&gt;0,0,(IF($N16="D",IF($D16&lt;$H$3,$I16*($M16/100)*$U$3/12,$J16*($M16/100)*($J$3-$D16)/365),0))))</f>
        <v>0</v>
      </c>
      <c r="S16" s="68">
        <f t="shared" ref="S16:S79" si="4">INT(IF($E16&gt;0,0,(IF($N16="P",IF($D16&lt;$H$3,$H16*($M16/100)*$U$3/12,$J16*($M16/100)*($J$3-$D16)/365),0))))</f>
        <v>46</v>
      </c>
      <c r="T16" s="68">
        <f>+R16+S16+Q16</f>
        <v>46</v>
      </c>
      <c r="U16" s="265">
        <f>+I16+J16-T16</f>
        <v>3071</v>
      </c>
      <c r="V16" s="93">
        <f>IF(E16&gt;0,+H16+J16,0)</f>
        <v>0</v>
      </c>
      <c r="W16" s="449" cm="1">
        <f t="array" ref="W16">+IF(U16&lt;0,error,0)</f>
        <v>0</v>
      </c>
    </row>
    <row r="17" spans="1:23" ht="36.75" customHeight="1" x14ac:dyDescent="0.2">
      <c r="A17" s="101" t="s">
        <v>1677</v>
      </c>
      <c r="B17" s="102"/>
      <c r="C17" s="71" t="s">
        <v>1678</v>
      </c>
      <c r="D17" s="65">
        <v>41780</v>
      </c>
      <c r="E17" s="66"/>
      <c r="F17" s="67"/>
      <c r="G17" s="67"/>
      <c r="H17" s="67">
        <v>15123.76</v>
      </c>
      <c r="I17" s="354">
        <v>12624.76</v>
      </c>
      <c r="J17" s="67">
        <v>0</v>
      </c>
      <c r="K17" s="68">
        <f t="shared" si="1"/>
        <v>0</v>
      </c>
      <c r="L17" s="68">
        <f t="shared" si="2"/>
        <v>0</v>
      </c>
      <c r="M17" s="69">
        <v>2.5</v>
      </c>
      <c r="N17" s="70" t="s">
        <v>17</v>
      </c>
      <c r="O17" s="68">
        <f t="shared" ref="O17:O80" si="5">IF(E17&gt;0,INT(IF($N17="D",IF($D17&lt;$H$3,$I17*($M17/100)*((E17-$H$3)/365),$J17*($M17/100)*($J$3-$D17)/365),0)),0)</f>
        <v>0</v>
      </c>
      <c r="P17" s="68">
        <f t="shared" ref="P17:P80" si="6">IF(E17&gt;0,INT(IF($N17="P",IF($D17&lt;$H$3,$H17*($M17/100)*(E17-$H$3)/365,$J17*($M17/100)*($J$3-$D17)/365),0)),0)</f>
        <v>0</v>
      </c>
      <c r="Q17" s="68">
        <f t="shared" ref="Q17:Q80" si="7">+O17+P17</f>
        <v>0</v>
      </c>
      <c r="R17" s="68">
        <f t="shared" si="3"/>
        <v>0</v>
      </c>
      <c r="S17" s="68">
        <f t="shared" si="4"/>
        <v>189</v>
      </c>
      <c r="T17" s="68">
        <f t="shared" ref="T17:T26" si="8">+R17+S17+Q17</f>
        <v>189</v>
      </c>
      <c r="U17" s="265">
        <f t="shared" ref="U17:U80" si="9">+I17+J17-T17</f>
        <v>12435.76</v>
      </c>
      <c r="V17" s="93">
        <f t="shared" ref="V17:V80" si="10">IF(E17&gt;0,+H17+J17,0)</f>
        <v>0</v>
      </c>
      <c r="W17" s="449" cm="1">
        <f t="array" ref="W17">+IF(U17&lt;0,error,0)</f>
        <v>0</v>
      </c>
    </row>
    <row r="18" spans="1:23" ht="36.75" customHeight="1" x14ac:dyDescent="0.2">
      <c r="A18" s="101" t="s">
        <v>1679</v>
      </c>
      <c r="B18" s="102"/>
      <c r="C18" s="71" t="s">
        <v>1676</v>
      </c>
      <c r="D18" s="65">
        <v>41820</v>
      </c>
      <c r="E18" s="66"/>
      <c r="F18" s="67"/>
      <c r="G18" s="67"/>
      <c r="H18" s="67">
        <v>8798.5500000000011</v>
      </c>
      <c r="I18" s="354">
        <v>7370.55</v>
      </c>
      <c r="J18" s="67">
        <v>0</v>
      </c>
      <c r="K18" s="68">
        <f t="shared" si="1"/>
        <v>0</v>
      </c>
      <c r="L18" s="68">
        <f t="shared" si="2"/>
        <v>0</v>
      </c>
      <c r="M18" s="69">
        <v>2.5</v>
      </c>
      <c r="N18" s="70" t="s">
        <v>17</v>
      </c>
      <c r="O18" s="68">
        <f t="shared" si="5"/>
        <v>0</v>
      </c>
      <c r="P18" s="68">
        <f t="shared" si="6"/>
        <v>0</v>
      </c>
      <c r="Q18" s="68">
        <f t="shared" si="7"/>
        <v>0</v>
      </c>
      <c r="R18" s="68">
        <f t="shared" si="3"/>
        <v>0</v>
      </c>
      <c r="S18" s="68">
        <f t="shared" si="4"/>
        <v>109</v>
      </c>
      <c r="T18" s="68">
        <f t="shared" si="8"/>
        <v>109</v>
      </c>
      <c r="U18" s="265">
        <f t="shared" si="9"/>
        <v>7261.55</v>
      </c>
      <c r="V18" s="93">
        <f t="shared" si="10"/>
        <v>0</v>
      </c>
      <c r="W18" s="449" cm="1">
        <f t="array" ref="W18">+IF(U18&lt;0,error,0)</f>
        <v>0</v>
      </c>
    </row>
    <row r="19" spans="1:23" ht="36.75" customHeight="1" x14ac:dyDescent="0.2">
      <c r="A19" s="101" t="s">
        <v>1680</v>
      </c>
      <c r="B19" s="102"/>
      <c r="C19" s="71" t="s">
        <v>1681</v>
      </c>
      <c r="D19" s="65">
        <v>41863</v>
      </c>
      <c r="E19" s="66"/>
      <c r="F19" s="67"/>
      <c r="G19" s="67"/>
      <c r="H19" s="67">
        <v>6110</v>
      </c>
      <c r="I19" s="354">
        <v>5135</v>
      </c>
      <c r="J19" s="67">
        <v>0</v>
      </c>
      <c r="K19" s="68">
        <f t="shared" si="1"/>
        <v>0</v>
      </c>
      <c r="L19" s="68">
        <f t="shared" si="2"/>
        <v>0</v>
      </c>
      <c r="M19" s="69">
        <v>2.5</v>
      </c>
      <c r="N19" s="70" t="s">
        <v>17</v>
      </c>
      <c r="O19" s="68">
        <f t="shared" si="5"/>
        <v>0</v>
      </c>
      <c r="P19" s="68">
        <f t="shared" si="6"/>
        <v>0</v>
      </c>
      <c r="Q19" s="68">
        <f t="shared" si="7"/>
        <v>0</v>
      </c>
      <c r="R19" s="68">
        <f t="shared" si="3"/>
        <v>0</v>
      </c>
      <c r="S19" s="68">
        <f t="shared" si="4"/>
        <v>76</v>
      </c>
      <c r="T19" s="68">
        <f t="shared" si="8"/>
        <v>76</v>
      </c>
      <c r="U19" s="265">
        <f t="shared" si="9"/>
        <v>5059</v>
      </c>
      <c r="V19" s="93">
        <f t="shared" si="10"/>
        <v>0</v>
      </c>
      <c r="W19" s="449" cm="1">
        <f t="array" ref="W19">+IF(U19&lt;0,error,0)</f>
        <v>0</v>
      </c>
    </row>
    <row r="20" spans="1:23" ht="36.75" customHeight="1" x14ac:dyDescent="0.2">
      <c r="A20" s="101" t="s">
        <v>1682</v>
      </c>
      <c r="B20" s="102"/>
      <c r="C20" s="71" t="s">
        <v>1683</v>
      </c>
      <c r="D20" s="65">
        <v>41891</v>
      </c>
      <c r="E20" s="66"/>
      <c r="F20" s="67"/>
      <c r="G20" s="67"/>
      <c r="H20" s="67">
        <v>1128.6400000000001</v>
      </c>
      <c r="I20" s="354">
        <v>951.64</v>
      </c>
      <c r="J20" s="67">
        <v>0</v>
      </c>
      <c r="K20" s="68">
        <f t="shared" si="1"/>
        <v>0</v>
      </c>
      <c r="L20" s="68">
        <f t="shared" si="2"/>
        <v>0</v>
      </c>
      <c r="M20" s="69">
        <v>2.5</v>
      </c>
      <c r="N20" s="70" t="s">
        <v>17</v>
      </c>
      <c r="O20" s="68">
        <f t="shared" si="5"/>
        <v>0</v>
      </c>
      <c r="P20" s="68">
        <f t="shared" si="6"/>
        <v>0</v>
      </c>
      <c r="Q20" s="68">
        <f t="shared" si="7"/>
        <v>0</v>
      </c>
      <c r="R20" s="68">
        <f t="shared" si="3"/>
        <v>0</v>
      </c>
      <c r="S20" s="68">
        <f t="shared" si="4"/>
        <v>14</v>
      </c>
      <c r="T20" s="68">
        <f t="shared" si="8"/>
        <v>14</v>
      </c>
      <c r="U20" s="265">
        <f t="shared" si="9"/>
        <v>937.64</v>
      </c>
      <c r="V20" s="93">
        <f t="shared" si="10"/>
        <v>0</v>
      </c>
      <c r="W20" s="449" cm="1">
        <f t="array" ref="W20">+IF(U20&lt;0,error,0)</f>
        <v>0</v>
      </c>
    </row>
    <row r="21" spans="1:23" ht="36.75" customHeight="1" x14ac:dyDescent="0.2">
      <c r="A21" s="101" t="s">
        <v>1684</v>
      </c>
      <c r="B21" s="102"/>
      <c r="C21" s="72" t="s">
        <v>1681</v>
      </c>
      <c r="D21" s="65">
        <v>41891</v>
      </c>
      <c r="E21" s="66"/>
      <c r="F21" s="67"/>
      <c r="G21" s="67"/>
      <c r="H21" s="67">
        <v>5296</v>
      </c>
      <c r="I21" s="354">
        <v>4463</v>
      </c>
      <c r="J21" s="67">
        <v>0</v>
      </c>
      <c r="K21" s="68">
        <f t="shared" si="1"/>
        <v>0</v>
      </c>
      <c r="L21" s="68">
        <f t="shared" si="2"/>
        <v>0</v>
      </c>
      <c r="M21" s="69">
        <v>2.5</v>
      </c>
      <c r="N21" s="70" t="s">
        <v>17</v>
      </c>
      <c r="O21" s="68">
        <f t="shared" si="5"/>
        <v>0</v>
      </c>
      <c r="P21" s="68">
        <f t="shared" si="6"/>
        <v>0</v>
      </c>
      <c r="Q21" s="68">
        <f t="shared" si="7"/>
        <v>0</v>
      </c>
      <c r="R21" s="68">
        <f t="shared" si="3"/>
        <v>0</v>
      </c>
      <c r="S21" s="68">
        <f t="shared" si="4"/>
        <v>66</v>
      </c>
      <c r="T21" s="68">
        <f t="shared" si="8"/>
        <v>66</v>
      </c>
      <c r="U21" s="265">
        <f t="shared" si="9"/>
        <v>4397</v>
      </c>
      <c r="V21" s="93">
        <f t="shared" si="10"/>
        <v>0</v>
      </c>
      <c r="W21" s="449" cm="1">
        <f t="array" ref="W21">+IF(U21&lt;0,error,0)</f>
        <v>0</v>
      </c>
    </row>
    <row r="22" spans="1:23" ht="36.75" customHeight="1" x14ac:dyDescent="0.2">
      <c r="A22" s="101" t="s">
        <v>1685</v>
      </c>
      <c r="B22" s="102"/>
      <c r="C22" s="64" t="s">
        <v>1676</v>
      </c>
      <c r="D22" s="65">
        <v>41935</v>
      </c>
      <c r="E22" s="66"/>
      <c r="F22" s="67"/>
      <c r="G22" s="67"/>
      <c r="H22" s="67">
        <v>5708.11</v>
      </c>
      <c r="I22" s="354">
        <v>4825.1099999999997</v>
      </c>
      <c r="J22" s="67">
        <v>0</v>
      </c>
      <c r="K22" s="68">
        <f t="shared" si="1"/>
        <v>0</v>
      </c>
      <c r="L22" s="68">
        <f t="shared" si="2"/>
        <v>0</v>
      </c>
      <c r="M22" s="69">
        <v>2.5</v>
      </c>
      <c r="N22" s="70" t="s">
        <v>17</v>
      </c>
      <c r="O22" s="68">
        <f t="shared" si="5"/>
        <v>0</v>
      </c>
      <c r="P22" s="68">
        <f t="shared" si="6"/>
        <v>0</v>
      </c>
      <c r="Q22" s="68">
        <f t="shared" si="7"/>
        <v>0</v>
      </c>
      <c r="R22" s="68">
        <f t="shared" si="3"/>
        <v>0</v>
      </c>
      <c r="S22" s="68">
        <f t="shared" si="4"/>
        <v>71</v>
      </c>
      <c r="T22" s="68">
        <f t="shared" si="8"/>
        <v>71</v>
      </c>
      <c r="U22" s="265">
        <f t="shared" si="9"/>
        <v>4754.1099999999997</v>
      </c>
      <c r="V22" s="93">
        <f t="shared" si="10"/>
        <v>0</v>
      </c>
      <c r="W22" s="449" cm="1">
        <f t="array" ref="W22">+IF(U22&lt;0,error,0)</f>
        <v>0</v>
      </c>
    </row>
    <row r="23" spans="1:23" ht="36.75" customHeight="1" x14ac:dyDescent="0.2">
      <c r="A23" s="101" t="s">
        <v>1686</v>
      </c>
      <c r="B23" s="102"/>
      <c r="C23" s="64" t="s">
        <v>1687</v>
      </c>
      <c r="D23" s="65">
        <v>42122</v>
      </c>
      <c r="E23" s="66"/>
      <c r="F23" s="67"/>
      <c r="G23" s="67"/>
      <c r="H23" s="67">
        <v>6247.2</v>
      </c>
      <c r="I23" s="354">
        <v>5362.2</v>
      </c>
      <c r="J23" s="67">
        <v>0</v>
      </c>
      <c r="K23" s="68">
        <f t="shared" si="1"/>
        <v>0</v>
      </c>
      <c r="L23" s="68">
        <f t="shared" si="2"/>
        <v>0</v>
      </c>
      <c r="M23" s="69">
        <v>2.5</v>
      </c>
      <c r="N23" s="70" t="s">
        <v>17</v>
      </c>
      <c r="O23" s="68">
        <f t="shared" si="5"/>
        <v>0</v>
      </c>
      <c r="P23" s="68">
        <f t="shared" si="6"/>
        <v>0</v>
      </c>
      <c r="Q23" s="68">
        <f t="shared" si="7"/>
        <v>0</v>
      </c>
      <c r="R23" s="68">
        <f t="shared" si="3"/>
        <v>0</v>
      </c>
      <c r="S23" s="68">
        <f t="shared" si="4"/>
        <v>78</v>
      </c>
      <c r="T23" s="68">
        <f t="shared" si="8"/>
        <v>78</v>
      </c>
      <c r="U23" s="265">
        <f t="shared" si="9"/>
        <v>5284.2</v>
      </c>
      <c r="V23" s="93">
        <f t="shared" si="10"/>
        <v>0</v>
      </c>
      <c r="W23" s="449" cm="1">
        <f t="array" ref="W23">+IF(U23&lt;0,error,0)</f>
        <v>0</v>
      </c>
    </row>
    <row r="24" spans="1:23" ht="36.75" customHeight="1" x14ac:dyDescent="0.2">
      <c r="A24" s="101" t="s">
        <v>1688</v>
      </c>
      <c r="B24" s="102"/>
      <c r="C24" s="71" t="s">
        <v>1689</v>
      </c>
      <c r="D24" s="65">
        <v>41935</v>
      </c>
      <c r="E24" s="66"/>
      <c r="F24" s="67"/>
      <c r="G24" s="67"/>
      <c r="H24" s="67">
        <v>1900.75</v>
      </c>
      <c r="I24" s="354">
        <v>1607.75</v>
      </c>
      <c r="J24" s="67">
        <v>0</v>
      </c>
      <c r="K24" s="68">
        <f t="shared" si="1"/>
        <v>0</v>
      </c>
      <c r="L24" s="68">
        <f t="shared" si="2"/>
        <v>0</v>
      </c>
      <c r="M24" s="69">
        <v>2.5</v>
      </c>
      <c r="N24" s="70" t="s">
        <v>17</v>
      </c>
      <c r="O24" s="68">
        <f t="shared" si="5"/>
        <v>0</v>
      </c>
      <c r="P24" s="68">
        <f t="shared" si="6"/>
        <v>0</v>
      </c>
      <c r="Q24" s="68">
        <f t="shared" si="7"/>
        <v>0</v>
      </c>
      <c r="R24" s="68">
        <f t="shared" si="3"/>
        <v>0</v>
      </c>
      <c r="S24" s="68">
        <f t="shared" si="4"/>
        <v>23</v>
      </c>
      <c r="T24" s="68">
        <f t="shared" si="8"/>
        <v>23</v>
      </c>
      <c r="U24" s="265">
        <f t="shared" si="9"/>
        <v>1584.75</v>
      </c>
      <c r="V24" s="93">
        <f t="shared" si="10"/>
        <v>0</v>
      </c>
      <c r="W24" s="449" cm="1">
        <f t="array" ref="W24">+IF(U24&lt;0,error,0)</f>
        <v>0</v>
      </c>
    </row>
    <row r="25" spans="1:23" ht="36.75" customHeight="1" x14ac:dyDescent="0.2">
      <c r="A25" s="101" t="s">
        <v>1690</v>
      </c>
      <c r="B25" s="102"/>
      <c r="C25" s="72" t="s">
        <v>1689</v>
      </c>
      <c r="D25" s="65">
        <v>42095</v>
      </c>
      <c r="E25" s="66"/>
      <c r="F25" s="67"/>
      <c r="G25" s="67"/>
      <c r="H25" s="67">
        <v>4463.6500000000005</v>
      </c>
      <c r="I25" s="354">
        <v>3822.65</v>
      </c>
      <c r="J25" s="67">
        <v>0</v>
      </c>
      <c r="K25" s="68">
        <f t="shared" si="1"/>
        <v>0</v>
      </c>
      <c r="L25" s="68">
        <f t="shared" si="2"/>
        <v>0</v>
      </c>
      <c r="M25" s="69">
        <v>2.5</v>
      </c>
      <c r="N25" s="70" t="s">
        <v>17</v>
      </c>
      <c r="O25" s="68">
        <f t="shared" si="5"/>
        <v>0</v>
      </c>
      <c r="P25" s="68">
        <f t="shared" si="6"/>
        <v>0</v>
      </c>
      <c r="Q25" s="68">
        <f t="shared" si="7"/>
        <v>0</v>
      </c>
      <c r="R25" s="68">
        <f t="shared" si="3"/>
        <v>0</v>
      </c>
      <c r="S25" s="68">
        <f t="shared" si="4"/>
        <v>55</v>
      </c>
      <c r="T25" s="68">
        <f t="shared" si="8"/>
        <v>55</v>
      </c>
      <c r="U25" s="265">
        <f t="shared" si="9"/>
        <v>3767.65</v>
      </c>
      <c r="V25" s="93">
        <f t="shared" si="10"/>
        <v>0</v>
      </c>
      <c r="W25" s="449" cm="1">
        <f t="array" ref="W25">+IF(U25&lt;0,error,0)</f>
        <v>0</v>
      </c>
    </row>
    <row r="26" spans="1:23" ht="36.75" customHeight="1" x14ac:dyDescent="0.2">
      <c r="A26" s="101" t="s">
        <v>1691</v>
      </c>
      <c r="B26" s="102"/>
      <c r="C26" s="71" t="s">
        <v>1689</v>
      </c>
      <c r="D26" s="65">
        <v>42170</v>
      </c>
      <c r="E26" s="66"/>
      <c r="F26" s="67"/>
      <c r="G26" s="67"/>
      <c r="H26" s="67">
        <v>2366.9299999999998</v>
      </c>
      <c r="I26" s="354">
        <v>2040.9299999999998</v>
      </c>
      <c r="J26" s="67">
        <v>0</v>
      </c>
      <c r="K26" s="68">
        <f t="shared" si="1"/>
        <v>0</v>
      </c>
      <c r="L26" s="68">
        <f t="shared" si="2"/>
        <v>0</v>
      </c>
      <c r="M26" s="69">
        <v>2.5</v>
      </c>
      <c r="N26" s="70" t="s">
        <v>17</v>
      </c>
      <c r="O26" s="68">
        <f t="shared" si="5"/>
        <v>0</v>
      </c>
      <c r="P26" s="68">
        <f t="shared" si="6"/>
        <v>0</v>
      </c>
      <c r="Q26" s="68">
        <f t="shared" si="7"/>
        <v>0</v>
      </c>
      <c r="R26" s="68">
        <f t="shared" si="3"/>
        <v>0</v>
      </c>
      <c r="S26" s="68">
        <f t="shared" si="4"/>
        <v>29</v>
      </c>
      <c r="T26" s="68">
        <f t="shared" si="8"/>
        <v>29</v>
      </c>
      <c r="U26" s="265">
        <f t="shared" si="9"/>
        <v>2011.9299999999998</v>
      </c>
      <c r="V26" s="93">
        <f t="shared" si="10"/>
        <v>0</v>
      </c>
      <c r="W26" s="449" cm="1">
        <f t="array" ref="W26">+IF(U26&lt;0,error,0)</f>
        <v>0</v>
      </c>
    </row>
    <row r="27" spans="1:23" ht="36.75" customHeight="1" x14ac:dyDescent="0.2">
      <c r="A27" s="101" t="s">
        <v>1692</v>
      </c>
      <c r="B27" s="102"/>
      <c r="C27" s="71" t="s">
        <v>1693</v>
      </c>
      <c r="D27" s="65">
        <v>41960</v>
      </c>
      <c r="E27" s="66"/>
      <c r="F27" s="67"/>
      <c r="G27" s="67"/>
      <c r="H27" s="67">
        <v>20320</v>
      </c>
      <c r="I27" s="354">
        <v>0</v>
      </c>
      <c r="J27" s="67">
        <v>0</v>
      </c>
      <c r="K27" s="68">
        <f t="shared" si="1"/>
        <v>0</v>
      </c>
      <c r="L27" s="68">
        <f t="shared" si="2"/>
        <v>0</v>
      </c>
      <c r="M27" s="69">
        <v>20</v>
      </c>
      <c r="N27" s="70" t="s">
        <v>17</v>
      </c>
      <c r="O27" s="68">
        <f t="shared" si="5"/>
        <v>0</v>
      </c>
      <c r="P27" s="68">
        <f t="shared" si="6"/>
        <v>0</v>
      </c>
      <c r="Q27" s="68">
        <f t="shared" si="7"/>
        <v>0</v>
      </c>
      <c r="R27" s="68">
        <f t="shared" si="3"/>
        <v>0</v>
      </c>
      <c r="S27" s="68">
        <f t="shared" si="4"/>
        <v>2032</v>
      </c>
      <c r="T27" s="68">
        <v>0</v>
      </c>
      <c r="U27" s="265">
        <f t="shared" si="9"/>
        <v>0</v>
      </c>
      <c r="V27" s="93">
        <f t="shared" si="10"/>
        <v>0</v>
      </c>
      <c r="W27" s="449" cm="1">
        <f t="array" ref="W27">+IF(U27&lt;0,error,0)</f>
        <v>0</v>
      </c>
    </row>
    <row r="28" spans="1:23" ht="36.75" customHeight="1" x14ac:dyDescent="0.2">
      <c r="A28" s="101" t="s">
        <v>1694</v>
      </c>
      <c r="B28" s="102"/>
      <c r="C28" s="73" t="s">
        <v>1695</v>
      </c>
      <c r="D28" s="65">
        <v>41971</v>
      </c>
      <c r="E28" s="66"/>
      <c r="F28" s="67"/>
      <c r="G28" s="67"/>
      <c r="H28" s="67">
        <v>6712</v>
      </c>
      <c r="I28" s="354">
        <v>5693</v>
      </c>
      <c r="J28" s="67">
        <v>0</v>
      </c>
      <c r="K28" s="68">
        <f t="shared" si="1"/>
        <v>0</v>
      </c>
      <c r="L28" s="68">
        <f t="shared" si="2"/>
        <v>0</v>
      </c>
      <c r="M28" s="69">
        <v>2.5</v>
      </c>
      <c r="N28" s="70" t="s">
        <v>17</v>
      </c>
      <c r="O28" s="68">
        <f t="shared" si="5"/>
        <v>0</v>
      </c>
      <c r="P28" s="68">
        <f t="shared" si="6"/>
        <v>0</v>
      </c>
      <c r="Q28" s="68">
        <f t="shared" si="7"/>
        <v>0</v>
      </c>
      <c r="R28" s="68">
        <f t="shared" si="3"/>
        <v>0</v>
      </c>
      <c r="S28" s="68">
        <f t="shared" si="4"/>
        <v>83</v>
      </c>
      <c r="T28" s="68">
        <f t="shared" ref="T28:T91" si="11">+R28+S28+Q28</f>
        <v>83</v>
      </c>
      <c r="U28" s="265">
        <f t="shared" si="9"/>
        <v>5610</v>
      </c>
      <c r="V28" s="93">
        <f t="shared" si="10"/>
        <v>0</v>
      </c>
      <c r="W28" s="449" cm="1">
        <f t="array" ref="W28">+IF(U28&lt;0,error,0)</f>
        <v>0</v>
      </c>
    </row>
    <row r="29" spans="1:23" ht="36.75" customHeight="1" x14ac:dyDescent="0.2">
      <c r="A29" s="101" t="s">
        <v>1696</v>
      </c>
      <c r="B29" s="102"/>
      <c r="C29" s="72" t="s">
        <v>1695</v>
      </c>
      <c r="D29" s="65">
        <v>42082</v>
      </c>
      <c r="E29" s="66"/>
      <c r="F29" s="67"/>
      <c r="G29" s="67"/>
      <c r="H29" s="67">
        <v>1425</v>
      </c>
      <c r="I29" s="354">
        <v>1221</v>
      </c>
      <c r="J29" s="67">
        <v>0</v>
      </c>
      <c r="K29" s="68">
        <f t="shared" si="1"/>
        <v>0</v>
      </c>
      <c r="L29" s="68">
        <f t="shared" si="2"/>
        <v>0</v>
      </c>
      <c r="M29" s="69">
        <v>2.5</v>
      </c>
      <c r="N29" s="70" t="s">
        <v>17</v>
      </c>
      <c r="O29" s="68">
        <f t="shared" si="5"/>
        <v>0</v>
      </c>
      <c r="P29" s="68">
        <f t="shared" si="6"/>
        <v>0</v>
      </c>
      <c r="Q29" s="68">
        <f t="shared" si="7"/>
        <v>0</v>
      </c>
      <c r="R29" s="68">
        <f t="shared" si="3"/>
        <v>0</v>
      </c>
      <c r="S29" s="68">
        <f t="shared" si="4"/>
        <v>17</v>
      </c>
      <c r="T29" s="68">
        <f t="shared" si="11"/>
        <v>17</v>
      </c>
      <c r="U29" s="265">
        <f t="shared" si="9"/>
        <v>1204</v>
      </c>
      <c r="V29" s="93">
        <f t="shared" si="10"/>
        <v>0</v>
      </c>
      <c r="W29" s="449" cm="1">
        <f t="array" ref="W29">+IF(U29&lt;0,error,0)</f>
        <v>0</v>
      </c>
    </row>
    <row r="30" spans="1:23" ht="36.75" customHeight="1" x14ac:dyDescent="0.2">
      <c r="A30" s="101" t="s">
        <v>1697</v>
      </c>
      <c r="B30" s="102"/>
      <c r="C30" s="73" t="s">
        <v>1698</v>
      </c>
      <c r="D30" s="65">
        <v>42018</v>
      </c>
      <c r="E30" s="66"/>
      <c r="F30" s="67"/>
      <c r="G30" s="67"/>
      <c r="H30" s="67">
        <v>35118.58</v>
      </c>
      <c r="I30" s="354">
        <v>29886.58</v>
      </c>
      <c r="J30" s="67">
        <v>0</v>
      </c>
      <c r="K30" s="68">
        <f t="shared" si="1"/>
        <v>0</v>
      </c>
      <c r="L30" s="68">
        <f t="shared" si="2"/>
        <v>0</v>
      </c>
      <c r="M30" s="69">
        <v>2.5</v>
      </c>
      <c r="N30" s="70" t="s">
        <v>17</v>
      </c>
      <c r="O30" s="68">
        <f t="shared" si="5"/>
        <v>0</v>
      </c>
      <c r="P30" s="68">
        <f t="shared" si="6"/>
        <v>0</v>
      </c>
      <c r="Q30" s="68">
        <f t="shared" si="7"/>
        <v>0</v>
      </c>
      <c r="R30" s="68">
        <f t="shared" si="3"/>
        <v>0</v>
      </c>
      <c r="S30" s="68">
        <f t="shared" si="4"/>
        <v>438</v>
      </c>
      <c r="T30" s="68">
        <f t="shared" si="11"/>
        <v>438</v>
      </c>
      <c r="U30" s="265">
        <f t="shared" si="9"/>
        <v>29448.58</v>
      </c>
      <c r="V30" s="93">
        <f t="shared" si="10"/>
        <v>0</v>
      </c>
      <c r="W30" s="449" cm="1">
        <f t="array" ref="W30">+IF(U30&lt;0,error,0)</f>
        <v>0</v>
      </c>
    </row>
    <row r="31" spans="1:23" ht="36.75" customHeight="1" x14ac:dyDescent="0.2">
      <c r="A31" s="101" t="s">
        <v>1699</v>
      </c>
      <c r="B31" s="102"/>
      <c r="C31" s="72" t="s">
        <v>1695</v>
      </c>
      <c r="D31" s="65">
        <v>42096</v>
      </c>
      <c r="E31" s="66"/>
      <c r="F31" s="67"/>
      <c r="G31" s="67"/>
      <c r="H31" s="67">
        <v>763</v>
      </c>
      <c r="I31" s="354">
        <v>655</v>
      </c>
      <c r="J31" s="67">
        <v>0</v>
      </c>
      <c r="K31" s="68">
        <f t="shared" si="1"/>
        <v>0</v>
      </c>
      <c r="L31" s="68">
        <f t="shared" si="2"/>
        <v>0</v>
      </c>
      <c r="M31" s="69">
        <v>2.5</v>
      </c>
      <c r="N31" s="70" t="s">
        <v>17</v>
      </c>
      <c r="O31" s="68">
        <f t="shared" si="5"/>
        <v>0</v>
      </c>
      <c r="P31" s="68">
        <f t="shared" si="6"/>
        <v>0</v>
      </c>
      <c r="Q31" s="68">
        <f t="shared" si="7"/>
        <v>0</v>
      </c>
      <c r="R31" s="68">
        <f t="shared" si="3"/>
        <v>0</v>
      </c>
      <c r="S31" s="68">
        <f t="shared" si="4"/>
        <v>9</v>
      </c>
      <c r="T31" s="68">
        <f t="shared" si="11"/>
        <v>9</v>
      </c>
      <c r="U31" s="265">
        <f t="shared" si="9"/>
        <v>646</v>
      </c>
      <c r="V31" s="93">
        <f t="shared" si="10"/>
        <v>0</v>
      </c>
      <c r="W31" s="449" cm="1">
        <f t="array" ref="W31">+IF(U31&lt;0,error,0)</f>
        <v>0</v>
      </c>
    </row>
    <row r="32" spans="1:23" ht="36.75" customHeight="1" x14ac:dyDescent="0.2">
      <c r="A32" s="101" t="s">
        <v>1700</v>
      </c>
      <c r="B32" s="102"/>
      <c r="C32" s="64" t="s">
        <v>1698</v>
      </c>
      <c r="D32" s="65">
        <v>42130</v>
      </c>
      <c r="E32" s="66"/>
      <c r="F32" s="67"/>
      <c r="G32" s="67"/>
      <c r="H32" s="67">
        <v>5339.55</v>
      </c>
      <c r="I32" s="354">
        <v>4589.55</v>
      </c>
      <c r="J32" s="67">
        <v>0</v>
      </c>
      <c r="K32" s="68">
        <f t="shared" si="1"/>
        <v>0</v>
      </c>
      <c r="L32" s="68">
        <f t="shared" si="2"/>
        <v>0</v>
      </c>
      <c r="M32" s="69">
        <v>2.5</v>
      </c>
      <c r="N32" s="70" t="s">
        <v>17</v>
      </c>
      <c r="O32" s="68">
        <f t="shared" si="5"/>
        <v>0</v>
      </c>
      <c r="P32" s="68">
        <f t="shared" si="6"/>
        <v>0</v>
      </c>
      <c r="Q32" s="68">
        <f t="shared" si="7"/>
        <v>0</v>
      </c>
      <c r="R32" s="68">
        <f t="shared" si="3"/>
        <v>0</v>
      </c>
      <c r="S32" s="68">
        <f t="shared" si="4"/>
        <v>66</v>
      </c>
      <c r="T32" s="68">
        <f t="shared" si="11"/>
        <v>66</v>
      </c>
      <c r="U32" s="265">
        <f t="shared" si="9"/>
        <v>4523.55</v>
      </c>
      <c r="V32" s="93">
        <f t="shared" si="10"/>
        <v>0</v>
      </c>
      <c r="W32" s="449" cm="1">
        <f t="array" ref="W32">+IF(U32&lt;0,error,0)</f>
        <v>0</v>
      </c>
    </row>
    <row r="33" spans="1:23" ht="36.75" customHeight="1" x14ac:dyDescent="0.2">
      <c r="A33" s="101" t="s">
        <v>1701</v>
      </c>
      <c r="B33" s="102"/>
      <c r="C33" s="64" t="s">
        <v>1702</v>
      </c>
      <c r="D33" s="65">
        <v>42175</v>
      </c>
      <c r="E33" s="66"/>
      <c r="F33" s="67"/>
      <c r="G33" s="67"/>
      <c r="H33" s="67">
        <v>196.81</v>
      </c>
      <c r="I33" s="354">
        <v>170.81</v>
      </c>
      <c r="J33" s="67">
        <v>0</v>
      </c>
      <c r="K33" s="68">
        <f t="shared" si="1"/>
        <v>0</v>
      </c>
      <c r="L33" s="68">
        <f t="shared" si="2"/>
        <v>0</v>
      </c>
      <c r="M33" s="69">
        <v>2.5</v>
      </c>
      <c r="N33" s="70" t="s">
        <v>17</v>
      </c>
      <c r="O33" s="68">
        <f t="shared" si="5"/>
        <v>0</v>
      </c>
      <c r="P33" s="68">
        <f t="shared" si="6"/>
        <v>0</v>
      </c>
      <c r="Q33" s="68">
        <f t="shared" si="7"/>
        <v>0</v>
      </c>
      <c r="R33" s="68">
        <f t="shared" si="3"/>
        <v>0</v>
      </c>
      <c r="S33" s="68">
        <f t="shared" si="4"/>
        <v>2</v>
      </c>
      <c r="T33" s="68">
        <f t="shared" si="11"/>
        <v>2</v>
      </c>
      <c r="U33" s="265">
        <f t="shared" si="9"/>
        <v>168.81</v>
      </c>
      <c r="V33" s="93">
        <f t="shared" si="10"/>
        <v>0</v>
      </c>
      <c r="W33" s="449" cm="1">
        <f t="array" ref="W33">+IF(U33&lt;0,error,0)</f>
        <v>0</v>
      </c>
    </row>
    <row r="34" spans="1:23" ht="36.75" customHeight="1" x14ac:dyDescent="0.2">
      <c r="A34" s="101" t="s">
        <v>1703</v>
      </c>
      <c r="B34" s="102"/>
      <c r="C34" s="64" t="s">
        <v>1704</v>
      </c>
      <c r="D34" s="65">
        <v>42186</v>
      </c>
      <c r="E34" s="66"/>
      <c r="F34" s="67"/>
      <c r="G34" s="67"/>
      <c r="H34" s="67">
        <v>33936.89</v>
      </c>
      <c r="I34" s="354">
        <v>29270.89</v>
      </c>
      <c r="J34" s="67">
        <v>0</v>
      </c>
      <c r="K34" s="68">
        <f t="shared" si="1"/>
        <v>0</v>
      </c>
      <c r="L34" s="68">
        <f t="shared" si="2"/>
        <v>0</v>
      </c>
      <c r="M34" s="69">
        <v>2.5</v>
      </c>
      <c r="N34" s="70" t="s">
        <v>17</v>
      </c>
      <c r="O34" s="68">
        <f t="shared" si="5"/>
        <v>0</v>
      </c>
      <c r="P34" s="68">
        <f t="shared" si="6"/>
        <v>0</v>
      </c>
      <c r="Q34" s="68">
        <f t="shared" si="7"/>
        <v>0</v>
      </c>
      <c r="R34" s="68">
        <f t="shared" si="3"/>
        <v>0</v>
      </c>
      <c r="S34" s="68">
        <f t="shared" si="4"/>
        <v>424</v>
      </c>
      <c r="T34" s="68">
        <f t="shared" si="11"/>
        <v>424</v>
      </c>
      <c r="U34" s="265">
        <f t="shared" si="9"/>
        <v>28846.89</v>
      </c>
      <c r="V34" s="93">
        <f t="shared" si="10"/>
        <v>0</v>
      </c>
      <c r="W34" s="449" cm="1">
        <f t="array" ref="W34">+IF(U34&lt;0,error,0)</f>
        <v>0</v>
      </c>
    </row>
    <row r="35" spans="1:23" ht="36.75" customHeight="1" x14ac:dyDescent="0.2">
      <c r="A35" s="101" t="s">
        <v>1705</v>
      </c>
      <c r="B35" s="102"/>
      <c r="C35" s="64" t="s">
        <v>1706</v>
      </c>
      <c r="D35" s="65">
        <v>42514</v>
      </c>
      <c r="E35" s="66"/>
      <c r="F35" s="67"/>
      <c r="G35" s="67"/>
      <c r="H35" s="67">
        <v>1746.3600000000001</v>
      </c>
      <c r="I35" s="354">
        <v>773.36000000000013</v>
      </c>
      <c r="J35" s="67">
        <v>0</v>
      </c>
      <c r="K35" s="68">
        <f t="shared" si="1"/>
        <v>0</v>
      </c>
      <c r="L35" s="68">
        <f t="shared" si="2"/>
        <v>0</v>
      </c>
      <c r="M35" s="69">
        <v>16.669999999999998</v>
      </c>
      <c r="N35" s="70" t="s">
        <v>289</v>
      </c>
      <c r="O35" s="68">
        <f t="shared" si="5"/>
        <v>0</v>
      </c>
      <c r="P35" s="68">
        <f t="shared" si="6"/>
        <v>0</v>
      </c>
      <c r="Q35" s="68">
        <f t="shared" si="7"/>
        <v>0</v>
      </c>
      <c r="R35" s="68">
        <f t="shared" si="3"/>
        <v>64</v>
      </c>
      <c r="S35" s="68">
        <f t="shared" si="4"/>
        <v>0</v>
      </c>
      <c r="T35" s="68">
        <f t="shared" si="11"/>
        <v>64</v>
      </c>
      <c r="U35" s="265">
        <f t="shared" si="9"/>
        <v>709.36000000000013</v>
      </c>
      <c r="V35" s="93">
        <f t="shared" si="10"/>
        <v>0</v>
      </c>
      <c r="W35" s="449" cm="1">
        <f t="array" ref="W35">+IF(U35&lt;0,error,0)</f>
        <v>0</v>
      </c>
    </row>
    <row r="36" spans="1:23" ht="36.75" customHeight="1" x14ac:dyDescent="0.2">
      <c r="A36" s="101" t="s">
        <v>1707</v>
      </c>
      <c r="B36" s="102"/>
      <c r="C36" s="64" t="s">
        <v>1708</v>
      </c>
      <c r="D36" s="65">
        <v>42514</v>
      </c>
      <c r="E36" s="66"/>
      <c r="F36" s="67"/>
      <c r="G36" s="67"/>
      <c r="H36" s="67">
        <v>4398.41</v>
      </c>
      <c r="I36" s="354">
        <v>3895.41</v>
      </c>
      <c r="J36" s="67">
        <v>0</v>
      </c>
      <c r="K36" s="68">
        <f t="shared" si="1"/>
        <v>0</v>
      </c>
      <c r="L36" s="68">
        <f t="shared" si="2"/>
        <v>0</v>
      </c>
      <c r="M36" s="69">
        <v>2.5</v>
      </c>
      <c r="N36" s="70" t="s">
        <v>17</v>
      </c>
      <c r="O36" s="68">
        <f t="shared" si="5"/>
        <v>0</v>
      </c>
      <c r="P36" s="68">
        <f t="shared" si="6"/>
        <v>0</v>
      </c>
      <c r="Q36" s="68">
        <f t="shared" si="7"/>
        <v>0</v>
      </c>
      <c r="R36" s="68">
        <f t="shared" si="3"/>
        <v>0</v>
      </c>
      <c r="S36" s="68">
        <f t="shared" si="4"/>
        <v>54</v>
      </c>
      <c r="T36" s="68">
        <f t="shared" si="11"/>
        <v>54</v>
      </c>
      <c r="U36" s="265">
        <f t="shared" si="9"/>
        <v>3841.41</v>
      </c>
      <c r="V36" s="93">
        <f t="shared" si="10"/>
        <v>0</v>
      </c>
      <c r="W36" s="449" cm="1">
        <f t="array" ref="W36">+IF(U36&lt;0,error,0)</f>
        <v>0</v>
      </c>
    </row>
    <row r="37" spans="1:23" ht="36.75" customHeight="1" x14ac:dyDescent="0.2">
      <c r="A37" s="101" t="s">
        <v>1709</v>
      </c>
      <c r="B37" s="102"/>
      <c r="C37" s="64" t="s">
        <v>1710</v>
      </c>
      <c r="D37" s="65">
        <v>42514</v>
      </c>
      <c r="E37" s="66"/>
      <c r="F37" s="67"/>
      <c r="G37" s="67"/>
      <c r="H37" s="67">
        <v>3646.48</v>
      </c>
      <c r="I37" s="354">
        <v>3229.48</v>
      </c>
      <c r="J37" s="67">
        <v>0</v>
      </c>
      <c r="K37" s="68">
        <f t="shared" si="1"/>
        <v>0</v>
      </c>
      <c r="L37" s="68">
        <f t="shared" si="2"/>
        <v>0</v>
      </c>
      <c r="M37" s="69">
        <v>2.5</v>
      </c>
      <c r="N37" s="70" t="s">
        <v>17</v>
      </c>
      <c r="O37" s="68">
        <f t="shared" si="5"/>
        <v>0</v>
      </c>
      <c r="P37" s="68">
        <f t="shared" si="6"/>
        <v>0</v>
      </c>
      <c r="Q37" s="68">
        <f t="shared" si="7"/>
        <v>0</v>
      </c>
      <c r="R37" s="68">
        <f t="shared" si="3"/>
        <v>0</v>
      </c>
      <c r="S37" s="68">
        <f t="shared" si="4"/>
        <v>45</v>
      </c>
      <c r="T37" s="68">
        <f t="shared" si="11"/>
        <v>45</v>
      </c>
      <c r="U37" s="265">
        <f t="shared" si="9"/>
        <v>3184.48</v>
      </c>
      <c r="V37" s="93">
        <f t="shared" si="10"/>
        <v>0</v>
      </c>
      <c r="W37" s="449" cm="1">
        <f t="array" ref="W37">+IF(U37&lt;0,error,0)</f>
        <v>0</v>
      </c>
    </row>
    <row r="38" spans="1:23" ht="36.75" customHeight="1" x14ac:dyDescent="0.2">
      <c r="A38" s="101" t="s">
        <v>1711</v>
      </c>
      <c r="B38" s="102"/>
      <c r="C38" s="64" t="s">
        <v>1096</v>
      </c>
      <c r="D38" s="65">
        <v>42514</v>
      </c>
      <c r="E38" s="66"/>
      <c r="F38" s="67"/>
      <c r="G38" s="67"/>
      <c r="H38" s="67">
        <v>445</v>
      </c>
      <c r="I38" s="354">
        <v>167</v>
      </c>
      <c r="J38" s="67">
        <v>0</v>
      </c>
      <c r="K38" s="68">
        <f t="shared" si="1"/>
        <v>0</v>
      </c>
      <c r="L38" s="68">
        <f t="shared" si="2"/>
        <v>0</v>
      </c>
      <c r="M38" s="69">
        <v>20</v>
      </c>
      <c r="N38" s="70" t="s">
        <v>289</v>
      </c>
      <c r="O38" s="68">
        <f t="shared" si="5"/>
        <v>0</v>
      </c>
      <c r="P38" s="68">
        <f t="shared" si="6"/>
        <v>0</v>
      </c>
      <c r="Q38" s="68">
        <f t="shared" si="7"/>
        <v>0</v>
      </c>
      <c r="R38" s="68">
        <f t="shared" si="3"/>
        <v>16</v>
      </c>
      <c r="S38" s="68">
        <f t="shared" si="4"/>
        <v>0</v>
      </c>
      <c r="T38" s="68">
        <f t="shared" si="11"/>
        <v>16</v>
      </c>
      <c r="U38" s="265">
        <f t="shared" si="9"/>
        <v>151</v>
      </c>
      <c r="V38" s="93">
        <f t="shared" si="10"/>
        <v>0</v>
      </c>
      <c r="W38" s="449" cm="1">
        <f t="array" ref="W38">+IF(U38&lt;0,error,0)</f>
        <v>0</v>
      </c>
    </row>
    <row r="39" spans="1:23" ht="36.75" customHeight="1" x14ac:dyDescent="0.2">
      <c r="A39" s="101" t="s">
        <v>1712</v>
      </c>
      <c r="B39" s="102"/>
      <c r="C39" s="73" t="s">
        <v>1713</v>
      </c>
      <c r="D39" s="65">
        <v>42514</v>
      </c>
      <c r="E39" s="66"/>
      <c r="F39" s="67"/>
      <c r="G39" s="67"/>
      <c r="H39" s="67">
        <v>434.09000000000003</v>
      </c>
      <c r="I39" s="354">
        <v>385.09000000000003</v>
      </c>
      <c r="J39" s="67">
        <v>0</v>
      </c>
      <c r="K39" s="68">
        <f t="shared" si="1"/>
        <v>0</v>
      </c>
      <c r="L39" s="68">
        <f t="shared" si="2"/>
        <v>0</v>
      </c>
      <c r="M39" s="69">
        <v>2.5</v>
      </c>
      <c r="N39" s="70" t="s">
        <v>17</v>
      </c>
      <c r="O39" s="68">
        <f t="shared" si="5"/>
        <v>0</v>
      </c>
      <c r="P39" s="68">
        <f t="shared" si="6"/>
        <v>0</v>
      </c>
      <c r="Q39" s="68">
        <f t="shared" si="7"/>
        <v>0</v>
      </c>
      <c r="R39" s="68">
        <f t="shared" si="3"/>
        <v>0</v>
      </c>
      <c r="S39" s="68">
        <f t="shared" si="4"/>
        <v>5</v>
      </c>
      <c r="T39" s="68">
        <f t="shared" si="11"/>
        <v>5</v>
      </c>
      <c r="U39" s="265">
        <f t="shared" si="9"/>
        <v>380.09000000000003</v>
      </c>
      <c r="V39" s="93">
        <f t="shared" si="10"/>
        <v>0</v>
      </c>
      <c r="W39" s="449" cm="1">
        <f t="array" ref="W39">+IF(U39&lt;0,error,0)</f>
        <v>0</v>
      </c>
    </row>
    <row r="40" spans="1:23" ht="36.75" customHeight="1" x14ac:dyDescent="0.2">
      <c r="A40" s="101" t="s">
        <v>1714</v>
      </c>
      <c r="B40" s="102"/>
      <c r="C40" s="72" t="s">
        <v>1715</v>
      </c>
      <c r="D40" s="65">
        <v>42514</v>
      </c>
      <c r="E40" s="66"/>
      <c r="F40" s="67"/>
      <c r="G40" s="67"/>
      <c r="H40" s="67">
        <v>118.18</v>
      </c>
      <c r="I40" s="354">
        <v>106.18</v>
      </c>
      <c r="J40" s="67">
        <v>0</v>
      </c>
      <c r="K40" s="68">
        <f t="shared" si="1"/>
        <v>0</v>
      </c>
      <c r="L40" s="68">
        <f t="shared" si="2"/>
        <v>0</v>
      </c>
      <c r="M40" s="69">
        <v>2.5</v>
      </c>
      <c r="N40" s="70" t="s">
        <v>17</v>
      </c>
      <c r="O40" s="68">
        <f t="shared" si="5"/>
        <v>0</v>
      </c>
      <c r="P40" s="68">
        <f t="shared" si="6"/>
        <v>0</v>
      </c>
      <c r="Q40" s="68">
        <f t="shared" si="7"/>
        <v>0</v>
      </c>
      <c r="R40" s="68">
        <f t="shared" si="3"/>
        <v>0</v>
      </c>
      <c r="S40" s="68">
        <f t="shared" si="4"/>
        <v>1</v>
      </c>
      <c r="T40" s="68">
        <f t="shared" si="11"/>
        <v>1</v>
      </c>
      <c r="U40" s="265">
        <f t="shared" si="9"/>
        <v>105.18</v>
      </c>
      <c r="V40" s="93">
        <f t="shared" si="10"/>
        <v>0</v>
      </c>
      <c r="W40" s="449" cm="1">
        <f t="array" ref="W40">+IF(U40&lt;0,error,0)</f>
        <v>0</v>
      </c>
    </row>
    <row r="41" spans="1:23" ht="36.75" customHeight="1" x14ac:dyDescent="0.2">
      <c r="A41" s="101" t="s">
        <v>1716</v>
      </c>
      <c r="B41" s="102"/>
      <c r="C41" s="73" t="s">
        <v>1717</v>
      </c>
      <c r="D41" s="65">
        <v>42514</v>
      </c>
      <c r="E41" s="66"/>
      <c r="F41" s="67"/>
      <c r="G41" s="67"/>
      <c r="H41" s="67">
        <v>4480</v>
      </c>
      <c r="I41" s="354">
        <v>506</v>
      </c>
      <c r="J41" s="67">
        <v>0</v>
      </c>
      <c r="K41" s="68">
        <f t="shared" si="1"/>
        <v>0</v>
      </c>
      <c r="L41" s="68">
        <f t="shared" si="2"/>
        <v>0</v>
      </c>
      <c r="M41" s="69">
        <v>40</v>
      </c>
      <c r="N41" s="70" t="s">
        <v>289</v>
      </c>
      <c r="O41" s="68">
        <f t="shared" si="5"/>
        <v>0</v>
      </c>
      <c r="P41" s="68">
        <f t="shared" si="6"/>
        <v>0</v>
      </c>
      <c r="Q41" s="68">
        <f t="shared" si="7"/>
        <v>0</v>
      </c>
      <c r="R41" s="68">
        <f t="shared" si="3"/>
        <v>101</v>
      </c>
      <c r="S41" s="68">
        <f t="shared" si="4"/>
        <v>0</v>
      </c>
      <c r="T41" s="68">
        <f t="shared" si="11"/>
        <v>101</v>
      </c>
      <c r="U41" s="265">
        <f t="shared" si="9"/>
        <v>405</v>
      </c>
      <c r="V41" s="93">
        <f t="shared" si="10"/>
        <v>0</v>
      </c>
      <c r="W41" s="449" cm="1">
        <f t="array" ref="W41">+IF(U41&lt;0,error,0)</f>
        <v>0</v>
      </c>
    </row>
    <row r="42" spans="1:23" ht="36.75" customHeight="1" x14ac:dyDescent="0.2">
      <c r="A42" s="101" t="s">
        <v>1718</v>
      </c>
      <c r="B42" s="102"/>
      <c r="C42" s="73" t="s">
        <v>1719</v>
      </c>
      <c r="D42" s="65">
        <v>42514</v>
      </c>
      <c r="E42" s="66"/>
      <c r="F42" s="67"/>
      <c r="G42" s="67"/>
      <c r="H42" s="67">
        <v>945.45</v>
      </c>
      <c r="I42" s="354">
        <v>351.45000000000005</v>
      </c>
      <c r="J42" s="67">
        <v>0</v>
      </c>
      <c r="K42" s="68">
        <f t="shared" si="1"/>
        <v>0</v>
      </c>
      <c r="L42" s="68">
        <f t="shared" si="2"/>
        <v>0</v>
      </c>
      <c r="M42" s="69">
        <v>20</v>
      </c>
      <c r="N42" s="70" t="s">
        <v>289</v>
      </c>
      <c r="O42" s="68">
        <f t="shared" si="5"/>
        <v>0</v>
      </c>
      <c r="P42" s="68">
        <f t="shared" si="6"/>
        <v>0</v>
      </c>
      <c r="Q42" s="68">
        <f t="shared" si="7"/>
        <v>0</v>
      </c>
      <c r="R42" s="68">
        <f t="shared" si="3"/>
        <v>35</v>
      </c>
      <c r="S42" s="68">
        <f t="shared" si="4"/>
        <v>0</v>
      </c>
      <c r="T42" s="68">
        <f t="shared" si="11"/>
        <v>35</v>
      </c>
      <c r="U42" s="265">
        <f t="shared" si="9"/>
        <v>316.45000000000005</v>
      </c>
      <c r="V42" s="93">
        <f t="shared" si="10"/>
        <v>0</v>
      </c>
      <c r="W42" s="449" cm="1">
        <f t="array" ref="W42">+IF(U42&lt;0,error,0)</f>
        <v>0</v>
      </c>
    </row>
    <row r="43" spans="1:23" ht="36.75" customHeight="1" x14ac:dyDescent="0.2">
      <c r="A43" s="101" t="s">
        <v>1720</v>
      </c>
      <c r="B43" s="102"/>
      <c r="C43" s="72" t="s">
        <v>1721</v>
      </c>
      <c r="D43" s="65">
        <v>42514</v>
      </c>
      <c r="E43" s="66"/>
      <c r="F43" s="67"/>
      <c r="G43" s="67"/>
      <c r="H43" s="67">
        <v>7439</v>
      </c>
      <c r="I43" s="354">
        <v>6586</v>
      </c>
      <c r="J43" s="67">
        <v>0</v>
      </c>
      <c r="K43" s="68">
        <f t="shared" si="1"/>
        <v>0</v>
      </c>
      <c r="L43" s="68">
        <f t="shared" si="2"/>
        <v>0</v>
      </c>
      <c r="M43" s="69">
        <v>2.5</v>
      </c>
      <c r="N43" s="70" t="s">
        <v>17</v>
      </c>
      <c r="O43" s="68">
        <f t="shared" si="5"/>
        <v>0</v>
      </c>
      <c r="P43" s="68">
        <f t="shared" si="6"/>
        <v>0</v>
      </c>
      <c r="Q43" s="68">
        <f t="shared" si="7"/>
        <v>0</v>
      </c>
      <c r="R43" s="68">
        <f t="shared" si="3"/>
        <v>0</v>
      </c>
      <c r="S43" s="68">
        <f t="shared" si="4"/>
        <v>92</v>
      </c>
      <c r="T43" s="68">
        <f t="shared" si="11"/>
        <v>92</v>
      </c>
      <c r="U43" s="265">
        <f t="shared" si="9"/>
        <v>6494</v>
      </c>
      <c r="V43" s="93">
        <f t="shared" si="10"/>
        <v>0</v>
      </c>
      <c r="W43" s="449" cm="1">
        <f t="array" ref="W43">+IF(U43&lt;0,error,0)</f>
        <v>0</v>
      </c>
    </row>
    <row r="44" spans="1:23" ht="36.75" customHeight="1" x14ac:dyDescent="0.2">
      <c r="A44" s="101" t="s">
        <v>1722</v>
      </c>
      <c r="B44" s="102"/>
      <c r="C44" s="73" t="s">
        <v>1723</v>
      </c>
      <c r="D44" s="65">
        <v>42551</v>
      </c>
      <c r="E44" s="66"/>
      <c r="F44" s="67"/>
      <c r="G44" s="67"/>
      <c r="H44" s="67">
        <v>5339.55</v>
      </c>
      <c r="I44" s="354">
        <v>4741.55</v>
      </c>
      <c r="J44" s="67">
        <v>0</v>
      </c>
      <c r="K44" s="68">
        <f t="shared" si="1"/>
        <v>0</v>
      </c>
      <c r="L44" s="68">
        <f t="shared" si="2"/>
        <v>0</v>
      </c>
      <c r="M44" s="69">
        <v>2.5</v>
      </c>
      <c r="N44" s="70" t="s">
        <v>17</v>
      </c>
      <c r="O44" s="68">
        <f t="shared" si="5"/>
        <v>0</v>
      </c>
      <c r="P44" s="68">
        <f t="shared" si="6"/>
        <v>0</v>
      </c>
      <c r="Q44" s="68">
        <f t="shared" si="7"/>
        <v>0</v>
      </c>
      <c r="R44" s="68">
        <f t="shared" si="3"/>
        <v>0</v>
      </c>
      <c r="S44" s="68">
        <f t="shared" si="4"/>
        <v>66</v>
      </c>
      <c r="T44" s="68">
        <f t="shared" si="11"/>
        <v>66</v>
      </c>
      <c r="U44" s="265">
        <f t="shared" si="9"/>
        <v>4675.55</v>
      </c>
      <c r="V44" s="93">
        <f t="shared" si="10"/>
        <v>0</v>
      </c>
      <c r="W44" s="449" cm="1">
        <f t="array" ref="W44">+IF(U44&lt;0,error,0)</f>
        <v>0</v>
      </c>
    </row>
    <row r="45" spans="1:23" ht="36.75" customHeight="1" x14ac:dyDescent="0.2">
      <c r="A45" s="101" t="s">
        <v>1724</v>
      </c>
      <c r="B45" s="102"/>
      <c r="C45" s="73" t="s">
        <v>1725</v>
      </c>
      <c r="D45" s="65">
        <v>42592</v>
      </c>
      <c r="E45" s="66"/>
      <c r="F45" s="67"/>
      <c r="G45" s="67"/>
      <c r="H45" s="67">
        <v>1027.25</v>
      </c>
      <c r="I45" s="354">
        <v>917.25</v>
      </c>
      <c r="J45" s="67">
        <v>0</v>
      </c>
      <c r="K45" s="68">
        <f t="shared" si="1"/>
        <v>0</v>
      </c>
      <c r="L45" s="68">
        <f t="shared" si="2"/>
        <v>0</v>
      </c>
      <c r="M45" s="69">
        <v>2.5</v>
      </c>
      <c r="N45" s="70" t="s">
        <v>17</v>
      </c>
      <c r="O45" s="68">
        <f t="shared" si="5"/>
        <v>0</v>
      </c>
      <c r="P45" s="68">
        <f t="shared" si="6"/>
        <v>0</v>
      </c>
      <c r="Q45" s="68">
        <f t="shared" si="7"/>
        <v>0</v>
      </c>
      <c r="R45" s="68">
        <f t="shared" si="3"/>
        <v>0</v>
      </c>
      <c r="S45" s="68">
        <f t="shared" si="4"/>
        <v>12</v>
      </c>
      <c r="T45" s="68">
        <f t="shared" si="11"/>
        <v>12</v>
      </c>
      <c r="U45" s="265">
        <f t="shared" si="9"/>
        <v>905.25</v>
      </c>
      <c r="V45" s="93">
        <f t="shared" si="10"/>
        <v>0</v>
      </c>
      <c r="W45" s="449" cm="1">
        <f t="array" ref="W45">+IF(U45&lt;0,error,0)</f>
        <v>0</v>
      </c>
    </row>
    <row r="46" spans="1:23" ht="36.75" customHeight="1" x14ac:dyDescent="0.2">
      <c r="A46" s="101" t="s">
        <v>1726</v>
      </c>
      <c r="B46" s="102"/>
      <c r="C46" s="73" t="s">
        <v>1727</v>
      </c>
      <c r="D46" s="65">
        <v>42690</v>
      </c>
      <c r="E46" s="66"/>
      <c r="F46" s="67"/>
      <c r="G46" s="67"/>
      <c r="H46" s="67">
        <v>58590</v>
      </c>
      <c r="I46" s="354">
        <v>38253</v>
      </c>
      <c r="J46" s="67">
        <v>0</v>
      </c>
      <c r="K46" s="68">
        <f t="shared" si="1"/>
        <v>0</v>
      </c>
      <c r="L46" s="68">
        <f t="shared" si="2"/>
        <v>0</v>
      </c>
      <c r="M46" s="69">
        <v>10</v>
      </c>
      <c r="N46" s="70" t="s">
        <v>289</v>
      </c>
      <c r="O46" s="68">
        <f t="shared" si="5"/>
        <v>0</v>
      </c>
      <c r="P46" s="68">
        <f t="shared" si="6"/>
        <v>0</v>
      </c>
      <c r="Q46" s="68">
        <f t="shared" si="7"/>
        <v>0</v>
      </c>
      <c r="R46" s="68">
        <f t="shared" si="3"/>
        <v>1912</v>
      </c>
      <c r="S46" s="68">
        <f t="shared" si="4"/>
        <v>0</v>
      </c>
      <c r="T46" s="68">
        <f t="shared" si="11"/>
        <v>1912</v>
      </c>
      <c r="U46" s="265">
        <f t="shared" si="9"/>
        <v>36341</v>
      </c>
      <c r="V46" s="93">
        <f t="shared" si="10"/>
        <v>0</v>
      </c>
      <c r="W46" s="449" cm="1">
        <f t="array" ref="W46">+IF(U46&lt;0,error,0)</f>
        <v>0</v>
      </c>
    </row>
    <row r="47" spans="1:23" ht="36.75" customHeight="1" x14ac:dyDescent="0.2">
      <c r="A47" s="101" t="s">
        <v>1728</v>
      </c>
      <c r="B47" s="102"/>
      <c r="C47" s="72" t="s">
        <v>1729</v>
      </c>
      <c r="D47" s="65">
        <v>42704</v>
      </c>
      <c r="E47" s="66"/>
      <c r="F47" s="67"/>
      <c r="G47" s="67"/>
      <c r="H47" s="67">
        <v>2700</v>
      </c>
      <c r="I47" s="354">
        <v>2427</v>
      </c>
      <c r="J47" s="67">
        <v>0</v>
      </c>
      <c r="K47" s="68">
        <f t="shared" si="1"/>
        <v>0</v>
      </c>
      <c r="L47" s="68">
        <f t="shared" si="2"/>
        <v>0</v>
      </c>
      <c r="M47" s="69">
        <v>2.5</v>
      </c>
      <c r="N47" s="70" t="s">
        <v>17</v>
      </c>
      <c r="O47" s="68">
        <f t="shared" si="5"/>
        <v>0</v>
      </c>
      <c r="P47" s="68">
        <f t="shared" si="6"/>
        <v>0</v>
      </c>
      <c r="Q47" s="68">
        <f t="shared" si="7"/>
        <v>0</v>
      </c>
      <c r="R47" s="68">
        <f t="shared" si="3"/>
        <v>0</v>
      </c>
      <c r="S47" s="68">
        <f t="shared" si="4"/>
        <v>33</v>
      </c>
      <c r="T47" s="68">
        <f t="shared" si="11"/>
        <v>33</v>
      </c>
      <c r="U47" s="265">
        <f t="shared" si="9"/>
        <v>2394</v>
      </c>
      <c r="V47" s="93">
        <f t="shared" si="10"/>
        <v>0</v>
      </c>
      <c r="W47" s="449" cm="1">
        <f t="array" ref="W47">+IF(U47&lt;0,error,0)</f>
        <v>0</v>
      </c>
    </row>
    <row r="48" spans="1:23" ht="36.75" customHeight="1" x14ac:dyDescent="0.2">
      <c r="A48" s="101" t="s">
        <v>1730</v>
      </c>
      <c r="B48" s="102"/>
      <c r="C48" s="64" t="s">
        <v>1731</v>
      </c>
      <c r="D48" s="65">
        <v>42781</v>
      </c>
      <c r="E48" s="66"/>
      <c r="F48" s="67"/>
      <c r="G48" s="67"/>
      <c r="H48" s="67">
        <v>4582</v>
      </c>
      <c r="I48" s="354">
        <v>4139</v>
      </c>
      <c r="J48" s="67">
        <v>0</v>
      </c>
      <c r="K48" s="68">
        <f t="shared" si="1"/>
        <v>0</v>
      </c>
      <c r="L48" s="68">
        <f t="shared" si="2"/>
        <v>0</v>
      </c>
      <c r="M48" s="69">
        <v>2.5</v>
      </c>
      <c r="N48" s="70" t="s">
        <v>17</v>
      </c>
      <c r="O48" s="68">
        <f t="shared" si="5"/>
        <v>0</v>
      </c>
      <c r="P48" s="68">
        <f t="shared" si="6"/>
        <v>0</v>
      </c>
      <c r="Q48" s="68">
        <f t="shared" si="7"/>
        <v>0</v>
      </c>
      <c r="R48" s="68">
        <f t="shared" si="3"/>
        <v>0</v>
      </c>
      <c r="S48" s="68">
        <f t="shared" si="4"/>
        <v>57</v>
      </c>
      <c r="T48" s="68">
        <f t="shared" si="11"/>
        <v>57</v>
      </c>
      <c r="U48" s="265">
        <f t="shared" si="9"/>
        <v>4082</v>
      </c>
      <c r="V48" s="93">
        <f t="shared" si="10"/>
        <v>0</v>
      </c>
      <c r="W48" s="449" cm="1">
        <f t="array" ref="W48">+IF(U48&lt;0,error,0)</f>
        <v>0</v>
      </c>
    </row>
    <row r="49" spans="1:23" ht="36.75" customHeight="1" x14ac:dyDescent="0.2">
      <c r="A49" s="101" t="s">
        <v>1732</v>
      </c>
      <c r="B49" s="102"/>
      <c r="C49" s="64" t="s">
        <v>1733</v>
      </c>
      <c r="D49" s="65">
        <v>42794</v>
      </c>
      <c r="E49" s="66"/>
      <c r="F49" s="67"/>
      <c r="G49" s="67"/>
      <c r="H49" s="67">
        <v>4900</v>
      </c>
      <c r="I49" s="354">
        <v>4431</v>
      </c>
      <c r="J49" s="67">
        <v>0</v>
      </c>
      <c r="K49" s="68">
        <f t="shared" si="1"/>
        <v>0</v>
      </c>
      <c r="L49" s="68">
        <f t="shared" si="2"/>
        <v>0</v>
      </c>
      <c r="M49" s="69">
        <v>2.5</v>
      </c>
      <c r="N49" s="70" t="s">
        <v>17</v>
      </c>
      <c r="O49" s="68">
        <f t="shared" si="5"/>
        <v>0</v>
      </c>
      <c r="P49" s="68">
        <f t="shared" si="6"/>
        <v>0</v>
      </c>
      <c r="Q49" s="68">
        <f t="shared" si="7"/>
        <v>0</v>
      </c>
      <c r="R49" s="68">
        <f t="shared" si="3"/>
        <v>0</v>
      </c>
      <c r="S49" s="68">
        <f t="shared" si="4"/>
        <v>61</v>
      </c>
      <c r="T49" s="68">
        <f t="shared" si="11"/>
        <v>61</v>
      </c>
      <c r="U49" s="265">
        <f t="shared" si="9"/>
        <v>4370</v>
      </c>
      <c r="V49" s="93">
        <f t="shared" si="10"/>
        <v>0</v>
      </c>
      <c r="W49" s="449" cm="1">
        <f t="array" ref="W49">+IF(U49&lt;0,error,0)</f>
        <v>0</v>
      </c>
    </row>
    <row r="50" spans="1:23" ht="36.75" customHeight="1" x14ac:dyDescent="0.2">
      <c r="A50" s="101" t="s">
        <v>1734</v>
      </c>
      <c r="B50" s="102"/>
      <c r="C50" s="64" t="s">
        <v>1735</v>
      </c>
      <c r="D50" s="65">
        <v>42794</v>
      </c>
      <c r="E50" s="66"/>
      <c r="F50" s="67"/>
      <c r="G50" s="67"/>
      <c r="H50" s="67">
        <v>53058.36</v>
      </c>
      <c r="I50" s="354">
        <v>47967.360000000001</v>
      </c>
      <c r="J50" s="67">
        <v>0</v>
      </c>
      <c r="K50" s="68">
        <f t="shared" si="1"/>
        <v>0</v>
      </c>
      <c r="L50" s="68">
        <f t="shared" si="2"/>
        <v>0</v>
      </c>
      <c r="M50" s="69">
        <v>2.5</v>
      </c>
      <c r="N50" s="70" t="s">
        <v>17</v>
      </c>
      <c r="O50" s="68">
        <f t="shared" si="5"/>
        <v>0</v>
      </c>
      <c r="P50" s="68">
        <f t="shared" si="6"/>
        <v>0</v>
      </c>
      <c r="Q50" s="68">
        <f t="shared" si="7"/>
        <v>0</v>
      </c>
      <c r="R50" s="68">
        <f t="shared" si="3"/>
        <v>0</v>
      </c>
      <c r="S50" s="68">
        <f t="shared" si="4"/>
        <v>663</v>
      </c>
      <c r="T50" s="68">
        <f t="shared" si="11"/>
        <v>663</v>
      </c>
      <c r="U50" s="265">
        <f t="shared" si="9"/>
        <v>47304.36</v>
      </c>
      <c r="V50" s="93">
        <f t="shared" si="10"/>
        <v>0</v>
      </c>
      <c r="W50" s="449" cm="1">
        <f t="array" ref="W50">+IF(U50&lt;0,error,0)</f>
        <v>0</v>
      </c>
    </row>
    <row r="51" spans="1:23" ht="36.75" customHeight="1" x14ac:dyDescent="0.2">
      <c r="A51" s="101" t="s">
        <v>1736</v>
      </c>
      <c r="B51" s="102"/>
      <c r="C51" s="64" t="s">
        <v>1737</v>
      </c>
      <c r="D51" s="65">
        <v>42821</v>
      </c>
      <c r="E51" s="66"/>
      <c r="F51" s="67"/>
      <c r="G51" s="67"/>
      <c r="H51" s="67">
        <v>363</v>
      </c>
      <c r="I51" s="354">
        <v>331</v>
      </c>
      <c r="J51" s="67">
        <v>0</v>
      </c>
      <c r="K51" s="68">
        <f t="shared" si="1"/>
        <v>0</v>
      </c>
      <c r="L51" s="68">
        <f t="shared" si="2"/>
        <v>0</v>
      </c>
      <c r="M51" s="69">
        <v>2.5</v>
      </c>
      <c r="N51" s="70" t="s">
        <v>17</v>
      </c>
      <c r="O51" s="68">
        <f t="shared" si="5"/>
        <v>0</v>
      </c>
      <c r="P51" s="68">
        <f t="shared" si="6"/>
        <v>0</v>
      </c>
      <c r="Q51" s="68">
        <f t="shared" si="7"/>
        <v>0</v>
      </c>
      <c r="R51" s="68">
        <f t="shared" si="3"/>
        <v>0</v>
      </c>
      <c r="S51" s="68">
        <f t="shared" si="4"/>
        <v>4</v>
      </c>
      <c r="T51" s="68">
        <f t="shared" si="11"/>
        <v>4</v>
      </c>
      <c r="U51" s="265">
        <f t="shared" si="9"/>
        <v>327</v>
      </c>
      <c r="V51" s="93">
        <f t="shared" si="10"/>
        <v>0</v>
      </c>
      <c r="W51" s="449" cm="1">
        <f t="array" ref="W51">+IF(U51&lt;0,error,0)</f>
        <v>0</v>
      </c>
    </row>
    <row r="52" spans="1:23" ht="36.75" customHeight="1" x14ac:dyDescent="0.2">
      <c r="A52" s="101" t="s">
        <v>1738</v>
      </c>
      <c r="B52" s="102"/>
      <c r="C52" s="64" t="s">
        <v>1735</v>
      </c>
      <c r="D52" s="65">
        <v>42826</v>
      </c>
      <c r="E52" s="66"/>
      <c r="F52" s="67"/>
      <c r="G52" s="67"/>
      <c r="H52" s="67">
        <v>30767.5</v>
      </c>
      <c r="I52" s="354">
        <v>27884.5</v>
      </c>
      <c r="J52" s="67">
        <v>0</v>
      </c>
      <c r="K52" s="68">
        <f t="shared" si="1"/>
        <v>0</v>
      </c>
      <c r="L52" s="68">
        <f t="shared" si="2"/>
        <v>0</v>
      </c>
      <c r="M52" s="69">
        <v>2.5</v>
      </c>
      <c r="N52" s="70" t="s">
        <v>17</v>
      </c>
      <c r="O52" s="68">
        <f t="shared" si="5"/>
        <v>0</v>
      </c>
      <c r="P52" s="68">
        <f t="shared" si="6"/>
        <v>0</v>
      </c>
      <c r="Q52" s="68">
        <f t="shared" si="7"/>
        <v>0</v>
      </c>
      <c r="R52" s="68">
        <f t="shared" si="3"/>
        <v>0</v>
      </c>
      <c r="S52" s="68">
        <f t="shared" si="4"/>
        <v>384</v>
      </c>
      <c r="T52" s="68">
        <f t="shared" si="11"/>
        <v>384</v>
      </c>
      <c r="U52" s="265">
        <f t="shared" si="9"/>
        <v>27500.5</v>
      </c>
      <c r="V52" s="93">
        <f t="shared" si="10"/>
        <v>0</v>
      </c>
      <c r="W52" s="449" cm="1">
        <f t="array" ref="W52">+IF(U52&lt;0,error,0)</f>
        <v>0</v>
      </c>
    </row>
    <row r="53" spans="1:23" ht="36.75" customHeight="1" x14ac:dyDescent="0.2">
      <c r="A53" s="101" t="s">
        <v>1739</v>
      </c>
      <c r="B53" s="102"/>
      <c r="C53" s="64" t="s">
        <v>1735</v>
      </c>
      <c r="D53" s="65">
        <v>42828</v>
      </c>
      <c r="E53" s="66"/>
      <c r="F53" s="67"/>
      <c r="G53" s="67"/>
      <c r="H53" s="67">
        <v>3377.5</v>
      </c>
      <c r="I53" s="354">
        <v>3062.5</v>
      </c>
      <c r="J53" s="67">
        <v>0</v>
      </c>
      <c r="K53" s="68">
        <f t="shared" si="1"/>
        <v>0</v>
      </c>
      <c r="L53" s="68">
        <f t="shared" si="2"/>
        <v>0</v>
      </c>
      <c r="M53" s="69">
        <v>2.5</v>
      </c>
      <c r="N53" s="70" t="s">
        <v>17</v>
      </c>
      <c r="O53" s="68">
        <f t="shared" si="5"/>
        <v>0</v>
      </c>
      <c r="P53" s="68">
        <f t="shared" si="6"/>
        <v>0</v>
      </c>
      <c r="Q53" s="68">
        <f t="shared" si="7"/>
        <v>0</v>
      </c>
      <c r="R53" s="68">
        <f t="shared" si="3"/>
        <v>0</v>
      </c>
      <c r="S53" s="68">
        <f t="shared" si="4"/>
        <v>42</v>
      </c>
      <c r="T53" s="68">
        <f t="shared" si="11"/>
        <v>42</v>
      </c>
      <c r="U53" s="265">
        <f t="shared" si="9"/>
        <v>3020.5</v>
      </c>
      <c r="V53" s="93">
        <f t="shared" si="10"/>
        <v>0</v>
      </c>
      <c r="W53" s="449" cm="1">
        <f t="array" ref="W53">+IF(U53&lt;0,error,0)</f>
        <v>0</v>
      </c>
    </row>
    <row r="54" spans="1:23" ht="36.75" customHeight="1" x14ac:dyDescent="0.2">
      <c r="A54" s="101" t="s">
        <v>1740</v>
      </c>
      <c r="B54" s="102"/>
      <c r="C54" s="64" t="s">
        <v>1735</v>
      </c>
      <c r="D54" s="65">
        <v>42855</v>
      </c>
      <c r="E54" s="66"/>
      <c r="F54" s="67"/>
      <c r="G54" s="67"/>
      <c r="H54" s="67">
        <v>10177</v>
      </c>
      <c r="I54" s="354">
        <v>9244</v>
      </c>
      <c r="J54" s="67">
        <v>0</v>
      </c>
      <c r="K54" s="68">
        <f t="shared" si="1"/>
        <v>0</v>
      </c>
      <c r="L54" s="68">
        <f t="shared" si="2"/>
        <v>0</v>
      </c>
      <c r="M54" s="69">
        <v>2.5</v>
      </c>
      <c r="N54" s="70" t="s">
        <v>17</v>
      </c>
      <c r="O54" s="68">
        <f t="shared" si="5"/>
        <v>0</v>
      </c>
      <c r="P54" s="68">
        <f t="shared" si="6"/>
        <v>0</v>
      </c>
      <c r="Q54" s="68">
        <f t="shared" si="7"/>
        <v>0</v>
      </c>
      <c r="R54" s="68">
        <f t="shared" si="3"/>
        <v>0</v>
      </c>
      <c r="S54" s="68">
        <f t="shared" si="4"/>
        <v>127</v>
      </c>
      <c r="T54" s="68">
        <f t="shared" si="11"/>
        <v>127</v>
      </c>
      <c r="U54" s="265">
        <f t="shared" si="9"/>
        <v>9117</v>
      </c>
      <c r="V54" s="93">
        <f t="shared" si="10"/>
        <v>0</v>
      </c>
      <c r="W54" s="449" cm="1">
        <f t="array" ref="W54">+IF(U54&lt;0,error,0)</f>
        <v>0</v>
      </c>
    </row>
    <row r="55" spans="1:23" ht="36.75" customHeight="1" x14ac:dyDescent="0.2">
      <c r="A55" s="101" t="s">
        <v>1741</v>
      </c>
      <c r="B55" s="102"/>
      <c r="C55" s="73" t="s">
        <v>1742</v>
      </c>
      <c r="D55" s="65">
        <v>42884</v>
      </c>
      <c r="E55" s="66"/>
      <c r="F55" s="67"/>
      <c r="G55" s="67"/>
      <c r="H55" s="67">
        <v>1260</v>
      </c>
      <c r="I55" s="354">
        <v>1149</v>
      </c>
      <c r="J55" s="67">
        <v>0</v>
      </c>
      <c r="K55" s="68">
        <f t="shared" si="1"/>
        <v>0</v>
      </c>
      <c r="L55" s="68">
        <f t="shared" si="2"/>
        <v>0</v>
      </c>
      <c r="M55" s="69">
        <v>2.5</v>
      </c>
      <c r="N55" s="70" t="s">
        <v>17</v>
      </c>
      <c r="O55" s="68">
        <f t="shared" si="5"/>
        <v>0</v>
      </c>
      <c r="P55" s="68">
        <f t="shared" si="6"/>
        <v>0</v>
      </c>
      <c r="Q55" s="68">
        <f t="shared" si="7"/>
        <v>0</v>
      </c>
      <c r="R55" s="68">
        <f t="shared" si="3"/>
        <v>0</v>
      </c>
      <c r="S55" s="68">
        <f t="shared" si="4"/>
        <v>15</v>
      </c>
      <c r="T55" s="68">
        <f t="shared" si="11"/>
        <v>15</v>
      </c>
      <c r="U55" s="265">
        <f t="shared" si="9"/>
        <v>1134</v>
      </c>
      <c r="V55" s="93">
        <f t="shared" si="10"/>
        <v>0</v>
      </c>
      <c r="W55" s="449" cm="1">
        <f t="array" ref="W55">+IF(U55&lt;0,error,0)</f>
        <v>0</v>
      </c>
    </row>
    <row r="56" spans="1:23" ht="36.75" customHeight="1" x14ac:dyDescent="0.2">
      <c r="A56" s="101" t="s">
        <v>1743</v>
      </c>
      <c r="B56" s="102"/>
      <c r="C56" s="64" t="s">
        <v>1735</v>
      </c>
      <c r="D56" s="65">
        <v>42886</v>
      </c>
      <c r="E56" s="66"/>
      <c r="F56" s="67"/>
      <c r="G56" s="67"/>
      <c r="H56" s="67">
        <v>10975</v>
      </c>
      <c r="I56" s="354">
        <v>9992</v>
      </c>
      <c r="J56" s="67">
        <v>0</v>
      </c>
      <c r="K56" s="68">
        <f t="shared" si="1"/>
        <v>0</v>
      </c>
      <c r="L56" s="68">
        <f t="shared" si="2"/>
        <v>0</v>
      </c>
      <c r="M56" s="69">
        <v>2.5</v>
      </c>
      <c r="N56" s="70" t="s">
        <v>17</v>
      </c>
      <c r="O56" s="68">
        <f t="shared" si="5"/>
        <v>0</v>
      </c>
      <c r="P56" s="68">
        <f t="shared" si="6"/>
        <v>0</v>
      </c>
      <c r="Q56" s="68">
        <f t="shared" si="7"/>
        <v>0</v>
      </c>
      <c r="R56" s="68">
        <f t="shared" si="3"/>
        <v>0</v>
      </c>
      <c r="S56" s="68">
        <f t="shared" si="4"/>
        <v>137</v>
      </c>
      <c r="T56" s="68">
        <f t="shared" si="11"/>
        <v>137</v>
      </c>
      <c r="U56" s="265">
        <f t="shared" si="9"/>
        <v>9855</v>
      </c>
      <c r="V56" s="93">
        <f t="shared" si="10"/>
        <v>0</v>
      </c>
      <c r="W56" s="449" cm="1">
        <f t="array" ref="W56">+IF(U56&lt;0,error,0)</f>
        <v>0</v>
      </c>
    </row>
    <row r="57" spans="1:23" ht="36.75" customHeight="1" x14ac:dyDescent="0.2">
      <c r="A57" s="101" t="s">
        <v>1744</v>
      </c>
      <c r="B57" s="102"/>
      <c r="C57" s="64" t="s">
        <v>1735</v>
      </c>
      <c r="D57" s="65">
        <v>42886</v>
      </c>
      <c r="E57" s="66"/>
      <c r="F57" s="67"/>
      <c r="G57" s="67"/>
      <c r="H57" s="67">
        <v>15437.5</v>
      </c>
      <c r="I57" s="354">
        <v>14055.5</v>
      </c>
      <c r="J57" s="67">
        <v>0</v>
      </c>
      <c r="K57" s="68">
        <f t="shared" si="1"/>
        <v>0</v>
      </c>
      <c r="L57" s="68">
        <f t="shared" si="2"/>
        <v>0</v>
      </c>
      <c r="M57" s="69">
        <v>2.5</v>
      </c>
      <c r="N57" s="70" t="s">
        <v>17</v>
      </c>
      <c r="O57" s="68">
        <f t="shared" si="5"/>
        <v>0</v>
      </c>
      <c r="P57" s="68">
        <f t="shared" si="6"/>
        <v>0</v>
      </c>
      <c r="Q57" s="68">
        <f t="shared" si="7"/>
        <v>0</v>
      </c>
      <c r="R57" s="68">
        <f t="shared" si="3"/>
        <v>0</v>
      </c>
      <c r="S57" s="68">
        <f t="shared" si="4"/>
        <v>192</v>
      </c>
      <c r="T57" s="68">
        <f t="shared" si="11"/>
        <v>192</v>
      </c>
      <c r="U57" s="265">
        <f t="shared" si="9"/>
        <v>13863.5</v>
      </c>
      <c r="V57" s="93">
        <f t="shared" si="10"/>
        <v>0</v>
      </c>
      <c r="W57" s="449" cm="1">
        <f t="array" ref="W57">+IF(U57&lt;0,error,0)</f>
        <v>0</v>
      </c>
    </row>
    <row r="58" spans="1:23" ht="36.75" customHeight="1" x14ac:dyDescent="0.2">
      <c r="A58" s="101" t="s">
        <v>1745</v>
      </c>
      <c r="B58" s="102"/>
      <c r="C58" s="64" t="s">
        <v>1746</v>
      </c>
      <c r="D58" s="65">
        <v>42886</v>
      </c>
      <c r="E58" s="66"/>
      <c r="F58" s="67"/>
      <c r="G58" s="67"/>
      <c r="H58" s="67">
        <v>10656.25</v>
      </c>
      <c r="I58" s="354">
        <v>9701.25</v>
      </c>
      <c r="J58" s="67">
        <v>0</v>
      </c>
      <c r="K58" s="68">
        <f t="shared" si="1"/>
        <v>0</v>
      </c>
      <c r="L58" s="68">
        <f t="shared" si="2"/>
        <v>0</v>
      </c>
      <c r="M58" s="69">
        <v>2.5</v>
      </c>
      <c r="N58" s="70" t="s">
        <v>17</v>
      </c>
      <c r="O58" s="68">
        <f t="shared" si="5"/>
        <v>0</v>
      </c>
      <c r="P58" s="68">
        <f t="shared" si="6"/>
        <v>0</v>
      </c>
      <c r="Q58" s="68">
        <f t="shared" si="7"/>
        <v>0</v>
      </c>
      <c r="R58" s="68">
        <f t="shared" si="3"/>
        <v>0</v>
      </c>
      <c r="S58" s="68">
        <f t="shared" si="4"/>
        <v>133</v>
      </c>
      <c r="T58" s="68">
        <f t="shared" si="11"/>
        <v>133</v>
      </c>
      <c r="U58" s="265">
        <f t="shared" si="9"/>
        <v>9568.25</v>
      </c>
      <c r="V58" s="93">
        <f t="shared" si="10"/>
        <v>0</v>
      </c>
      <c r="W58" s="449" cm="1">
        <f t="array" ref="W58">+IF(U58&lt;0,error,0)</f>
        <v>0</v>
      </c>
    </row>
    <row r="59" spans="1:23" ht="36.75" customHeight="1" x14ac:dyDescent="0.2">
      <c r="A59" s="101" t="s">
        <v>1747</v>
      </c>
      <c r="B59" s="102"/>
      <c r="C59" s="64" t="s">
        <v>1748</v>
      </c>
      <c r="D59" s="65">
        <v>42887</v>
      </c>
      <c r="E59" s="66"/>
      <c r="F59" s="67"/>
      <c r="G59" s="67"/>
      <c r="H59" s="67">
        <v>437.5</v>
      </c>
      <c r="I59" s="354">
        <v>399.5</v>
      </c>
      <c r="J59" s="67">
        <v>0</v>
      </c>
      <c r="K59" s="68">
        <f t="shared" si="1"/>
        <v>0</v>
      </c>
      <c r="L59" s="68">
        <f t="shared" si="2"/>
        <v>0</v>
      </c>
      <c r="M59" s="69">
        <v>2.5</v>
      </c>
      <c r="N59" s="70" t="s">
        <v>17</v>
      </c>
      <c r="O59" s="68">
        <f t="shared" si="5"/>
        <v>0</v>
      </c>
      <c r="P59" s="68">
        <f t="shared" si="6"/>
        <v>0</v>
      </c>
      <c r="Q59" s="68">
        <f t="shared" si="7"/>
        <v>0</v>
      </c>
      <c r="R59" s="68">
        <f t="shared" si="3"/>
        <v>0</v>
      </c>
      <c r="S59" s="68">
        <f t="shared" si="4"/>
        <v>5</v>
      </c>
      <c r="T59" s="68">
        <f t="shared" si="11"/>
        <v>5</v>
      </c>
      <c r="U59" s="265">
        <f t="shared" si="9"/>
        <v>394.5</v>
      </c>
      <c r="V59" s="93">
        <f t="shared" si="10"/>
        <v>0</v>
      </c>
      <c r="W59" s="449" cm="1">
        <f t="array" ref="W59">+IF(U59&lt;0,error,0)</f>
        <v>0</v>
      </c>
    </row>
    <row r="60" spans="1:23" ht="36.75" customHeight="1" x14ac:dyDescent="0.2">
      <c r="A60" s="101" t="s">
        <v>1749</v>
      </c>
      <c r="B60" s="102"/>
      <c r="C60" s="64" t="s">
        <v>1750</v>
      </c>
      <c r="D60" s="65">
        <v>42894</v>
      </c>
      <c r="E60" s="66"/>
      <c r="F60" s="67"/>
      <c r="G60" s="67"/>
      <c r="H60" s="67">
        <v>16875</v>
      </c>
      <c r="I60" s="354">
        <v>15373</v>
      </c>
      <c r="J60" s="67">
        <v>0</v>
      </c>
      <c r="K60" s="68">
        <f t="shared" si="1"/>
        <v>0</v>
      </c>
      <c r="L60" s="68">
        <f t="shared" si="2"/>
        <v>0</v>
      </c>
      <c r="M60" s="69">
        <v>2.5</v>
      </c>
      <c r="N60" s="70" t="s">
        <v>17</v>
      </c>
      <c r="O60" s="68">
        <f t="shared" si="5"/>
        <v>0</v>
      </c>
      <c r="P60" s="68">
        <f t="shared" si="6"/>
        <v>0</v>
      </c>
      <c r="Q60" s="68">
        <f t="shared" si="7"/>
        <v>0</v>
      </c>
      <c r="R60" s="68">
        <f t="shared" si="3"/>
        <v>0</v>
      </c>
      <c r="S60" s="68">
        <f t="shared" si="4"/>
        <v>210</v>
      </c>
      <c r="T60" s="68">
        <f t="shared" si="11"/>
        <v>210</v>
      </c>
      <c r="U60" s="265">
        <f t="shared" si="9"/>
        <v>15163</v>
      </c>
      <c r="V60" s="93">
        <f t="shared" si="10"/>
        <v>0</v>
      </c>
      <c r="W60" s="449" cm="1">
        <f t="array" ref="W60">+IF(U60&lt;0,error,0)</f>
        <v>0</v>
      </c>
    </row>
    <row r="61" spans="1:23" ht="36.75" customHeight="1" x14ac:dyDescent="0.2">
      <c r="A61" s="101" t="s">
        <v>1751</v>
      </c>
      <c r="B61" s="102"/>
      <c r="C61" s="64" t="s">
        <v>1752</v>
      </c>
      <c r="D61" s="65">
        <v>42744</v>
      </c>
      <c r="E61" s="66"/>
      <c r="F61" s="67"/>
      <c r="G61" s="67"/>
      <c r="H61" s="67">
        <v>4150</v>
      </c>
      <c r="I61" s="354">
        <v>1774</v>
      </c>
      <c r="J61" s="67">
        <v>0</v>
      </c>
      <c r="K61" s="68">
        <f t="shared" si="1"/>
        <v>0</v>
      </c>
      <c r="L61" s="68">
        <f t="shared" si="2"/>
        <v>0</v>
      </c>
      <c r="M61" s="69">
        <v>20</v>
      </c>
      <c r="N61" s="70" t="s">
        <v>289</v>
      </c>
      <c r="O61" s="68">
        <f t="shared" si="5"/>
        <v>0</v>
      </c>
      <c r="P61" s="68">
        <f t="shared" si="6"/>
        <v>0</v>
      </c>
      <c r="Q61" s="68">
        <f t="shared" si="7"/>
        <v>0</v>
      </c>
      <c r="R61" s="68">
        <f t="shared" si="3"/>
        <v>177</v>
      </c>
      <c r="S61" s="68">
        <f t="shared" si="4"/>
        <v>0</v>
      </c>
      <c r="T61" s="68">
        <f t="shared" si="11"/>
        <v>177</v>
      </c>
      <c r="U61" s="265">
        <f t="shared" si="9"/>
        <v>1597</v>
      </c>
      <c r="V61" s="93">
        <f t="shared" si="10"/>
        <v>0</v>
      </c>
      <c r="W61" s="449" cm="1">
        <f t="array" ref="W61">+IF(U61&lt;0,error,0)</f>
        <v>0</v>
      </c>
    </row>
    <row r="62" spans="1:23" ht="36.75" customHeight="1" x14ac:dyDescent="0.2">
      <c r="A62" s="101" t="s">
        <v>1753</v>
      </c>
      <c r="B62" s="102"/>
      <c r="C62" s="64" t="s">
        <v>1754</v>
      </c>
      <c r="D62" s="65">
        <v>42754</v>
      </c>
      <c r="E62" s="66"/>
      <c r="F62" s="67"/>
      <c r="G62" s="67"/>
      <c r="H62" s="67">
        <v>90.91</v>
      </c>
      <c r="I62" s="354">
        <v>82.91</v>
      </c>
      <c r="J62" s="67">
        <v>0</v>
      </c>
      <c r="K62" s="68">
        <f t="shared" si="1"/>
        <v>0</v>
      </c>
      <c r="L62" s="68">
        <f t="shared" si="2"/>
        <v>0</v>
      </c>
      <c r="M62" s="69">
        <v>2.5</v>
      </c>
      <c r="N62" s="70" t="s">
        <v>17</v>
      </c>
      <c r="O62" s="68">
        <f t="shared" si="5"/>
        <v>0</v>
      </c>
      <c r="P62" s="68">
        <f t="shared" si="6"/>
        <v>0</v>
      </c>
      <c r="Q62" s="68">
        <f t="shared" si="7"/>
        <v>0</v>
      </c>
      <c r="R62" s="68">
        <f t="shared" si="3"/>
        <v>0</v>
      </c>
      <c r="S62" s="68">
        <f t="shared" si="4"/>
        <v>1</v>
      </c>
      <c r="T62" s="68">
        <f t="shared" si="11"/>
        <v>1</v>
      </c>
      <c r="U62" s="265">
        <f t="shared" si="9"/>
        <v>81.91</v>
      </c>
      <c r="V62" s="93">
        <f t="shared" si="10"/>
        <v>0</v>
      </c>
      <c r="W62" s="449" cm="1">
        <f t="array" ref="W62">+IF(U62&lt;0,error,0)</f>
        <v>0</v>
      </c>
    </row>
    <row r="63" spans="1:23" ht="36.75" customHeight="1" x14ac:dyDescent="0.2">
      <c r="A63" s="101" t="s">
        <v>1755</v>
      </c>
      <c r="B63" s="102"/>
      <c r="C63" s="64" t="s">
        <v>1756</v>
      </c>
      <c r="D63" s="65">
        <v>42552</v>
      </c>
      <c r="E63" s="66"/>
      <c r="F63" s="67"/>
      <c r="G63" s="67"/>
      <c r="H63" s="67">
        <v>19603</v>
      </c>
      <c r="I63" s="354">
        <v>17398</v>
      </c>
      <c r="J63" s="67">
        <v>0</v>
      </c>
      <c r="K63" s="68">
        <f t="shared" si="1"/>
        <v>0</v>
      </c>
      <c r="L63" s="68">
        <f t="shared" si="2"/>
        <v>0</v>
      </c>
      <c r="M63" s="69">
        <v>2.5</v>
      </c>
      <c r="N63" s="70" t="s">
        <v>17</v>
      </c>
      <c r="O63" s="68">
        <f t="shared" si="5"/>
        <v>0</v>
      </c>
      <c r="P63" s="68">
        <f t="shared" si="6"/>
        <v>0</v>
      </c>
      <c r="Q63" s="68">
        <f t="shared" si="7"/>
        <v>0</v>
      </c>
      <c r="R63" s="68">
        <f t="shared" si="3"/>
        <v>0</v>
      </c>
      <c r="S63" s="68">
        <f t="shared" si="4"/>
        <v>245</v>
      </c>
      <c r="T63" s="68">
        <f t="shared" si="11"/>
        <v>245</v>
      </c>
      <c r="U63" s="265">
        <f t="shared" si="9"/>
        <v>17153</v>
      </c>
      <c r="V63" s="93">
        <f t="shared" si="10"/>
        <v>0</v>
      </c>
      <c r="W63" s="449" cm="1">
        <f t="array" ref="W63">+IF(U63&lt;0,error,0)</f>
        <v>0</v>
      </c>
    </row>
    <row r="64" spans="1:23" ht="36.75" customHeight="1" x14ac:dyDescent="0.2">
      <c r="A64" s="101" t="s">
        <v>1757</v>
      </c>
      <c r="B64" s="102"/>
      <c r="C64" s="64" t="s">
        <v>1758</v>
      </c>
      <c r="D64" s="65">
        <v>42670</v>
      </c>
      <c r="E64" s="66"/>
      <c r="F64" s="67"/>
      <c r="G64" s="67"/>
      <c r="H64" s="67">
        <v>713</v>
      </c>
      <c r="I64" s="354">
        <v>642</v>
      </c>
      <c r="J64" s="67">
        <v>0</v>
      </c>
      <c r="K64" s="68">
        <f t="shared" si="1"/>
        <v>0</v>
      </c>
      <c r="L64" s="68">
        <f t="shared" si="2"/>
        <v>0</v>
      </c>
      <c r="M64" s="69">
        <v>2.5</v>
      </c>
      <c r="N64" s="70" t="s">
        <v>17</v>
      </c>
      <c r="O64" s="68">
        <f t="shared" si="5"/>
        <v>0</v>
      </c>
      <c r="P64" s="68">
        <f t="shared" si="6"/>
        <v>0</v>
      </c>
      <c r="Q64" s="68">
        <f t="shared" si="7"/>
        <v>0</v>
      </c>
      <c r="R64" s="68">
        <f t="shared" si="3"/>
        <v>0</v>
      </c>
      <c r="S64" s="68">
        <f t="shared" si="4"/>
        <v>8</v>
      </c>
      <c r="T64" s="68">
        <f t="shared" si="11"/>
        <v>8</v>
      </c>
      <c r="U64" s="265">
        <f t="shared" si="9"/>
        <v>634</v>
      </c>
      <c r="V64" s="93">
        <f t="shared" si="10"/>
        <v>0</v>
      </c>
      <c r="W64" s="449" cm="1">
        <f t="array" ref="W64">+IF(U64&lt;0,error,0)</f>
        <v>0</v>
      </c>
    </row>
    <row r="65" spans="1:23" ht="36.75" customHeight="1" x14ac:dyDescent="0.2">
      <c r="A65" s="101" t="s">
        <v>1759</v>
      </c>
      <c r="B65" s="102"/>
      <c r="C65" s="64" t="s">
        <v>1760</v>
      </c>
      <c r="D65" s="65">
        <v>42772</v>
      </c>
      <c r="E65" s="66"/>
      <c r="F65" s="67"/>
      <c r="G65" s="67"/>
      <c r="H65" s="67">
        <v>15000</v>
      </c>
      <c r="I65" s="354">
        <v>13540</v>
      </c>
      <c r="J65" s="67">
        <v>0</v>
      </c>
      <c r="K65" s="68">
        <f t="shared" si="1"/>
        <v>0</v>
      </c>
      <c r="L65" s="68">
        <f t="shared" si="2"/>
        <v>0</v>
      </c>
      <c r="M65" s="69">
        <v>2.5</v>
      </c>
      <c r="N65" s="70" t="s">
        <v>17</v>
      </c>
      <c r="O65" s="68">
        <f t="shared" si="5"/>
        <v>0</v>
      </c>
      <c r="P65" s="68">
        <f t="shared" si="6"/>
        <v>0</v>
      </c>
      <c r="Q65" s="68">
        <f t="shared" si="7"/>
        <v>0</v>
      </c>
      <c r="R65" s="68">
        <f t="shared" si="3"/>
        <v>0</v>
      </c>
      <c r="S65" s="68">
        <f t="shared" si="4"/>
        <v>187</v>
      </c>
      <c r="T65" s="68">
        <f t="shared" si="11"/>
        <v>187</v>
      </c>
      <c r="U65" s="265">
        <f t="shared" si="9"/>
        <v>13353</v>
      </c>
      <c r="V65" s="93">
        <f t="shared" si="10"/>
        <v>0</v>
      </c>
      <c r="W65" s="449" cm="1">
        <f t="array" ref="W65">+IF(U65&lt;0,error,0)</f>
        <v>0</v>
      </c>
    </row>
    <row r="66" spans="1:23" ht="36.75" customHeight="1" x14ac:dyDescent="0.2">
      <c r="A66" s="101" t="s">
        <v>1761</v>
      </c>
      <c r="B66" s="102"/>
      <c r="C66" s="64" t="s">
        <v>1762</v>
      </c>
      <c r="D66" s="65">
        <v>42801</v>
      </c>
      <c r="E66" s="66"/>
      <c r="F66" s="67"/>
      <c r="G66" s="67"/>
      <c r="H66" s="67">
        <v>102416.55</v>
      </c>
      <c r="I66" s="354">
        <v>69035.55</v>
      </c>
      <c r="J66" s="67">
        <v>0</v>
      </c>
      <c r="K66" s="68">
        <f t="shared" si="1"/>
        <v>0</v>
      </c>
      <c r="L66" s="68">
        <f t="shared" si="2"/>
        <v>0</v>
      </c>
      <c r="M66" s="69">
        <v>10</v>
      </c>
      <c r="N66" s="70" t="s">
        <v>289</v>
      </c>
      <c r="O66" s="68">
        <f t="shared" si="5"/>
        <v>0</v>
      </c>
      <c r="P66" s="68">
        <f t="shared" si="6"/>
        <v>0</v>
      </c>
      <c r="Q66" s="68">
        <f t="shared" si="7"/>
        <v>0</v>
      </c>
      <c r="R66" s="68">
        <f t="shared" si="3"/>
        <v>3451</v>
      </c>
      <c r="S66" s="68">
        <f t="shared" si="4"/>
        <v>0</v>
      </c>
      <c r="T66" s="68">
        <f t="shared" si="11"/>
        <v>3451</v>
      </c>
      <c r="U66" s="265">
        <f t="shared" si="9"/>
        <v>65584.55</v>
      </c>
      <c r="V66" s="93">
        <f t="shared" si="10"/>
        <v>0</v>
      </c>
      <c r="W66" s="449" cm="1">
        <f t="array" ref="W66">+IF(U66&lt;0,error,0)</f>
        <v>0</v>
      </c>
    </row>
    <row r="67" spans="1:23" ht="36.75" customHeight="1" x14ac:dyDescent="0.2">
      <c r="A67" s="101" t="s">
        <v>1763</v>
      </c>
      <c r="B67" s="102"/>
      <c r="C67" s="64" t="s">
        <v>1764</v>
      </c>
      <c r="D67" s="65">
        <v>42915</v>
      </c>
      <c r="E67" s="66"/>
      <c r="F67" s="67"/>
      <c r="G67" s="67"/>
      <c r="H67" s="67">
        <v>11342</v>
      </c>
      <c r="I67" s="354">
        <v>5349</v>
      </c>
      <c r="J67" s="67">
        <v>0</v>
      </c>
      <c r="K67" s="68">
        <f t="shared" si="1"/>
        <v>0</v>
      </c>
      <c r="L67" s="68">
        <f t="shared" si="2"/>
        <v>0</v>
      </c>
      <c r="M67" s="69">
        <v>20</v>
      </c>
      <c r="N67" s="70" t="s">
        <v>289</v>
      </c>
      <c r="O67" s="68">
        <f t="shared" si="5"/>
        <v>0</v>
      </c>
      <c r="P67" s="68">
        <f t="shared" si="6"/>
        <v>0</v>
      </c>
      <c r="Q67" s="68">
        <f t="shared" si="7"/>
        <v>0</v>
      </c>
      <c r="R67" s="68">
        <f t="shared" si="3"/>
        <v>534</v>
      </c>
      <c r="S67" s="68">
        <f t="shared" si="4"/>
        <v>0</v>
      </c>
      <c r="T67" s="68">
        <f t="shared" si="11"/>
        <v>534</v>
      </c>
      <c r="U67" s="265">
        <f t="shared" si="9"/>
        <v>4815</v>
      </c>
      <c r="V67" s="93">
        <f t="shared" si="10"/>
        <v>0</v>
      </c>
      <c r="W67" s="449" cm="1">
        <f t="array" ref="W67">+IF(U67&lt;0,error,0)</f>
        <v>0</v>
      </c>
    </row>
    <row r="68" spans="1:23" ht="36.75" customHeight="1" x14ac:dyDescent="0.2">
      <c r="A68" s="101" t="s">
        <v>1765</v>
      </c>
      <c r="B68" s="102"/>
      <c r="C68" s="73" t="s">
        <v>1766</v>
      </c>
      <c r="D68" s="65">
        <v>42947</v>
      </c>
      <c r="E68" s="66"/>
      <c r="F68" s="67"/>
      <c r="G68" s="67"/>
      <c r="H68" s="67">
        <v>180000</v>
      </c>
      <c r="I68" s="354">
        <v>164609</v>
      </c>
      <c r="J68" s="67">
        <v>0</v>
      </c>
      <c r="K68" s="68">
        <f t="shared" si="1"/>
        <v>0</v>
      </c>
      <c r="L68" s="68">
        <f t="shared" si="2"/>
        <v>0</v>
      </c>
      <c r="M68" s="69">
        <v>2.5</v>
      </c>
      <c r="N68" s="70" t="s">
        <v>17</v>
      </c>
      <c r="O68" s="68">
        <f t="shared" si="5"/>
        <v>0</v>
      </c>
      <c r="P68" s="68">
        <f t="shared" si="6"/>
        <v>0</v>
      </c>
      <c r="Q68" s="68">
        <f t="shared" si="7"/>
        <v>0</v>
      </c>
      <c r="R68" s="68">
        <f t="shared" si="3"/>
        <v>0</v>
      </c>
      <c r="S68" s="68">
        <f t="shared" si="4"/>
        <v>2250</v>
      </c>
      <c r="T68" s="68">
        <f t="shared" si="11"/>
        <v>2250</v>
      </c>
      <c r="U68" s="265">
        <f t="shared" si="9"/>
        <v>162359</v>
      </c>
      <c r="V68" s="93">
        <f t="shared" si="10"/>
        <v>0</v>
      </c>
      <c r="W68" s="449" cm="1">
        <f t="array" ref="W68">+IF(U68&lt;0,error,0)</f>
        <v>0</v>
      </c>
    </row>
    <row r="69" spans="1:23" ht="36.75" customHeight="1" x14ac:dyDescent="0.2">
      <c r="A69" s="101" t="s">
        <v>1767</v>
      </c>
      <c r="B69" s="102"/>
      <c r="C69" s="72" t="s">
        <v>1768</v>
      </c>
      <c r="D69" s="65">
        <v>43074</v>
      </c>
      <c r="E69" s="66"/>
      <c r="F69" s="67"/>
      <c r="G69" s="67"/>
      <c r="H69" s="67">
        <v>6596.1</v>
      </c>
      <c r="I69" s="354">
        <v>6091.1</v>
      </c>
      <c r="J69" s="67">
        <v>0</v>
      </c>
      <c r="K69" s="68">
        <f t="shared" si="1"/>
        <v>0</v>
      </c>
      <c r="L69" s="68">
        <f t="shared" si="2"/>
        <v>0</v>
      </c>
      <c r="M69" s="69">
        <v>2.5</v>
      </c>
      <c r="N69" s="70" t="s">
        <v>17</v>
      </c>
      <c r="O69" s="68">
        <f t="shared" si="5"/>
        <v>0</v>
      </c>
      <c r="P69" s="68">
        <f t="shared" si="6"/>
        <v>0</v>
      </c>
      <c r="Q69" s="68">
        <f t="shared" si="7"/>
        <v>0</v>
      </c>
      <c r="R69" s="68">
        <f t="shared" si="3"/>
        <v>0</v>
      </c>
      <c r="S69" s="68">
        <f t="shared" si="4"/>
        <v>82</v>
      </c>
      <c r="T69" s="68">
        <f t="shared" si="11"/>
        <v>82</v>
      </c>
      <c r="U69" s="265">
        <f t="shared" si="9"/>
        <v>6009.1</v>
      </c>
      <c r="V69" s="93">
        <f t="shared" si="10"/>
        <v>0</v>
      </c>
      <c r="W69" s="449" cm="1">
        <f t="array" ref="W69">+IF(U69&lt;0,error,0)</f>
        <v>0</v>
      </c>
    </row>
    <row r="70" spans="1:23" ht="36.75" customHeight="1" x14ac:dyDescent="0.2">
      <c r="A70" s="101" t="s">
        <v>1769</v>
      </c>
      <c r="B70" s="102"/>
      <c r="C70" s="73" t="s">
        <v>1770</v>
      </c>
      <c r="D70" s="65">
        <v>43009</v>
      </c>
      <c r="E70" s="66"/>
      <c r="F70" s="67"/>
      <c r="G70" s="67"/>
      <c r="H70" s="67">
        <v>5520</v>
      </c>
      <c r="I70" s="354">
        <v>5072</v>
      </c>
      <c r="J70" s="67">
        <v>0</v>
      </c>
      <c r="K70" s="68">
        <f t="shared" si="1"/>
        <v>0</v>
      </c>
      <c r="L70" s="68">
        <f t="shared" si="2"/>
        <v>0</v>
      </c>
      <c r="M70" s="69">
        <v>2.5</v>
      </c>
      <c r="N70" s="70" t="s">
        <v>17</v>
      </c>
      <c r="O70" s="68">
        <f t="shared" si="5"/>
        <v>0</v>
      </c>
      <c r="P70" s="68">
        <f t="shared" si="6"/>
        <v>0</v>
      </c>
      <c r="Q70" s="68">
        <f t="shared" si="7"/>
        <v>0</v>
      </c>
      <c r="R70" s="68">
        <f t="shared" si="3"/>
        <v>0</v>
      </c>
      <c r="S70" s="68">
        <f t="shared" si="4"/>
        <v>69</v>
      </c>
      <c r="T70" s="68">
        <f t="shared" si="11"/>
        <v>69</v>
      </c>
      <c r="U70" s="265">
        <f t="shared" si="9"/>
        <v>5003</v>
      </c>
      <c r="V70" s="93">
        <f t="shared" si="10"/>
        <v>0</v>
      </c>
      <c r="W70" s="449" cm="1">
        <f t="array" ref="W70">+IF(U70&lt;0,error,0)</f>
        <v>0</v>
      </c>
    </row>
    <row r="71" spans="1:23" ht="36.75" customHeight="1" x14ac:dyDescent="0.2">
      <c r="A71" s="101" t="s">
        <v>1771</v>
      </c>
      <c r="B71" s="102"/>
      <c r="C71" s="72" t="s">
        <v>1770</v>
      </c>
      <c r="D71" s="65">
        <v>43101</v>
      </c>
      <c r="E71" s="66"/>
      <c r="F71" s="67"/>
      <c r="G71" s="67"/>
      <c r="H71" s="67">
        <v>15432.130000000001</v>
      </c>
      <c r="I71" s="354">
        <v>14278.130000000001</v>
      </c>
      <c r="J71" s="67">
        <v>0</v>
      </c>
      <c r="K71" s="68">
        <f t="shared" si="1"/>
        <v>0</v>
      </c>
      <c r="L71" s="68">
        <f t="shared" si="2"/>
        <v>0</v>
      </c>
      <c r="M71" s="69">
        <v>2.5</v>
      </c>
      <c r="N71" s="70" t="s">
        <v>17</v>
      </c>
      <c r="O71" s="68">
        <f t="shared" si="5"/>
        <v>0</v>
      </c>
      <c r="P71" s="68">
        <f t="shared" si="6"/>
        <v>0</v>
      </c>
      <c r="Q71" s="68">
        <f t="shared" si="7"/>
        <v>0</v>
      </c>
      <c r="R71" s="68">
        <f t="shared" si="3"/>
        <v>0</v>
      </c>
      <c r="S71" s="68">
        <f t="shared" si="4"/>
        <v>192</v>
      </c>
      <c r="T71" s="68">
        <f t="shared" si="11"/>
        <v>192</v>
      </c>
      <c r="U71" s="265">
        <f t="shared" si="9"/>
        <v>14086.130000000001</v>
      </c>
      <c r="V71" s="93">
        <f t="shared" si="10"/>
        <v>0</v>
      </c>
      <c r="W71" s="449" cm="1">
        <f t="array" ref="W71">+IF(U71&lt;0,error,0)</f>
        <v>0</v>
      </c>
    </row>
    <row r="72" spans="1:23" ht="36.75" customHeight="1" x14ac:dyDescent="0.2">
      <c r="A72" s="101" t="s">
        <v>1772</v>
      </c>
      <c r="B72" s="102"/>
      <c r="C72" s="64" t="s">
        <v>1770</v>
      </c>
      <c r="D72" s="65">
        <v>43165</v>
      </c>
      <c r="E72" s="66"/>
      <c r="F72" s="67"/>
      <c r="G72" s="67"/>
      <c r="H72" s="67">
        <v>1125</v>
      </c>
      <c r="I72" s="354">
        <v>1046</v>
      </c>
      <c r="J72" s="67">
        <v>0</v>
      </c>
      <c r="K72" s="68">
        <f t="shared" si="1"/>
        <v>0</v>
      </c>
      <c r="L72" s="68">
        <f t="shared" si="2"/>
        <v>0</v>
      </c>
      <c r="M72" s="69">
        <v>2.5</v>
      </c>
      <c r="N72" s="70" t="s">
        <v>17</v>
      </c>
      <c r="O72" s="68">
        <f t="shared" si="5"/>
        <v>0</v>
      </c>
      <c r="P72" s="68">
        <f t="shared" si="6"/>
        <v>0</v>
      </c>
      <c r="Q72" s="68">
        <f t="shared" si="7"/>
        <v>0</v>
      </c>
      <c r="R72" s="68">
        <f t="shared" si="3"/>
        <v>0</v>
      </c>
      <c r="S72" s="68">
        <f t="shared" si="4"/>
        <v>14</v>
      </c>
      <c r="T72" s="68">
        <f t="shared" si="11"/>
        <v>14</v>
      </c>
      <c r="U72" s="265">
        <f t="shared" si="9"/>
        <v>1032</v>
      </c>
      <c r="V72" s="93">
        <f t="shared" si="10"/>
        <v>0</v>
      </c>
      <c r="W72" s="449" cm="1">
        <f t="array" ref="W72">+IF(U72&lt;0,error,0)</f>
        <v>0</v>
      </c>
    </row>
    <row r="73" spans="1:23" ht="36.75" customHeight="1" x14ac:dyDescent="0.2">
      <c r="A73" s="101" t="s">
        <v>1773</v>
      </c>
      <c r="B73" s="102"/>
      <c r="C73" s="64" t="s">
        <v>1770</v>
      </c>
      <c r="D73" s="65">
        <v>43168</v>
      </c>
      <c r="E73" s="66"/>
      <c r="F73" s="67"/>
      <c r="G73" s="67"/>
      <c r="H73" s="67">
        <v>10016.25</v>
      </c>
      <c r="I73" s="354">
        <v>9312.25</v>
      </c>
      <c r="J73" s="67">
        <v>0</v>
      </c>
      <c r="K73" s="68">
        <f t="shared" si="1"/>
        <v>0</v>
      </c>
      <c r="L73" s="68">
        <f t="shared" si="2"/>
        <v>0</v>
      </c>
      <c r="M73" s="69">
        <v>2.5</v>
      </c>
      <c r="N73" s="70" t="s">
        <v>17</v>
      </c>
      <c r="O73" s="68">
        <f t="shared" si="5"/>
        <v>0</v>
      </c>
      <c r="P73" s="68">
        <f t="shared" si="6"/>
        <v>0</v>
      </c>
      <c r="Q73" s="68">
        <f t="shared" si="7"/>
        <v>0</v>
      </c>
      <c r="R73" s="68">
        <f t="shared" si="3"/>
        <v>0</v>
      </c>
      <c r="S73" s="68">
        <f t="shared" si="4"/>
        <v>125</v>
      </c>
      <c r="T73" s="68">
        <f t="shared" si="11"/>
        <v>125</v>
      </c>
      <c r="U73" s="265">
        <f t="shared" si="9"/>
        <v>9187.25</v>
      </c>
      <c r="V73" s="93">
        <f t="shared" si="10"/>
        <v>0</v>
      </c>
      <c r="W73" s="449" cm="1">
        <f t="array" ref="W73">+IF(U73&lt;0,error,0)</f>
        <v>0</v>
      </c>
    </row>
    <row r="74" spans="1:23" ht="36.75" customHeight="1" x14ac:dyDescent="0.2">
      <c r="A74" s="101" t="s">
        <v>1774</v>
      </c>
      <c r="B74" s="102"/>
      <c r="C74" s="64" t="s">
        <v>1770</v>
      </c>
      <c r="D74" s="65">
        <v>43175</v>
      </c>
      <c r="E74" s="66"/>
      <c r="F74" s="67"/>
      <c r="G74" s="67"/>
      <c r="H74" s="67">
        <v>10222.5</v>
      </c>
      <c r="I74" s="354">
        <v>9510.5</v>
      </c>
      <c r="J74" s="67">
        <v>0</v>
      </c>
      <c r="K74" s="68">
        <f t="shared" si="1"/>
        <v>0</v>
      </c>
      <c r="L74" s="68">
        <f t="shared" si="2"/>
        <v>0</v>
      </c>
      <c r="M74" s="69">
        <v>2.5</v>
      </c>
      <c r="N74" s="70" t="s">
        <v>17</v>
      </c>
      <c r="O74" s="68">
        <f t="shared" si="5"/>
        <v>0</v>
      </c>
      <c r="P74" s="68">
        <f t="shared" si="6"/>
        <v>0</v>
      </c>
      <c r="Q74" s="68">
        <f t="shared" si="7"/>
        <v>0</v>
      </c>
      <c r="R74" s="68">
        <f t="shared" si="3"/>
        <v>0</v>
      </c>
      <c r="S74" s="68">
        <f t="shared" si="4"/>
        <v>127</v>
      </c>
      <c r="T74" s="68">
        <f t="shared" si="11"/>
        <v>127</v>
      </c>
      <c r="U74" s="265">
        <f t="shared" si="9"/>
        <v>9383.5</v>
      </c>
      <c r="V74" s="93">
        <f t="shared" si="10"/>
        <v>0</v>
      </c>
      <c r="W74" s="449" cm="1">
        <f t="array" ref="W74">+IF(U74&lt;0,error,0)</f>
        <v>0</v>
      </c>
    </row>
    <row r="75" spans="1:23" ht="36.75" customHeight="1" x14ac:dyDescent="0.2">
      <c r="A75" s="101" t="s">
        <v>1775</v>
      </c>
      <c r="B75" s="102"/>
      <c r="C75" s="64" t="s">
        <v>1770</v>
      </c>
      <c r="D75" s="65">
        <v>43178</v>
      </c>
      <c r="E75" s="66"/>
      <c r="F75" s="67"/>
      <c r="G75" s="67"/>
      <c r="H75" s="67">
        <v>12062.5</v>
      </c>
      <c r="I75" s="354">
        <v>11225.5</v>
      </c>
      <c r="J75" s="67">
        <v>0</v>
      </c>
      <c r="K75" s="68">
        <f t="shared" si="1"/>
        <v>0</v>
      </c>
      <c r="L75" s="68">
        <f t="shared" si="2"/>
        <v>0</v>
      </c>
      <c r="M75" s="69">
        <v>2.5</v>
      </c>
      <c r="N75" s="70" t="s">
        <v>17</v>
      </c>
      <c r="O75" s="68">
        <f t="shared" si="5"/>
        <v>0</v>
      </c>
      <c r="P75" s="68">
        <f t="shared" si="6"/>
        <v>0</v>
      </c>
      <c r="Q75" s="68">
        <f t="shared" si="7"/>
        <v>0</v>
      </c>
      <c r="R75" s="68">
        <f t="shared" si="3"/>
        <v>0</v>
      </c>
      <c r="S75" s="68">
        <f t="shared" si="4"/>
        <v>150</v>
      </c>
      <c r="T75" s="68">
        <f t="shared" si="11"/>
        <v>150</v>
      </c>
      <c r="U75" s="265">
        <f t="shared" si="9"/>
        <v>11075.5</v>
      </c>
      <c r="V75" s="93">
        <f t="shared" si="10"/>
        <v>0</v>
      </c>
      <c r="W75" s="449" cm="1">
        <f t="array" ref="W75">+IF(U75&lt;0,error,0)</f>
        <v>0</v>
      </c>
    </row>
    <row r="76" spans="1:23" ht="36.75" customHeight="1" x14ac:dyDescent="0.2">
      <c r="A76" s="101" t="s">
        <v>1776</v>
      </c>
      <c r="B76" s="102"/>
      <c r="C76" s="64" t="s">
        <v>1770</v>
      </c>
      <c r="D76" s="65">
        <v>43223</v>
      </c>
      <c r="E76" s="66"/>
      <c r="F76" s="67"/>
      <c r="G76" s="67"/>
      <c r="H76" s="67">
        <v>42609.42</v>
      </c>
      <c r="I76" s="354">
        <v>39773.42</v>
      </c>
      <c r="J76" s="67">
        <v>0</v>
      </c>
      <c r="K76" s="68">
        <f t="shared" si="1"/>
        <v>0</v>
      </c>
      <c r="L76" s="68">
        <f t="shared" si="2"/>
        <v>0</v>
      </c>
      <c r="M76" s="69">
        <v>2.5</v>
      </c>
      <c r="N76" s="70" t="s">
        <v>17</v>
      </c>
      <c r="O76" s="68">
        <f t="shared" si="5"/>
        <v>0</v>
      </c>
      <c r="P76" s="68">
        <f t="shared" si="6"/>
        <v>0</v>
      </c>
      <c r="Q76" s="68">
        <f t="shared" si="7"/>
        <v>0</v>
      </c>
      <c r="R76" s="68">
        <f t="shared" si="3"/>
        <v>0</v>
      </c>
      <c r="S76" s="68">
        <f t="shared" si="4"/>
        <v>532</v>
      </c>
      <c r="T76" s="68">
        <f t="shared" si="11"/>
        <v>532</v>
      </c>
      <c r="U76" s="265">
        <f t="shared" si="9"/>
        <v>39241.42</v>
      </c>
      <c r="V76" s="93">
        <f t="shared" si="10"/>
        <v>0</v>
      </c>
      <c r="W76" s="449" cm="1">
        <f t="array" ref="W76">+IF(U76&lt;0,error,0)</f>
        <v>0</v>
      </c>
    </row>
    <row r="77" spans="1:23" ht="36.75" customHeight="1" x14ac:dyDescent="0.2">
      <c r="A77" s="101" t="s">
        <v>1777</v>
      </c>
      <c r="B77" s="102"/>
      <c r="C77" s="64" t="s">
        <v>1770</v>
      </c>
      <c r="D77" s="65">
        <v>43229</v>
      </c>
      <c r="E77" s="66"/>
      <c r="F77" s="67"/>
      <c r="G77" s="67"/>
      <c r="H77" s="67">
        <v>51124.42</v>
      </c>
      <c r="I77" s="354">
        <v>47740.42</v>
      </c>
      <c r="J77" s="67">
        <v>0</v>
      </c>
      <c r="K77" s="68">
        <f t="shared" si="1"/>
        <v>0</v>
      </c>
      <c r="L77" s="68">
        <f t="shared" si="2"/>
        <v>0</v>
      </c>
      <c r="M77" s="69">
        <v>2.5</v>
      </c>
      <c r="N77" s="70" t="s">
        <v>17</v>
      </c>
      <c r="O77" s="68">
        <f t="shared" si="5"/>
        <v>0</v>
      </c>
      <c r="P77" s="68">
        <f t="shared" si="6"/>
        <v>0</v>
      </c>
      <c r="Q77" s="68">
        <f t="shared" si="7"/>
        <v>0</v>
      </c>
      <c r="R77" s="68">
        <f t="shared" si="3"/>
        <v>0</v>
      </c>
      <c r="S77" s="68">
        <f t="shared" si="4"/>
        <v>639</v>
      </c>
      <c r="T77" s="68">
        <f t="shared" si="11"/>
        <v>639</v>
      </c>
      <c r="U77" s="265">
        <f t="shared" si="9"/>
        <v>47101.42</v>
      </c>
      <c r="V77" s="93">
        <f t="shared" si="10"/>
        <v>0</v>
      </c>
      <c r="W77" s="449" cm="1">
        <f t="array" ref="W77">+IF(U77&lt;0,error,0)</f>
        <v>0</v>
      </c>
    </row>
    <row r="78" spans="1:23" ht="36.75" customHeight="1" x14ac:dyDescent="0.2">
      <c r="A78" s="101" t="s">
        <v>1778</v>
      </c>
      <c r="B78" s="102"/>
      <c r="C78" s="64" t="s">
        <v>1770</v>
      </c>
      <c r="D78" s="65">
        <v>43265</v>
      </c>
      <c r="E78" s="66"/>
      <c r="F78" s="67"/>
      <c r="G78" s="67"/>
      <c r="H78" s="67">
        <v>625</v>
      </c>
      <c r="I78" s="354">
        <v>587</v>
      </c>
      <c r="J78" s="67">
        <v>0</v>
      </c>
      <c r="K78" s="68">
        <f t="shared" si="1"/>
        <v>0</v>
      </c>
      <c r="L78" s="68">
        <f t="shared" si="2"/>
        <v>0</v>
      </c>
      <c r="M78" s="69">
        <v>2.5</v>
      </c>
      <c r="N78" s="70" t="s">
        <v>17</v>
      </c>
      <c r="O78" s="68">
        <f t="shared" si="5"/>
        <v>0</v>
      </c>
      <c r="P78" s="68">
        <f t="shared" si="6"/>
        <v>0</v>
      </c>
      <c r="Q78" s="68">
        <f t="shared" si="7"/>
        <v>0</v>
      </c>
      <c r="R78" s="68">
        <f t="shared" si="3"/>
        <v>0</v>
      </c>
      <c r="S78" s="68">
        <f t="shared" si="4"/>
        <v>7</v>
      </c>
      <c r="T78" s="68">
        <f t="shared" si="11"/>
        <v>7</v>
      </c>
      <c r="U78" s="265">
        <f t="shared" si="9"/>
        <v>580</v>
      </c>
      <c r="V78" s="93">
        <f t="shared" si="10"/>
        <v>0</v>
      </c>
      <c r="W78" s="449" cm="1">
        <f t="array" ref="W78">+IF(U78&lt;0,error,0)</f>
        <v>0</v>
      </c>
    </row>
    <row r="79" spans="1:23" ht="36.75" customHeight="1" x14ac:dyDescent="0.2">
      <c r="A79" s="101" t="s">
        <v>1779</v>
      </c>
      <c r="B79" s="102"/>
      <c r="C79" s="73" t="s">
        <v>1780</v>
      </c>
      <c r="D79" s="65">
        <v>43311</v>
      </c>
      <c r="E79" s="66"/>
      <c r="F79" s="67"/>
      <c r="G79" s="67"/>
      <c r="H79" s="67">
        <v>66926</v>
      </c>
      <c r="I79" s="354">
        <v>62874</v>
      </c>
      <c r="J79" s="67">
        <v>0</v>
      </c>
      <c r="K79" s="68">
        <f t="shared" si="1"/>
        <v>0</v>
      </c>
      <c r="L79" s="68">
        <f t="shared" si="2"/>
        <v>0</v>
      </c>
      <c r="M79" s="69">
        <v>2.5</v>
      </c>
      <c r="N79" s="70" t="s">
        <v>17</v>
      </c>
      <c r="O79" s="68">
        <f t="shared" si="5"/>
        <v>0</v>
      </c>
      <c r="P79" s="68">
        <f t="shared" si="6"/>
        <v>0</v>
      </c>
      <c r="Q79" s="68">
        <f t="shared" si="7"/>
        <v>0</v>
      </c>
      <c r="R79" s="68">
        <f t="shared" si="3"/>
        <v>0</v>
      </c>
      <c r="S79" s="68">
        <f t="shared" si="4"/>
        <v>836</v>
      </c>
      <c r="T79" s="68">
        <f t="shared" si="11"/>
        <v>836</v>
      </c>
      <c r="U79" s="265">
        <f t="shared" si="9"/>
        <v>62038</v>
      </c>
      <c r="V79" s="93">
        <f t="shared" si="10"/>
        <v>0</v>
      </c>
      <c r="W79" s="449" cm="1">
        <f t="array" ref="W79">+IF(U79&lt;0,error,0)</f>
        <v>0</v>
      </c>
    </row>
    <row r="80" spans="1:23" ht="36.75" customHeight="1" x14ac:dyDescent="0.2">
      <c r="A80" s="101" t="s">
        <v>1781</v>
      </c>
      <c r="B80" s="102"/>
      <c r="C80" s="72" t="s">
        <v>1780</v>
      </c>
      <c r="D80" s="65">
        <v>43343</v>
      </c>
      <c r="E80" s="66"/>
      <c r="F80" s="67"/>
      <c r="G80" s="67"/>
      <c r="H80" s="67">
        <v>251248</v>
      </c>
      <c r="I80" s="354">
        <v>236581</v>
      </c>
      <c r="J80" s="67">
        <v>0</v>
      </c>
      <c r="K80" s="68">
        <f t="shared" ref="K80:K95" si="12">INT(IF($E80&gt;0,IF(+F80-I80+Q80&lt;0,0,+F80-I80+Q80),0))</f>
        <v>0</v>
      </c>
      <c r="L80" s="68">
        <f t="shared" ref="L80:L95" si="13">INT(IF($E80&gt;0,IF(K80=0,-F80+I80-Q80,0),0))</f>
        <v>0</v>
      </c>
      <c r="M80" s="69">
        <v>2.5</v>
      </c>
      <c r="N80" s="70" t="s">
        <v>17</v>
      </c>
      <c r="O80" s="68">
        <f t="shared" si="5"/>
        <v>0</v>
      </c>
      <c r="P80" s="68">
        <f t="shared" si="6"/>
        <v>0</v>
      </c>
      <c r="Q80" s="68">
        <f t="shared" si="7"/>
        <v>0</v>
      </c>
      <c r="R80" s="68">
        <f t="shared" ref="R80:R108" si="14">INT(IF($E80&gt;0,0,(IF($N80="D",IF($D80&lt;$H$3,$I80*($M80/100)*$U$3/12,$J80*($M80/100)*($J$3-$D80)/365),0))))</f>
        <v>0</v>
      </c>
      <c r="S80" s="68">
        <f t="shared" ref="S80:S108" si="15">INT(IF($E80&gt;0,0,(IF($N80="P",IF($D80&lt;$H$3,$H80*($M80/100)*$U$3/12,$J80*($M80/100)*($J$3-$D80)/365),0))))</f>
        <v>3140</v>
      </c>
      <c r="T80" s="68">
        <f t="shared" si="11"/>
        <v>3140</v>
      </c>
      <c r="U80" s="265">
        <f t="shared" si="9"/>
        <v>233441</v>
      </c>
      <c r="V80" s="93">
        <f t="shared" si="10"/>
        <v>0</v>
      </c>
      <c r="W80" s="449" cm="1">
        <f t="array" ref="W80">+IF(U80&lt;0,error,0)</f>
        <v>0</v>
      </c>
    </row>
    <row r="81" spans="1:23" ht="36.75" customHeight="1" x14ac:dyDescent="0.2">
      <c r="A81" s="101" t="s">
        <v>1782</v>
      </c>
      <c r="B81" s="102"/>
      <c r="C81" s="64" t="s">
        <v>1783</v>
      </c>
      <c r="D81" s="65">
        <v>43345</v>
      </c>
      <c r="E81" s="66"/>
      <c r="F81" s="67"/>
      <c r="G81" s="67"/>
      <c r="H81" s="67">
        <v>6368</v>
      </c>
      <c r="I81" s="354">
        <v>6000</v>
      </c>
      <c r="J81" s="67">
        <v>0</v>
      </c>
      <c r="K81" s="68">
        <f t="shared" si="12"/>
        <v>0</v>
      </c>
      <c r="L81" s="68">
        <f t="shared" si="13"/>
        <v>0</v>
      </c>
      <c r="M81" s="69">
        <v>2.5</v>
      </c>
      <c r="N81" s="70" t="s">
        <v>17</v>
      </c>
      <c r="O81" s="68">
        <f t="shared" ref="O81:O95" si="16">IF(E81&gt;0,INT(IF($N81="D",IF($D81&lt;$H$3,$I81*($M81/100)*((E81-$H$3)/365),$J81*($M81/100)*($J$3-$D81)/365),0)),0)</f>
        <v>0</v>
      </c>
      <c r="P81" s="68">
        <f t="shared" ref="P81:P95" si="17">IF(E81&gt;0,INT(IF($N81="P",IF($D81&lt;$H$3,$H81*($M81/100)*(E81-$H$3)/365,$J81*($M81/100)*($J$3-$D81)/365),0)),0)</f>
        <v>0</v>
      </c>
      <c r="Q81" s="68">
        <f t="shared" ref="Q81:Q95" si="18">+O81+P81</f>
        <v>0</v>
      </c>
      <c r="R81" s="68">
        <f t="shared" si="14"/>
        <v>0</v>
      </c>
      <c r="S81" s="68">
        <f t="shared" si="15"/>
        <v>79</v>
      </c>
      <c r="T81" s="68">
        <f t="shared" si="11"/>
        <v>79</v>
      </c>
      <c r="U81" s="265">
        <f t="shared" ref="U81:U95" si="19">+I81+J81-T81</f>
        <v>5921</v>
      </c>
      <c r="V81" s="93">
        <f t="shared" ref="V81:V95" si="20">IF(E81&gt;0,+H81+J81,0)</f>
        <v>0</v>
      </c>
      <c r="W81" s="449" cm="1">
        <f t="array" ref="W81">+IF(U81&lt;0,error,0)</f>
        <v>0</v>
      </c>
    </row>
    <row r="82" spans="1:23" ht="36.75" customHeight="1" x14ac:dyDescent="0.2">
      <c r="A82" s="101" t="s">
        <v>1784</v>
      </c>
      <c r="B82" s="102"/>
      <c r="C82" s="64" t="s">
        <v>1785</v>
      </c>
      <c r="D82" s="65">
        <v>43345</v>
      </c>
      <c r="E82" s="66"/>
      <c r="F82" s="67"/>
      <c r="G82" s="67"/>
      <c r="H82" s="67">
        <v>4524.2</v>
      </c>
      <c r="I82" s="354">
        <v>4263.2</v>
      </c>
      <c r="J82" s="67">
        <v>0</v>
      </c>
      <c r="K82" s="68">
        <f t="shared" si="12"/>
        <v>0</v>
      </c>
      <c r="L82" s="68">
        <f t="shared" si="13"/>
        <v>0</v>
      </c>
      <c r="M82" s="69">
        <v>2.5</v>
      </c>
      <c r="N82" s="70" t="s">
        <v>17</v>
      </c>
      <c r="O82" s="68">
        <f t="shared" si="16"/>
        <v>0</v>
      </c>
      <c r="P82" s="68">
        <f t="shared" si="17"/>
        <v>0</v>
      </c>
      <c r="Q82" s="68">
        <f t="shared" si="18"/>
        <v>0</v>
      </c>
      <c r="R82" s="68">
        <f t="shared" si="14"/>
        <v>0</v>
      </c>
      <c r="S82" s="68">
        <f t="shared" si="15"/>
        <v>56</v>
      </c>
      <c r="T82" s="68">
        <f t="shared" si="11"/>
        <v>56</v>
      </c>
      <c r="U82" s="265">
        <f t="shared" si="19"/>
        <v>4207.2</v>
      </c>
      <c r="V82" s="93">
        <f t="shared" si="20"/>
        <v>0</v>
      </c>
      <c r="W82" s="449" cm="1">
        <f t="array" ref="W82">+IF(U82&lt;0,error,0)</f>
        <v>0</v>
      </c>
    </row>
    <row r="83" spans="1:23" ht="36.75" customHeight="1" x14ac:dyDescent="0.2">
      <c r="A83" s="101" t="s">
        <v>1786</v>
      </c>
      <c r="B83" s="102"/>
      <c r="C83" s="73" t="s">
        <v>1787</v>
      </c>
      <c r="D83" s="65">
        <v>43345</v>
      </c>
      <c r="E83" s="66"/>
      <c r="F83" s="67"/>
      <c r="G83" s="67"/>
      <c r="H83" s="67">
        <v>3120</v>
      </c>
      <c r="I83" s="354">
        <v>2939</v>
      </c>
      <c r="J83" s="67">
        <v>0</v>
      </c>
      <c r="K83" s="68">
        <f t="shared" si="12"/>
        <v>0</v>
      </c>
      <c r="L83" s="68">
        <f t="shared" si="13"/>
        <v>0</v>
      </c>
      <c r="M83" s="69">
        <v>2.5</v>
      </c>
      <c r="N83" s="70" t="s">
        <v>17</v>
      </c>
      <c r="O83" s="68">
        <f t="shared" si="16"/>
        <v>0</v>
      </c>
      <c r="P83" s="68">
        <f t="shared" si="17"/>
        <v>0</v>
      </c>
      <c r="Q83" s="68">
        <f t="shared" si="18"/>
        <v>0</v>
      </c>
      <c r="R83" s="68">
        <f t="shared" si="14"/>
        <v>0</v>
      </c>
      <c r="S83" s="68">
        <f t="shared" si="15"/>
        <v>39</v>
      </c>
      <c r="T83" s="68">
        <f t="shared" si="11"/>
        <v>39</v>
      </c>
      <c r="U83" s="265">
        <f t="shared" si="19"/>
        <v>2900</v>
      </c>
      <c r="V83" s="93">
        <f t="shared" si="20"/>
        <v>0</v>
      </c>
      <c r="W83" s="449" cm="1">
        <f t="array" ref="W83">+IF(U83&lt;0,error,0)</f>
        <v>0</v>
      </c>
    </row>
    <row r="84" spans="1:23" ht="36.75" customHeight="1" x14ac:dyDescent="0.2">
      <c r="A84" s="101" t="s">
        <v>1788</v>
      </c>
      <c r="B84" s="102"/>
      <c r="C84" s="72" t="s">
        <v>1789</v>
      </c>
      <c r="D84" s="65">
        <v>43345</v>
      </c>
      <c r="E84" s="66"/>
      <c r="F84" s="67"/>
      <c r="G84" s="67"/>
      <c r="H84" s="67">
        <v>8877.8000000000011</v>
      </c>
      <c r="I84" s="354">
        <v>8363.8000000000011</v>
      </c>
      <c r="J84" s="67">
        <v>0</v>
      </c>
      <c r="K84" s="68">
        <f t="shared" si="12"/>
        <v>0</v>
      </c>
      <c r="L84" s="68">
        <f t="shared" si="13"/>
        <v>0</v>
      </c>
      <c r="M84" s="69">
        <v>2.5</v>
      </c>
      <c r="N84" s="70" t="s">
        <v>17</v>
      </c>
      <c r="O84" s="68">
        <f t="shared" si="16"/>
        <v>0</v>
      </c>
      <c r="P84" s="68">
        <f t="shared" si="17"/>
        <v>0</v>
      </c>
      <c r="Q84" s="68">
        <f t="shared" si="18"/>
        <v>0</v>
      </c>
      <c r="R84" s="68">
        <f t="shared" si="14"/>
        <v>0</v>
      </c>
      <c r="S84" s="68">
        <f t="shared" si="15"/>
        <v>110</v>
      </c>
      <c r="T84" s="68">
        <f t="shared" si="11"/>
        <v>110</v>
      </c>
      <c r="U84" s="265">
        <f t="shared" si="19"/>
        <v>8253.8000000000011</v>
      </c>
      <c r="V84" s="93">
        <f t="shared" si="20"/>
        <v>0</v>
      </c>
      <c r="W84" s="449" cm="1">
        <f t="array" ref="W84">+IF(U84&lt;0,error,0)</f>
        <v>0</v>
      </c>
    </row>
    <row r="85" spans="1:23" ht="36.75" customHeight="1" x14ac:dyDescent="0.2">
      <c r="A85" s="101" t="s">
        <v>1790</v>
      </c>
      <c r="B85" s="102"/>
      <c r="C85" s="64" t="s">
        <v>1791</v>
      </c>
      <c r="D85" s="65">
        <v>43370</v>
      </c>
      <c r="E85" s="66"/>
      <c r="F85" s="67"/>
      <c r="G85" s="67"/>
      <c r="H85" s="67">
        <v>42733</v>
      </c>
      <c r="I85" s="354">
        <v>40318</v>
      </c>
      <c r="J85" s="67">
        <v>0</v>
      </c>
      <c r="K85" s="68">
        <f t="shared" si="12"/>
        <v>0</v>
      </c>
      <c r="L85" s="68">
        <f t="shared" si="13"/>
        <v>0</v>
      </c>
      <c r="M85" s="69">
        <v>2.5</v>
      </c>
      <c r="N85" s="70" t="s">
        <v>17</v>
      </c>
      <c r="O85" s="68">
        <f t="shared" si="16"/>
        <v>0</v>
      </c>
      <c r="P85" s="68">
        <f t="shared" si="17"/>
        <v>0</v>
      </c>
      <c r="Q85" s="68">
        <f t="shared" si="18"/>
        <v>0</v>
      </c>
      <c r="R85" s="68">
        <f t="shared" si="14"/>
        <v>0</v>
      </c>
      <c r="S85" s="68">
        <f t="shared" si="15"/>
        <v>534</v>
      </c>
      <c r="T85" s="68">
        <f t="shared" si="11"/>
        <v>534</v>
      </c>
      <c r="U85" s="265">
        <f t="shared" si="19"/>
        <v>39784</v>
      </c>
      <c r="V85" s="93">
        <f t="shared" si="20"/>
        <v>0</v>
      </c>
      <c r="W85" s="449" cm="1">
        <f t="array" ref="W85">+IF(U85&lt;0,error,0)</f>
        <v>0</v>
      </c>
    </row>
    <row r="86" spans="1:23" ht="36.75" customHeight="1" x14ac:dyDescent="0.2">
      <c r="A86" s="101" t="s">
        <v>1792</v>
      </c>
      <c r="B86" s="102"/>
      <c r="C86" s="64" t="s">
        <v>1789</v>
      </c>
      <c r="D86" s="65">
        <v>43374</v>
      </c>
      <c r="E86" s="66"/>
      <c r="F86" s="67"/>
      <c r="G86" s="67"/>
      <c r="H86" s="67">
        <v>6718.4000000000005</v>
      </c>
      <c r="I86" s="354">
        <v>6344.4000000000005</v>
      </c>
      <c r="J86" s="67">
        <v>0</v>
      </c>
      <c r="K86" s="68">
        <f t="shared" si="12"/>
        <v>0</v>
      </c>
      <c r="L86" s="68">
        <f t="shared" si="13"/>
        <v>0</v>
      </c>
      <c r="M86" s="69">
        <v>2.5</v>
      </c>
      <c r="N86" s="70" t="s">
        <v>17</v>
      </c>
      <c r="O86" s="68">
        <f t="shared" si="16"/>
        <v>0</v>
      </c>
      <c r="P86" s="68">
        <f t="shared" si="17"/>
        <v>0</v>
      </c>
      <c r="Q86" s="68">
        <f t="shared" si="18"/>
        <v>0</v>
      </c>
      <c r="R86" s="68">
        <f t="shared" si="14"/>
        <v>0</v>
      </c>
      <c r="S86" s="68">
        <f t="shared" si="15"/>
        <v>83</v>
      </c>
      <c r="T86" s="68">
        <f t="shared" si="11"/>
        <v>83</v>
      </c>
      <c r="U86" s="265">
        <f t="shared" si="19"/>
        <v>6261.4000000000005</v>
      </c>
      <c r="V86" s="93">
        <f t="shared" si="20"/>
        <v>0</v>
      </c>
      <c r="W86" s="449" cm="1">
        <f t="array" ref="W86">+IF(U86&lt;0,error,0)</f>
        <v>0</v>
      </c>
    </row>
    <row r="87" spans="1:23" ht="36.75" customHeight="1" x14ac:dyDescent="0.2">
      <c r="A87" s="101" t="s">
        <v>1793</v>
      </c>
      <c r="B87" s="102"/>
      <c r="C87" s="64" t="s">
        <v>1794</v>
      </c>
      <c r="D87" s="65">
        <v>43374</v>
      </c>
      <c r="E87" s="66"/>
      <c r="F87" s="67"/>
      <c r="G87" s="67"/>
      <c r="H87" s="67">
        <v>3739.9</v>
      </c>
      <c r="I87" s="354">
        <v>3531.9</v>
      </c>
      <c r="J87" s="67">
        <v>0</v>
      </c>
      <c r="K87" s="68">
        <f t="shared" si="12"/>
        <v>0</v>
      </c>
      <c r="L87" s="68">
        <f t="shared" si="13"/>
        <v>0</v>
      </c>
      <c r="M87" s="69">
        <v>2.5</v>
      </c>
      <c r="N87" s="70" t="s">
        <v>17</v>
      </c>
      <c r="O87" s="68">
        <f t="shared" si="16"/>
        <v>0</v>
      </c>
      <c r="P87" s="68">
        <f t="shared" si="17"/>
        <v>0</v>
      </c>
      <c r="Q87" s="68">
        <f t="shared" si="18"/>
        <v>0</v>
      </c>
      <c r="R87" s="68">
        <f t="shared" si="14"/>
        <v>0</v>
      </c>
      <c r="S87" s="68">
        <f t="shared" si="15"/>
        <v>46</v>
      </c>
      <c r="T87" s="68">
        <f t="shared" si="11"/>
        <v>46</v>
      </c>
      <c r="U87" s="265">
        <f t="shared" si="19"/>
        <v>3485.9</v>
      </c>
      <c r="V87" s="93">
        <f t="shared" si="20"/>
        <v>0</v>
      </c>
      <c r="W87" s="449" cm="1">
        <f t="array" ref="W87">+IF(U87&lt;0,error,0)</f>
        <v>0</v>
      </c>
    </row>
    <row r="88" spans="1:23" ht="36.75" customHeight="1" x14ac:dyDescent="0.2">
      <c r="A88" s="101" t="s">
        <v>1795</v>
      </c>
      <c r="B88" s="102"/>
      <c r="C88" s="64" t="s">
        <v>1796</v>
      </c>
      <c r="D88" s="65">
        <v>43385</v>
      </c>
      <c r="E88" s="66"/>
      <c r="F88" s="67"/>
      <c r="G88" s="67"/>
      <c r="H88" s="67">
        <v>16314</v>
      </c>
      <c r="I88" s="354">
        <v>15412</v>
      </c>
      <c r="J88" s="67">
        <v>0</v>
      </c>
      <c r="K88" s="68">
        <f t="shared" si="12"/>
        <v>0</v>
      </c>
      <c r="L88" s="68">
        <f t="shared" si="13"/>
        <v>0</v>
      </c>
      <c r="M88" s="69">
        <v>2.5</v>
      </c>
      <c r="N88" s="70" t="s">
        <v>17</v>
      </c>
      <c r="O88" s="68">
        <f t="shared" si="16"/>
        <v>0</v>
      </c>
      <c r="P88" s="68">
        <f t="shared" si="17"/>
        <v>0</v>
      </c>
      <c r="Q88" s="68">
        <f t="shared" si="18"/>
        <v>0</v>
      </c>
      <c r="R88" s="68">
        <f t="shared" si="14"/>
        <v>0</v>
      </c>
      <c r="S88" s="68">
        <f t="shared" si="15"/>
        <v>203</v>
      </c>
      <c r="T88" s="68">
        <f t="shared" si="11"/>
        <v>203</v>
      </c>
      <c r="U88" s="265">
        <f t="shared" si="19"/>
        <v>15209</v>
      </c>
      <c r="V88" s="93">
        <f t="shared" si="20"/>
        <v>0</v>
      </c>
      <c r="W88" s="449" cm="1">
        <f t="array" ref="W88">+IF(U88&lt;0,error,0)</f>
        <v>0</v>
      </c>
    </row>
    <row r="89" spans="1:23" ht="36.75" customHeight="1" x14ac:dyDescent="0.2">
      <c r="A89" s="101" t="s">
        <v>1797</v>
      </c>
      <c r="B89" s="102"/>
      <c r="C89" s="64" t="s">
        <v>1798</v>
      </c>
      <c r="D89" s="65">
        <v>43413</v>
      </c>
      <c r="E89" s="66"/>
      <c r="F89" s="67"/>
      <c r="G89" s="67"/>
      <c r="H89" s="67">
        <v>181818.18</v>
      </c>
      <c r="I89" s="354">
        <v>172077.18</v>
      </c>
      <c r="J89" s="67">
        <v>0</v>
      </c>
      <c r="K89" s="68">
        <f t="shared" si="12"/>
        <v>0</v>
      </c>
      <c r="L89" s="68">
        <f t="shared" si="13"/>
        <v>0</v>
      </c>
      <c r="M89" s="69">
        <v>2.5</v>
      </c>
      <c r="N89" s="70" t="s">
        <v>17</v>
      </c>
      <c r="O89" s="68">
        <f t="shared" si="16"/>
        <v>0</v>
      </c>
      <c r="P89" s="68">
        <f t="shared" si="17"/>
        <v>0</v>
      </c>
      <c r="Q89" s="68">
        <f t="shared" si="18"/>
        <v>0</v>
      </c>
      <c r="R89" s="68">
        <f t="shared" si="14"/>
        <v>0</v>
      </c>
      <c r="S89" s="68">
        <f t="shared" si="15"/>
        <v>2272</v>
      </c>
      <c r="T89" s="68">
        <f t="shared" si="11"/>
        <v>2272</v>
      </c>
      <c r="U89" s="265">
        <f t="shared" si="19"/>
        <v>169805.18</v>
      </c>
      <c r="V89" s="93">
        <f t="shared" si="20"/>
        <v>0</v>
      </c>
      <c r="W89" s="449" cm="1">
        <f t="array" ref="W89">+IF(U89&lt;0,error,0)</f>
        <v>0</v>
      </c>
    </row>
    <row r="90" spans="1:23" ht="36.75" customHeight="1" x14ac:dyDescent="0.2">
      <c r="A90" s="101" t="s">
        <v>1799</v>
      </c>
      <c r="B90" s="102"/>
      <c r="C90" s="64" t="s">
        <v>1800</v>
      </c>
      <c r="D90" s="65">
        <v>43374</v>
      </c>
      <c r="E90" s="66"/>
      <c r="F90" s="67"/>
      <c r="G90" s="67"/>
      <c r="H90" s="67">
        <v>10259.15</v>
      </c>
      <c r="I90" s="354">
        <v>9683.15</v>
      </c>
      <c r="J90" s="67">
        <v>0</v>
      </c>
      <c r="K90" s="68">
        <f t="shared" si="12"/>
        <v>0</v>
      </c>
      <c r="L90" s="68">
        <f t="shared" si="13"/>
        <v>0</v>
      </c>
      <c r="M90" s="69">
        <v>2.5</v>
      </c>
      <c r="N90" s="70" t="s">
        <v>17</v>
      </c>
      <c r="O90" s="68">
        <f t="shared" si="16"/>
        <v>0</v>
      </c>
      <c r="P90" s="68">
        <f t="shared" si="17"/>
        <v>0</v>
      </c>
      <c r="Q90" s="68">
        <f t="shared" si="18"/>
        <v>0</v>
      </c>
      <c r="R90" s="68">
        <f t="shared" si="14"/>
        <v>0</v>
      </c>
      <c r="S90" s="68">
        <f t="shared" si="15"/>
        <v>128</v>
      </c>
      <c r="T90" s="68">
        <f t="shared" si="11"/>
        <v>128</v>
      </c>
      <c r="U90" s="265">
        <f t="shared" si="19"/>
        <v>9555.15</v>
      </c>
      <c r="V90" s="93">
        <f t="shared" si="20"/>
        <v>0</v>
      </c>
      <c r="W90" s="449" cm="1">
        <f t="array" ref="W90">+IF(U90&lt;0,error,0)</f>
        <v>0</v>
      </c>
    </row>
    <row r="91" spans="1:23" ht="36.75" customHeight="1" x14ac:dyDescent="0.2">
      <c r="A91" s="101" t="s">
        <v>1801</v>
      </c>
      <c r="B91" s="102"/>
      <c r="C91" s="64" t="s">
        <v>1802</v>
      </c>
      <c r="D91" s="65">
        <v>43374</v>
      </c>
      <c r="E91" s="66"/>
      <c r="F91" s="67"/>
      <c r="G91" s="67"/>
      <c r="H91" s="67">
        <v>12387.5</v>
      </c>
      <c r="I91" s="354">
        <v>11693.5</v>
      </c>
      <c r="J91" s="67">
        <v>0</v>
      </c>
      <c r="K91" s="68">
        <f t="shared" si="12"/>
        <v>0</v>
      </c>
      <c r="L91" s="68">
        <f t="shared" si="13"/>
        <v>0</v>
      </c>
      <c r="M91" s="69">
        <v>2.5</v>
      </c>
      <c r="N91" s="70" t="s">
        <v>17</v>
      </c>
      <c r="O91" s="68">
        <f t="shared" si="16"/>
        <v>0</v>
      </c>
      <c r="P91" s="68">
        <f t="shared" si="17"/>
        <v>0</v>
      </c>
      <c r="Q91" s="68">
        <f t="shared" si="18"/>
        <v>0</v>
      </c>
      <c r="R91" s="68">
        <f t="shared" si="14"/>
        <v>0</v>
      </c>
      <c r="S91" s="68">
        <f t="shared" si="15"/>
        <v>154</v>
      </c>
      <c r="T91" s="68">
        <f t="shared" si="11"/>
        <v>154</v>
      </c>
      <c r="U91" s="265">
        <f t="shared" si="19"/>
        <v>11539.5</v>
      </c>
      <c r="V91" s="93">
        <f t="shared" si="20"/>
        <v>0</v>
      </c>
      <c r="W91" s="449" cm="1">
        <f t="array" ref="W91">+IF(U91&lt;0,error,0)</f>
        <v>0</v>
      </c>
    </row>
    <row r="92" spans="1:23" ht="36.75" customHeight="1" x14ac:dyDescent="0.2">
      <c r="A92" s="101" t="s">
        <v>1803</v>
      </c>
      <c r="B92" s="102"/>
      <c r="C92" s="64" t="s">
        <v>1804</v>
      </c>
      <c r="D92" s="65">
        <v>43412</v>
      </c>
      <c r="E92" s="66"/>
      <c r="F92" s="67"/>
      <c r="G92" s="67"/>
      <c r="H92" s="67">
        <v>22391.93</v>
      </c>
      <c r="I92" s="354">
        <v>21193.93</v>
      </c>
      <c r="J92" s="67">
        <v>0</v>
      </c>
      <c r="K92" s="68">
        <f t="shared" si="12"/>
        <v>0</v>
      </c>
      <c r="L92" s="68">
        <f t="shared" si="13"/>
        <v>0</v>
      </c>
      <c r="M92" s="69">
        <v>2.5</v>
      </c>
      <c r="N92" s="70" t="s">
        <v>17</v>
      </c>
      <c r="O92" s="68">
        <f t="shared" si="16"/>
        <v>0</v>
      </c>
      <c r="P92" s="68">
        <f t="shared" si="17"/>
        <v>0</v>
      </c>
      <c r="Q92" s="68">
        <f t="shared" si="18"/>
        <v>0</v>
      </c>
      <c r="R92" s="68">
        <f t="shared" si="14"/>
        <v>0</v>
      </c>
      <c r="S92" s="68">
        <f t="shared" si="15"/>
        <v>279</v>
      </c>
      <c r="T92" s="68">
        <f t="shared" ref="T92:T95" si="21">+R92+S92+Q92</f>
        <v>279</v>
      </c>
      <c r="U92" s="265">
        <f t="shared" si="19"/>
        <v>20914.93</v>
      </c>
      <c r="V92" s="93">
        <f t="shared" si="20"/>
        <v>0</v>
      </c>
      <c r="W92" s="449" cm="1">
        <f t="array" ref="W92">+IF(U92&lt;0,error,0)</f>
        <v>0</v>
      </c>
    </row>
    <row r="93" spans="1:23" ht="36.75" customHeight="1" x14ac:dyDescent="0.2">
      <c r="A93" s="101" t="s">
        <v>1805</v>
      </c>
      <c r="B93" s="102"/>
      <c r="C93" s="64" t="s">
        <v>1806</v>
      </c>
      <c r="D93" s="65">
        <v>43419</v>
      </c>
      <c r="E93" s="66"/>
      <c r="F93" s="67"/>
      <c r="G93" s="67"/>
      <c r="H93" s="67">
        <v>8732.85</v>
      </c>
      <c r="I93" s="354">
        <v>8268.85</v>
      </c>
      <c r="J93" s="67">
        <v>0</v>
      </c>
      <c r="K93" s="68">
        <f t="shared" si="12"/>
        <v>0</v>
      </c>
      <c r="L93" s="68">
        <f t="shared" si="13"/>
        <v>0</v>
      </c>
      <c r="M93" s="69">
        <v>2.5</v>
      </c>
      <c r="N93" s="70" t="s">
        <v>17</v>
      </c>
      <c r="O93" s="68">
        <f t="shared" si="16"/>
        <v>0</v>
      </c>
      <c r="P93" s="68">
        <f t="shared" si="17"/>
        <v>0</v>
      </c>
      <c r="Q93" s="68">
        <f t="shared" si="18"/>
        <v>0</v>
      </c>
      <c r="R93" s="68">
        <f t="shared" si="14"/>
        <v>0</v>
      </c>
      <c r="S93" s="68">
        <f t="shared" si="15"/>
        <v>109</v>
      </c>
      <c r="T93" s="68">
        <f t="shared" si="21"/>
        <v>109</v>
      </c>
      <c r="U93" s="265">
        <f t="shared" si="19"/>
        <v>8159.85</v>
      </c>
      <c r="V93" s="93">
        <f t="shared" si="20"/>
        <v>0</v>
      </c>
      <c r="W93" s="449" cm="1">
        <f t="array" ref="W93">+IF(U93&lt;0,error,0)</f>
        <v>0</v>
      </c>
    </row>
    <row r="94" spans="1:23" ht="36.75" customHeight="1" x14ac:dyDescent="0.2">
      <c r="A94" s="101" t="s">
        <v>1807</v>
      </c>
      <c r="B94" s="102"/>
      <c r="C94" s="64" t="s">
        <v>1808</v>
      </c>
      <c r="D94" s="65">
        <v>43425</v>
      </c>
      <c r="E94" s="66"/>
      <c r="F94" s="67"/>
      <c r="G94" s="67"/>
      <c r="H94" s="67">
        <v>972.6</v>
      </c>
      <c r="I94" s="354">
        <v>921.6</v>
      </c>
      <c r="J94" s="67">
        <v>0</v>
      </c>
      <c r="K94" s="68">
        <f t="shared" si="12"/>
        <v>0</v>
      </c>
      <c r="L94" s="68">
        <f t="shared" si="13"/>
        <v>0</v>
      </c>
      <c r="M94" s="69">
        <v>2.5</v>
      </c>
      <c r="N94" s="70" t="s">
        <v>17</v>
      </c>
      <c r="O94" s="68">
        <f t="shared" si="16"/>
        <v>0</v>
      </c>
      <c r="P94" s="68">
        <f t="shared" si="17"/>
        <v>0</v>
      </c>
      <c r="Q94" s="68">
        <f t="shared" si="18"/>
        <v>0</v>
      </c>
      <c r="R94" s="68">
        <f t="shared" si="14"/>
        <v>0</v>
      </c>
      <c r="S94" s="68">
        <f t="shared" si="15"/>
        <v>12</v>
      </c>
      <c r="T94" s="68">
        <f t="shared" si="21"/>
        <v>12</v>
      </c>
      <c r="U94" s="265">
        <f t="shared" si="19"/>
        <v>909.6</v>
      </c>
      <c r="V94" s="93">
        <f t="shared" si="20"/>
        <v>0</v>
      </c>
      <c r="W94" s="449" cm="1">
        <f t="array" ref="W94">+IF(U94&lt;0,error,0)</f>
        <v>0</v>
      </c>
    </row>
    <row r="95" spans="1:23" ht="36.75" customHeight="1" x14ac:dyDescent="0.2">
      <c r="A95" s="101" t="s">
        <v>1809</v>
      </c>
      <c r="B95" s="102"/>
      <c r="C95" s="64" t="s">
        <v>1810</v>
      </c>
      <c r="D95" s="65">
        <v>43430</v>
      </c>
      <c r="E95" s="66"/>
      <c r="F95" s="67"/>
      <c r="G95" s="67"/>
      <c r="H95" s="67">
        <v>1423</v>
      </c>
      <c r="I95" s="354">
        <v>1351</v>
      </c>
      <c r="J95" s="67">
        <v>0</v>
      </c>
      <c r="K95" s="68">
        <f t="shared" si="12"/>
        <v>0</v>
      </c>
      <c r="L95" s="68">
        <f t="shared" si="13"/>
        <v>0</v>
      </c>
      <c r="M95" s="69">
        <v>2.5</v>
      </c>
      <c r="N95" s="70" t="s">
        <v>17</v>
      </c>
      <c r="O95" s="68">
        <f t="shared" si="16"/>
        <v>0</v>
      </c>
      <c r="P95" s="68">
        <f t="shared" si="17"/>
        <v>0</v>
      </c>
      <c r="Q95" s="68">
        <f t="shared" si="18"/>
        <v>0</v>
      </c>
      <c r="R95" s="68">
        <f t="shared" si="14"/>
        <v>0</v>
      </c>
      <c r="S95" s="68">
        <f t="shared" si="15"/>
        <v>17</v>
      </c>
      <c r="T95" s="68">
        <f t="shared" si="21"/>
        <v>17</v>
      </c>
      <c r="U95" s="265">
        <f t="shared" si="19"/>
        <v>1334</v>
      </c>
      <c r="V95" s="93">
        <f t="shared" si="20"/>
        <v>0</v>
      </c>
      <c r="W95" s="449" cm="1">
        <f t="array" ref="W95">+IF(U95&lt;0,error,0)</f>
        <v>0</v>
      </c>
    </row>
    <row r="96" spans="1:23" ht="36.75" customHeight="1" x14ac:dyDescent="0.2">
      <c r="A96" s="101" t="s">
        <v>2091</v>
      </c>
      <c r="B96" s="102"/>
      <c r="C96" s="64" t="s">
        <v>2094</v>
      </c>
      <c r="D96" s="65">
        <v>43558</v>
      </c>
      <c r="E96" s="66"/>
      <c r="F96" s="67"/>
      <c r="G96" s="67"/>
      <c r="H96" s="67">
        <v>376794.89</v>
      </c>
      <c r="I96" s="354">
        <v>360396.89</v>
      </c>
      <c r="J96" s="67">
        <v>0</v>
      </c>
      <c r="K96" s="68">
        <f>INT(IF($E96&gt;0,IF(+F96-I96+Q96&lt;0,0,+F96-I96+Q96),0))</f>
        <v>0</v>
      </c>
      <c r="L96" s="68">
        <f>INT(IF($E96&gt;0,IF(K96=0,-F96+I96-Q96,0),0))</f>
        <v>0</v>
      </c>
      <c r="M96" s="69">
        <v>2.5</v>
      </c>
      <c r="N96" s="70" t="s">
        <v>17</v>
      </c>
      <c r="O96" s="68">
        <f>IF(E96&gt;0,INT(IF($N96="D",IF($D96&lt;$H$3,$I96*($M96/100)*((E96-$H$3)/365),$J96*($M96/100)*($J$3-$D96)/365),0)),0)</f>
        <v>0</v>
      </c>
      <c r="P96" s="68">
        <f>IF(E96&gt;0,INT(IF($N96="P",IF($D96&lt;$H$3,$H96*($M96/100)*(E96-$H$3)/365,$J96*($M96/100)*($J$3-$D96)/365),0)),0)</f>
        <v>0</v>
      </c>
      <c r="Q96" s="68">
        <f>+O96+P96</f>
        <v>0</v>
      </c>
      <c r="R96" s="68">
        <f t="shared" si="14"/>
        <v>0</v>
      </c>
      <c r="S96" s="68">
        <f t="shared" si="15"/>
        <v>4709</v>
      </c>
      <c r="T96" s="68">
        <f>+R96+S96+Q96</f>
        <v>4709</v>
      </c>
      <c r="U96" s="265">
        <f>+I96+J96-T96</f>
        <v>355687.89</v>
      </c>
      <c r="V96" s="93">
        <f>IF(E96&gt;0,+H96+J96,0)</f>
        <v>0</v>
      </c>
      <c r="W96" s="449" cm="1">
        <f t="array" ref="W96">+IF(U96&lt;0,error,0)</f>
        <v>0</v>
      </c>
    </row>
    <row r="97" spans="1:26" ht="36.75" customHeight="1" x14ac:dyDescent="0.2">
      <c r="A97" s="101" t="s">
        <v>2092</v>
      </c>
      <c r="B97" s="102"/>
      <c r="C97" s="64" t="s">
        <v>2095</v>
      </c>
      <c r="D97" s="65">
        <v>43558</v>
      </c>
      <c r="E97" s="66"/>
      <c r="F97" s="67"/>
      <c r="G97" s="67"/>
      <c r="H97" s="67">
        <v>131260.76</v>
      </c>
      <c r="I97" s="354">
        <v>125549.76000000001</v>
      </c>
      <c r="J97" s="67">
        <v>0</v>
      </c>
      <c r="K97" s="68">
        <f>INT(IF($E97&gt;0,IF(+F97-I97+Q97&lt;0,0,+F97-I97+Q97),0))</f>
        <v>0</v>
      </c>
      <c r="L97" s="68">
        <f>INT(IF($E97&gt;0,IF(K97=0,-F97+I97-Q97,0),0))</f>
        <v>0</v>
      </c>
      <c r="M97" s="69">
        <v>2.5</v>
      </c>
      <c r="N97" s="70" t="s">
        <v>17</v>
      </c>
      <c r="O97" s="68">
        <f>IF(E97&gt;0,INT(IF($N97="D",IF($D97&lt;$H$3,$I97*($M97/100)*((E97-$H$3)/365),$J97*($M97/100)*($J$3-$D97)/365),0)),0)</f>
        <v>0</v>
      </c>
      <c r="P97" s="68">
        <f>IF(E97&gt;0,INT(IF($N97="P",IF($D97&lt;$H$3,$H97*($M97/100)*(E97-$H$3)/365,$J97*($M97/100)*($J$3-$D97)/365),0)),0)</f>
        <v>0</v>
      </c>
      <c r="Q97" s="68">
        <f>+O97+P97</f>
        <v>0</v>
      </c>
      <c r="R97" s="68">
        <f t="shared" si="14"/>
        <v>0</v>
      </c>
      <c r="S97" s="68">
        <f t="shared" si="15"/>
        <v>1640</v>
      </c>
      <c r="T97" s="68">
        <f>+R97+S97+Q97</f>
        <v>1640</v>
      </c>
      <c r="U97" s="265">
        <f>+I97+J97-T97</f>
        <v>123909.76000000001</v>
      </c>
      <c r="V97" s="93">
        <f>IF(E97&gt;0,+H97+J97,0)</f>
        <v>0</v>
      </c>
      <c r="W97" s="449" cm="1">
        <f t="array" ref="W97">+IF(U97&lt;0,error,0)</f>
        <v>0</v>
      </c>
    </row>
    <row r="98" spans="1:26" ht="36.75" customHeight="1" x14ac:dyDescent="0.2">
      <c r="A98" s="101" t="s">
        <v>2093</v>
      </c>
      <c r="B98" s="102"/>
      <c r="C98" s="64" t="s">
        <v>2096</v>
      </c>
      <c r="D98" s="65">
        <v>43451</v>
      </c>
      <c r="E98" s="66"/>
      <c r="F98" s="67"/>
      <c r="G98" s="67"/>
      <c r="H98" s="67">
        <v>12814.55</v>
      </c>
      <c r="I98" s="354">
        <v>12163.55</v>
      </c>
      <c r="J98" s="67">
        <v>0</v>
      </c>
      <c r="K98" s="68">
        <f>INT(IF($E98&gt;0,IF(+F98-I98+Q98&lt;0,0,+F98-I98+Q98),0))</f>
        <v>0</v>
      </c>
      <c r="L98" s="68">
        <f>INT(IF($E98&gt;0,IF(K98=0,-F98+I98-Q98,0),0))</f>
        <v>0</v>
      </c>
      <c r="M98" s="69">
        <v>2.5</v>
      </c>
      <c r="N98" s="70" t="s">
        <v>17</v>
      </c>
      <c r="O98" s="68">
        <f>IF(E98&gt;0,INT(IF($N98="D",IF($D98&lt;$H$3,$I98*($M98/100)*((E98-$H$3)/365),$J98*($M98/100)*($J$3-$D98)/365),0)),0)</f>
        <v>0</v>
      </c>
      <c r="P98" s="68">
        <f>IF(E98&gt;0,INT(IF($N98="P",IF($D98&lt;$H$3,$H98*($M98/100)*(E98-$H$3)/365,$J98*($M98/100)*($J$3-$D98)/365),0)),0)</f>
        <v>0</v>
      </c>
      <c r="Q98" s="68">
        <f>+O98+P98</f>
        <v>0</v>
      </c>
      <c r="R98" s="68">
        <f t="shared" si="14"/>
        <v>0</v>
      </c>
      <c r="S98" s="68">
        <f t="shared" si="15"/>
        <v>160</v>
      </c>
      <c r="T98" s="68">
        <f>+R98+S98+Q98</f>
        <v>160</v>
      </c>
      <c r="U98" s="265">
        <f>+I98+J98-T98</f>
        <v>12003.55</v>
      </c>
      <c r="V98" s="93">
        <f>IF(E98&gt;0,+H98+J98,0)</f>
        <v>0</v>
      </c>
      <c r="W98" s="449" cm="1">
        <f t="array" ref="W98">+IF(U98&lt;0,error,0)</f>
        <v>0</v>
      </c>
    </row>
    <row r="99" spans="1:26" ht="36.75" customHeight="1" x14ac:dyDescent="0.2">
      <c r="A99" s="101" t="s">
        <v>2097</v>
      </c>
      <c r="B99" s="102"/>
      <c r="C99" s="64" t="s">
        <v>2107</v>
      </c>
      <c r="D99" s="65">
        <v>43646</v>
      </c>
      <c r="E99" s="66"/>
      <c r="F99" s="67"/>
      <c r="G99" s="67"/>
      <c r="H99" s="67">
        <f>19139.4+114836.4</f>
        <v>133975.79999999999</v>
      </c>
      <c r="I99" s="354">
        <v>128953.79999999999</v>
      </c>
      <c r="J99" s="67">
        <v>0</v>
      </c>
      <c r="K99" s="68">
        <f>INT(IF($E99&gt;0,IF(+F99-I99+Q99&lt;0,0,+F99-I99+Q99),0))</f>
        <v>0</v>
      </c>
      <c r="L99" s="68">
        <f>INT(IF($E99&gt;0,IF(K99=0,-F99+I99-Q99,0),0))</f>
        <v>0</v>
      </c>
      <c r="M99" s="69">
        <v>2.5</v>
      </c>
      <c r="N99" s="70" t="s">
        <v>17</v>
      </c>
      <c r="O99" s="68">
        <f>IF(E99&gt;0,INT(IF($N99="D",IF($D99&lt;$H$3,$I99*($M99/100)*((E99-$H$3)/365),$J99*($M99/100)*($J$3-$D99)/365),0)),0)</f>
        <v>0</v>
      </c>
      <c r="P99" s="68">
        <f>IF(E99&gt;0,INT(IF($N99="P",IF($D99&lt;$H$3,$H99*($M99/100)*(E99-$H$3)/365,$J99*($M99/100)*($J$3-$D99)/365),0)),0)</f>
        <v>0</v>
      </c>
      <c r="Q99" s="68">
        <f>+O99+P99</f>
        <v>0</v>
      </c>
      <c r="R99" s="68">
        <f t="shared" si="14"/>
        <v>0</v>
      </c>
      <c r="S99" s="68">
        <f t="shared" si="15"/>
        <v>1674</v>
      </c>
      <c r="T99" s="68">
        <f>+R99+S99+Q99</f>
        <v>1674</v>
      </c>
      <c r="U99" s="265">
        <f>+I99+J99-T99</f>
        <v>127279.79999999999</v>
      </c>
      <c r="V99" s="93">
        <f>IF(E99&gt;0,+H99+J99,0)</f>
        <v>0</v>
      </c>
      <c r="W99" s="449" cm="1">
        <f t="array" ref="W99">+IF(U99&lt;0,error,0)</f>
        <v>0</v>
      </c>
    </row>
    <row r="100" spans="1:26" ht="36.75" customHeight="1" x14ac:dyDescent="0.2">
      <c r="A100" s="101" t="s">
        <v>2157</v>
      </c>
      <c r="B100" s="102"/>
      <c r="C100" s="64" t="s">
        <v>2165</v>
      </c>
      <c r="D100" s="65">
        <v>43733</v>
      </c>
      <c r="E100" s="66"/>
      <c r="F100" s="67"/>
      <c r="G100" s="67"/>
      <c r="H100" s="67">
        <v>72418.2</v>
      </c>
      <c r="I100" s="354">
        <v>70127.199999999997</v>
      </c>
      <c r="J100" s="67">
        <v>0</v>
      </c>
      <c r="K100" s="68">
        <f t="shared" ref="K100:K108" si="22">INT(IF($E100&gt;0,IF(+F100-I100+Q100&lt;0,0,+F100-I100+Q100),0))</f>
        <v>0</v>
      </c>
      <c r="L100" s="68">
        <f t="shared" ref="L100:L108" si="23">INT(IF($E100&gt;0,IF(K100=0,-F100+I100-Q100,0),0))</f>
        <v>0</v>
      </c>
      <c r="M100" s="69">
        <v>2.5</v>
      </c>
      <c r="N100" s="70" t="s">
        <v>17</v>
      </c>
      <c r="O100" s="68">
        <f>IF(E100&gt;0,INT(IF($N100="D",IF($D100&lt;$H$3,$I100*($M100/100)*((E100-$H$3)/365),$J100*($M100/100)*($J$3-$D100)/365),0)),0)</f>
        <v>0</v>
      </c>
      <c r="P100" s="68">
        <f>IF(E100&gt;0,INT(IF($N100="P",IF($D100&lt;$H$3,$H100*($M100/100)*(E100-$H$3)/365,$J100*($M100/100)*($J$3-$D100)/365),0)),0)</f>
        <v>0</v>
      </c>
      <c r="Q100" s="68">
        <f>+O100+P100</f>
        <v>0</v>
      </c>
      <c r="R100" s="68">
        <f t="shared" si="14"/>
        <v>0</v>
      </c>
      <c r="S100" s="68">
        <f t="shared" si="15"/>
        <v>905</v>
      </c>
      <c r="T100" s="68">
        <f>+R100+S100+Q100</f>
        <v>905</v>
      </c>
      <c r="U100" s="265">
        <f>+I100+J100-T100</f>
        <v>69222.2</v>
      </c>
      <c r="V100" s="93">
        <f>IF(E100&gt;0,+H100+J100,0)</f>
        <v>0</v>
      </c>
      <c r="W100" s="449" cm="1">
        <f t="array" ref="W100">+IF(U100&lt;0,error,0)</f>
        <v>0</v>
      </c>
    </row>
    <row r="101" spans="1:26" ht="36.75" customHeight="1" x14ac:dyDescent="0.2">
      <c r="A101" s="101" t="s">
        <v>2155</v>
      </c>
      <c r="B101" s="102"/>
      <c r="C101" s="64" t="s">
        <v>2162</v>
      </c>
      <c r="D101" s="65">
        <v>43717</v>
      </c>
      <c r="E101" s="66"/>
      <c r="F101" s="67"/>
      <c r="G101" s="67"/>
      <c r="H101" s="67">
        <v>24709.56</v>
      </c>
      <c r="I101" s="354">
        <v>23902.560000000001</v>
      </c>
      <c r="J101" s="67">
        <v>0</v>
      </c>
      <c r="K101" s="68">
        <f t="shared" si="22"/>
        <v>0</v>
      </c>
      <c r="L101" s="68">
        <f t="shared" si="23"/>
        <v>0</v>
      </c>
      <c r="M101" s="69">
        <v>2.5</v>
      </c>
      <c r="N101" s="70" t="s">
        <v>17</v>
      </c>
      <c r="O101" s="68">
        <f t="shared" ref="O101:O108" si="24">IF(E101&gt;0,INT(IF($N101="D",IF($D101&lt;$H$3,$I101*($M101/100)*((E101-$H$3)/365),$J101*($M101/100)*($J$3-$D101)/365),0)),0)</f>
        <v>0</v>
      </c>
      <c r="P101" s="68">
        <f t="shared" ref="P101:P108" si="25">IF(E101&gt;0,INT(IF($N101="P",IF($D101&lt;$H$3,$H101*($M101/100)*(E101-$H$3)/365,$J101*($M101/100)*($J$3-$D101)/365),0)),0)</f>
        <v>0</v>
      </c>
      <c r="Q101" s="68">
        <f t="shared" ref="Q101:Q108" si="26">+O101+P101</f>
        <v>0</v>
      </c>
      <c r="R101" s="68">
        <f t="shared" si="14"/>
        <v>0</v>
      </c>
      <c r="S101" s="68">
        <f t="shared" si="15"/>
        <v>308</v>
      </c>
      <c r="T101" s="68">
        <f t="shared" ref="T101:T108" si="27">+R101+S101+Q101</f>
        <v>308</v>
      </c>
      <c r="U101" s="265">
        <f t="shared" ref="U101:U108" si="28">+I101+J101-T101</f>
        <v>23594.560000000001</v>
      </c>
      <c r="V101" s="93">
        <f t="shared" ref="V101:V108" si="29">IF(E101&gt;0,+H101+J101,0)</f>
        <v>0</v>
      </c>
      <c r="W101" s="449" cm="1">
        <f t="array" ref="W101">+IF(U101&lt;0,error,0)</f>
        <v>0</v>
      </c>
    </row>
    <row r="102" spans="1:26" ht="36.75" customHeight="1" x14ac:dyDescent="0.2">
      <c r="A102" s="101" t="s">
        <v>2156</v>
      </c>
      <c r="B102" s="102"/>
      <c r="C102" s="64" t="s">
        <v>2163</v>
      </c>
      <c r="D102" s="65">
        <v>43732</v>
      </c>
      <c r="E102" s="66"/>
      <c r="F102" s="67"/>
      <c r="G102" s="67"/>
      <c r="H102" s="67">
        <v>30950</v>
      </c>
      <c r="I102" s="354">
        <v>29971</v>
      </c>
      <c r="J102" s="67">
        <v>0</v>
      </c>
      <c r="K102" s="68">
        <f t="shared" si="22"/>
        <v>0</v>
      </c>
      <c r="L102" s="68">
        <f t="shared" si="23"/>
        <v>0</v>
      </c>
      <c r="M102" s="69">
        <v>2.5</v>
      </c>
      <c r="N102" s="70" t="s">
        <v>17</v>
      </c>
      <c r="O102" s="68">
        <f t="shared" si="24"/>
        <v>0</v>
      </c>
      <c r="P102" s="68">
        <f t="shared" si="25"/>
        <v>0</v>
      </c>
      <c r="Q102" s="68">
        <f t="shared" si="26"/>
        <v>0</v>
      </c>
      <c r="R102" s="68">
        <f t="shared" si="14"/>
        <v>0</v>
      </c>
      <c r="S102" s="68">
        <f t="shared" si="15"/>
        <v>386</v>
      </c>
      <c r="T102" s="68">
        <f t="shared" si="27"/>
        <v>386</v>
      </c>
      <c r="U102" s="265">
        <f t="shared" si="28"/>
        <v>29585</v>
      </c>
      <c r="V102" s="93">
        <f t="shared" si="29"/>
        <v>0</v>
      </c>
      <c r="W102" s="449" cm="1">
        <f t="array" ref="W102">+IF(U102&lt;0,error,0)</f>
        <v>0</v>
      </c>
    </row>
    <row r="103" spans="1:26" ht="36.75" customHeight="1" x14ac:dyDescent="0.2">
      <c r="A103" s="101" t="s">
        <v>2158</v>
      </c>
      <c r="B103" s="102"/>
      <c r="C103" s="64" t="s">
        <v>2167</v>
      </c>
      <c r="D103" s="65">
        <v>43753</v>
      </c>
      <c r="E103" s="66"/>
      <c r="F103" s="67"/>
      <c r="G103" s="67"/>
      <c r="H103" s="67">
        <v>13863.64</v>
      </c>
      <c r="I103" s="354">
        <v>13444.64</v>
      </c>
      <c r="J103" s="67">
        <v>0</v>
      </c>
      <c r="K103" s="68">
        <f t="shared" si="22"/>
        <v>0</v>
      </c>
      <c r="L103" s="68">
        <f t="shared" si="23"/>
        <v>0</v>
      </c>
      <c r="M103" s="69">
        <v>2.5</v>
      </c>
      <c r="N103" s="70" t="s">
        <v>17</v>
      </c>
      <c r="O103" s="68">
        <f t="shared" si="24"/>
        <v>0</v>
      </c>
      <c r="P103" s="68">
        <f t="shared" si="25"/>
        <v>0</v>
      </c>
      <c r="Q103" s="68">
        <f t="shared" si="26"/>
        <v>0</v>
      </c>
      <c r="R103" s="68">
        <f t="shared" si="14"/>
        <v>0</v>
      </c>
      <c r="S103" s="68">
        <f t="shared" si="15"/>
        <v>173</v>
      </c>
      <c r="T103" s="68">
        <f t="shared" si="27"/>
        <v>173</v>
      </c>
      <c r="U103" s="265">
        <f t="shared" si="28"/>
        <v>13271.64</v>
      </c>
      <c r="V103" s="93">
        <f t="shared" si="29"/>
        <v>0</v>
      </c>
      <c r="W103" s="449" cm="1">
        <f t="array" ref="W103">+IF(U103&lt;0,error,0)</f>
        <v>0</v>
      </c>
    </row>
    <row r="104" spans="1:26" ht="36.75" customHeight="1" x14ac:dyDescent="0.2">
      <c r="A104" s="101" t="s">
        <v>2159</v>
      </c>
      <c r="B104" s="102"/>
      <c r="C104" s="64" t="s">
        <v>2164</v>
      </c>
      <c r="D104" s="65">
        <v>43753</v>
      </c>
      <c r="E104" s="66"/>
      <c r="F104" s="67"/>
      <c r="G104" s="67"/>
      <c r="H104" s="67">
        <v>4454.54</v>
      </c>
      <c r="I104" s="354">
        <v>4321.54</v>
      </c>
      <c r="J104" s="67">
        <v>0</v>
      </c>
      <c r="K104" s="68">
        <f t="shared" si="22"/>
        <v>0</v>
      </c>
      <c r="L104" s="68">
        <f t="shared" si="23"/>
        <v>0</v>
      </c>
      <c r="M104" s="69">
        <v>2.5</v>
      </c>
      <c r="N104" s="70" t="s">
        <v>17</v>
      </c>
      <c r="O104" s="68">
        <f t="shared" si="24"/>
        <v>0</v>
      </c>
      <c r="P104" s="68">
        <f t="shared" si="25"/>
        <v>0</v>
      </c>
      <c r="Q104" s="68">
        <f t="shared" si="26"/>
        <v>0</v>
      </c>
      <c r="R104" s="68">
        <f t="shared" si="14"/>
        <v>0</v>
      </c>
      <c r="S104" s="68">
        <f t="shared" si="15"/>
        <v>55</v>
      </c>
      <c r="T104" s="68">
        <f t="shared" si="27"/>
        <v>55</v>
      </c>
      <c r="U104" s="265">
        <f t="shared" si="28"/>
        <v>4266.54</v>
      </c>
      <c r="V104" s="93">
        <f t="shared" si="29"/>
        <v>0</v>
      </c>
      <c r="W104" s="449" cm="1">
        <f t="array" ref="W104">+IF(U104&lt;0,error,0)</f>
        <v>0</v>
      </c>
    </row>
    <row r="105" spans="1:26" ht="36.75" customHeight="1" x14ac:dyDescent="0.2">
      <c r="A105" s="101" t="s">
        <v>2160</v>
      </c>
      <c r="B105" s="102"/>
      <c r="C105" s="64" t="s">
        <v>2168</v>
      </c>
      <c r="D105" s="65">
        <v>43753</v>
      </c>
      <c r="E105" s="66"/>
      <c r="F105" s="67"/>
      <c r="G105" s="67"/>
      <c r="H105" s="67">
        <v>2363.64</v>
      </c>
      <c r="I105" s="354">
        <v>2293.64</v>
      </c>
      <c r="J105" s="67">
        <v>0</v>
      </c>
      <c r="K105" s="68">
        <f t="shared" si="22"/>
        <v>0</v>
      </c>
      <c r="L105" s="68">
        <f t="shared" si="23"/>
        <v>0</v>
      </c>
      <c r="M105" s="69">
        <v>2.5</v>
      </c>
      <c r="N105" s="70" t="s">
        <v>17</v>
      </c>
      <c r="O105" s="68">
        <f t="shared" si="24"/>
        <v>0</v>
      </c>
      <c r="P105" s="68">
        <f t="shared" si="25"/>
        <v>0</v>
      </c>
      <c r="Q105" s="68">
        <f t="shared" si="26"/>
        <v>0</v>
      </c>
      <c r="R105" s="68">
        <f t="shared" si="14"/>
        <v>0</v>
      </c>
      <c r="S105" s="68">
        <f t="shared" si="15"/>
        <v>29</v>
      </c>
      <c r="T105" s="68">
        <f t="shared" si="27"/>
        <v>29</v>
      </c>
      <c r="U105" s="265">
        <f t="shared" si="28"/>
        <v>2264.64</v>
      </c>
      <c r="V105" s="93">
        <f t="shared" si="29"/>
        <v>0</v>
      </c>
      <c r="W105" s="449" cm="1">
        <f t="array" ref="W105">+IF(U105&lt;0,error,0)</f>
        <v>0</v>
      </c>
    </row>
    <row r="106" spans="1:26" ht="36.75" customHeight="1" x14ac:dyDescent="0.2">
      <c r="A106" s="101" t="s">
        <v>2161</v>
      </c>
      <c r="B106" s="102"/>
      <c r="C106" s="64" t="s">
        <v>2166</v>
      </c>
      <c r="D106" s="65">
        <v>43788</v>
      </c>
      <c r="E106" s="66"/>
      <c r="F106" s="67"/>
      <c r="G106" s="67"/>
      <c r="H106" s="67">
        <v>25737.57</v>
      </c>
      <c r="I106" s="354">
        <v>25021.57</v>
      </c>
      <c r="J106" s="67">
        <v>0</v>
      </c>
      <c r="K106" s="68">
        <f t="shared" si="22"/>
        <v>0</v>
      </c>
      <c r="L106" s="68">
        <f t="shared" si="23"/>
        <v>0</v>
      </c>
      <c r="M106" s="69">
        <v>2.5</v>
      </c>
      <c r="N106" s="70" t="s">
        <v>17</v>
      </c>
      <c r="O106" s="68">
        <f t="shared" si="24"/>
        <v>0</v>
      </c>
      <c r="P106" s="68">
        <f t="shared" si="25"/>
        <v>0</v>
      </c>
      <c r="Q106" s="68">
        <f t="shared" si="26"/>
        <v>0</v>
      </c>
      <c r="R106" s="68">
        <f t="shared" si="14"/>
        <v>0</v>
      </c>
      <c r="S106" s="68">
        <f t="shared" si="15"/>
        <v>321</v>
      </c>
      <c r="T106" s="68">
        <f t="shared" si="27"/>
        <v>321</v>
      </c>
      <c r="U106" s="265">
        <f t="shared" si="28"/>
        <v>24700.57</v>
      </c>
      <c r="V106" s="93">
        <f t="shared" si="29"/>
        <v>0</v>
      </c>
      <c r="W106" s="449" cm="1">
        <f t="array" ref="W106">+IF(U106&lt;0,error,0)</f>
        <v>0</v>
      </c>
    </row>
    <row r="107" spans="1:26" ht="36.75" customHeight="1" x14ac:dyDescent="0.2">
      <c r="A107" s="101">
        <v>738094</v>
      </c>
      <c r="B107" s="102"/>
      <c r="C107" s="326" t="s">
        <v>2386</v>
      </c>
      <c r="D107" s="65">
        <v>43878</v>
      </c>
      <c r="E107" s="66"/>
      <c r="F107" s="67"/>
      <c r="G107" s="67"/>
      <c r="H107" s="67">
        <v>10761.7</v>
      </c>
      <c r="I107" s="354">
        <v>10529.7</v>
      </c>
      <c r="J107" s="67"/>
      <c r="K107" s="68">
        <f t="shared" si="22"/>
        <v>0</v>
      </c>
      <c r="L107" s="68">
        <f t="shared" si="23"/>
        <v>0</v>
      </c>
      <c r="M107" s="69">
        <v>2.5</v>
      </c>
      <c r="N107" s="70" t="s">
        <v>17</v>
      </c>
      <c r="O107" s="68">
        <f t="shared" si="24"/>
        <v>0</v>
      </c>
      <c r="P107" s="68">
        <f t="shared" si="25"/>
        <v>0</v>
      </c>
      <c r="Q107" s="68">
        <f t="shared" si="26"/>
        <v>0</v>
      </c>
      <c r="R107" s="68">
        <f t="shared" si="14"/>
        <v>0</v>
      </c>
      <c r="S107" s="68">
        <f t="shared" si="15"/>
        <v>134</v>
      </c>
      <c r="T107" s="68">
        <f t="shared" si="27"/>
        <v>134</v>
      </c>
      <c r="U107" s="265">
        <f t="shared" si="28"/>
        <v>10395.700000000001</v>
      </c>
      <c r="V107" s="93">
        <f t="shared" si="29"/>
        <v>0</v>
      </c>
      <c r="W107" s="449" cm="1">
        <f t="array" ref="W107">+IF(U107&lt;0,error,0)</f>
        <v>0</v>
      </c>
    </row>
    <row r="108" spans="1:26" ht="36.75" customHeight="1" x14ac:dyDescent="0.2">
      <c r="A108" s="101">
        <v>738095</v>
      </c>
      <c r="B108" s="102"/>
      <c r="C108" s="326" t="s">
        <v>2399</v>
      </c>
      <c r="D108" s="65">
        <v>44092</v>
      </c>
      <c r="E108" s="66"/>
      <c r="F108" s="67"/>
      <c r="G108" s="67"/>
      <c r="H108" s="67">
        <v>2592</v>
      </c>
      <c r="I108" s="354">
        <v>2574</v>
      </c>
      <c r="J108" s="67"/>
      <c r="K108" s="68">
        <f t="shared" si="22"/>
        <v>0</v>
      </c>
      <c r="L108" s="68">
        <f t="shared" si="23"/>
        <v>0</v>
      </c>
      <c r="M108" s="69">
        <v>2.5</v>
      </c>
      <c r="N108" s="70" t="s">
        <v>17</v>
      </c>
      <c r="O108" s="68">
        <f t="shared" si="24"/>
        <v>0</v>
      </c>
      <c r="P108" s="68">
        <f t="shared" si="25"/>
        <v>0</v>
      </c>
      <c r="Q108" s="68">
        <f t="shared" si="26"/>
        <v>0</v>
      </c>
      <c r="R108" s="68">
        <f t="shared" si="14"/>
        <v>0</v>
      </c>
      <c r="S108" s="68">
        <f t="shared" si="15"/>
        <v>32</v>
      </c>
      <c r="T108" s="68">
        <f t="shared" si="27"/>
        <v>32</v>
      </c>
      <c r="U108" s="265">
        <f t="shared" si="28"/>
        <v>2542</v>
      </c>
      <c r="V108" s="93">
        <f t="shared" si="29"/>
        <v>0</v>
      </c>
      <c r="W108" s="449" cm="1">
        <f t="array" ref="W108">+IF(U108&lt;0,error,0)</f>
        <v>0</v>
      </c>
    </row>
    <row r="109" spans="1:26" ht="36.75" customHeight="1" x14ac:dyDescent="0.2">
      <c r="A109" s="101"/>
      <c r="B109" s="102"/>
      <c r="C109" s="64"/>
      <c r="D109" s="65"/>
      <c r="E109" s="66"/>
      <c r="F109" s="67"/>
      <c r="G109" s="67"/>
      <c r="H109" s="67"/>
      <c r="I109" s="354"/>
      <c r="J109" s="67"/>
      <c r="K109" s="68"/>
      <c r="L109" s="68"/>
      <c r="M109" s="69"/>
      <c r="N109" s="70"/>
      <c r="O109" s="68"/>
      <c r="P109" s="68"/>
      <c r="Q109" s="68"/>
      <c r="R109" s="68"/>
      <c r="S109" s="68"/>
      <c r="T109" s="68"/>
      <c r="U109" s="265"/>
      <c r="V109" s="93"/>
      <c r="W109" s="449" cm="1">
        <f t="array" ref="W109">+IF(U109&lt;0,error,0)</f>
        <v>0</v>
      </c>
    </row>
    <row r="110" spans="1:26" ht="36.75" customHeight="1" x14ac:dyDescent="0.2">
      <c r="A110" s="103"/>
      <c r="B110" s="104"/>
      <c r="C110" s="83" t="s">
        <v>2043</v>
      </c>
      <c r="D110" s="63"/>
      <c r="E110" s="66"/>
      <c r="F110" s="67"/>
      <c r="G110" s="67"/>
      <c r="H110" s="79">
        <f>+J111-V111</f>
        <v>0</v>
      </c>
      <c r="I110" s="355"/>
      <c r="J110" s="75"/>
      <c r="K110" s="75"/>
      <c r="L110" s="75"/>
      <c r="M110" s="74"/>
      <c r="N110" s="70"/>
      <c r="O110" s="70"/>
      <c r="P110" s="75"/>
      <c r="Q110" s="75"/>
      <c r="R110" s="70"/>
      <c r="S110" s="75"/>
      <c r="T110" s="75"/>
      <c r="U110" s="266"/>
      <c r="V110" s="93"/>
      <c r="W110" s="449" cm="1">
        <f t="array" ref="W110">+IF(U110&lt;0,error,0)</f>
        <v>0</v>
      </c>
    </row>
    <row r="111" spans="1:26" s="14" customFormat="1" ht="36.75" customHeight="1" x14ac:dyDescent="0.2">
      <c r="A111" s="105"/>
      <c r="B111" s="106"/>
      <c r="C111" s="77" t="s">
        <v>1825</v>
      </c>
      <c r="D111" s="76"/>
      <c r="E111" s="78"/>
      <c r="F111" s="79">
        <f>SUM(F16:F109)</f>
        <v>0</v>
      </c>
      <c r="G111" s="79">
        <f>SUM(G16:G109)</f>
        <v>0</v>
      </c>
      <c r="H111" s="268">
        <f>SUM(H16:H110)</f>
        <v>2398761.9400000004</v>
      </c>
      <c r="I111" s="495">
        <f>SUM(I16:I109)</f>
        <v>2171008.9400000004</v>
      </c>
      <c r="J111" s="268">
        <f>SUM(J16:J109)</f>
        <v>0</v>
      </c>
      <c r="K111" s="79">
        <f>SUM(K16:K109)</f>
        <v>0</v>
      </c>
      <c r="L111" s="79">
        <f>SUM(L16:L109)</f>
        <v>0</v>
      </c>
      <c r="M111" s="80"/>
      <c r="N111" s="81"/>
      <c r="O111" s="79">
        <f>SUM(O16:O99)</f>
        <v>0</v>
      </c>
      <c r="P111" s="79">
        <f>SUM(P16:P99)</f>
        <v>0</v>
      </c>
      <c r="Q111" s="79"/>
      <c r="R111" s="79">
        <f>SUM(R16:R99)</f>
        <v>6290</v>
      </c>
      <c r="S111" s="79">
        <f>SUM(S16:S99)</f>
        <v>27073</v>
      </c>
      <c r="T111" s="268">
        <f>SUM(T16:T109)</f>
        <v>33674</v>
      </c>
      <c r="U111" s="268">
        <f>SUM(U16:U109)</f>
        <v>2137334.94</v>
      </c>
      <c r="V111" s="79">
        <f>SUM(V16:V99)</f>
        <v>0</v>
      </c>
      <c r="W111" s="449" cm="1">
        <f t="array" ref="W111">+IF(U111&lt;0,error,0)</f>
        <v>0</v>
      </c>
      <c r="X111" s="292"/>
      <c r="Y111" s="292"/>
      <c r="Z111" s="291"/>
    </row>
    <row r="112" spans="1:26" s="14" customFormat="1" ht="36.75" customHeight="1" x14ac:dyDescent="0.2">
      <c r="A112" s="105"/>
      <c r="B112" s="106"/>
      <c r="C112" s="82"/>
      <c r="D112" s="83"/>
      <c r="E112" s="84"/>
      <c r="F112" s="79"/>
      <c r="G112" s="79"/>
      <c r="H112" s="85"/>
      <c r="I112" s="356"/>
      <c r="J112" s="79"/>
      <c r="K112" s="79"/>
      <c r="L112" s="85"/>
      <c r="M112" s="80"/>
      <c r="N112" s="81"/>
      <c r="O112" s="81"/>
      <c r="P112" s="79"/>
      <c r="Q112" s="79"/>
      <c r="R112" s="81"/>
      <c r="S112" s="79">
        <v>18420</v>
      </c>
      <c r="T112" s="79"/>
      <c r="U112" s="267"/>
      <c r="V112" s="93"/>
      <c r="W112" s="449" cm="1">
        <f t="array" ref="W112">+IF(U112&lt;0,error,0)</f>
        <v>0</v>
      </c>
    </row>
    <row r="113" spans="1:25" ht="36.75" customHeight="1" x14ac:dyDescent="0.2">
      <c r="A113" s="107">
        <v>740</v>
      </c>
      <c r="B113" s="108"/>
      <c r="C113" s="74"/>
      <c r="D113" s="82"/>
      <c r="E113" s="86"/>
      <c r="F113" s="87"/>
      <c r="G113" s="87"/>
      <c r="H113" s="87"/>
      <c r="I113" s="357"/>
      <c r="J113" s="87"/>
      <c r="K113" s="87"/>
      <c r="L113" s="87"/>
      <c r="M113" s="82"/>
      <c r="N113" s="88"/>
      <c r="O113" s="88"/>
      <c r="P113" s="87"/>
      <c r="Q113" s="87"/>
      <c r="R113" s="88"/>
      <c r="S113" s="87"/>
      <c r="T113" s="87"/>
      <c r="U113" s="266"/>
      <c r="V113" s="93"/>
      <c r="W113" s="449" cm="1">
        <f t="array" ref="W113">+IF(U113&lt;0,error,0)</f>
        <v>0</v>
      </c>
    </row>
    <row r="114" spans="1:25" ht="36.75" customHeight="1" x14ac:dyDescent="0.2">
      <c r="A114" s="109" t="s">
        <v>1577</v>
      </c>
      <c r="B114" s="104"/>
      <c r="C114" s="74"/>
      <c r="D114" s="74"/>
      <c r="E114" s="89"/>
      <c r="F114" s="75"/>
      <c r="G114" s="75"/>
      <c r="H114" s="75"/>
      <c r="I114" s="355"/>
      <c r="J114" s="75"/>
      <c r="K114" s="75"/>
      <c r="L114" s="75"/>
      <c r="M114" s="74"/>
      <c r="N114" s="70"/>
      <c r="O114" s="70"/>
      <c r="P114" s="75"/>
      <c r="Q114" s="75"/>
      <c r="R114" s="70"/>
      <c r="S114" s="75"/>
      <c r="T114" s="75"/>
      <c r="U114" s="266"/>
      <c r="V114" s="93"/>
      <c r="W114" s="449" cm="1">
        <f t="array" ref="W114">+IF(U114&lt;0,error,0)</f>
        <v>0</v>
      </c>
    </row>
    <row r="115" spans="1:25" ht="36.75" customHeight="1" x14ac:dyDescent="0.2">
      <c r="A115" s="101" t="s">
        <v>1811</v>
      </c>
      <c r="B115" s="102"/>
      <c r="C115" s="72" t="s">
        <v>1812</v>
      </c>
      <c r="D115" s="65">
        <v>41913</v>
      </c>
      <c r="E115" s="66"/>
      <c r="F115" s="67"/>
      <c r="G115" s="75"/>
      <c r="H115" s="67">
        <v>14536.36</v>
      </c>
      <c r="I115" s="354">
        <v>0.36000000000012733</v>
      </c>
      <c r="J115" s="67"/>
      <c r="K115" s="68">
        <f t="shared" ref="K115:K120" si="30">INT(IF($E115&gt;0,IF(+F115-I115+Q115&lt;0,0,+F115-I115+Q115),0))</f>
        <v>0</v>
      </c>
      <c r="L115" s="68">
        <f t="shared" ref="L115:L120" si="31">INT(IF($E115&gt;0,IF(K115=0,-F115+I115-Q115,0),0))</f>
        <v>0</v>
      </c>
      <c r="M115" s="69">
        <v>20</v>
      </c>
      <c r="N115" s="70" t="s">
        <v>17</v>
      </c>
      <c r="O115" s="68">
        <f t="shared" ref="O115:O120" si="32">IF(E115&gt;0,INT(IF($N115="D",IF($D115&lt;$H$3,$I115*($M115/100)*((E115-$H$3)/365),$J115*($M115/100)*($J$3-$D115)/365),0)),0)</f>
        <v>0</v>
      </c>
      <c r="P115" s="68">
        <f t="shared" ref="P115:P120" si="33">IF(E115&gt;0,INT(IF($N115="P",IF($D115&lt;$H$3,$H115*($M115/100)*(E115-$H$3)/365,$J115*($M115/100)*($J$3-$D115)/365),0)),0)</f>
        <v>0</v>
      </c>
      <c r="Q115" s="68">
        <f t="shared" ref="Q115:Q120" si="34">+O115+P115</f>
        <v>0</v>
      </c>
      <c r="R115" s="68">
        <f t="shared" ref="R115:R120" si="35">INT(IF($E115&gt;0,0,(IF($N115="D",IF($D115&lt;$H$3,$I115*($M115/100)*$U$3/12,$J115*($M115/100)*($J$3-$D115)/365),0))))</f>
        <v>0</v>
      </c>
      <c r="S115" s="68">
        <f t="shared" ref="S115:S120" si="36">INT(IF($E115&gt;0,0,(IF($N115="P",IF($D115&lt;$H$3,$H115*($M115/100)*$U$3/12,$J115*($M115/100)*($J$3-$D115)/365),0))))</f>
        <v>1453</v>
      </c>
      <c r="T115" s="68">
        <v>0</v>
      </c>
      <c r="U115" s="265">
        <f t="shared" ref="U115:U120" si="37">+I115+J115-T115</f>
        <v>0.36000000000012733</v>
      </c>
      <c r="V115" s="93">
        <f t="shared" ref="V115:V120" si="38">IF(E115&gt;0,+H115+J115,0)</f>
        <v>0</v>
      </c>
      <c r="W115" s="449" cm="1">
        <f t="array" ref="W115">+IF(U115&lt;0,error,0)</f>
        <v>0</v>
      </c>
    </row>
    <row r="116" spans="1:25" ht="36.75" customHeight="1" x14ac:dyDescent="0.2">
      <c r="A116" s="101" t="s">
        <v>1813</v>
      </c>
      <c r="B116" s="102"/>
      <c r="C116" s="64" t="s">
        <v>1814</v>
      </c>
      <c r="D116" s="65">
        <v>42664</v>
      </c>
      <c r="E116" s="66"/>
      <c r="F116" s="67"/>
      <c r="G116" s="67"/>
      <c r="H116" s="67">
        <v>7409.09</v>
      </c>
      <c r="I116" s="354">
        <v>3014.09</v>
      </c>
      <c r="J116" s="67"/>
      <c r="K116" s="68">
        <f t="shared" si="30"/>
        <v>0</v>
      </c>
      <c r="L116" s="68">
        <f t="shared" si="31"/>
        <v>0</v>
      </c>
      <c r="M116" s="69">
        <v>20</v>
      </c>
      <c r="N116" s="70" t="s">
        <v>289</v>
      </c>
      <c r="O116" s="68">
        <f t="shared" si="32"/>
        <v>0</v>
      </c>
      <c r="P116" s="68">
        <f t="shared" si="33"/>
        <v>0</v>
      </c>
      <c r="Q116" s="68">
        <f t="shared" si="34"/>
        <v>0</v>
      </c>
      <c r="R116" s="68">
        <f t="shared" si="35"/>
        <v>301</v>
      </c>
      <c r="S116" s="68">
        <f t="shared" si="36"/>
        <v>0</v>
      </c>
      <c r="T116" s="68">
        <f>+R116+S116+Q116</f>
        <v>301</v>
      </c>
      <c r="U116" s="265">
        <f t="shared" si="37"/>
        <v>2713.09</v>
      </c>
      <c r="V116" s="93">
        <f t="shared" si="38"/>
        <v>0</v>
      </c>
      <c r="W116" s="449" cm="1">
        <f t="array" ref="W116">+IF(U116&lt;0,error,0)</f>
        <v>0</v>
      </c>
    </row>
    <row r="117" spans="1:25" ht="36.75" customHeight="1" x14ac:dyDescent="0.2">
      <c r="A117" s="101" t="s">
        <v>1815</v>
      </c>
      <c r="B117" s="102"/>
      <c r="C117" s="64" t="s">
        <v>1816</v>
      </c>
      <c r="D117" s="65">
        <v>42664</v>
      </c>
      <c r="E117" s="66"/>
      <c r="F117" s="67"/>
      <c r="G117" s="67"/>
      <c r="H117" s="67">
        <v>1227.27</v>
      </c>
      <c r="I117" s="354">
        <v>501.27</v>
      </c>
      <c r="J117" s="67"/>
      <c r="K117" s="68">
        <f t="shared" si="30"/>
        <v>0</v>
      </c>
      <c r="L117" s="68">
        <f t="shared" si="31"/>
        <v>0</v>
      </c>
      <c r="M117" s="69">
        <v>20</v>
      </c>
      <c r="N117" s="70" t="s">
        <v>289</v>
      </c>
      <c r="O117" s="68">
        <f t="shared" si="32"/>
        <v>0</v>
      </c>
      <c r="P117" s="68">
        <f t="shared" si="33"/>
        <v>0</v>
      </c>
      <c r="Q117" s="68">
        <f t="shared" si="34"/>
        <v>0</v>
      </c>
      <c r="R117" s="68">
        <f t="shared" si="35"/>
        <v>50</v>
      </c>
      <c r="S117" s="68">
        <f t="shared" si="36"/>
        <v>0</v>
      </c>
      <c r="T117" s="68">
        <f>+R117+S117+Q117</f>
        <v>50</v>
      </c>
      <c r="U117" s="265">
        <f t="shared" si="37"/>
        <v>451.27</v>
      </c>
      <c r="V117" s="93">
        <f t="shared" si="38"/>
        <v>0</v>
      </c>
      <c r="W117" s="449" cm="1">
        <f t="array" ref="W117">+IF(U117&lt;0,error,0)</f>
        <v>0</v>
      </c>
    </row>
    <row r="118" spans="1:25" ht="36.75" customHeight="1" x14ac:dyDescent="0.2">
      <c r="A118" s="101" t="s">
        <v>1817</v>
      </c>
      <c r="B118" s="102"/>
      <c r="C118" s="64" t="s">
        <v>1818</v>
      </c>
      <c r="D118" s="65">
        <v>42990</v>
      </c>
      <c r="E118" s="66"/>
      <c r="F118" s="67"/>
      <c r="G118" s="67"/>
      <c r="H118" s="67">
        <v>1471.43</v>
      </c>
      <c r="I118" s="354">
        <v>729.43000000000006</v>
      </c>
      <c r="J118" s="67"/>
      <c r="K118" s="68">
        <f t="shared" si="30"/>
        <v>0</v>
      </c>
      <c r="L118" s="68">
        <f t="shared" si="31"/>
        <v>0</v>
      </c>
      <c r="M118" s="69">
        <v>20</v>
      </c>
      <c r="N118" s="70" t="s">
        <v>289</v>
      </c>
      <c r="O118" s="68">
        <f t="shared" si="32"/>
        <v>0</v>
      </c>
      <c r="P118" s="68">
        <f t="shared" si="33"/>
        <v>0</v>
      </c>
      <c r="Q118" s="68">
        <f t="shared" si="34"/>
        <v>0</v>
      </c>
      <c r="R118" s="68">
        <f t="shared" si="35"/>
        <v>72</v>
      </c>
      <c r="S118" s="68">
        <f t="shared" si="36"/>
        <v>0</v>
      </c>
      <c r="T118" s="68">
        <f>+R118+S118+Q118</f>
        <v>72</v>
      </c>
      <c r="U118" s="265">
        <f t="shared" si="37"/>
        <v>657.43000000000006</v>
      </c>
      <c r="V118" s="93">
        <f t="shared" si="38"/>
        <v>0</v>
      </c>
      <c r="W118" s="449" cm="1">
        <f t="array" ref="W118">+IF(U118&lt;0,error,0)</f>
        <v>0</v>
      </c>
    </row>
    <row r="119" spans="1:25" ht="36.75" customHeight="1" x14ac:dyDescent="0.2">
      <c r="A119" s="101" t="s">
        <v>1819</v>
      </c>
      <c r="B119" s="102"/>
      <c r="C119" s="64" t="s">
        <v>1820</v>
      </c>
      <c r="D119" s="65">
        <v>43139</v>
      </c>
      <c r="E119" s="66"/>
      <c r="F119" s="67"/>
      <c r="G119" s="67"/>
      <c r="H119" s="67">
        <v>2500</v>
      </c>
      <c r="I119" s="354">
        <v>1361</v>
      </c>
      <c r="J119" s="67"/>
      <c r="K119" s="68">
        <f t="shared" si="30"/>
        <v>0</v>
      </c>
      <c r="L119" s="68">
        <f t="shared" si="31"/>
        <v>0</v>
      </c>
      <c r="M119" s="69">
        <v>20</v>
      </c>
      <c r="N119" s="70" t="s">
        <v>289</v>
      </c>
      <c r="O119" s="68">
        <f t="shared" si="32"/>
        <v>0</v>
      </c>
      <c r="P119" s="68">
        <f t="shared" si="33"/>
        <v>0</v>
      </c>
      <c r="Q119" s="68">
        <f t="shared" si="34"/>
        <v>0</v>
      </c>
      <c r="R119" s="68">
        <f t="shared" si="35"/>
        <v>136</v>
      </c>
      <c r="S119" s="68">
        <f t="shared" si="36"/>
        <v>0</v>
      </c>
      <c r="T119" s="68">
        <f>+R119+S119+Q119</f>
        <v>136</v>
      </c>
      <c r="U119" s="265">
        <f t="shared" si="37"/>
        <v>1225</v>
      </c>
      <c r="V119" s="93">
        <f t="shared" si="38"/>
        <v>0</v>
      </c>
      <c r="W119" s="449" cm="1">
        <f t="array" ref="W119">+IF(U119&lt;0,error,0)</f>
        <v>0</v>
      </c>
    </row>
    <row r="120" spans="1:25" ht="36.75" customHeight="1" x14ac:dyDescent="0.2">
      <c r="A120" s="101">
        <v>740006</v>
      </c>
      <c r="B120" s="102"/>
      <c r="C120" s="326" t="s">
        <v>2389</v>
      </c>
      <c r="D120" s="65">
        <v>43873</v>
      </c>
      <c r="E120" s="66"/>
      <c r="F120" s="67"/>
      <c r="G120" s="67"/>
      <c r="H120" s="67">
        <v>4909.09</v>
      </c>
      <c r="I120" s="354">
        <v>4083.09</v>
      </c>
      <c r="J120" s="67"/>
      <c r="K120" s="68">
        <f t="shared" si="30"/>
        <v>0</v>
      </c>
      <c r="L120" s="68">
        <f t="shared" si="31"/>
        <v>0</v>
      </c>
      <c r="M120" s="69">
        <v>20</v>
      </c>
      <c r="N120" s="70" t="s">
        <v>289</v>
      </c>
      <c r="O120" s="68">
        <f t="shared" si="32"/>
        <v>0</v>
      </c>
      <c r="P120" s="68">
        <f t="shared" si="33"/>
        <v>0</v>
      </c>
      <c r="Q120" s="68">
        <f t="shared" si="34"/>
        <v>0</v>
      </c>
      <c r="R120" s="68">
        <f t="shared" si="35"/>
        <v>408</v>
      </c>
      <c r="S120" s="68">
        <f t="shared" si="36"/>
        <v>0</v>
      </c>
      <c r="T120" s="68">
        <f>+R120+S120+Q120</f>
        <v>408</v>
      </c>
      <c r="U120" s="265">
        <f t="shared" si="37"/>
        <v>3675.09</v>
      </c>
      <c r="V120" s="93">
        <f t="shared" si="38"/>
        <v>0</v>
      </c>
      <c r="W120" s="449" cm="1">
        <f t="array" ref="W120">+IF(U120&lt;0,error,0)</f>
        <v>0</v>
      </c>
    </row>
    <row r="121" spans="1:25" ht="36.75" customHeight="1" x14ac:dyDescent="0.2">
      <c r="A121" s="101"/>
      <c r="B121" s="102"/>
      <c r="C121" s="64"/>
      <c r="D121" s="65"/>
      <c r="E121" s="66"/>
      <c r="F121" s="67"/>
      <c r="G121" s="67"/>
      <c r="H121" s="67"/>
      <c r="I121" s="354"/>
      <c r="J121" s="67"/>
      <c r="K121" s="68"/>
      <c r="L121" s="68"/>
      <c r="M121" s="69"/>
      <c r="N121" s="70"/>
      <c r="O121" s="68"/>
      <c r="P121" s="68"/>
      <c r="Q121" s="68"/>
      <c r="R121" s="68"/>
      <c r="S121" s="68"/>
      <c r="T121" s="68"/>
      <c r="U121" s="265"/>
      <c r="V121" s="93"/>
      <c r="W121" s="449" cm="1">
        <f t="array" ref="W121">+IF(U121&lt;0,error,0)</f>
        <v>0</v>
      </c>
    </row>
    <row r="122" spans="1:25" ht="36.75" customHeight="1" x14ac:dyDescent="0.2">
      <c r="A122" s="103"/>
      <c r="B122" s="104"/>
      <c r="C122" s="63"/>
      <c r="D122" s="63"/>
      <c r="E122" s="66"/>
      <c r="F122" s="67"/>
      <c r="G122" s="67"/>
      <c r="H122" s="67"/>
      <c r="I122" s="355"/>
      <c r="J122" s="75"/>
      <c r="K122" s="75"/>
      <c r="L122" s="75"/>
      <c r="M122" s="74"/>
      <c r="N122" s="70"/>
      <c r="O122" s="70"/>
      <c r="P122" s="75"/>
      <c r="Q122" s="75"/>
      <c r="R122" s="70"/>
      <c r="S122" s="75"/>
      <c r="T122" s="75"/>
      <c r="U122" s="266"/>
      <c r="V122" s="93"/>
      <c r="W122" s="449" cm="1">
        <f t="array" ref="W122">+IF(U122&lt;0,error,0)</f>
        <v>0</v>
      </c>
    </row>
    <row r="123" spans="1:25" ht="36.75" customHeight="1" x14ac:dyDescent="0.2">
      <c r="A123" s="103"/>
      <c r="B123" s="104"/>
      <c r="C123" s="83" t="s">
        <v>2043</v>
      </c>
      <c r="D123" s="63"/>
      <c r="E123" s="66"/>
      <c r="F123" s="67"/>
      <c r="G123" s="67"/>
      <c r="H123" s="79">
        <f>+J124-V124</f>
        <v>0</v>
      </c>
      <c r="I123" s="355"/>
      <c r="J123" s="75"/>
      <c r="K123" s="75"/>
      <c r="L123" s="75"/>
      <c r="M123" s="74"/>
      <c r="N123" s="70"/>
      <c r="O123" s="70"/>
      <c r="P123" s="75"/>
      <c r="Q123" s="75"/>
      <c r="R123" s="70"/>
      <c r="S123" s="75"/>
      <c r="T123" s="75"/>
      <c r="U123" s="266"/>
      <c r="V123" s="93"/>
      <c r="W123" s="449" cm="1">
        <f t="array" ref="W123">+IF(U123&lt;0,error,0)</f>
        <v>0</v>
      </c>
    </row>
    <row r="124" spans="1:25" s="14" customFormat="1" ht="36.75" customHeight="1" x14ac:dyDescent="0.2">
      <c r="A124" s="105"/>
      <c r="B124" s="106"/>
      <c r="C124" s="77" t="s">
        <v>1657</v>
      </c>
      <c r="D124" s="83"/>
      <c r="E124" s="84"/>
      <c r="F124" s="79">
        <f t="shared" ref="F124:L124" si="39">SUM(F115:F122)</f>
        <v>0</v>
      </c>
      <c r="G124" s="79">
        <f t="shared" si="39"/>
        <v>0</v>
      </c>
      <c r="H124" s="268">
        <f>SUM(H115:H123)</f>
        <v>32053.24</v>
      </c>
      <c r="I124" s="495">
        <f>SUM(I115:I122)</f>
        <v>9689.2400000000016</v>
      </c>
      <c r="J124" s="79">
        <f t="shared" si="39"/>
        <v>0</v>
      </c>
      <c r="K124" s="79">
        <f t="shared" si="39"/>
        <v>0</v>
      </c>
      <c r="L124" s="79">
        <f t="shared" si="39"/>
        <v>0</v>
      </c>
      <c r="M124" s="83"/>
      <c r="N124" s="81"/>
      <c r="O124" s="79">
        <f t="shared" ref="O124:S124" si="40">SUM(O115:O119)</f>
        <v>0</v>
      </c>
      <c r="P124" s="79">
        <f t="shared" si="40"/>
        <v>0</v>
      </c>
      <c r="Q124" s="79">
        <f t="shared" si="40"/>
        <v>0</v>
      </c>
      <c r="R124" s="79">
        <f t="shared" si="40"/>
        <v>559</v>
      </c>
      <c r="S124" s="79">
        <f t="shared" si="40"/>
        <v>1453</v>
      </c>
      <c r="T124" s="268">
        <f>SUM(T115:T122)</f>
        <v>967</v>
      </c>
      <c r="U124" s="268">
        <f>SUM(U115:U122)</f>
        <v>8722.2400000000016</v>
      </c>
      <c r="V124" s="93">
        <f>SUM(V115:V123)</f>
        <v>0</v>
      </c>
      <c r="W124" s="449" cm="1">
        <f t="array" ref="W124">+IF(U124&lt;0,error,0)</f>
        <v>0</v>
      </c>
      <c r="Y124" s="292">
        <f>+H124-U124</f>
        <v>23331</v>
      </c>
    </row>
    <row r="125" spans="1:25" ht="36.75" customHeight="1" x14ac:dyDescent="0.2">
      <c r="A125" s="101"/>
      <c r="B125" s="102"/>
      <c r="C125" s="63"/>
      <c r="D125" s="63"/>
      <c r="E125" s="66"/>
      <c r="F125" s="67"/>
      <c r="G125" s="67"/>
      <c r="H125" s="67"/>
      <c r="I125" s="354"/>
      <c r="J125" s="67"/>
      <c r="K125" s="67"/>
      <c r="L125" s="67"/>
      <c r="M125" s="63"/>
      <c r="N125" s="63"/>
      <c r="O125" s="63">
        <v>17647</v>
      </c>
      <c r="P125" s="67">
        <v>0</v>
      </c>
      <c r="Q125" s="67"/>
      <c r="R125" s="63">
        <v>131255</v>
      </c>
      <c r="S125" s="67">
        <v>337</v>
      </c>
      <c r="T125" s="67"/>
      <c r="U125" s="265"/>
      <c r="V125" s="93"/>
      <c r="W125" s="449" cm="1">
        <f t="array" ref="W125">+IF(U125&lt;0,error,0)</f>
        <v>0</v>
      </c>
    </row>
    <row r="126" spans="1:25" ht="36.75" customHeight="1" x14ac:dyDescent="0.2">
      <c r="A126" s="103"/>
      <c r="B126" s="104"/>
      <c r="C126" s="63"/>
      <c r="D126" s="63"/>
      <c r="E126" s="66"/>
      <c r="F126" s="67"/>
      <c r="G126" s="67"/>
      <c r="H126" s="67"/>
      <c r="I126" s="355"/>
      <c r="J126" s="75"/>
      <c r="K126" s="75"/>
      <c r="L126" s="75"/>
      <c r="M126" s="74"/>
      <c r="N126" s="70"/>
      <c r="O126" s="70"/>
      <c r="P126" s="75"/>
      <c r="Q126" s="75"/>
      <c r="R126" s="70"/>
      <c r="S126" s="75"/>
      <c r="T126" s="75"/>
      <c r="U126" s="266"/>
      <c r="V126" s="93"/>
      <c r="W126" s="449" cm="1">
        <f t="array" ref="W126">+IF(U126&lt;0,error,0)</f>
        <v>0</v>
      </c>
    </row>
    <row r="127" spans="1:25" ht="36.75" customHeight="1" x14ac:dyDescent="0.2">
      <c r="A127" s="103"/>
      <c r="B127" s="104"/>
      <c r="C127" s="63"/>
      <c r="D127" s="63"/>
      <c r="E127" s="66"/>
      <c r="F127" s="67"/>
      <c r="G127" s="67"/>
      <c r="H127" s="67"/>
      <c r="I127" s="355"/>
      <c r="J127" s="75"/>
      <c r="K127" s="75"/>
      <c r="L127" s="75"/>
      <c r="M127" s="74"/>
      <c r="N127" s="70"/>
      <c r="O127" s="70"/>
      <c r="P127" s="75"/>
      <c r="Q127" s="75"/>
      <c r="R127" s="70"/>
      <c r="S127" s="75"/>
      <c r="T127" s="75"/>
      <c r="U127" s="266"/>
      <c r="V127" s="93"/>
      <c r="W127" s="449" cm="1">
        <f t="array" ref="W127">+IF(U127&lt;0,error,0)</f>
        <v>0</v>
      </c>
    </row>
    <row r="128" spans="1:25" s="14" customFormat="1" ht="36.75" customHeight="1" x14ac:dyDescent="0.2">
      <c r="A128" s="112"/>
      <c r="B128" s="113"/>
      <c r="C128" s="97" t="s">
        <v>1658</v>
      </c>
      <c r="D128" s="97"/>
      <c r="E128" s="98"/>
      <c r="F128" s="99">
        <f t="shared" ref="F128:L128" si="41">+F111+F124+F13</f>
        <v>0</v>
      </c>
      <c r="G128" s="99">
        <f t="shared" si="41"/>
        <v>0</v>
      </c>
      <c r="H128" s="99">
        <f t="shared" si="41"/>
        <v>4355878.3900000006</v>
      </c>
      <c r="I128" s="513">
        <f t="shared" si="41"/>
        <v>4105761.3900000006</v>
      </c>
      <c r="J128" s="99">
        <f t="shared" si="41"/>
        <v>0</v>
      </c>
      <c r="K128" s="99">
        <f t="shared" si="41"/>
        <v>0</v>
      </c>
      <c r="L128" s="99">
        <f t="shared" si="41"/>
        <v>0</v>
      </c>
      <c r="M128" s="96"/>
      <c r="N128" s="100"/>
      <c r="O128" s="99" t="e">
        <f>+O111+O124+#REF!+#REF!+#REF!</f>
        <v>#REF!</v>
      </c>
      <c r="P128" s="99" t="e">
        <f>+P111+P124+#REF!+#REF!+#REF!</f>
        <v>#REF!</v>
      </c>
      <c r="Q128" s="99"/>
      <c r="R128" s="99" t="e">
        <f>+R111+R124+#REF!+#REF!+#REF!</f>
        <v>#REF!</v>
      </c>
      <c r="S128" s="99" t="e">
        <f>+S111+S124+#REF!+#REF!+#REF!</f>
        <v>#REF!</v>
      </c>
      <c r="T128" s="99">
        <f>+T111+T124+T13</f>
        <v>34641</v>
      </c>
      <c r="U128" s="322">
        <f>+U111+U124+U13</f>
        <v>4071120.39</v>
      </c>
      <c r="V128" s="99">
        <f>+V111+V124+V13</f>
        <v>0</v>
      </c>
      <c r="W128" s="449" cm="1">
        <f t="array" ref="W128">+IF(U128&lt;0,error,0)</f>
        <v>0</v>
      </c>
    </row>
    <row r="129" spans="1:22" ht="18" customHeight="1" x14ac:dyDescent="0.2">
      <c r="A129" s="41"/>
      <c r="B129" s="41"/>
      <c r="C129" s="41" t="s">
        <v>1659</v>
      </c>
      <c r="D129" s="42"/>
      <c r="E129" s="43"/>
      <c r="F129" s="9"/>
      <c r="G129" s="9"/>
      <c r="H129" s="9"/>
      <c r="J129" s="9"/>
      <c r="K129" s="9"/>
      <c r="L129" s="9"/>
      <c r="N129" s="46"/>
      <c r="O129" s="46"/>
      <c r="P129" s="9"/>
      <c r="Q129" s="9"/>
      <c r="R129" s="46"/>
      <c r="S129" s="9"/>
      <c r="T129" s="9"/>
      <c r="U129" s="259">
        <f>4006911.46+64208.93</f>
        <v>4071120.39</v>
      </c>
      <c r="V129" s="10"/>
    </row>
    <row r="130" spans="1:22" ht="18" hidden="1" customHeight="1" x14ac:dyDescent="0.2">
      <c r="C130" s="42"/>
      <c r="D130" s="42"/>
      <c r="E130" s="43"/>
      <c r="F130" s="9"/>
      <c r="G130" s="9"/>
      <c r="H130" s="9">
        <f>+H128-H129</f>
        <v>4355878.3900000006</v>
      </c>
      <c r="J130" s="10">
        <f>+J128-J129</f>
        <v>0</v>
      </c>
      <c r="K130" s="10"/>
      <c r="L130" s="10">
        <f>+K128-L128</f>
        <v>0</v>
      </c>
      <c r="P130" s="10"/>
      <c r="Q130" s="10"/>
      <c r="S130" s="10"/>
      <c r="T130" s="10"/>
      <c r="U130" s="257"/>
      <c r="V130" s="10"/>
    </row>
    <row r="131" spans="1:22" ht="18" customHeight="1" x14ac:dyDescent="0.2">
      <c r="A131" s="41"/>
      <c r="B131" s="41"/>
      <c r="C131" s="41"/>
      <c r="D131" s="41"/>
      <c r="E131" s="47"/>
      <c r="F131" s="48"/>
      <c r="G131" s="48"/>
      <c r="H131" s="514" t="s">
        <v>2423</v>
      </c>
      <c r="I131" s="51">
        <v>64208.93</v>
      </c>
      <c r="J131" s="49"/>
      <c r="K131" s="10"/>
      <c r="L131" s="10">
        <f>+L129-L130</f>
        <v>0</v>
      </c>
      <c r="P131" s="10"/>
      <c r="Q131" s="10"/>
      <c r="S131" s="10"/>
      <c r="T131" s="10"/>
      <c r="U131" s="320"/>
      <c r="V131" s="10"/>
    </row>
    <row r="132" spans="1:22" ht="18" customHeight="1" x14ac:dyDescent="0.2">
      <c r="C132" s="42"/>
      <c r="D132" s="42"/>
      <c r="E132" s="50"/>
      <c r="F132" s="51"/>
      <c r="G132" s="51"/>
      <c r="H132" s="515" t="s">
        <v>2424</v>
      </c>
      <c r="I132" s="259">
        <f>+I128-I131</f>
        <v>4041552.4600000004</v>
      </c>
      <c r="P132" s="10"/>
      <c r="Q132" s="10"/>
      <c r="S132" s="10"/>
      <c r="T132" s="10"/>
      <c r="U132" s="320" t="s">
        <v>1669</v>
      </c>
      <c r="V132" s="10"/>
    </row>
    <row r="133" spans="1:22" ht="18" customHeight="1" x14ac:dyDescent="0.2">
      <c r="C133" s="15" t="s">
        <v>1663</v>
      </c>
      <c r="D133" s="42"/>
      <c r="E133" s="50"/>
      <c r="F133" s="51"/>
      <c r="G133" s="51"/>
      <c r="H133" s="515" t="s">
        <v>1659</v>
      </c>
      <c r="I133" s="259">
        <v>4041552.46</v>
      </c>
      <c r="P133" s="10"/>
      <c r="Q133" s="10"/>
      <c r="S133" s="10"/>
      <c r="T133" s="10"/>
      <c r="U133" s="53">
        <v>44377</v>
      </c>
      <c r="V133" s="10"/>
    </row>
    <row r="134" spans="1:22" ht="18" customHeight="1" x14ac:dyDescent="0.2">
      <c r="C134" s="42"/>
      <c r="D134" s="42"/>
      <c r="E134" s="50"/>
      <c r="F134" s="51"/>
      <c r="G134" s="51"/>
      <c r="H134" s="515" t="s">
        <v>1823</v>
      </c>
      <c r="I134" s="320">
        <f>+I132-I133</f>
        <v>0</v>
      </c>
      <c r="P134" s="10"/>
      <c r="Q134" s="10"/>
      <c r="S134" s="10"/>
      <c r="T134" s="10"/>
      <c r="U134" s="257">
        <f>+U128-U129</f>
        <v>0</v>
      </c>
      <c r="V134" s="10"/>
    </row>
    <row r="135" spans="1:22" x14ac:dyDescent="0.2">
      <c r="C135" s="42"/>
      <c r="D135" s="42"/>
      <c r="E135" s="50"/>
      <c r="F135" s="51"/>
      <c r="G135" s="51"/>
      <c r="H135" s="42"/>
      <c r="I135" s="320"/>
      <c r="P135" s="10"/>
      <c r="Q135" s="10"/>
      <c r="S135" s="10"/>
      <c r="T135" s="10"/>
      <c r="U135" s="257"/>
      <c r="V135" s="10"/>
    </row>
    <row r="136" spans="1:22" x14ac:dyDescent="0.2">
      <c r="C136" s="42"/>
      <c r="D136" s="42"/>
      <c r="E136" s="50"/>
      <c r="F136" s="51"/>
      <c r="G136" s="51"/>
      <c r="H136" s="42"/>
      <c r="I136" s="53"/>
      <c r="P136" s="10"/>
      <c r="Q136" s="10"/>
      <c r="S136" s="10"/>
      <c r="T136" s="10"/>
      <c r="U136" s="257"/>
      <c r="V136" s="10"/>
    </row>
    <row r="137" spans="1:22" x14ac:dyDescent="0.2">
      <c r="C137" s="42"/>
      <c r="D137" s="42"/>
      <c r="E137" s="50"/>
      <c r="F137" s="51"/>
      <c r="G137" s="51"/>
      <c r="H137" s="42"/>
      <c r="I137" s="257"/>
      <c r="P137" s="10"/>
      <c r="Q137" s="10"/>
      <c r="S137" s="10"/>
      <c r="T137" s="10"/>
      <c r="U137" s="257"/>
      <c r="V137" s="10"/>
    </row>
    <row r="138" spans="1:22" x14ac:dyDescent="0.2">
      <c r="C138" s="42"/>
      <c r="D138" s="42"/>
      <c r="E138" s="50"/>
      <c r="F138" s="51"/>
      <c r="G138" s="51"/>
      <c r="H138" s="42"/>
      <c r="P138" s="10"/>
      <c r="Q138" s="10"/>
      <c r="S138" s="10"/>
      <c r="T138" s="10"/>
      <c r="U138" s="257"/>
      <c r="V138" s="10"/>
    </row>
    <row r="139" spans="1:22" x14ac:dyDescent="0.2">
      <c r="C139" s="42"/>
      <c r="D139" s="42"/>
      <c r="E139" s="50"/>
      <c r="F139" s="51"/>
      <c r="G139" s="51"/>
      <c r="H139" s="42"/>
      <c r="P139" s="10"/>
      <c r="Q139" s="10"/>
      <c r="S139" s="10"/>
      <c r="T139" s="10"/>
      <c r="U139" s="257"/>
      <c r="V139" s="10"/>
    </row>
    <row r="140" spans="1:22" x14ac:dyDescent="0.2">
      <c r="C140" s="42"/>
      <c r="D140" s="42"/>
      <c r="E140" s="50"/>
      <c r="F140" s="51"/>
      <c r="G140" s="51"/>
      <c r="H140" s="42"/>
      <c r="P140" s="10"/>
      <c r="Q140" s="10"/>
      <c r="S140" s="10"/>
      <c r="T140" s="10"/>
      <c r="U140" s="257"/>
      <c r="V140" s="10"/>
    </row>
    <row r="141" spans="1:22" x14ac:dyDescent="0.2">
      <c r="C141" s="42"/>
      <c r="D141" s="42"/>
      <c r="E141" s="50"/>
      <c r="F141" s="51"/>
      <c r="G141" s="51"/>
      <c r="H141" s="42"/>
      <c r="P141" s="10"/>
      <c r="Q141" s="10"/>
      <c r="S141" s="10"/>
      <c r="T141" s="10"/>
      <c r="U141" s="257"/>
      <c r="V141" s="10"/>
    </row>
    <row r="142" spans="1:22" x14ac:dyDescent="0.2">
      <c r="C142" s="42"/>
      <c r="D142" s="42"/>
      <c r="E142" s="50"/>
      <c r="F142" s="51"/>
      <c r="G142" s="51"/>
      <c r="H142" s="42"/>
      <c r="P142" s="10"/>
      <c r="Q142" s="10"/>
      <c r="S142" s="10"/>
      <c r="T142" s="10"/>
      <c r="U142" s="257"/>
      <c r="V142" s="10"/>
    </row>
    <row r="143" spans="1:22" x14ac:dyDescent="0.2">
      <c r="C143" s="42"/>
      <c r="D143" s="42"/>
      <c r="E143" s="50"/>
      <c r="F143" s="51"/>
      <c r="G143" s="51"/>
      <c r="H143" s="42"/>
      <c r="P143" s="10"/>
      <c r="Q143" s="10"/>
      <c r="S143" s="10"/>
      <c r="T143" s="10"/>
      <c r="U143" s="257"/>
      <c r="V143" s="10"/>
    </row>
    <row r="144" spans="1:22" x14ac:dyDescent="0.2">
      <c r="C144" s="42"/>
      <c r="D144" s="42"/>
      <c r="E144" s="50"/>
      <c r="F144" s="51"/>
      <c r="G144" s="51"/>
      <c r="H144" s="42"/>
      <c r="P144" s="10"/>
      <c r="Q144" s="10"/>
      <c r="S144" s="10"/>
      <c r="T144" s="10"/>
      <c r="U144" s="257"/>
      <c r="V144" s="10"/>
    </row>
    <row r="145" spans="3:22" x14ac:dyDescent="0.2">
      <c r="C145" s="42"/>
      <c r="D145" s="42"/>
      <c r="E145" s="50"/>
      <c r="F145" s="51"/>
      <c r="G145" s="51"/>
      <c r="H145" s="42"/>
      <c r="P145" s="10"/>
      <c r="Q145" s="10"/>
      <c r="S145" s="10"/>
      <c r="T145" s="10"/>
      <c r="U145" s="257"/>
      <c r="V145" s="10"/>
    </row>
    <row r="146" spans="3:22" x14ac:dyDescent="0.2">
      <c r="C146" s="42"/>
      <c r="D146" s="42"/>
      <c r="E146" s="50"/>
      <c r="F146" s="51"/>
      <c r="G146" s="51"/>
      <c r="H146" s="42"/>
      <c r="P146" s="10"/>
      <c r="Q146" s="10"/>
      <c r="S146" s="10"/>
      <c r="T146" s="10"/>
      <c r="U146" s="257"/>
      <c r="V146" s="10"/>
    </row>
    <row r="147" spans="3:22" x14ac:dyDescent="0.2">
      <c r="C147" s="42"/>
      <c r="D147" s="42"/>
      <c r="E147" s="50"/>
      <c r="F147" s="51"/>
      <c r="G147" s="51"/>
      <c r="H147" s="42"/>
      <c r="P147" s="10"/>
      <c r="Q147" s="10"/>
      <c r="S147" s="10"/>
      <c r="T147" s="10"/>
      <c r="U147" s="257"/>
      <c r="V147" s="10"/>
    </row>
    <row r="148" spans="3:22" x14ac:dyDescent="0.2">
      <c r="C148" s="42"/>
      <c r="D148" s="42"/>
      <c r="E148" s="50"/>
      <c r="F148" s="51"/>
      <c r="G148" s="51"/>
      <c r="P148" s="10"/>
      <c r="Q148" s="10"/>
      <c r="S148" s="10"/>
      <c r="T148" s="10"/>
      <c r="U148" s="257"/>
      <c r="V148" s="10"/>
    </row>
    <row r="149" spans="3:22" x14ac:dyDescent="0.2">
      <c r="C149" s="42"/>
      <c r="D149" s="42"/>
      <c r="E149" s="50"/>
      <c r="F149" s="51"/>
      <c r="G149" s="51"/>
      <c r="H149" s="42"/>
      <c r="P149" s="10"/>
      <c r="Q149" s="10"/>
      <c r="S149" s="10"/>
      <c r="T149" s="10"/>
      <c r="U149" s="257"/>
      <c r="V149" s="10"/>
    </row>
    <row r="150" spans="3:22" x14ac:dyDescent="0.2">
      <c r="P150" s="10"/>
      <c r="Q150" s="10"/>
      <c r="S150" s="10"/>
      <c r="T150" s="10"/>
      <c r="U150" s="257"/>
      <c r="V150" s="10"/>
    </row>
    <row r="151" spans="3:22" x14ac:dyDescent="0.2">
      <c r="P151" s="10"/>
      <c r="Q151" s="10"/>
      <c r="S151" s="10"/>
      <c r="T151" s="10"/>
      <c r="U151" s="257"/>
      <c r="V151" s="10"/>
    </row>
    <row r="152" spans="3:22" x14ac:dyDescent="0.2">
      <c r="F152" s="51"/>
      <c r="G152" s="51"/>
      <c r="H152" s="42"/>
      <c r="P152" s="10"/>
      <c r="Q152" s="10"/>
      <c r="S152" s="10"/>
      <c r="T152" s="10"/>
      <c r="U152" s="257"/>
      <c r="V152" s="10"/>
    </row>
    <row r="153" spans="3:22" x14ac:dyDescent="0.2">
      <c r="P153" s="10"/>
      <c r="Q153" s="10"/>
      <c r="S153" s="10"/>
      <c r="T153" s="10"/>
      <c r="U153" s="257"/>
      <c r="V153" s="10"/>
    </row>
    <row r="154" spans="3:22" x14ac:dyDescent="0.2">
      <c r="P154" s="10"/>
      <c r="Q154" s="10"/>
      <c r="S154" s="10"/>
      <c r="T154" s="10"/>
      <c r="U154" s="257"/>
      <c r="V154" s="10"/>
    </row>
    <row r="155" spans="3:22" x14ac:dyDescent="0.2">
      <c r="P155" s="10"/>
      <c r="Q155" s="10"/>
      <c r="S155" s="10"/>
      <c r="T155" s="10"/>
      <c r="U155" s="257"/>
      <c r="V155" s="10"/>
    </row>
    <row r="156" spans="3:22" x14ac:dyDescent="0.2">
      <c r="P156" s="10"/>
      <c r="Q156" s="10"/>
      <c r="S156" s="10"/>
      <c r="T156" s="10"/>
      <c r="U156" s="257"/>
      <c r="V156" s="10"/>
    </row>
    <row r="157" spans="3:22" x14ac:dyDescent="0.2">
      <c r="P157" s="10"/>
      <c r="Q157" s="10"/>
      <c r="S157" s="10"/>
      <c r="T157" s="10"/>
      <c r="U157" s="257"/>
      <c r="V157" s="10"/>
    </row>
    <row r="158" spans="3:22" x14ac:dyDescent="0.2">
      <c r="P158" s="10"/>
      <c r="Q158" s="10"/>
      <c r="S158" s="10"/>
      <c r="T158" s="10"/>
      <c r="U158" s="257"/>
      <c r="V158" s="10"/>
    </row>
    <row r="159" spans="3:22" x14ac:dyDescent="0.2">
      <c r="P159" s="10"/>
      <c r="Q159" s="10"/>
      <c r="S159" s="10"/>
      <c r="T159" s="10"/>
      <c r="U159" s="257"/>
      <c r="V159" s="10"/>
    </row>
    <row r="160" spans="3:22" x14ac:dyDescent="0.2">
      <c r="P160" s="10"/>
      <c r="Q160" s="10"/>
      <c r="S160" s="10"/>
      <c r="T160" s="10"/>
      <c r="U160" s="257"/>
      <c r="V160" s="10"/>
    </row>
    <row r="161" spans="16:22" x14ac:dyDescent="0.2">
      <c r="P161" s="10"/>
      <c r="Q161" s="10"/>
      <c r="S161" s="10"/>
      <c r="T161" s="10"/>
      <c r="U161" s="257"/>
      <c r="V161" s="10"/>
    </row>
    <row r="162" spans="16:22" x14ac:dyDescent="0.2">
      <c r="P162" s="10"/>
      <c r="Q162" s="10"/>
      <c r="S162" s="10"/>
      <c r="T162" s="10"/>
      <c r="U162" s="257"/>
      <c r="V162" s="10"/>
    </row>
    <row r="163" spans="16:22" x14ac:dyDescent="0.2">
      <c r="P163" s="10"/>
      <c r="Q163" s="10"/>
      <c r="S163" s="10"/>
      <c r="T163" s="10"/>
      <c r="U163" s="257"/>
      <c r="V163" s="10"/>
    </row>
    <row r="164" spans="16:22" x14ac:dyDescent="0.2">
      <c r="P164" s="10"/>
      <c r="Q164" s="10"/>
      <c r="S164" s="10"/>
      <c r="T164" s="10"/>
      <c r="U164" s="257"/>
      <c r="V164" s="10"/>
    </row>
    <row r="165" spans="16:22" x14ac:dyDescent="0.2">
      <c r="P165" s="10"/>
      <c r="Q165" s="10"/>
      <c r="S165" s="10"/>
      <c r="T165" s="10"/>
      <c r="U165" s="257"/>
      <c r="V165" s="10"/>
    </row>
    <row r="166" spans="16:22" x14ac:dyDescent="0.2">
      <c r="P166" s="10"/>
      <c r="Q166" s="10"/>
      <c r="S166" s="10"/>
      <c r="T166" s="10"/>
      <c r="U166" s="257"/>
      <c r="V166" s="10"/>
    </row>
    <row r="167" spans="16:22" x14ac:dyDescent="0.2">
      <c r="P167" s="10"/>
      <c r="Q167" s="10"/>
      <c r="S167" s="10"/>
      <c r="T167" s="10"/>
      <c r="U167" s="257"/>
      <c r="V167" s="10"/>
    </row>
    <row r="168" spans="16:22" x14ac:dyDescent="0.2">
      <c r="P168" s="10"/>
      <c r="Q168" s="10"/>
      <c r="S168" s="10"/>
      <c r="T168" s="10"/>
      <c r="U168" s="257"/>
      <c r="V168" s="10"/>
    </row>
    <row r="169" spans="16:22" x14ac:dyDescent="0.2">
      <c r="P169" s="10"/>
      <c r="Q169" s="10"/>
      <c r="S169" s="10"/>
      <c r="T169" s="10"/>
      <c r="U169" s="257"/>
      <c r="V169" s="10"/>
    </row>
    <row r="170" spans="16:22" x14ac:dyDescent="0.2">
      <c r="P170" s="10"/>
      <c r="Q170" s="10"/>
      <c r="S170" s="10"/>
      <c r="T170" s="10"/>
      <c r="U170" s="257"/>
      <c r="V170" s="10"/>
    </row>
    <row r="171" spans="16:22" x14ac:dyDescent="0.2">
      <c r="P171" s="10"/>
      <c r="Q171" s="10"/>
      <c r="S171" s="10"/>
      <c r="T171" s="10"/>
      <c r="U171" s="257"/>
      <c r="V171" s="10"/>
    </row>
    <row r="172" spans="16:22" x14ac:dyDescent="0.2">
      <c r="P172" s="10"/>
      <c r="Q172" s="10"/>
      <c r="S172" s="10"/>
      <c r="T172" s="10"/>
      <c r="U172" s="257"/>
      <c r="V172" s="10"/>
    </row>
    <row r="173" spans="16:22" x14ac:dyDescent="0.2">
      <c r="P173" s="10"/>
      <c r="Q173" s="10"/>
      <c r="S173" s="10"/>
      <c r="T173" s="10"/>
      <c r="U173" s="257"/>
      <c r="V173" s="10"/>
    </row>
    <row r="174" spans="16:22" x14ac:dyDescent="0.2">
      <c r="P174" s="10"/>
      <c r="Q174" s="10"/>
      <c r="S174" s="10"/>
      <c r="T174" s="10"/>
      <c r="U174" s="257"/>
      <c r="V174" s="10"/>
    </row>
    <row r="175" spans="16:22" x14ac:dyDescent="0.2">
      <c r="P175" s="10"/>
      <c r="Q175" s="10"/>
      <c r="S175" s="10"/>
      <c r="T175" s="10"/>
      <c r="U175" s="257"/>
    </row>
    <row r="176" spans="16:22" x14ac:dyDescent="0.2">
      <c r="P176" s="10"/>
      <c r="Q176" s="10"/>
      <c r="S176" s="10"/>
      <c r="T176" s="10"/>
      <c r="U176" s="257"/>
    </row>
    <row r="177" spans="16:21" x14ac:dyDescent="0.2">
      <c r="P177" s="10"/>
      <c r="Q177" s="10"/>
      <c r="S177" s="10"/>
      <c r="T177" s="10"/>
      <c r="U177" s="257"/>
    </row>
    <row r="178" spans="16:21" x14ac:dyDescent="0.2">
      <c r="P178" s="10"/>
      <c r="Q178" s="10"/>
      <c r="S178" s="10"/>
      <c r="T178" s="10"/>
      <c r="U178" s="257"/>
    </row>
    <row r="179" spans="16:21" x14ac:dyDescent="0.2">
      <c r="P179" s="10"/>
      <c r="Q179" s="10"/>
      <c r="S179" s="10"/>
      <c r="T179" s="10"/>
      <c r="U179" s="257"/>
    </row>
    <row r="180" spans="16:21" x14ac:dyDescent="0.2">
      <c r="P180" s="10"/>
      <c r="Q180" s="10"/>
      <c r="S180" s="10"/>
      <c r="T180" s="10"/>
      <c r="U180" s="257"/>
    </row>
    <row r="181" spans="16:21" x14ac:dyDescent="0.2">
      <c r="P181" s="10"/>
      <c r="Q181" s="10"/>
      <c r="S181" s="10"/>
      <c r="T181" s="10"/>
      <c r="U181" s="257"/>
    </row>
    <row r="182" spans="16:21" x14ac:dyDescent="0.2">
      <c r="P182" s="10"/>
      <c r="Q182" s="10"/>
      <c r="S182" s="10"/>
      <c r="T182" s="10"/>
      <c r="U182" s="257"/>
    </row>
  </sheetData>
  <mergeCells count="2">
    <mergeCell ref="D1:U1"/>
    <mergeCell ref="D2:U2"/>
  </mergeCells>
  <pageMargins left="0.25" right="0.25" top="0.75" bottom="0.75" header="0.3" footer="0.3"/>
  <pageSetup paperSize="9" scale="49" fitToHeight="3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28C5C-8D64-4F44-8A8E-409B9D69E0F9}">
  <sheetPr>
    <pageSetUpPr fitToPage="1"/>
  </sheetPr>
  <dimension ref="A1:AA822"/>
  <sheetViews>
    <sheetView workbookViewId="0">
      <pane ySplit="1860" topLeftCell="A762" activePane="bottomLeft"/>
      <selection sqref="A1:XFD1048576"/>
      <selection pane="bottomLeft" activeCell="H715" sqref="H715"/>
    </sheetView>
  </sheetViews>
  <sheetFormatPr defaultColWidth="6.85546875" defaultRowHeight="12.75" x14ac:dyDescent="0.2"/>
  <cols>
    <col min="1" max="2" width="6.85546875" style="343"/>
    <col min="3" max="3" width="59.7109375" style="343" bestFit="1" customWidth="1"/>
    <col min="4" max="4" width="10.28515625" style="343" bestFit="1" customWidth="1"/>
    <col min="5" max="5" width="10.140625" style="484" bestFit="1" customWidth="1"/>
    <col min="6" max="6" width="10.28515625" style="449" bestFit="1" customWidth="1"/>
    <col min="7" max="7" width="11.28515625" style="449" bestFit="1" customWidth="1"/>
    <col min="8" max="10" width="12.85546875" style="343" bestFit="1" customWidth="1"/>
    <col min="11" max="11" width="10.28515625" style="343" bestFit="1" customWidth="1"/>
    <col min="12" max="12" width="8.28515625" style="343" bestFit="1" customWidth="1"/>
    <col min="13" max="13" width="7" style="343" bestFit="1" customWidth="1"/>
    <col min="14" max="14" width="6.85546875" style="473"/>
    <col min="15" max="15" width="8.7109375" style="473" hidden="1" customWidth="1"/>
    <col min="16" max="16" width="8.7109375" style="343" hidden="1" customWidth="1"/>
    <col min="17" max="17" width="9.85546875" style="343" hidden="1" customWidth="1"/>
    <col min="18" max="18" width="8.7109375" style="473" hidden="1" customWidth="1"/>
    <col min="19" max="19" width="8.7109375" style="343" hidden="1" customWidth="1"/>
    <col min="20" max="20" width="11.28515625" style="472" bestFit="1" customWidth="1"/>
    <col min="21" max="21" width="12.85546875" style="472" bestFit="1" customWidth="1"/>
    <col min="22" max="22" width="12.85546875" style="343" bestFit="1" customWidth="1"/>
    <col min="23" max="23" width="10.28515625" style="343" bestFit="1" customWidth="1"/>
    <col min="24" max="24" width="6.85546875" style="343"/>
    <col min="25" max="25" width="12.85546875" style="343" bestFit="1" customWidth="1"/>
    <col min="26" max="26" width="9.28515625" style="343" bestFit="1" customWidth="1"/>
    <col min="27" max="27" width="10.28515625" style="343" bestFit="1" customWidth="1"/>
    <col min="28" max="16384" width="6.85546875" style="343"/>
  </cols>
  <sheetData>
    <row r="1" spans="1:23" ht="18" x14ac:dyDescent="0.2">
      <c r="A1" s="329"/>
      <c r="B1" s="363"/>
      <c r="C1" s="364"/>
      <c r="D1" s="517" t="s">
        <v>0</v>
      </c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365"/>
    </row>
    <row r="2" spans="1:23" ht="15.75" customHeight="1" x14ac:dyDescent="0.2">
      <c r="A2" s="329"/>
      <c r="B2" s="366"/>
      <c r="C2" s="366"/>
      <c r="D2" s="518" t="s">
        <v>1</v>
      </c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  <c r="R2" s="518"/>
      <c r="S2" s="518"/>
      <c r="T2" s="518"/>
      <c r="U2" s="518"/>
      <c r="V2" s="365"/>
    </row>
    <row r="3" spans="1:23" ht="13.5" customHeight="1" x14ac:dyDescent="0.2">
      <c r="A3" s="329"/>
      <c r="B3" s="367"/>
      <c r="C3" s="367"/>
      <c r="D3" s="367"/>
      <c r="E3" s="368"/>
      <c r="F3" s="365"/>
      <c r="G3" s="365"/>
      <c r="H3" s="344">
        <v>44013</v>
      </c>
      <c r="I3" s="328"/>
      <c r="J3" s="344">
        <v>44196</v>
      </c>
      <c r="K3" s="367"/>
      <c r="L3" s="367"/>
      <c r="M3" s="367"/>
      <c r="N3" s="369"/>
      <c r="O3" s="369"/>
      <c r="P3" s="367"/>
      <c r="Q3" s="367"/>
      <c r="R3" s="369"/>
      <c r="S3" s="367"/>
      <c r="T3" s="498" t="s">
        <v>1639</v>
      </c>
      <c r="U3" s="499">
        <f>ROUND((+J3-H3)/365*12,0)</f>
        <v>6</v>
      </c>
      <c r="V3" s="371"/>
    </row>
    <row r="4" spans="1:23" ht="3" customHeight="1" x14ac:dyDescent="0.2">
      <c r="A4" s="329"/>
      <c r="B4" s="329"/>
      <c r="C4" s="329"/>
      <c r="D4" s="329"/>
      <c r="E4" s="372"/>
      <c r="F4" s="371"/>
      <c r="G4" s="371"/>
      <c r="H4" s="329"/>
      <c r="I4" s="329"/>
      <c r="J4" s="329"/>
      <c r="K4" s="329"/>
      <c r="L4" s="329"/>
      <c r="M4" s="329"/>
      <c r="N4" s="489"/>
      <c r="O4" s="489"/>
      <c r="P4" s="329"/>
      <c r="Q4" s="329"/>
      <c r="R4" s="489"/>
      <c r="S4" s="329"/>
      <c r="T4" s="499"/>
      <c r="U4" s="499"/>
      <c r="V4" s="329"/>
    </row>
    <row r="5" spans="1:23" ht="15" customHeight="1" x14ac:dyDescent="0.2">
      <c r="A5" s="375"/>
      <c r="B5" s="376"/>
      <c r="C5" s="376"/>
      <c r="D5" s="377" t="s">
        <v>4</v>
      </c>
      <c r="E5" s="378" t="s">
        <v>1641</v>
      </c>
      <c r="F5" s="379"/>
      <c r="G5" s="380"/>
      <c r="H5" s="381" t="s">
        <v>1643</v>
      </c>
      <c r="I5" s="330" t="s">
        <v>1646</v>
      </c>
      <c r="J5" s="382" t="s">
        <v>1647</v>
      </c>
      <c r="K5" s="330" t="s">
        <v>1649</v>
      </c>
      <c r="L5" s="330" t="s">
        <v>1650</v>
      </c>
      <c r="M5" s="330" t="s">
        <v>1634</v>
      </c>
      <c r="N5" s="383" t="s">
        <v>1634</v>
      </c>
      <c r="O5" s="383" t="s">
        <v>1664</v>
      </c>
      <c r="P5" s="330" t="s">
        <v>1665</v>
      </c>
      <c r="Q5" s="330" t="s">
        <v>1666</v>
      </c>
      <c r="R5" s="383" t="s">
        <v>1661</v>
      </c>
      <c r="S5" s="330" t="s">
        <v>1660</v>
      </c>
      <c r="T5" s="500" t="s">
        <v>1662</v>
      </c>
      <c r="U5" s="501" t="s">
        <v>1653</v>
      </c>
      <c r="V5" s="383" t="s">
        <v>2086</v>
      </c>
    </row>
    <row r="6" spans="1:23" ht="15" customHeight="1" x14ac:dyDescent="0.2">
      <c r="A6" s="385" t="s">
        <v>1636</v>
      </c>
      <c r="B6" s="386"/>
      <c r="C6" s="386" t="s">
        <v>12</v>
      </c>
      <c r="D6" s="387" t="s">
        <v>1640</v>
      </c>
      <c r="E6" s="388" t="s">
        <v>1640</v>
      </c>
      <c r="F6" s="389" t="s">
        <v>1642</v>
      </c>
      <c r="G6" s="390" t="s">
        <v>1644</v>
      </c>
      <c r="H6" s="391" t="s">
        <v>1644</v>
      </c>
      <c r="I6" s="331" t="s">
        <v>1645</v>
      </c>
      <c r="J6" s="387"/>
      <c r="K6" s="387"/>
      <c r="L6" s="387"/>
      <c r="M6" s="331" t="s">
        <v>1651</v>
      </c>
      <c r="N6" s="392" t="s">
        <v>1633</v>
      </c>
      <c r="O6" s="392" t="s">
        <v>1634</v>
      </c>
      <c r="P6" s="392" t="s">
        <v>1634</v>
      </c>
      <c r="Q6" s="392" t="s">
        <v>1667</v>
      </c>
      <c r="R6" s="392" t="s">
        <v>1634</v>
      </c>
      <c r="S6" s="392" t="s">
        <v>1634</v>
      </c>
      <c r="T6" s="502" t="s">
        <v>1634</v>
      </c>
      <c r="U6" s="502" t="s">
        <v>1652</v>
      </c>
      <c r="V6" s="392" t="s">
        <v>2087</v>
      </c>
      <c r="W6" s="487" t="s">
        <v>2390</v>
      </c>
    </row>
    <row r="7" spans="1:23" ht="15.75" customHeight="1" x14ac:dyDescent="0.2">
      <c r="A7" s="394" t="s">
        <v>14</v>
      </c>
      <c r="B7" s="395"/>
      <c r="C7" s="395"/>
      <c r="D7" s="396"/>
      <c r="E7" s="397"/>
      <c r="F7" s="332"/>
      <c r="G7" s="398"/>
      <c r="H7" s="332"/>
      <c r="I7" s="332"/>
      <c r="J7" s="332"/>
      <c r="K7" s="332"/>
      <c r="L7" s="332"/>
      <c r="M7" s="396"/>
      <c r="N7" s="399"/>
      <c r="O7" s="399"/>
      <c r="P7" s="396"/>
      <c r="Q7" s="396"/>
      <c r="R7" s="399"/>
      <c r="S7" s="396"/>
      <c r="T7" s="332"/>
      <c r="U7" s="503"/>
      <c r="V7" s="401"/>
    </row>
    <row r="8" spans="1:23" ht="15.75" customHeight="1" x14ac:dyDescent="0.2">
      <c r="A8" s="402" t="s">
        <v>15</v>
      </c>
      <c r="B8" s="403"/>
      <c r="C8" s="404" t="s">
        <v>16</v>
      </c>
      <c r="D8" s="405">
        <v>41878</v>
      </c>
      <c r="E8" s="406"/>
      <c r="F8" s="325"/>
      <c r="G8" s="324"/>
      <c r="H8" s="324">
        <v>1000</v>
      </c>
      <c r="I8" s="325">
        <v>856</v>
      </c>
      <c r="J8" s="325">
        <v>0</v>
      </c>
      <c r="K8" s="325">
        <f t="shared" ref="K8:K71" si="0">INT(IF($E8&gt;0,IF(+F8-I8+Q8&lt;0,0,+F8-I8+Q8),0))</f>
        <v>0</v>
      </c>
      <c r="L8" s="325">
        <f t="shared" ref="L8:L71" si="1">INT(IF($E8&gt;0,IF(K8=0,-F8+I8-Q8,0),0))</f>
        <v>0</v>
      </c>
      <c r="M8" s="407">
        <v>2.5</v>
      </c>
      <c r="N8" s="408" t="s">
        <v>17</v>
      </c>
      <c r="O8" s="325">
        <f>IF(E8&gt;0,INT(IF($N8="D",IF($D8&lt;$H$3,$I8*($M8/100)*((E8-$H$3)/365),$J8*($M8/100)*($J$3-$D8)/365),0)),0)</f>
        <v>0</v>
      </c>
      <c r="P8" s="325">
        <f>IF(E8&gt;0,INT(IF($N8="P",IF($D8&lt;$H$3,$H8*($M8/100)*(E8-$H$3)/365,$J8*($M8/100)*($J$3-$D8)/365),0)),0)</f>
        <v>0</v>
      </c>
      <c r="Q8" s="325">
        <f>+O8+P8</f>
        <v>0</v>
      </c>
      <c r="R8" s="325">
        <f t="shared" ref="R8:R71" si="2">INT(IF($E8&gt;0,0,(IF($N8="D",IF($D8&lt;$H$3,$I8*($M8/100)*$U$3/12,$J8*($M8/100)*($J$3-$D8)/365),0))))</f>
        <v>0</v>
      </c>
      <c r="S8" s="325">
        <f t="shared" ref="S8:S71" si="3">INT(IF($E8&gt;0,0,(IF($N8="P",IF($D8&lt;$H$3,$H8*($M8/100)*$U$3/12,$J8*($M8/100)*($J$3-$D8)/365),0))))</f>
        <v>12</v>
      </c>
      <c r="T8" s="325">
        <f>+R8+S8+Q8</f>
        <v>12</v>
      </c>
      <c r="U8" s="325">
        <f t="shared" ref="U8:U71" si="4">+I8+J8-T8-F8+K8-L8</f>
        <v>844</v>
      </c>
      <c r="V8" s="325">
        <f>IF(E8&gt;0,+H8+J8,0)</f>
        <v>0</v>
      </c>
      <c r="W8" s="449" cm="1">
        <f t="array" ref="W8">+IF(U8&lt;0,error,0)</f>
        <v>0</v>
      </c>
    </row>
    <row r="9" spans="1:23" ht="18" customHeight="1" x14ac:dyDescent="0.2">
      <c r="A9" s="402" t="s">
        <v>18</v>
      </c>
      <c r="B9" s="403"/>
      <c r="C9" s="410" t="s">
        <v>19</v>
      </c>
      <c r="D9" s="405">
        <v>41831</v>
      </c>
      <c r="E9" s="406"/>
      <c r="F9" s="325"/>
      <c r="G9" s="324"/>
      <c r="H9" s="324">
        <v>2660</v>
      </c>
      <c r="I9" s="325">
        <v>2262</v>
      </c>
      <c r="J9" s="325">
        <v>0</v>
      </c>
      <c r="K9" s="325">
        <f t="shared" si="0"/>
        <v>0</v>
      </c>
      <c r="L9" s="325">
        <f t="shared" si="1"/>
        <v>0</v>
      </c>
      <c r="M9" s="407">
        <v>2.5</v>
      </c>
      <c r="N9" s="408" t="s">
        <v>17</v>
      </c>
      <c r="O9" s="325">
        <f t="shared" ref="O9:O72" si="5">IF(E9&gt;0,INT(IF($N9="D",IF($D9&lt;$H$3,$I9*($M9/100)*((E9-$H$3)/365),$J9*($M9/100)*($J$3-$D9)/365),0)),0)</f>
        <v>0</v>
      </c>
      <c r="P9" s="325">
        <f t="shared" ref="P9:P72" si="6">IF(E9&gt;0,INT(IF($N9="P",IF($D9&lt;$H$3,$H9*($M9/100)*(E9-$H$3)/365,$J9*($M9/100)*($J$3-$D9)/365),0)),0)</f>
        <v>0</v>
      </c>
      <c r="Q9" s="325">
        <f t="shared" ref="Q9:Q72" si="7">+O9+P9</f>
        <v>0</v>
      </c>
      <c r="R9" s="325">
        <f t="shared" si="2"/>
        <v>0</v>
      </c>
      <c r="S9" s="325">
        <f t="shared" si="3"/>
        <v>33</v>
      </c>
      <c r="T9" s="325">
        <f t="shared" ref="T9:T72" si="8">+R9+S9+Q9</f>
        <v>33</v>
      </c>
      <c r="U9" s="325">
        <f t="shared" si="4"/>
        <v>2229</v>
      </c>
      <c r="V9" s="325">
        <f t="shared" ref="V9:V72" si="9">IF(E9&gt;0,+H9+J9,0)</f>
        <v>0</v>
      </c>
      <c r="W9" s="449" cm="1">
        <f t="array" ref="W9">+IF(U9&lt;0,error,0)</f>
        <v>0</v>
      </c>
    </row>
    <row r="10" spans="1:23" ht="18" customHeight="1" x14ac:dyDescent="0.2">
      <c r="A10" s="402" t="s">
        <v>20</v>
      </c>
      <c r="B10" s="403"/>
      <c r="C10" s="410" t="s">
        <v>21</v>
      </c>
      <c r="D10" s="405">
        <v>41850</v>
      </c>
      <c r="E10" s="406"/>
      <c r="F10" s="325"/>
      <c r="G10" s="324"/>
      <c r="H10" s="324">
        <v>2584</v>
      </c>
      <c r="I10" s="325">
        <v>2202</v>
      </c>
      <c r="J10" s="325">
        <v>0</v>
      </c>
      <c r="K10" s="325">
        <f t="shared" si="0"/>
        <v>0</v>
      </c>
      <c r="L10" s="325">
        <f t="shared" si="1"/>
        <v>0</v>
      </c>
      <c r="M10" s="407">
        <v>2.5</v>
      </c>
      <c r="N10" s="408" t="s">
        <v>17</v>
      </c>
      <c r="O10" s="325">
        <f t="shared" si="5"/>
        <v>0</v>
      </c>
      <c r="P10" s="325">
        <f t="shared" si="6"/>
        <v>0</v>
      </c>
      <c r="Q10" s="325">
        <f t="shared" si="7"/>
        <v>0</v>
      </c>
      <c r="R10" s="325">
        <f t="shared" si="2"/>
        <v>0</v>
      </c>
      <c r="S10" s="325">
        <f t="shared" si="3"/>
        <v>32</v>
      </c>
      <c r="T10" s="325">
        <f t="shared" si="8"/>
        <v>32</v>
      </c>
      <c r="U10" s="325">
        <f t="shared" si="4"/>
        <v>2170</v>
      </c>
      <c r="V10" s="325">
        <f t="shared" si="9"/>
        <v>0</v>
      </c>
      <c r="W10" s="449" cm="1">
        <f t="array" ref="W10">+IF(U10&lt;0,error,0)</f>
        <v>0</v>
      </c>
    </row>
    <row r="11" spans="1:23" ht="18" customHeight="1" x14ac:dyDescent="0.2">
      <c r="A11" s="402" t="s">
        <v>22</v>
      </c>
      <c r="B11" s="403"/>
      <c r="C11" s="410" t="s">
        <v>23</v>
      </c>
      <c r="D11" s="405">
        <v>42033</v>
      </c>
      <c r="E11" s="406"/>
      <c r="F11" s="325"/>
      <c r="G11" s="324"/>
      <c r="H11" s="324">
        <v>3332</v>
      </c>
      <c r="I11" s="325">
        <v>2882</v>
      </c>
      <c r="J11" s="325">
        <v>0</v>
      </c>
      <c r="K11" s="325">
        <f t="shared" si="0"/>
        <v>0</v>
      </c>
      <c r="L11" s="325">
        <f t="shared" si="1"/>
        <v>0</v>
      </c>
      <c r="M11" s="407">
        <v>2.5</v>
      </c>
      <c r="N11" s="408" t="s">
        <v>17</v>
      </c>
      <c r="O11" s="325">
        <f t="shared" si="5"/>
        <v>0</v>
      </c>
      <c r="P11" s="325">
        <f t="shared" si="6"/>
        <v>0</v>
      </c>
      <c r="Q11" s="325">
        <f t="shared" si="7"/>
        <v>0</v>
      </c>
      <c r="R11" s="325">
        <f t="shared" si="2"/>
        <v>0</v>
      </c>
      <c r="S11" s="325">
        <f t="shared" si="3"/>
        <v>41</v>
      </c>
      <c r="T11" s="325">
        <f t="shared" si="8"/>
        <v>41</v>
      </c>
      <c r="U11" s="325">
        <f t="shared" si="4"/>
        <v>2841</v>
      </c>
      <c r="V11" s="325">
        <f t="shared" si="9"/>
        <v>0</v>
      </c>
      <c r="W11" s="449" cm="1">
        <f t="array" ref="W11">+IF(U11&lt;0,error,0)</f>
        <v>0</v>
      </c>
    </row>
    <row r="12" spans="1:23" ht="18" customHeight="1" x14ac:dyDescent="0.2">
      <c r="A12" s="402" t="s">
        <v>24</v>
      </c>
      <c r="B12" s="403"/>
      <c r="C12" s="410" t="s">
        <v>25</v>
      </c>
      <c r="D12" s="405">
        <v>42067</v>
      </c>
      <c r="E12" s="406"/>
      <c r="F12" s="325"/>
      <c r="G12" s="324"/>
      <c r="H12" s="324">
        <v>3036</v>
      </c>
      <c r="I12" s="325">
        <v>2633</v>
      </c>
      <c r="J12" s="325">
        <v>0</v>
      </c>
      <c r="K12" s="325">
        <f t="shared" si="0"/>
        <v>0</v>
      </c>
      <c r="L12" s="325">
        <f t="shared" si="1"/>
        <v>0</v>
      </c>
      <c r="M12" s="407">
        <v>2.5</v>
      </c>
      <c r="N12" s="408" t="s">
        <v>17</v>
      </c>
      <c r="O12" s="325">
        <f t="shared" si="5"/>
        <v>0</v>
      </c>
      <c r="P12" s="325">
        <f t="shared" si="6"/>
        <v>0</v>
      </c>
      <c r="Q12" s="325">
        <f t="shared" si="7"/>
        <v>0</v>
      </c>
      <c r="R12" s="325">
        <f t="shared" si="2"/>
        <v>0</v>
      </c>
      <c r="S12" s="325">
        <f t="shared" si="3"/>
        <v>37</v>
      </c>
      <c r="T12" s="325">
        <f t="shared" si="8"/>
        <v>37</v>
      </c>
      <c r="U12" s="325">
        <f t="shared" si="4"/>
        <v>2596</v>
      </c>
      <c r="V12" s="325">
        <f t="shared" si="9"/>
        <v>0</v>
      </c>
      <c r="W12" s="449" cm="1">
        <f t="array" ref="W12">+IF(U12&lt;0,error,0)</f>
        <v>0</v>
      </c>
    </row>
    <row r="13" spans="1:23" ht="18" customHeight="1" x14ac:dyDescent="0.2">
      <c r="A13" s="402" t="s">
        <v>26</v>
      </c>
      <c r="B13" s="403"/>
      <c r="C13" s="411" t="s">
        <v>27</v>
      </c>
      <c r="D13" s="405">
        <v>42475</v>
      </c>
      <c r="E13" s="406"/>
      <c r="F13" s="325"/>
      <c r="G13" s="324"/>
      <c r="H13" s="324">
        <v>67371.570000000007</v>
      </c>
      <c r="I13" s="325">
        <v>60276.57</v>
      </c>
      <c r="J13" s="325">
        <v>0</v>
      </c>
      <c r="K13" s="325">
        <f t="shared" si="0"/>
        <v>0</v>
      </c>
      <c r="L13" s="325">
        <f t="shared" si="1"/>
        <v>0</v>
      </c>
      <c r="M13" s="407">
        <v>2.5</v>
      </c>
      <c r="N13" s="408" t="s">
        <v>17</v>
      </c>
      <c r="O13" s="325">
        <f t="shared" si="5"/>
        <v>0</v>
      </c>
      <c r="P13" s="325">
        <f t="shared" si="6"/>
        <v>0</v>
      </c>
      <c r="Q13" s="325">
        <f t="shared" si="7"/>
        <v>0</v>
      </c>
      <c r="R13" s="325">
        <f t="shared" si="2"/>
        <v>0</v>
      </c>
      <c r="S13" s="325">
        <f t="shared" si="3"/>
        <v>842</v>
      </c>
      <c r="T13" s="325">
        <f t="shared" si="8"/>
        <v>842</v>
      </c>
      <c r="U13" s="325">
        <f t="shared" si="4"/>
        <v>59434.57</v>
      </c>
      <c r="V13" s="325">
        <f t="shared" si="9"/>
        <v>0</v>
      </c>
      <c r="W13" s="449" cm="1">
        <f t="array" ref="W13">+IF(U13&lt;0,error,0)</f>
        <v>0</v>
      </c>
    </row>
    <row r="14" spans="1:23" ht="18" customHeight="1" x14ac:dyDescent="0.2">
      <c r="A14" s="402" t="s">
        <v>28</v>
      </c>
      <c r="B14" s="403"/>
      <c r="C14" s="404" t="s">
        <v>29</v>
      </c>
      <c r="D14" s="405">
        <v>42429</v>
      </c>
      <c r="E14" s="406"/>
      <c r="F14" s="325"/>
      <c r="G14" s="324"/>
      <c r="H14" s="324">
        <v>4933.6400000000003</v>
      </c>
      <c r="I14" s="325">
        <v>4400.6400000000003</v>
      </c>
      <c r="J14" s="325">
        <v>0</v>
      </c>
      <c r="K14" s="325">
        <f t="shared" si="0"/>
        <v>0</v>
      </c>
      <c r="L14" s="325">
        <f t="shared" si="1"/>
        <v>0</v>
      </c>
      <c r="M14" s="407">
        <v>2.5</v>
      </c>
      <c r="N14" s="408" t="s">
        <v>17</v>
      </c>
      <c r="O14" s="325">
        <f t="shared" si="5"/>
        <v>0</v>
      </c>
      <c r="P14" s="325">
        <f t="shared" si="6"/>
        <v>0</v>
      </c>
      <c r="Q14" s="325">
        <f t="shared" si="7"/>
        <v>0</v>
      </c>
      <c r="R14" s="325">
        <f t="shared" si="2"/>
        <v>0</v>
      </c>
      <c r="S14" s="325">
        <f t="shared" si="3"/>
        <v>61</v>
      </c>
      <c r="T14" s="325">
        <f t="shared" si="8"/>
        <v>61</v>
      </c>
      <c r="U14" s="325">
        <f t="shared" si="4"/>
        <v>4339.6400000000003</v>
      </c>
      <c r="V14" s="325">
        <f t="shared" si="9"/>
        <v>0</v>
      </c>
      <c r="W14" s="449" cm="1">
        <f t="array" ref="W14">+IF(U14&lt;0,error,0)</f>
        <v>0</v>
      </c>
    </row>
    <row r="15" spans="1:23" ht="18" customHeight="1" x14ac:dyDescent="0.2">
      <c r="A15" s="402" t="s">
        <v>30</v>
      </c>
      <c r="B15" s="403"/>
      <c r="C15" s="404" t="s">
        <v>31</v>
      </c>
      <c r="D15" s="405">
        <v>42551</v>
      </c>
      <c r="E15" s="406"/>
      <c r="F15" s="325"/>
      <c r="G15" s="324"/>
      <c r="H15" s="324">
        <v>96714.930000000008</v>
      </c>
      <c r="I15" s="325">
        <v>87031.930000000008</v>
      </c>
      <c r="J15" s="325">
        <v>0</v>
      </c>
      <c r="K15" s="325">
        <f t="shared" si="0"/>
        <v>0</v>
      </c>
      <c r="L15" s="325">
        <f t="shared" si="1"/>
        <v>0</v>
      </c>
      <c r="M15" s="407">
        <v>2.5</v>
      </c>
      <c r="N15" s="408" t="s">
        <v>17</v>
      </c>
      <c r="O15" s="325">
        <f t="shared" si="5"/>
        <v>0</v>
      </c>
      <c r="P15" s="325">
        <f t="shared" si="6"/>
        <v>0</v>
      </c>
      <c r="Q15" s="325">
        <f t="shared" si="7"/>
        <v>0</v>
      </c>
      <c r="R15" s="325">
        <f t="shared" si="2"/>
        <v>0</v>
      </c>
      <c r="S15" s="325">
        <f t="shared" si="3"/>
        <v>1208</v>
      </c>
      <c r="T15" s="325">
        <f t="shared" si="8"/>
        <v>1208</v>
      </c>
      <c r="U15" s="325">
        <f t="shared" si="4"/>
        <v>85823.930000000008</v>
      </c>
      <c r="V15" s="325">
        <f t="shared" si="9"/>
        <v>0</v>
      </c>
      <c r="W15" s="449" cm="1">
        <f t="array" ref="W15">+IF(U15&lt;0,error,0)</f>
        <v>0</v>
      </c>
    </row>
    <row r="16" spans="1:23" ht="18" customHeight="1" x14ac:dyDescent="0.2">
      <c r="A16" s="402" t="s">
        <v>32</v>
      </c>
      <c r="B16" s="403"/>
      <c r="C16" s="410" t="s">
        <v>33</v>
      </c>
      <c r="D16" s="405">
        <v>42377</v>
      </c>
      <c r="E16" s="406"/>
      <c r="F16" s="325"/>
      <c r="G16" s="324"/>
      <c r="H16" s="324">
        <v>2975</v>
      </c>
      <c r="I16" s="325">
        <v>2643</v>
      </c>
      <c r="J16" s="325">
        <v>0</v>
      </c>
      <c r="K16" s="325">
        <f t="shared" si="0"/>
        <v>0</v>
      </c>
      <c r="L16" s="325">
        <f t="shared" si="1"/>
        <v>0</v>
      </c>
      <c r="M16" s="407">
        <v>2.5</v>
      </c>
      <c r="N16" s="408" t="s">
        <v>17</v>
      </c>
      <c r="O16" s="325">
        <f t="shared" si="5"/>
        <v>0</v>
      </c>
      <c r="P16" s="325">
        <f t="shared" si="6"/>
        <v>0</v>
      </c>
      <c r="Q16" s="325">
        <f t="shared" si="7"/>
        <v>0</v>
      </c>
      <c r="R16" s="325">
        <f t="shared" si="2"/>
        <v>0</v>
      </c>
      <c r="S16" s="325">
        <f t="shared" si="3"/>
        <v>37</v>
      </c>
      <c r="T16" s="325">
        <f t="shared" si="8"/>
        <v>37</v>
      </c>
      <c r="U16" s="325">
        <f t="shared" si="4"/>
        <v>2606</v>
      </c>
      <c r="V16" s="325">
        <f t="shared" si="9"/>
        <v>0</v>
      </c>
      <c r="W16" s="449" cm="1">
        <f t="array" ref="W16">+IF(U16&lt;0,error,0)</f>
        <v>0</v>
      </c>
    </row>
    <row r="17" spans="1:23" ht="18" customHeight="1" x14ac:dyDescent="0.2">
      <c r="A17" s="402" t="s">
        <v>34</v>
      </c>
      <c r="B17" s="403"/>
      <c r="C17" s="411" t="s">
        <v>35</v>
      </c>
      <c r="D17" s="405">
        <v>42385</v>
      </c>
      <c r="E17" s="406"/>
      <c r="F17" s="325"/>
      <c r="G17" s="324"/>
      <c r="H17" s="324">
        <v>51063.4</v>
      </c>
      <c r="I17" s="325">
        <v>45370.400000000001</v>
      </c>
      <c r="J17" s="325">
        <v>0</v>
      </c>
      <c r="K17" s="325">
        <f t="shared" si="0"/>
        <v>0</v>
      </c>
      <c r="L17" s="325">
        <f t="shared" si="1"/>
        <v>0</v>
      </c>
      <c r="M17" s="407">
        <v>2.5</v>
      </c>
      <c r="N17" s="408" t="s">
        <v>17</v>
      </c>
      <c r="O17" s="325">
        <f t="shared" si="5"/>
        <v>0</v>
      </c>
      <c r="P17" s="325">
        <f t="shared" si="6"/>
        <v>0</v>
      </c>
      <c r="Q17" s="325">
        <f t="shared" si="7"/>
        <v>0</v>
      </c>
      <c r="R17" s="325">
        <f t="shared" si="2"/>
        <v>0</v>
      </c>
      <c r="S17" s="325">
        <f t="shared" si="3"/>
        <v>638</v>
      </c>
      <c r="T17" s="325">
        <f t="shared" si="8"/>
        <v>638</v>
      </c>
      <c r="U17" s="325">
        <f t="shared" si="4"/>
        <v>44732.4</v>
      </c>
      <c r="V17" s="325">
        <f t="shared" si="9"/>
        <v>0</v>
      </c>
      <c r="W17" s="449" cm="1">
        <f t="array" ref="W17">+IF(U17&lt;0,error,0)</f>
        <v>0</v>
      </c>
    </row>
    <row r="18" spans="1:23" ht="18" customHeight="1" x14ac:dyDescent="0.2">
      <c r="A18" s="402" t="s">
        <v>36</v>
      </c>
      <c r="B18" s="403"/>
      <c r="C18" s="410" t="s">
        <v>37</v>
      </c>
      <c r="D18" s="405">
        <v>42428</v>
      </c>
      <c r="E18" s="406"/>
      <c r="F18" s="325"/>
      <c r="G18" s="324"/>
      <c r="H18" s="324">
        <v>25219.350000000002</v>
      </c>
      <c r="I18" s="325">
        <v>22484.350000000002</v>
      </c>
      <c r="J18" s="325">
        <v>0</v>
      </c>
      <c r="K18" s="325">
        <f t="shared" si="0"/>
        <v>0</v>
      </c>
      <c r="L18" s="325">
        <f t="shared" si="1"/>
        <v>0</v>
      </c>
      <c r="M18" s="407">
        <v>2.5</v>
      </c>
      <c r="N18" s="408" t="s">
        <v>17</v>
      </c>
      <c r="O18" s="325">
        <f t="shared" si="5"/>
        <v>0</v>
      </c>
      <c r="P18" s="325">
        <f t="shared" si="6"/>
        <v>0</v>
      </c>
      <c r="Q18" s="325">
        <f t="shared" si="7"/>
        <v>0</v>
      </c>
      <c r="R18" s="325">
        <f t="shared" si="2"/>
        <v>0</v>
      </c>
      <c r="S18" s="325">
        <f t="shared" si="3"/>
        <v>315</v>
      </c>
      <c r="T18" s="325">
        <f t="shared" si="8"/>
        <v>315</v>
      </c>
      <c r="U18" s="325">
        <f t="shared" si="4"/>
        <v>22169.350000000002</v>
      </c>
      <c r="V18" s="325">
        <f t="shared" si="9"/>
        <v>0</v>
      </c>
      <c r="W18" s="449" cm="1">
        <f t="array" ref="W18">+IF(U18&lt;0,error,0)</f>
        <v>0</v>
      </c>
    </row>
    <row r="19" spans="1:23" ht="18" customHeight="1" x14ac:dyDescent="0.2">
      <c r="A19" s="402" t="s">
        <v>38</v>
      </c>
      <c r="B19" s="403"/>
      <c r="C19" s="410" t="s">
        <v>39</v>
      </c>
      <c r="D19" s="405">
        <v>42428</v>
      </c>
      <c r="E19" s="406"/>
      <c r="F19" s="325"/>
      <c r="G19" s="324"/>
      <c r="H19" s="324">
        <v>499182.86</v>
      </c>
      <c r="I19" s="325">
        <v>444994.86</v>
      </c>
      <c r="J19" s="325">
        <v>0</v>
      </c>
      <c r="K19" s="325">
        <f t="shared" si="0"/>
        <v>0</v>
      </c>
      <c r="L19" s="325">
        <f t="shared" si="1"/>
        <v>0</v>
      </c>
      <c r="M19" s="407">
        <v>2.5</v>
      </c>
      <c r="N19" s="408" t="s">
        <v>17</v>
      </c>
      <c r="O19" s="325">
        <f t="shared" si="5"/>
        <v>0</v>
      </c>
      <c r="P19" s="325">
        <f t="shared" si="6"/>
        <v>0</v>
      </c>
      <c r="Q19" s="325">
        <f t="shared" si="7"/>
        <v>0</v>
      </c>
      <c r="R19" s="325">
        <f t="shared" si="2"/>
        <v>0</v>
      </c>
      <c r="S19" s="325">
        <f t="shared" si="3"/>
        <v>6239</v>
      </c>
      <c r="T19" s="325">
        <f t="shared" si="8"/>
        <v>6239</v>
      </c>
      <c r="U19" s="325">
        <f t="shared" si="4"/>
        <v>438755.86</v>
      </c>
      <c r="V19" s="325">
        <f t="shared" si="9"/>
        <v>0</v>
      </c>
      <c r="W19" s="449" cm="1">
        <f t="array" ref="W19">+IF(U19&lt;0,error,0)</f>
        <v>0</v>
      </c>
    </row>
    <row r="20" spans="1:23" ht="18" customHeight="1" x14ac:dyDescent="0.2">
      <c r="A20" s="402" t="s">
        <v>40</v>
      </c>
      <c r="B20" s="403"/>
      <c r="C20" s="412" t="s">
        <v>41</v>
      </c>
      <c r="D20" s="405">
        <v>42274</v>
      </c>
      <c r="E20" s="406"/>
      <c r="F20" s="325"/>
      <c r="G20" s="324"/>
      <c r="H20" s="324">
        <v>76772.05</v>
      </c>
      <c r="I20" s="325">
        <v>67630.05</v>
      </c>
      <c r="J20" s="325">
        <v>0</v>
      </c>
      <c r="K20" s="325">
        <f t="shared" si="0"/>
        <v>0</v>
      </c>
      <c r="L20" s="325">
        <f t="shared" si="1"/>
        <v>0</v>
      </c>
      <c r="M20" s="407">
        <v>2.5</v>
      </c>
      <c r="N20" s="408" t="s">
        <v>17</v>
      </c>
      <c r="O20" s="325">
        <f t="shared" si="5"/>
        <v>0</v>
      </c>
      <c r="P20" s="325">
        <f t="shared" si="6"/>
        <v>0</v>
      </c>
      <c r="Q20" s="325">
        <f t="shared" si="7"/>
        <v>0</v>
      </c>
      <c r="R20" s="325">
        <f t="shared" si="2"/>
        <v>0</v>
      </c>
      <c r="S20" s="325">
        <f t="shared" si="3"/>
        <v>959</v>
      </c>
      <c r="T20" s="325">
        <f t="shared" si="8"/>
        <v>959</v>
      </c>
      <c r="U20" s="325">
        <f t="shared" si="4"/>
        <v>66671.05</v>
      </c>
      <c r="V20" s="325">
        <f t="shared" si="9"/>
        <v>0</v>
      </c>
      <c r="W20" s="449" cm="1">
        <f t="array" ref="W20">+IF(U20&lt;0,error,0)</f>
        <v>0</v>
      </c>
    </row>
    <row r="21" spans="1:23" ht="18" customHeight="1" x14ac:dyDescent="0.2">
      <c r="A21" s="402" t="s">
        <v>42</v>
      </c>
      <c r="B21" s="403"/>
      <c r="C21" s="411" t="s">
        <v>43</v>
      </c>
      <c r="D21" s="405">
        <v>42415</v>
      </c>
      <c r="E21" s="406"/>
      <c r="F21" s="325"/>
      <c r="G21" s="324"/>
      <c r="H21" s="324">
        <v>3300</v>
      </c>
      <c r="I21" s="325">
        <v>2938</v>
      </c>
      <c r="J21" s="325">
        <v>0</v>
      </c>
      <c r="K21" s="325">
        <f t="shared" si="0"/>
        <v>0</v>
      </c>
      <c r="L21" s="325">
        <f t="shared" si="1"/>
        <v>0</v>
      </c>
      <c r="M21" s="407">
        <v>2.5</v>
      </c>
      <c r="N21" s="408" t="s">
        <v>17</v>
      </c>
      <c r="O21" s="325">
        <f t="shared" si="5"/>
        <v>0</v>
      </c>
      <c r="P21" s="325">
        <f t="shared" si="6"/>
        <v>0</v>
      </c>
      <c r="Q21" s="325">
        <f t="shared" si="7"/>
        <v>0</v>
      </c>
      <c r="R21" s="325">
        <f t="shared" si="2"/>
        <v>0</v>
      </c>
      <c r="S21" s="325">
        <f t="shared" si="3"/>
        <v>41</v>
      </c>
      <c r="T21" s="325">
        <f t="shared" si="8"/>
        <v>41</v>
      </c>
      <c r="U21" s="325">
        <f t="shared" si="4"/>
        <v>2897</v>
      </c>
      <c r="V21" s="325">
        <f t="shared" si="9"/>
        <v>0</v>
      </c>
      <c r="W21" s="449" cm="1">
        <f t="array" ref="W21">+IF(U21&lt;0,error,0)</f>
        <v>0</v>
      </c>
    </row>
    <row r="22" spans="1:23" ht="18" customHeight="1" x14ac:dyDescent="0.2">
      <c r="A22" s="402" t="s">
        <v>44</v>
      </c>
      <c r="B22" s="403"/>
      <c r="C22" s="412" t="s">
        <v>45</v>
      </c>
      <c r="D22" s="405">
        <v>42319</v>
      </c>
      <c r="E22" s="406"/>
      <c r="F22" s="325"/>
      <c r="G22" s="324"/>
      <c r="H22" s="324">
        <v>80345.240000000005</v>
      </c>
      <c r="I22" s="325">
        <v>71024.240000000005</v>
      </c>
      <c r="J22" s="325">
        <v>0</v>
      </c>
      <c r="K22" s="325">
        <f t="shared" si="0"/>
        <v>0</v>
      </c>
      <c r="L22" s="325">
        <f t="shared" si="1"/>
        <v>0</v>
      </c>
      <c r="M22" s="407">
        <v>2.5</v>
      </c>
      <c r="N22" s="408" t="s">
        <v>17</v>
      </c>
      <c r="O22" s="325">
        <f t="shared" si="5"/>
        <v>0</v>
      </c>
      <c r="P22" s="325">
        <f t="shared" si="6"/>
        <v>0</v>
      </c>
      <c r="Q22" s="325">
        <f t="shared" si="7"/>
        <v>0</v>
      </c>
      <c r="R22" s="325">
        <f t="shared" si="2"/>
        <v>0</v>
      </c>
      <c r="S22" s="325">
        <f t="shared" si="3"/>
        <v>1004</v>
      </c>
      <c r="T22" s="325">
        <f t="shared" si="8"/>
        <v>1004</v>
      </c>
      <c r="U22" s="325">
        <f t="shared" si="4"/>
        <v>70020.240000000005</v>
      </c>
      <c r="V22" s="325">
        <f t="shared" si="9"/>
        <v>0</v>
      </c>
      <c r="W22" s="449" cm="1">
        <f t="array" ref="W22">+IF(U22&lt;0,error,0)</f>
        <v>0</v>
      </c>
    </row>
    <row r="23" spans="1:23" ht="18" customHeight="1" x14ac:dyDescent="0.2">
      <c r="A23" s="402" t="s">
        <v>46</v>
      </c>
      <c r="B23" s="403"/>
      <c r="C23" s="411" t="s">
        <v>47</v>
      </c>
      <c r="D23" s="405">
        <v>42556</v>
      </c>
      <c r="E23" s="406"/>
      <c r="F23" s="325"/>
      <c r="G23" s="324"/>
      <c r="H23" s="324">
        <v>876.25</v>
      </c>
      <c r="I23" s="325">
        <v>791.25</v>
      </c>
      <c r="J23" s="325">
        <v>0</v>
      </c>
      <c r="K23" s="325">
        <f t="shared" si="0"/>
        <v>0</v>
      </c>
      <c r="L23" s="325">
        <f t="shared" si="1"/>
        <v>0</v>
      </c>
      <c r="M23" s="407">
        <v>2.5</v>
      </c>
      <c r="N23" s="408" t="s">
        <v>17</v>
      </c>
      <c r="O23" s="325">
        <f t="shared" si="5"/>
        <v>0</v>
      </c>
      <c r="P23" s="325">
        <f t="shared" si="6"/>
        <v>0</v>
      </c>
      <c r="Q23" s="325">
        <f t="shared" si="7"/>
        <v>0</v>
      </c>
      <c r="R23" s="325">
        <f t="shared" si="2"/>
        <v>0</v>
      </c>
      <c r="S23" s="325">
        <f t="shared" si="3"/>
        <v>10</v>
      </c>
      <c r="T23" s="325">
        <f t="shared" si="8"/>
        <v>10</v>
      </c>
      <c r="U23" s="325">
        <f t="shared" si="4"/>
        <v>781.25</v>
      </c>
      <c r="V23" s="325">
        <f t="shared" si="9"/>
        <v>0</v>
      </c>
      <c r="W23" s="449" cm="1">
        <f t="array" ref="W23">+IF(U23&lt;0,error,0)</f>
        <v>0</v>
      </c>
    </row>
    <row r="24" spans="1:23" ht="18" customHeight="1" x14ac:dyDescent="0.2">
      <c r="A24" s="402" t="s">
        <v>48</v>
      </c>
      <c r="B24" s="403"/>
      <c r="C24" s="404" t="s">
        <v>49</v>
      </c>
      <c r="D24" s="405">
        <v>42704</v>
      </c>
      <c r="E24" s="406"/>
      <c r="F24" s="325"/>
      <c r="G24" s="324"/>
      <c r="H24" s="324">
        <v>1950</v>
      </c>
      <c r="I24" s="325">
        <v>1777</v>
      </c>
      <c r="J24" s="325">
        <v>0</v>
      </c>
      <c r="K24" s="325">
        <f t="shared" si="0"/>
        <v>0</v>
      </c>
      <c r="L24" s="325">
        <f t="shared" si="1"/>
        <v>0</v>
      </c>
      <c r="M24" s="407">
        <v>2.5</v>
      </c>
      <c r="N24" s="408" t="s">
        <v>17</v>
      </c>
      <c r="O24" s="325">
        <f t="shared" si="5"/>
        <v>0</v>
      </c>
      <c r="P24" s="325">
        <f t="shared" si="6"/>
        <v>0</v>
      </c>
      <c r="Q24" s="325">
        <f t="shared" si="7"/>
        <v>0</v>
      </c>
      <c r="R24" s="325">
        <f t="shared" si="2"/>
        <v>0</v>
      </c>
      <c r="S24" s="325">
        <f t="shared" si="3"/>
        <v>24</v>
      </c>
      <c r="T24" s="325">
        <f t="shared" si="8"/>
        <v>24</v>
      </c>
      <c r="U24" s="325">
        <f t="shared" si="4"/>
        <v>1753</v>
      </c>
      <c r="V24" s="325">
        <f t="shared" si="9"/>
        <v>0</v>
      </c>
      <c r="W24" s="449" cm="1">
        <f t="array" ref="W24">+IF(U24&lt;0,error,0)</f>
        <v>0</v>
      </c>
    </row>
    <row r="25" spans="1:23" ht="18" customHeight="1" x14ac:dyDescent="0.2">
      <c r="A25" s="402" t="s">
        <v>50</v>
      </c>
      <c r="B25" s="403"/>
      <c r="C25" s="404" t="s">
        <v>51</v>
      </c>
      <c r="D25" s="405">
        <v>42821</v>
      </c>
      <c r="E25" s="406"/>
      <c r="F25" s="325"/>
      <c r="G25" s="324"/>
      <c r="H25" s="324">
        <v>62109</v>
      </c>
      <c r="I25" s="325">
        <v>57040</v>
      </c>
      <c r="J25" s="325">
        <v>0</v>
      </c>
      <c r="K25" s="325">
        <f t="shared" si="0"/>
        <v>0</v>
      </c>
      <c r="L25" s="325">
        <f t="shared" si="1"/>
        <v>0</v>
      </c>
      <c r="M25" s="407">
        <v>2.5</v>
      </c>
      <c r="N25" s="408" t="s">
        <v>17</v>
      </c>
      <c r="O25" s="325">
        <f t="shared" si="5"/>
        <v>0</v>
      </c>
      <c r="P25" s="325">
        <f t="shared" si="6"/>
        <v>0</v>
      </c>
      <c r="Q25" s="325">
        <f t="shared" si="7"/>
        <v>0</v>
      </c>
      <c r="R25" s="325">
        <f t="shared" si="2"/>
        <v>0</v>
      </c>
      <c r="S25" s="325">
        <f t="shared" si="3"/>
        <v>776</v>
      </c>
      <c r="T25" s="325">
        <f t="shared" si="8"/>
        <v>776</v>
      </c>
      <c r="U25" s="325">
        <f t="shared" si="4"/>
        <v>56264</v>
      </c>
      <c r="V25" s="325">
        <f t="shared" si="9"/>
        <v>0</v>
      </c>
      <c r="W25" s="449" cm="1">
        <f t="array" ref="W25">+IF(U25&lt;0,error,0)</f>
        <v>0</v>
      </c>
    </row>
    <row r="26" spans="1:23" ht="18" customHeight="1" x14ac:dyDescent="0.2">
      <c r="A26" s="402" t="s">
        <v>52</v>
      </c>
      <c r="B26" s="403"/>
      <c r="C26" s="404" t="s">
        <v>53</v>
      </c>
      <c r="D26" s="405">
        <v>42916</v>
      </c>
      <c r="E26" s="406"/>
      <c r="F26" s="325"/>
      <c r="G26" s="324"/>
      <c r="H26" s="324">
        <v>69675.72</v>
      </c>
      <c r="I26" s="325">
        <v>64442.720000000001</v>
      </c>
      <c r="J26" s="325">
        <v>0</v>
      </c>
      <c r="K26" s="325">
        <f t="shared" si="0"/>
        <v>0</v>
      </c>
      <c r="L26" s="325">
        <f t="shared" si="1"/>
        <v>0</v>
      </c>
      <c r="M26" s="407">
        <v>2.5</v>
      </c>
      <c r="N26" s="408" t="s">
        <v>17</v>
      </c>
      <c r="O26" s="325">
        <f t="shared" si="5"/>
        <v>0</v>
      </c>
      <c r="P26" s="325">
        <f t="shared" si="6"/>
        <v>0</v>
      </c>
      <c r="Q26" s="325">
        <f t="shared" si="7"/>
        <v>0</v>
      </c>
      <c r="R26" s="325">
        <f t="shared" si="2"/>
        <v>0</v>
      </c>
      <c r="S26" s="325">
        <f t="shared" si="3"/>
        <v>870</v>
      </c>
      <c r="T26" s="325">
        <f t="shared" si="8"/>
        <v>870</v>
      </c>
      <c r="U26" s="325">
        <f t="shared" si="4"/>
        <v>63572.72</v>
      </c>
      <c r="V26" s="325">
        <f t="shared" si="9"/>
        <v>0</v>
      </c>
      <c r="W26" s="449" cm="1">
        <f t="array" ref="W26">+IF(U26&lt;0,error,0)</f>
        <v>0</v>
      </c>
    </row>
    <row r="27" spans="1:23" ht="18" customHeight="1" x14ac:dyDescent="0.2">
      <c r="A27" s="402" t="s">
        <v>54</v>
      </c>
      <c r="B27" s="403"/>
      <c r="C27" s="404" t="s">
        <v>55</v>
      </c>
      <c r="D27" s="405">
        <v>42664</v>
      </c>
      <c r="E27" s="406"/>
      <c r="F27" s="325"/>
      <c r="G27" s="324"/>
      <c r="H27" s="324">
        <v>28247.11</v>
      </c>
      <c r="I27" s="325">
        <v>25639.11</v>
      </c>
      <c r="J27" s="325">
        <v>0</v>
      </c>
      <c r="K27" s="325">
        <f t="shared" si="0"/>
        <v>0</v>
      </c>
      <c r="L27" s="325">
        <f t="shared" si="1"/>
        <v>0</v>
      </c>
      <c r="M27" s="407">
        <v>2.5</v>
      </c>
      <c r="N27" s="408" t="s">
        <v>17</v>
      </c>
      <c r="O27" s="325">
        <f t="shared" si="5"/>
        <v>0</v>
      </c>
      <c r="P27" s="325">
        <f t="shared" si="6"/>
        <v>0</v>
      </c>
      <c r="Q27" s="325">
        <f t="shared" si="7"/>
        <v>0</v>
      </c>
      <c r="R27" s="325">
        <f t="shared" si="2"/>
        <v>0</v>
      </c>
      <c r="S27" s="325">
        <f t="shared" si="3"/>
        <v>353</v>
      </c>
      <c r="T27" s="325">
        <f t="shared" si="8"/>
        <v>353</v>
      </c>
      <c r="U27" s="325">
        <f t="shared" si="4"/>
        <v>25286.11</v>
      </c>
      <c r="V27" s="325">
        <f t="shared" si="9"/>
        <v>0</v>
      </c>
      <c r="W27" s="449" cm="1">
        <f t="array" ref="W27">+IF(U27&lt;0,error,0)</f>
        <v>0</v>
      </c>
    </row>
    <row r="28" spans="1:23" ht="18" customHeight="1" x14ac:dyDescent="0.2">
      <c r="A28" s="402" t="s">
        <v>56</v>
      </c>
      <c r="B28" s="403"/>
      <c r="C28" s="404" t="s">
        <v>57</v>
      </c>
      <c r="D28" s="405">
        <v>42916</v>
      </c>
      <c r="E28" s="406"/>
      <c r="F28" s="325"/>
      <c r="G28" s="324"/>
      <c r="H28" s="324">
        <v>37437.360000000001</v>
      </c>
      <c r="I28" s="325">
        <v>34627.360000000001</v>
      </c>
      <c r="J28" s="325">
        <v>0</v>
      </c>
      <c r="K28" s="325">
        <f t="shared" si="0"/>
        <v>0</v>
      </c>
      <c r="L28" s="325">
        <f t="shared" si="1"/>
        <v>0</v>
      </c>
      <c r="M28" s="407">
        <v>2.5</v>
      </c>
      <c r="N28" s="408" t="s">
        <v>17</v>
      </c>
      <c r="O28" s="325">
        <f t="shared" si="5"/>
        <v>0</v>
      </c>
      <c r="P28" s="325">
        <f t="shared" si="6"/>
        <v>0</v>
      </c>
      <c r="Q28" s="325">
        <f t="shared" si="7"/>
        <v>0</v>
      </c>
      <c r="R28" s="325">
        <f t="shared" si="2"/>
        <v>0</v>
      </c>
      <c r="S28" s="325">
        <f t="shared" si="3"/>
        <v>467</v>
      </c>
      <c r="T28" s="325">
        <f t="shared" si="8"/>
        <v>467</v>
      </c>
      <c r="U28" s="325">
        <f t="shared" si="4"/>
        <v>34160.36</v>
      </c>
      <c r="V28" s="325">
        <f t="shared" si="9"/>
        <v>0</v>
      </c>
      <c r="W28" s="449" cm="1">
        <f t="array" ref="W28">+IF(U28&lt;0,error,0)</f>
        <v>0</v>
      </c>
    </row>
    <row r="29" spans="1:23" ht="18" customHeight="1" x14ac:dyDescent="0.2">
      <c r="A29" s="402" t="s">
        <v>58</v>
      </c>
      <c r="B29" s="403"/>
      <c r="C29" s="404" t="s">
        <v>59</v>
      </c>
      <c r="D29" s="405">
        <v>42759</v>
      </c>
      <c r="E29" s="406"/>
      <c r="F29" s="325"/>
      <c r="G29" s="324"/>
      <c r="H29" s="324">
        <v>1391</v>
      </c>
      <c r="I29" s="325">
        <v>1272</v>
      </c>
      <c r="J29" s="325">
        <v>0</v>
      </c>
      <c r="K29" s="325">
        <f t="shared" si="0"/>
        <v>0</v>
      </c>
      <c r="L29" s="325">
        <f t="shared" si="1"/>
        <v>0</v>
      </c>
      <c r="M29" s="407">
        <v>2.5</v>
      </c>
      <c r="N29" s="408" t="s">
        <v>17</v>
      </c>
      <c r="O29" s="325">
        <f t="shared" si="5"/>
        <v>0</v>
      </c>
      <c r="P29" s="325">
        <f t="shared" si="6"/>
        <v>0</v>
      </c>
      <c r="Q29" s="325">
        <f t="shared" si="7"/>
        <v>0</v>
      </c>
      <c r="R29" s="325">
        <f t="shared" si="2"/>
        <v>0</v>
      </c>
      <c r="S29" s="325">
        <f t="shared" si="3"/>
        <v>17</v>
      </c>
      <c r="T29" s="325">
        <f t="shared" si="8"/>
        <v>17</v>
      </c>
      <c r="U29" s="325">
        <f t="shared" si="4"/>
        <v>1255</v>
      </c>
      <c r="V29" s="325">
        <f t="shared" si="9"/>
        <v>0</v>
      </c>
      <c r="W29" s="449" cm="1">
        <f t="array" ref="W29">+IF(U29&lt;0,error,0)</f>
        <v>0</v>
      </c>
    </row>
    <row r="30" spans="1:23" ht="18" customHeight="1" x14ac:dyDescent="0.2">
      <c r="A30" s="402" t="s">
        <v>60</v>
      </c>
      <c r="B30" s="403"/>
      <c r="C30" s="404" t="s">
        <v>61</v>
      </c>
      <c r="D30" s="405">
        <v>42916</v>
      </c>
      <c r="E30" s="406"/>
      <c r="F30" s="325"/>
      <c r="G30" s="324"/>
      <c r="H30" s="324">
        <v>4441.5</v>
      </c>
      <c r="I30" s="325">
        <v>4108.5</v>
      </c>
      <c r="J30" s="325">
        <v>0</v>
      </c>
      <c r="K30" s="325">
        <f t="shared" si="0"/>
        <v>0</v>
      </c>
      <c r="L30" s="325">
        <f t="shared" si="1"/>
        <v>0</v>
      </c>
      <c r="M30" s="407">
        <v>2.5</v>
      </c>
      <c r="N30" s="408" t="s">
        <v>17</v>
      </c>
      <c r="O30" s="325">
        <f t="shared" si="5"/>
        <v>0</v>
      </c>
      <c r="P30" s="325">
        <f t="shared" si="6"/>
        <v>0</v>
      </c>
      <c r="Q30" s="325">
        <f t="shared" si="7"/>
        <v>0</v>
      </c>
      <c r="R30" s="325">
        <f t="shared" si="2"/>
        <v>0</v>
      </c>
      <c r="S30" s="325">
        <f t="shared" si="3"/>
        <v>55</v>
      </c>
      <c r="T30" s="325">
        <f t="shared" si="8"/>
        <v>55</v>
      </c>
      <c r="U30" s="325">
        <f t="shared" si="4"/>
        <v>4053.5</v>
      </c>
      <c r="V30" s="325">
        <f t="shared" si="9"/>
        <v>0</v>
      </c>
      <c r="W30" s="449" cm="1">
        <f t="array" ref="W30">+IF(U30&lt;0,error,0)</f>
        <v>0</v>
      </c>
    </row>
    <row r="31" spans="1:23" ht="18" customHeight="1" x14ac:dyDescent="0.2">
      <c r="A31" s="402" t="s">
        <v>62</v>
      </c>
      <c r="B31" s="403"/>
      <c r="C31" s="412" t="s">
        <v>63</v>
      </c>
      <c r="D31" s="405">
        <v>42552</v>
      </c>
      <c r="E31" s="406"/>
      <c r="F31" s="325"/>
      <c r="G31" s="324"/>
      <c r="H31" s="324">
        <v>1728.33</v>
      </c>
      <c r="I31" s="325">
        <v>1557.33</v>
      </c>
      <c r="J31" s="325">
        <v>0</v>
      </c>
      <c r="K31" s="325">
        <f t="shared" si="0"/>
        <v>0</v>
      </c>
      <c r="L31" s="325">
        <f t="shared" si="1"/>
        <v>0</v>
      </c>
      <c r="M31" s="407">
        <v>2.5</v>
      </c>
      <c r="N31" s="408" t="s">
        <v>17</v>
      </c>
      <c r="O31" s="325">
        <f t="shared" si="5"/>
        <v>0</v>
      </c>
      <c r="P31" s="325">
        <f t="shared" si="6"/>
        <v>0</v>
      </c>
      <c r="Q31" s="325">
        <f t="shared" si="7"/>
        <v>0</v>
      </c>
      <c r="R31" s="325">
        <f t="shared" si="2"/>
        <v>0</v>
      </c>
      <c r="S31" s="325">
        <f t="shared" si="3"/>
        <v>21</v>
      </c>
      <c r="T31" s="325">
        <f t="shared" si="8"/>
        <v>21</v>
      </c>
      <c r="U31" s="325">
        <f t="shared" si="4"/>
        <v>1536.33</v>
      </c>
      <c r="V31" s="325">
        <f t="shared" si="9"/>
        <v>0</v>
      </c>
      <c r="W31" s="449" cm="1">
        <f t="array" ref="W31">+IF(U31&lt;0,error,0)</f>
        <v>0</v>
      </c>
    </row>
    <row r="32" spans="1:23" ht="18" customHeight="1" x14ac:dyDescent="0.2">
      <c r="A32" s="402" t="s">
        <v>64</v>
      </c>
      <c r="B32" s="403"/>
      <c r="C32" s="411" t="s">
        <v>65</v>
      </c>
      <c r="D32" s="405">
        <v>42552</v>
      </c>
      <c r="E32" s="406"/>
      <c r="F32" s="325"/>
      <c r="G32" s="324"/>
      <c r="H32" s="324">
        <v>1939.3700000000001</v>
      </c>
      <c r="I32" s="325">
        <v>1747.3700000000001</v>
      </c>
      <c r="J32" s="325">
        <v>0</v>
      </c>
      <c r="K32" s="325">
        <f t="shared" si="0"/>
        <v>0</v>
      </c>
      <c r="L32" s="325">
        <f t="shared" si="1"/>
        <v>0</v>
      </c>
      <c r="M32" s="407">
        <v>2.5</v>
      </c>
      <c r="N32" s="408" t="s">
        <v>17</v>
      </c>
      <c r="O32" s="325">
        <f t="shared" si="5"/>
        <v>0</v>
      </c>
      <c r="P32" s="325">
        <f t="shared" si="6"/>
        <v>0</v>
      </c>
      <c r="Q32" s="325">
        <f t="shared" si="7"/>
        <v>0</v>
      </c>
      <c r="R32" s="325">
        <f t="shared" si="2"/>
        <v>0</v>
      </c>
      <c r="S32" s="325">
        <f t="shared" si="3"/>
        <v>24</v>
      </c>
      <c r="T32" s="325">
        <f t="shared" si="8"/>
        <v>24</v>
      </c>
      <c r="U32" s="325">
        <f t="shared" si="4"/>
        <v>1723.3700000000001</v>
      </c>
      <c r="V32" s="325">
        <f t="shared" si="9"/>
        <v>0</v>
      </c>
      <c r="W32" s="449" cm="1">
        <f t="array" ref="W32">+IF(U32&lt;0,error,0)</f>
        <v>0</v>
      </c>
    </row>
    <row r="33" spans="1:23" ht="18" customHeight="1" x14ac:dyDescent="0.2">
      <c r="A33" s="402" t="s">
        <v>66</v>
      </c>
      <c r="B33" s="403"/>
      <c r="C33" s="412" t="s">
        <v>67</v>
      </c>
      <c r="D33" s="405">
        <v>42552</v>
      </c>
      <c r="E33" s="406"/>
      <c r="F33" s="325"/>
      <c r="G33" s="324"/>
      <c r="H33" s="324">
        <v>4654.43</v>
      </c>
      <c r="I33" s="325">
        <v>4190.43</v>
      </c>
      <c r="J33" s="325">
        <v>0</v>
      </c>
      <c r="K33" s="325">
        <f t="shared" si="0"/>
        <v>0</v>
      </c>
      <c r="L33" s="325">
        <f t="shared" si="1"/>
        <v>0</v>
      </c>
      <c r="M33" s="407">
        <v>2.5</v>
      </c>
      <c r="N33" s="408" t="s">
        <v>17</v>
      </c>
      <c r="O33" s="325">
        <f t="shared" si="5"/>
        <v>0</v>
      </c>
      <c r="P33" s="325">
        <f t="shared" si="6"/>
        <v>0</v>
      </c>
      <c r="Q33" s="325">
        <f t="shared" si="7"/>
        <v>0</v>
      </c>
      <c r="R33" s="325">
        <f t="shared" si="2"/>
        <v>0</v>
      </c>
      <c r="S33" s="325">
        <f t="shared" si="3"/>
        <v>58</v>
      </c>
      <c r="T33" s="325">
        <f t="shared" si="8"/>
        <v>58</v>
      </c>
      <c r="U33" s="325">
        <f t="shared" si="4"/>
        <v>4132.43</v>
      </c>
      <c r="V33" s="325">
        <f t="shared" si="9"/>
        <v>0</v>
      </c>
      <c r="W33" s="449" cm="1">
        <f t="array" ref="W33">+IF(U33&lt;0,error,0)</f>
        <v>0</v>
      </c>
    </row>
    <row r="34" spans="1:23" ht="18" customHeight="1" x14ac:dyDescent="0.2">
      <c r="A34" s="402" t="s">
        <v>68</v>
      </c>
      <c r="B34" s="403"/>
      <c r="C34" s="412" t="s">
        <v>69</v>
      </c>
      <c r="D34" s="405">
        <v>42552</v>
      </c>
      <c r="E34" s="406"/>
      <c r="F34" s="325"/>
      <c r="G34" s="324"/>
      <c r="H34" s="324">
        <v>8058.1</v>
      </c>
      <c r="I34" s="325">
        <v>7255.1</v>
      </c>
      <c r="J34" s="325">
        <v>0</v>
      </c>
      <c r="K34" s="325">
        <f t="shared" si="0"/>
        <v>0</v>
      </c>
      <c r="L34" s="325">
        <f t="shared" si="1"/>
        <v>0</v>
      </c>
      <c r="M34" s="407">
        <v>2.5</v>
      </c>
      <c r="N34" s="408" t="s">
        <v>17</v>
      </c>
      <c r="O34" s="325">
        <f t="shared" si="5"/>
        <v>0</v>
      </c>
      <c r="P34" s="325">
        <f t="shared" si="6"/>
        <v>0</v>
      </c>
      <c r="Q34" s="325">
        <f t="shared" si="7"/>
        <v>0</v>
      </c>
      <c r="R34" s="325">
        <f t="shared" si="2"/>
        <v>0</v>
      </c>
      <c r="S34" s="325">
        <f t="shared" si="3"/>
        <v>100</v>
      </c>
      <c r="T34" s="325">
        <f t="shared" si="8"/>
        <v>100</v>
      </c>
      <c r="U34" s="325">
        <f t="shared" si="4"/>
        <v>7155.1</v>
      </c>
      <c r="V34" s="325">
        <f t="shared" si="9"/>
        <v>0</v>
      </c>
      <c r="W34" s="449" cm="1">
        <f t="array" ref="W34">+IF(U34&lt;0,error,0)</f>
        <v>0</v>
      </c>
    </row>
    <row r="35" spans="1:23" ht="18" customHeight="1" x14ac:dyDescent="0.2">
      <c r="A35" s="402" t="s">
        <v>70</v>
      </c>
      <c r="B35" s="403"/>
      <c r="C35" s="411" t="s">
        <v>71</v>
      </c>
      <c r="D35" s="405">
        <v>42821</v>
      </c>
      <c r="E35" s="406"/>
      <c r="F35" s="325"/>
      <c r="G35" s="324"/>
      <c r="H35" s="324">
        <v>17489.650000000001</v>
      </c>
      <c r="I35" s="325">
        <v>16063.650000000001</v>
      </c>
      <c r="J35" s="325">
        <v>0</v>
      </c>
      <c r="K35" s="325">
        <f t="shared" si="0"/>
        <v>0</v>
      </c>
      <c r="L35" s="325">
        <f t="shared" si="1"/>
        <v>0</v>
      </c>
      <c r="M35" s="407">
        <v>2.5</v>
      </c>
      <c r="N35" s="408" t="s">
        <v>17</v>
      </c>
      <c r="O35" s="325">
        <f t="shared" si="5"/>
        <v>0</v>
      </c>
      <c r="P35" s="325">
        <f t="shared" si="6"/>
        <v>0</v>
      </c>
      <c r="Q35" s="325">
        <f t="shared" si="7"/>
        <v>0</v>
      </c>
      <c r="R35" s="325">
        <f t="shared" si="2"/>
        <v>0</v>
      </c>
      <c r="S35" s="325">
        <f t="shared" si="3"/>
        <v>218</v>
      </c>
      <c r="T35" s="325">
        <f t="shared" si="8"/>
        <v>218</v>
      </c>
      <c r="U35" s="325">
        <f t="shared" si="4"/>
        <v>15845.650000000001</v>
      </c>
      <c r="V35" s="325">
        <f t="shared" si="9"/>
        <v>0</v>
      </c>
      <c r="W35" s="449" cm="1">
        <f t="array" ref="W35">+IF(U35&lt;0,error,0)</f>
        <v>0</v>
      </c>
    </row>
    <row r="36" spans="1:23" ht="18" customHeight="1" x14ac:dyDescent="0.2">
      <c r="A36" s="402" t="s">
        <v>72</v>
      </c>
      <c r="B36" s="403"/>
      <c r="C36" s="412" t="s">
        <v>73</v>
      </c>
      <c r="D36" s="405">
        <v>42821</v>
      </c>
      <c r="E36" s="406"/>
      <c r="F36" s="325"/>
      <c r="G36" s="324"/>
      <c r="H36" s="324">
        <v>5347.05</v>
      </c>
      <c r="I36" s="325">
        <v>4913.05</v>
      </c>
      <c r="J36" s="325">
        <v>0</v>
      </c>
      <c r="K36" s="325">
        <f t="shared" si="0"/>
        <v>0</v>
      </c>
      <c r="L36" s="325">
        <f t="shared" si="1"/>
        <v>0</v>
      </c>
      <c r="M36" s="407">
        <v>2.5</v>
      </c>
      <c r="N36" s="408" t="s">
        <v>17</v>
      </c>
      <c r="O36" s="325">
        <f t="shared" si="5"/>
        <v>0</v>
      </c>
      <c r="P36" s="325">
        <f t="shared" si="6"/>
        <v>0</v>
      </c>
      <c r="Q36" s="325">
        <f t="shared" si="7"/>
        <v>0</v>
      </c>
      <c r="R36" s="325">
        <f t="shared" si="2"/>
        <v>0</v>
      </c>
      <c r="S36" s="325">
        <f t="shared" si="3"/>
        <v>66</v>
      </c>
      <c r="T36" s="325">
        <f t="shared" si="8"/>
        <v>66</v>
      </c>
      <c r="U36" s="325">
        <f t="shared" si="4"/>
        <v>4847.05</v>
      </c>
      <c r="V36" s="325">
        <f t="shared" si="9"/>
        <v>0</v>
      </c>
      <c r="W36" s="449" cm="1">
        <f t="array" ref="W36">+IF(U36&lt;0,error,0)</f>
        <v>0</v>
      </c>
    </row>
    <row r="37" spans="1:23" ht="18" customHeight="1" x14ac:dyDescent="0.2">
      <c r="A37" s="402" t="s">
        <v>74</v>
      </c>
      <c r="B37" s="403"/>
      <c r="C37" s="412" t="s">
        <v>75</v>
      </c>
      <c r="D37" s="405">
        <v>42822</v>
      </c>
      <c r="E37" s="406"/>
      <c r="F37" s="325"/>
      <c r="G37" s="324"/>
      <c r="H37" s="324">
        <v>2312.66</v>
      </c>
      <c r="I37" s="325">
        <v>2126.66</v>
      </c>
      <c r="J37" s="325">
        <v>0</v>
      </c>
      <c r="K37" s="325">
        <f t="shared" si="0"/>
        <v>0</v>
      </c>
      <c r="L37" s="325">
        <f t="shared" si="1"/>
        <v>0</v>
      </c>
      <c r="M37" s="407">
        <v>2.5</v>
      </c>
      <c r="N37" s="408" t="s">
        <v>17</v>
      </c>
      <c r="O37" s="325">
        <f t="shared" si="5"/>
        <v>0</v>
      </c>
      <c r="P37" s="325">
        <f t="shared" si="6"/>
        <v>0</v>
      </c>
      <c r="Q37" s="325">
        <f t="shared" si="7"/>
        <v>0</v>
      </c>
      <c r="R37" s="325">
        <f t="shared" si="2"/>
        <v>0</v>
      </c>
      <c r="S37" s="325">
        <f t="shared" si="3"/>
        <v>28</v>
      </c>
      <c r="T37" s="325">
        <f t="shared" si="8"/>
        <v>28</v>
      </c>
      <c r="U37" s="325">
        <f t="shared" si="4"/>
        <v>2098.66</v>
      </c>
      <c r="V37" s="325">
        <f t="shared" si="9"/>
        <v>0</v>
      </c>
      <c r="W37" s="449" cm="1">
        <f t="array" ref="W37">+IF(U37&lt;0,error,0)</f>
        <v>0</v>
      </c>
    </row>
    <row r="38" spans="1:23" ht="18" customHeight="1" x14ac:dyDescent="0.2">
      <c r="A38" s="402" t="s">
        <v>76</v>
      </c>
      <c r="B38" s="403"/>
      <c r="C38" s="412" t="s">
        <v>77</v>
      </c>
      <c r="D38" s="405">
        <v>42618</v>
      </c>
      <c r="E38" s="406"/>
      <c r="F38" s="325"/>
      <c r="G38" s="324"/>
      <c r="H38" s="324">
        <v>1354.5</v>
      </c>
      <c r="I38" s="325">
        <v>1227.5</v>
      </c>
      <c r="J38" s="325">
        <v>0</v>
      </c>
      <c r="K38" s="325">
        <f t="shared" si="0"/>
        <v>0</v>
      </c>
      <c r="L38" s="325">
        <f t="shared" si="1"/>
        <v>0</v>
      </c>
      <c r="M38" s="407">
        <v>2.5</v>
      </c>
      <c r="N38" s="408" t="s">
        <v>17</v>
      </c>
      <c r="O38" s="325">
        <f t="shared" si="5"/>
        <v>0</v>
      </c>
      <c r="P38" s="325">
        <f t="shared" si="6"/>
        <v>0</v>
      </c>
      <c r="Q38" s="325">
        <f t="shared" si="7"/>
        <v>0</v>
      </c>
      <c r="R38" s="325">
        <f t="shared" si="2"/>
        <v>0</v>
      </c>
      <c r="S38" s="325">
        <f t="shared" si="3"/>
        <v>16</v>
      </c>
      <c r="T38" s="325">
        <f t="shared" si="8"/>
        <v>16</v>
      </c>
      <c r="U38" s="325">
        <f t="shared" si="4"/>
        <v>1211.5</v>
      </c>
      <c r="V38" s="325">
        <f t="shared" si="9"/>
        <v>0</v>
      </c>
      <c r="W38" s="449" cm="1">
        <f t="array" ref="W38">+IF(U38&lt;0,error,0)</f>
        <v>0</v>
      </c>
    </row>
    <row r="39" spans="1:23" ht="18" customHeight="1" x14ac:dyDescent="0.2">
      <c r="A39" s="402" t="s">
        <v>78</v>
      </c>
      <c r="B39" s="403"/>
      <c r="C39" s="411" t="s">
        <v>79</v>
      </c>
      <c r="D39" s="405">
        <v>42715</v>
      </c>
      <c r="E39" s="406"/>
      <c r="F39" s="325"/>
      <c r="G39" s="324"/>
      <c r="H39" s="324">
        <v>708</v>
      </c>
      <c r="I39" s="325">
        <v>647</v>
      </c>
      <c r="J39" s="325">
        <v>0</v>
      </c>
      <c r="K39" s="325">
        <f t="shared" si="0"/>
        <v>0</v>
      </c>
      <c r="L39" s="325">
        <f t="shared" si="1"/>
        <v>0</v>
      </c>
      <c r="M39" s="407">
        <v>2.5</v>
      </c>
      <c r="N39" s="408" t="s">
        <v>17</v>
      </c>
      <c r="O39" s="325">
        <f t="shared" si="5"/>
        <v>0</v>
      </c>
      <c r="P39" s="325">
        <f t="shared" si="6"/>
        <v>0</v>
      </c>
      <c r="Q39" s="325">
        <f t="shared" si="7"/>
        <v>0</v>
      </c>
      <c r="R39" s="325">
        <f t="shared" si="2"/>
        <v>0</v>
      </c>
      <c r="S39" s="325">
        <f t="shared" si="3"/>
        <v>8</v>
      </c>
      <c r="T39" s="325">
        <f t="shared" si="8"/>
        <v>8</v>
      </c>
      <c r="U39" s="325">
        <f t="shared" si="4"/>
        <v>639</v>
      </c>
      <c r="V39" s="325">
        <f t="shared" si="9"/>
        <v>0</v>
      </c>
      <c r="W39" s="449" cm="1">
        <f t="array" ref="W39">+IF(U39&lt;0,error,0)</f>
        <v>0</v>
      </c>
    </row>
    <row r="40" spans="1:23" ht="18" customHeight="1" x14ac:dyDescent="0.2">
      <c r="A40" s="402" t="s">
        <v>80</v>
      </c>
      <c r="B40" s="403"/>
      <c r="C40" s="404" t="s">
        <v>81</v>
      </c>
      <c r="D40" s="405">
        <v>42715</v>
      </c>
      <c r="E40" s="406"/>
      <c r="F40" s="325"/>
      <c r="G40" s="324"/>
      <c r="H40" s="324">
        <v>1638</v>
      </c>
      <c r="I40" s="325">
        <v>1494</v>
      </c>
      <c r="J40" s="325">
        <v>0</v>
      </c>
      <c r="K40" s="325">
        <f t="shared" si="0"/>
        <v>0</v>
      </c>
      <c r="L40" s="325">
        <f t="shared" si="1"/>
        <v>0</v>
      </c>
      <c r="M40" s="407">
        <v>2.5</v>
      </c>
      <c r="N40" s="408" t="s">
        <v>17</v>
      </c>
      <c r="O40" s="325">
        <f t="shared" si="5"/>
        <v>0</v>
      </c>
      <c r="P40" s="325">
        <f t="shared" si="6"/>
        <v>0</v>
      </c>
      <c r="Q40" s="325">
        <f t="shared" si="7"/>
        <v>0</v>
      </c>
      <c r="R40" s="325">
        <f t="shared" si="2"/>
        <v>0</v>
      </c>
      <c r="S40" s="325">
        <f t="shared" si="3"/>
        <v>20</v>
      </c>
      <c r="T40" s="325">
        <f t="shared" si="8"/>
        <v>20</v>
      </c>
      <c r="U40" s="325">
        <f t="shared" si="4"/>
        <v>1474</v>
      </c>
      <c r="V40" s="325">
        <f t="shared" si="9"/>
        <v>0</v>
      </c>
      <c r="W40" s="449" cm="1">
        <f t="array" ref="W40">+IF(U40&lt;0,error,0)</f>
        <v>0</v>
      </c>
    </row>
    <row r="41" spans="1:23" ht="18" customHeight="1" x14ac:dyDescent="0.2">
      <c r="A41" s="402" t="s">
        <v>82</v>
      </c>
      <c r="B41" s="403"/>
      <c r="C41" s="404" t="s">
        <v>83</v>
      </c>
      <c r="D41" s="405">
        <v>42978</v>
      </c>
      <c r="E41" s="406"/>
      <c r="F41" s="325"/>
      <c r="G41" s="324"/>
      <c r="H41" s="324">
        <v>1606.5</v>
      </c>
      <c r="I41" s="325">
        <v>1493.5</v>
      </c>
      <c r="J41" s="325">
        <v>0</v>
      </c>
      <c r="K41" s="325">
        <f t="shared" si="0"/>
        <v>0</v>
      </c>
      <c r="L41" s="325">
        <f t="shared" si="1"/>
        <v>0</v>
      </c>
      <c r="M41" s="407">
        <v>2.5</v>
      </c>
      <c r="N41" s="408" t="s">
        <v>17</v>
      </c>
      <c r="O41" s="325">
        <f t="shared" si="5"/>
        <v>0</v>
      </c>
      <c r="P41" s="325">
        <f t="shared" si="6"/>
        <v>0</v>
      </c>
      <c r="Q41" s="325">
        <f t="shared" si="7"/>
        <v>0</v>
      </c>
      <c r="R41" s="325">
        <f t="shared" si="2"/>
        <v>0</v>
      </c>
      <c r="S41" s="325">
        <f t="shared" si="3"/>
        <v>20</v>
      </c>
      <c r="T41" s="325">
        <f t="shared" si="8"/>
        <v>20</v>
      </c>
      <c r="U41" s="325">
        <f t="shared" si="4"/>
        <v>1473.5</v>
      </c>
      <c r="V41" s="325">
        <f t="shared" si="9"/>
        <v>0</v>
      </c>
      <c r="W41" s="449" cm="1">
        <f t="array" ref="W41">+IF(U41&lt;0,error,0)</f>
        <v>0</v>
      </c>
    </row>
    <row r="42" spans="1:23" ht="18" customHeight="1" x14ac:dyDescent="0.2">
      <c r="A42" s="402" t="s">
        <v>84</v>
      </c>
      <c r="B42" s="403"/>
      <c r="C42" s="404" t="s">
        <v>85</v>
      </c>
      <c r="D42" s="405">
        <v>43052</v>
      </c>
      <c r="E42" s="406"/>
      <c r="F42" s="325"/>
      <c r="G42" s="324"/>
      <c r="H42" s="324">
        <v>4693.5</v>
      </c>
      <c r="I42" s="325">
        <v>4386.5</v>
      </c>
      <c r="J42" s="325">
        <v>0</v>
      </c>
      <c r="K42" s="325">
        <f t="shared" si="0"/>
        <v>0</v>
      </c>
      <c r="L42" s="325">
        <f t="shared" si="1"/>
        <v>0</v>
      </c>
      <c r="M42" s="407">
        <v>2.5</v>
      </c>
      <c r="N42" s="408" t="s">
        <v>17</v>
      </c>
      <c r="O42" s="325">
        <f t="shared" si="5"/>
        <v>0</v>
      </c>
      <c r="P42" s="325">
        <f t="shared" si="6"/>
        <v>0</v>
      </c>
      <c r="Q42" s="325">
        <f t="shared" si="7"/>
        <v>0</v>
      </c>
      <c r="R42" s="325">
        <f t="shared" si="2"/>
        <v>0</v>
      </c>
      <c r="S42" s="325">
        <f t="shared" si="3"/>
        <v>58</v>
      </c>
      <c r="T42" s="325">
        <f t="shared" si="8"/>
        <v>58</v>
      </c>
      <c r="U42" s="325">
        <f t="shared" si="4"/>
        <v>4328.5</v>
      </c>
      <c r="V42" s="325">
        <f t="shared" si="9"/>
        <v>0</v>
      </c>
      <c r="W42" s="449" cm="1">
        <f t="array" ref="W42">+IF(U42&lt;0,error,0)</f>
        <v>0</v>
      </c>
    </row>
    <row r="43" spans="1:23" ht="18" customHeight="1" x14ac:dyDescent="0.2">
      <c r="A43" s="402" t="s">
        <v>86</v>
      </c>
      <c r="B43" s="403"/>
      <c r="C43" s="404" t="s">
        <v>87</v>
      </c>
      <c r="D43" s="405">
        <v>43221</v>
      </c>
      <c r="E43" s="406"/>
      <c r="F43" s="325"/>
      <c r="G43" s="324"/>
      <c r="H43" s="324">
        <v>5525</v>
      </c>
      <c r="I43" s="325">
        <v>5226</v>
      </c>
      <c r="J43" s="325">
        <v>0</v>
      </c>
      <c r="K43" s="325">
        <f t="shared" si="0"/>
        <v>0</v>
      </c>
      <c r="L43" s="325">
        <f t="shared" si="1"/>
        <v>0</v>
      </c>
      <c r="M43" s="407">
        <v>2.5</v>
      </c>
      <c r="N43" s="408" t="s">
        <v>17</v>
      </c>
      <c r="O43" s="325">
        <f t="shared" si="5"/>
        <v>0</v>
      </c>
      <c r="P43" s="325">
        <f t="shared" si="6"/>
        <v>0</v>
      </c>
      <c r="Q43" s="325">
        <f t="shared" si="7"/>
        <v>0</v>
      </c>
      <c r="R43" s="325">
        <f t="shared" si="2"/>
        <v>0</v>
      </c>
      <c r="S43" s="325">
        <f t="shared" si="3"/>
        <v>69</v>
      </c>
      <c r="T43" s="325">
        <f t="shared" si="8"/>
        <v>69</v>
      </c>
      <c r="U43" s="325">
        <f t="shared" si="4"/>
        <v>5157</v>
      </c>
      <c r="V43" s="325">
        <f t="shared" si="9"/>
        <v>0</v>
      </c>
      <c r="W43" s="449" cm="1">
        <f t="array" ref="W43">+IF(U43&lt;0,error,0)</f>
        <v>0</v>
      </c>
    </row>
    <row r="44" spans="1:23" ht="18" customHeight="1" x14ac:dyDescent="0.2">
      <c r="A44" s="402" t="s">
        <v>88</v>
      </c>
      <c r="B44" s="403"/>
      <c r="C44" s="404" t="s">
        <v>89</v>
      </c>
      <c r="D44" s="405">
        <v>43281</v>
      </c>
      <c r="E44" s="406"/>
      <c r="F44" s="325"/>
      <c r="G44" s="324"/>
      <c r="H44" s="324">
        <v>1798</v>
      </c>
      <c r="I44" s="325">
        <v>1708</v>
      </c>
      <c r="J44" s="325">
        <v>0</v>
      </c>
      <c r="K44" s="325">
        <f t="shared" si="0"/>
        <v>0</v>
      </c>
      <c r="L44" s="325">
        <f t="shared" si="1"/>
        <v>0</v>
      </c>
      <c r="M44" s="407">
        <v>2.5</v>
      </c>
      <c r="N44" s="408" t="s">
        <v>17</v>
      </c>
      <c r="O44" s="325">
        <f t="shared" si="5"/>
        <v>0</v>
      </c>
      <c r="P44" s="325">
        <f t="shared" si="6"/>
        <v>0</v>
      </c>
      <c r="Q44" s="325">
        <f t="shared" si="7"/>
        <v>0</v>
      </c>
      <c r="R44" s="325">
        <f t="shared" si="2"/>
        <v>0</v>
      </c>
      <c r="S44" s="325">
        <f t="shared" si="3"/>
        <v>22</v>
      </c>
      <c r="T44" s="325">
        <f t="shared" si="8"/>
        <v>22</v>
      </c>
      <c r="U44" s="325">
        <f t="shared" si="4"/>
        <v>1686</v>
      </c>
      <c r="V44" s="325">
        <f t="shared" si="9"/>
        <v>0</v>
      </c>
      <c r="W44" s="449" cm="1">
        <f t="array" ref="W44">+IF(U44&lt;0,error,0)</f>
        <v>0</v>
      </c>
    </row>
    <row r="45" spans="1:23" ht="18" customHeight="1" x14ac:dyDescent="0.2">
      <c r="A45" s="402" t="s">
        <v>90</v>
      </c>
      <c r="B45" s="403"/>
      <c r="C45" s="404" t="s">
        <v>91</v>
      </c>
      <c r="D45" s="405">
        <v>43248</v>
      </c>
      <c r="E45" s="406"/>
      <c r="F45" s="325"/>
      <c r="G45" s="324"/>
      <c r="H45" s="324">
        <v>1153.18</v>
      </c>
      <c r="I45" s="325">
        <v>1094.18</v>
      </c>
      <c r="J45" s="325">
        <v>0</v>
      </c>
      <c r="K45" s="325">
        <f t="shared" si="0"/>
        <v>0</v>
      </c>
      <c r="L45" s="325">
        <f t="shared" si="1"/>
        <v>0</v>
      </c>
      <c r="M45" s="407">
        <v>2.5</v>
      </c>
      <c r="N45" s="408" t="s">
        <v>17</v>
      </c>
      <c r="O45" s="325">
        <f t="shared" si="5"/>
        <v>0</v>
      </c>
      <c r="P45" s="325">
        <f t="shared" si="6"/>
        <v>0</v>
      </c>
      <c r="Q45" s="325">
        <f t="shared" si="7"/>
        <v>0</v>
      </c>
      <c r="R45" s="325">
        <f t="shared" si="2"/>
        <v>0</v>
      </c>
      <c r="S45" s="325">
        <f t="shared" si="3"/>
        <v>14</v>
      </c>
      <c r="T45" s="325">
        <f t="shared" si="8"/>
        <v>14</v>
      </c>
      <c r="U45" s="325">
        <f t="shared" si="4"/>
        <v>1080.18</v>
      </c>
      <c r="V45" s="325">
        <f t="shared" si="9"/>
        <v>0</v>
      </c>
      <c r="W45" s="449" cm="1">
        <f t="array" ref="W45">+IF(U45&lt;0,error,0)</f>
        <v>0</v>
      </c>
    </row>
    <row r="46" spans="1:23" ht="18" customHeight="1" x14ac:dyDescent="0.2">
      <c r="A46" s="402" t="s">
        <v>92</v>
      </c>
      <c r="B46" s="403"/>
      <c r="C46" s="404" t="s">
        <v>93</v>
      </c>
      <c r="D46" s="405">
        <v>43236</v>
      </c>
      <c r="E46" s="406"/>
      <c r="F46" s="325"/>
      <c r="G46" s="324"/>
      <c r="H46" s="324">
        <v>1855</v>
      </c>
      <c r="I46" s="325">
        <v>1757</v>
      </c>
      <c r="J46" s="325">
        <v>0</v>
      </c>
      <c r="K46" s="325">
        <f t="shared" si="0"/>
        <v>0</v>
      </c>
      <c r="L46" s="325">
        <f t="shared" si="1"/>
        <v>0</v>
      </c>
      <c r="M46" s="407">
        <v>2.5</v>
      </c>
      <c r="N46" s="408" t="s">
        <v>17</v>
      </c>
      <c r="O46" s="325">
        <f t="shared" si="5"/>
        <v>0</v>
      </c>
      <c r="P46" s="325">
        <f t="shared" si="6"/>
        <v>0</v>
      </c>
      <c r="Q46" s="325">
        <f t="shared" si="7"/>
        <v>0</v>
      </c>
      <c r="R46" s="325">
        <f t="shared" si="2"/>
        <v>0</v>
      </c>
      <c r="S46" s="325">
        <f t="shared" si="3"/>
        <v>23</v>
      </c>
      <c r="T46" s="325">
        <f t="shared" si="8"/>
        <v>23</v>
      </c>
      <c r="U46" s="325">
        <f t="shared" si="4"/>
        <v>1734</v>
      </c>
      <c r="V46" s="325">
        <f t="shared" si="9"/>
        <v>0</v>
      </c>
      <c r="W46" s="449" cm="1">
        <f t="array" ref="W46">+IF(U46&lt;0,error,0)</f>
        <v>0</v>
      </c>
    </row>
    <row r="47" spans="1:23" ht="18" customHeight="1" x14ac:dyDescent="0.2">
      <c r="A47" s="402" t="s">
        <v>94</v>
      </c>
      <c r="B47" s="403"/>
      <c r="C47" s="412" t="s">
        <v>95</v>
      </c>
      <c r="D47" s="405">
        <v>42978</v>
      </c>
      <c r="E47" s="406"/>
      <c r="F47" s="325"/>
      <c r="G47" s="324"/>
      <c r="H47" s="324">
        <v>6331.5</v>
      </c>
      <c r="I47" s="325">
        <v>5883.5</v>
      </c>
      <c r="J47" s="325">
        <v>0</v>
      </c>
      <c r="K47" s="325">
        <f t="shared" si="0"/>
        <v>0</v>
      </c>
      <c r="L47" s="325">
        <f t="shared" si="1"/>
        <v>0</v>
      </c>
      <c r="M47" s="407">
        <v>2.5</v>
      </c>
      <c r="N47" s="408" t="s">
        <v>17</v>
      </c>
      <c r="O47" s="325">
        <f t="shared" si="5"/>
        <v>0</v>
      </c>
      <c r="P47" s="325">
        <f t="shared" si="6"/>
        <v>0</v>
      </c>
      <c r="Q47" s="325">
        <f t="shared" si="7"/>
        <v>0</v>
      </c>
      <c r="R47" s="325">
        <f t="shared" si="2"/>
        <v>0</v>
      </c>
      <c r="S47" s="325">
        <f t="shared" si="3"/>
        <v>79</v>
      </c>
      <c r="T47" s="325">
        <f t="shared" si="8"/>
        <v>79</v>
      </c>
      <c r="U47" s="325">
        <f t="shared" si="4"/>
        <v>5804.5</v>
      </c>
      <c r="V47" s="325">
        <f t="shared" si="9"/>
        <v>0</v>
      </c>
      <c r="W47" s="449" cm="1">
        <f t="array" ref="W47">+IF(U47&lt;0,error,0)</f>
        <v>0</v>
      </c>
    </row>
    <row r="48" spans="1:23" ht="18" customHeight="1" x14ac:dyDescent="0.2">
      <c r="A48" s="402" t="s">
        <v>96</v>
      </c>
      <c r="B48" s="403"/>
      <c r="C48" s="404" t="s">
        <v>97</v>
      </c>
      <c r="D48" s="405">
        <v>42999</v>
      </c>
      <c r="E48" s="406"/>
      <c r="F48" s="325"/>
      <c r="G48" s="324"/>
      <c r="H48" s="324">
        <v>2335.2000000000003</v>
      </c>
      <c r="I48" s="325">
        <v>2174.2000000000003</v>
      </c>
      <c r="J48" s="325">
        <v>0</v>
      </c>
      <c r="K48" s="325">
        <f t="shared" si="0"/>
        <v>0</v>
      </c>
      <c r="L48" s="325">
        <f t="shared" si="1"/>
        <v>0</v>
      </c>
      <c r="M48" s="407">
        <v>2.5</v>
      </c>
      <c r="N48" s="408" t="s">
        <v>17</v>
      </c>
      <c r="O48" s="325">
        <f t="shared" si="5"/>
        <v>0</v>
      </c>
      <c r="P48" s="325">
        <f t="shared" si="6"/>
        <v>0</v>
      </c>
      <c r="Q48" s="325">
        <f t="shared" si="7"/>
        <v>0</v>
      </c>
      <c r="R48" s="325">
        <f t="shared" si="2"/>
        <v>0</v>
      </c>
      <c r="S48" s="325">
        <f t="shared" si="3"/>
        <v>29</v>
      </c>
      <c r="T48" s="325">
        <f t="shared" si="8"/>
        <v>29</v>
      </c>
      <c r="U48" s="325">
        <f t="shared" si="4"/>
        <v>2145.2000000000003</v>
      </c>
      <c r="V48" s="325">
        <f t="shared" si="9"/>
        <v>0</v>
      </c>
      <c r="W48" s="449" cm="1">
        <f t="array" ref="W48">+IF(U48&lt;0,error,0)</f>
        <v>0</v>
      </c>
    </row>
    <row r="49" spans="1:23" ht="18" customHeight="1" x14ac:dyDescent="0.2">
      <c r="A49" s="402" t="s">
        <v>98</v>
      </c>
      <c r="B49" s="403"/>
      <c r="C49" s="404" t="s">
        <v>99</v>
      </c>
      <c r="D49" s="405">
        <v>43008</v>
      </c>
      <c r="E49" s="406"/>
      <c r="F49" s="325"/>
      <c r="G49" s="324"/>
      <c r="H49" s="324">
        <v>5544</v>
      </c>
      <c r="I49" s="325">
        <v>5164</v>
      </c>
      <c r="J49" s="325">
        <v>0</v>
      </c>
      <c r="K49" s="325">
        <f t="shared" si="0"/>
        <v>0</v>
      </c>
      <c r="L49" s="325">
        <f t="shared" si="1"/>
        <v>0</v>
      </c>
      <c r="M49" s="407">
        <v>2.5</v>
      </c>
      <c r="N49" s="408" t="s">
        <v>17</v>
      </c>
      <c r="O49" s="325">
        <f t="shared" si="5"/>
        <v>0</v>
      </c>
      <c r="P49" s="325">
        <f t="shared" si="6"/>
        <v>0</v>
      </c>
      <c r="Q49" s="325">
        <f t="shared" si="7"/>
        <v>0</v>
      </c>
      <c r="R49" s="325">
        <f t="shared" si="2"/>
        <v>0</v>
      </c>
      <c r="S49" s="325">
        <f t="shared" si="3"/>
        <v>69</v>
      </c>
      <c r="T49" s="325">
        <f t="shared" si="8"/>
        <v>69</v>
      </c>
      <c r="U49" s="325">
        <f t="shared" si="4"/>
        <v>5095</v>
      </c>
      <c r="V49" s="325">
        <f t="shared" si="9"/>
        <v>0</v>
      </c>
      <c r="W49" s="449" cm="1">
        <f t="array" ref="W49">+IF(U49&lt;0,error,0)</f>
        <v>0</v>
      </c>
    </row>
    <row r="50" spans="1:23" ht="18" customHeight="1" x14ac:dyDescent="0.2">
      <c r="A50" s="402" t="s">
        <v>100</v>
      </c>
      <c r="B50" s="403"/>
      <c r="C50" s="404" t="s">
        <v>101</v>
      </c>
      <c r="D50" s="405">
        <v>43013</v>
      </c>
      <c r="E50" s="406"/>
      <c r="F50" s="325"/>
      <c r="G50" s="324"/>
      <c r="H50" s="324">
        <v>2712.9700000000003</v>
      </c>
      <c r="I50" s="325">
        <v>2529.9700000000003</v>
      </c>
      <c r="J50" s="325">
        <v>0</v>
      </c>
      <c r="K50" s="325">
        <f t="shared" si="0"/>
        <v>0</v>
      </c>
      <c r="L50" s="325">
        <f t="shared" si="1"/>
        <v>0</v>
      </c>
      <c r="M50" s="407">
        <v>2.5</v>
      </c>
      <c r="N50" s="408" t="s">
        <v>17</v>
      </c>
      <c r="O50" s="325">
        <f t="shared" si="5"/>
        <v>0</v>
      </c>
      <c r="P50" s="325">
        <f t="shared" si="6"/>
        <v>0</v>
      </c>
      <c r="Q50" s="325">
        <f t="shared" si="7"/>
        <v>0</v>
      </c>
      <c r="R50" s="325">
        <f t="shared" si="2"/>
        <v>0</v>
      </c>
      <c r="S50" s="325">
        <f t="shared" si="3"/>
        <v>33</v>
      </c>
      <c r="T50" s="325">
        <f t="shared" si="8"/>
        <v>33</v>
      </c>
      <c r="U50" s="325">
        <f t="shared" si="4"/>
        <v>2496.9700000000003</v>
      </c>
      <c r="V50" s="325">
        <f t="shared" si="9"/>
        <v>0</v>
      </c>
      <c r="W50" s="449" cm="1">
        <f t="array" ref="W50">+IF(U50&lt;0,error,0)</f>
        <v>0</v>
      </c>
    </row>
    <row r="51" spans="1:23" ht="18" customHeight="1" x14ac:dyDescent="0.2">
      <c r="A51" s="402" t="s">
        <v>102</v>
      </c>
      <c r="B51" s="403"/>
      <c r="C51" s="404" t="s">
        <v>103</v>
      </c>
      <c r="D51" s="405">
        <v>43122</v>
      </c>
      <c r="E51" s="406"/>
      <c r="F51" s="325"/>
      <c r="G51" s="324"/>
      <c r="H51" s="324">
        <v>1562.96</v>
      </c>
      <c r="I51" s="325">
        <v>1469.96</v>
      </c>
      <c r="J51" s="325">
        <v>0</v>
      </c>
      <c r="K51" s="325">
        <f t="shared" si="0"/>
        <v>0</v>
      </c>
      <c r="L51" s="325">
        <f t="shared" si="1"/>
        <v>0</v>
      </c>
      <c r="M51" s="407">
        <v>2.5</v>
      </c>
      <c r="N51" s="408" t="s">
        <v>17</v>
      </c>
      <c r="O51" s="325">
        <f t="shared" si="5"/>
        <v>0</v>
      </c>
      <c r="P51" s="325">
        <f t="shared" si="6"/>
        <v>0</v>
      </c>
      <c r="Q51" s="325">
        <f t="shared" si="7"/>
        <v>0</v>
      </c>
      <c r="R51" s="325">
        <f t="shared" si="2"/>
        <v>0</v>
      </c>
      <c r="S51" s="325">
        <f t="shared" si="3"/>
        <v>19</v>
      </c>
      <c r="T51" s="325">
        <f t="shared" si="8"/>
        <v>19</v>
      </c>
      <c r="U51" s="325">
        <f t="shared" si="4"/>
        <v>1450.96</v>
      </c>
      <c r="V51" s="325">
        <f t="shared" si="9"/>
        <v>0</v>
      </c>
      <c r="W51" s="449" cm="1">
        <f t="array" ref="W51">+IF(U51&lt;0,error,0)</f>
        <v>0</v>
      </c>
    </row>
    <row r="52" spans="1:23" ht="18" customHeight="1" x14ac:dyDescent="0.2">
      <c r="A52" s="402" t="s">
        <v>104</v>
      </c>
      <c r="B52" s="403"/>
      <c r="C52" s="404" t="s">
        <v>105</v>
      </c>
      <c r="D52" s="405">
        <v>43122</v>
      </c>
      <c r="E52" s="406"/>
      <c r="F52" s="325"/>
      <c r="G52" s="324"/>
      <c r="H52" s="324">
        <v>2460</v>
      </c>
      <c r="I52" s="325">
        <v>2312</v>
      </c>
      <c r="J52" s="325">
        <v>0</v>
      </c>
      <c r="K52" s="325">
        <f t="shared" si="0"/>
        <v>0</v>
      </c>
      <c r="L52" s="325">
        <f t="shared" si="1"/>
        <v>0</v>
      </c>
      <c r="M52" s="407">
        <v>2.5</v>
      </c>
      <c r="N52" s="408" t="s">
        <v>17</v>
      </c>
      <c r="O52" s="325">
        <f t="shared" si="5"/>
        <v>0</v>
      </c>
      <c r="P52" s="325">
        <f t="shared" si="6"/>
        <v>0</v>
      </c>
      <c r="Q52" s="325">
        <f t="shared" si="7"/>
        <v>0</v>
      </c>
      <c r="R52" s="325">
        <f t="shared" si="2"/>
        <v>0</v>
      </c>
      <c r="S52" s="325">
        <f t="shared" si="3"/>
        <v>30</v>
      </c>
      <c r="T52" s="325">
        <f t="shared" si="8"/>
        <v>30</v>
      </c>
      <c r="U52" s="325">
        <f t="shared" si="4"/>
        <v>2282</v>
      </c>
      <c r="V52" s="325">
        <f t="shared" si="9"/>
        <v>0</v>
      </c>
      <c r="W52" s="449" cm="1">
        <f t="array" ref="W52">+IF(U52&lt;0,error,0)</f>
        <v>0</v>
      </c>
    </row>
    <row r="53" spans="1:23" ht="18" customHeight="1" x14ac:dyDescent="0.2">
      <c r="A53" s="402" t="s">
        <v>106</v>
      </c>
      <c r="B53" s="403"/>
      <c r="C53" s="404" t="s">
        <v>107</v>
      </c>
      <c r="D53" s="405">
        <v>43131</v>
      </c>
      <c r="E53" s="406"/>
      <c r="F53" s="325"/>
      <c r="G53" s="324"/>
      <c r="H53" s="324">
        <v>3969</v>
      </c>
      <c r="I53" s="325">
        <v>3731</v>
      </c>
      <c r="J53" s="325">
        <v>0</v>
      </c>
      <c r="K53" s="325">
        <f t="shared" si="0"/>
        <v>0</v>
      </c>
      <c r="L53" s="325">
        <f t="shared" si="1"/>
        <v>0</v>
      </c>
      <c r="M53" s="407">
        <v>2.5</v>
      </c>
      <c r="N53" s="408" t="s">
        <v>17</v>
      </c>
      <c r="O53" s="325">
        <f t="shared" si="5"/>
        <v>0</v>
      </c>
      <c r="P53" s="325">
        <f t="shared" si="6"/>
        <v>0</v>
      </c>
      <c r="Q53" s="325">
        <f t="shared" si="7"/>
        <v>0</v>
      </c>
      <c r="R53" s="325">
        <f t="shared" si="2"/>
        <v>0</v>
      </c>
      <c r="S53" s="325">
        <f t="shared" si="3"/>
        <v>49</v>
      </c>
      <c r="T53" s="325">
        <f t="shared" si="8"/>
        <v>49</v>
      </c>
      <c r="U53" s="325">
        <f t="shared" si="4"/>
        <v>3682</v>
      </c>
      <c r="V53" s="325">
        <f t="shared" si="9"/>
        <v>0</v>
      </c>
      <c r="W53" s="449" cm="1">
        <f t="array" ref="W53">+IF(U53&lt;0,error,0)</f>
        <v>0</v>
      </c>
    </row>
    <row r="54" spans="1:23" ht="18" customHeight="1" x14ac:dyDescent="0.2">
      <c r="A54" s="402" t="s">
        <v>108</v>
      </c>
      <c r="B54" s="403"/>
      <c r="C54" s="404" t="s">
        <v>109</v>
      </c>
      <c r="D54" s="405">
        <v>43159</v>
      </c>
      <c r="E54" s="406"/>
      <c r="F54" s="325"/>
      <c r="G54" s="324"/>
      <c r="H54" s="324">
        <v>3720</v>
      </c>
      <c r="I54" s="325">
        <v>3504</v>
      </c>
      <c r="J54" s="325">
        <v>0</v>
      </c>
      <c r="K54" s="325">
        <f t="shared" si="0"/>
        <v>0</v>
      </c>
      <c r="L54" s="325">
        <f t="shared" si="1"/>
        <v>0</v>
      </c>
      <c r="M54" s="407">
        <v>2.5</v>
      </c>
      <c r="N54" s="408" t="s">
        <v>17</v>
      </c>
      <c r="O54" s="325">
        <f t="shared" si="5"/>
        <v>0</v>
      </c>
      <c r="P54" s="325">
        <f t="shared" si="6"/>
        <v>0</v>
      </c>
      <c r="Q54" s="325">
        <f t="shared" si="7"/>
        <v>0</v>
      </c>
      <c r="R54" s="325">
        <f t="shared" si="2"/>
        <v>0</v>
      </c>
      <c r="S54" s="325">
        <f t="shared" si="3"/>
        <v>46</v>
      </c>
      <c r="T54" s="325">
        <f t="shared" si="8"/>
        <v>46</v>
      </c>
      <c r="U54" s="325">
        <f t="shared" si="4"/>
        <v>3458</v>
      </c>
      <c r="V54" s="325">
        <f t="shared" si="9"/>
        <v>0</v>
      </c>
      <c r="W54" s="449" cm="1">
        <f t="array" ref="W54">+IF(U54&lt;0,error,0)</f>
        <v>0</v>
      </c>
    </row>
    <row r="55" spans="1:23" ht="18" customHeight="1" x14ac:dyDescent="0.2">
      <c r="A55" s="402" t="s">
        <v>110</v>
      </c>
      <c r="B55" s="403"/>
      <c r="C55" s="404" t="s">
        <v>111</v>
      </c>
      <c r="D55" s="405">
        <v>43009</v>
      </c>
      <c r="E55" s="406"/>
      <c r="F55" s="325"/>
      <c r="G55" s="324"/>
      <c r="H55" s="324">
        <v>6250</v>
      </c>
      <c r="I55" s="325">
        <v>5821</v>
      </c>
      <c r="J55" s="325">
        <v>0</v>
      </c>
      <c r="K55" s="325">
        <f t="shared" si="0"/>
        <v>0</v>
      </c>
      <c r="L55" s="325">
        <f t="shared" si="1"/>
        <v>0</v>
      </c>
      <c r="M55" s="407">
        <v>2.5</v>
      </c>
      <c r="N55" s="408" t="s">
        <v>17</v>
      </c>
      <c r="O55" s="325">
        <f t="shared" si="5"/>
        <v>0</v>
      </c>
      <c r="P55" s="325">
        <f t="shared" si="6"/>
        <v>0</v>
      </c>
      <c r="Q55" s="325">
        <f t="shared" si="7"/>
        <v>0</v>
      </c>
      <c r="R55" s="325">
        <f t="shared" si="2"/>
        <v>0</v>
      </c>
      <c r="S55" s="325">
        <f t="shared" si="3"/>
        <v>78</v>
      </c>
      <c r="T55" s="325">
        <f t="shared" si="8"/>
        <v>78</v>
      </c>
      <c r="U55" s="325">
        <f t="shared" si="4"/>
        <v>5743</v>
      </c>
      <c r="V55" s="325">
        <f t="shared" si="9"/>
        <v>0</v>
      </c>
      <c r="W55" s="449" cm="1">
        <f t="array" ref="W55">+IF(U55&lt;0,error,0)</f>
        <v>0</v>
      </c>
    </row>
    <row r="56" spans="1:23" ht="18" customHeight="1" x14ac:dyDescent="0.2">
      <c r="A56" s="402" t="s">
        <v>112</v>
      </c>
      <c r="B56" s="403"/>
      <c r="C56" s="404" t="s">
        <v>113</v>
      </c>
      <c r="D56" s="405">
        <v>43009</v>
      </c>
      <c r="E56" s="406"/>
      <c r="F56" s="325"/>
      <c r="G56" s="324"/>
      <c r="H56" s="324">
        <v>1702.31</v>
      </c>
      <c r="I56" s="325">
        <v>1586.31</v>
      </c>
      <c r="J56" s="325">
        <v>0</v>
      </c>
      <c r="K56" s="325">
        <f t="shared" si="0"/>
        <v>0</v>
      </c>
      <c r="L56" s="325">
        <f t="shared" si="1"/>
        <v>0</v>
      </c>
      <c r="M56" s="407">
        <v>2.5</v>
      </c>
      <c r="N56" s="408" t="s">
        <v>17</v>
      </c>
      <c r="O56" s="325">
        <f t="shared" si="5"/>
        <v>0</v>
      </c>
      <c r="P56" s="325">
        <f t="shared" si="6"/>
        <v>0</v>
      </c>
      <c r="Q56" s="325">
        <f t="shared" si="7"/>
        <v>0</v>
      </c>
      <c r="R56" s="325">
        <f t="shared" si="2"/>
        <v>0</v>
      </c>
      <c r="S56" s="325">
        <f t="shared" si="3"/>
        <v>21</v>
      </c>
      <c r="T56" s="325">
        <f t="shared" si="8"/>
        <v>21</v>
      </c>
      <c r="U56" s="325">
        <f t="shared" si="4"/>
        <v>1565.31</v>
      </c>
      <c r="V56" s="325">
        <f t="shared" si="9"/>
        <v>0</v>
      </c>
      <c r="W56" s="449" cm="1">
        <f t="array" ref="W56">+IF(U56&lt;0,error,0)</f>
        <v>0</v>
      </c>
    </row>
    <row r="57" spans="1:23" ht="18" customHeight="1" x14ac:dyDescent="0.2">
      <c r="A57" s="402" t="s">
        <v>114</v>
      </c>
      <c r="B57" s="403"/>
      <c r="C57" s="404" t="s">
        <v>115</v>
      </c>
      <c r="D57" s="405">
        <v>43109</v>
      </c>
      <c r="E57" s="406"/>
      <c r="F57" s="325"/>
      <c r="G57" s="324"/>
      <c r="H57" s="324">
        <v>1108</v>
      </c>
      <c r="I57" s="325">
        <v>1041</v>
      </c>
      <c r="J57" s="325">
        <v>0</v>
      </c>
      <c r="K57" s="325">
        <f t="shared" si="0"/>
        <v>0</v>
      </c>
      <c r="L57" s="325">
        <f t="shared" si="1"/>
        <v>0</v>
      </c>
      <c r="M57" s="407">
        <v>2.5</v>
      </c>
      <c r="N57" s="408" t="s">
        <v>17</v>
      </c>
      <c r="O57" s="325">
        <f t="shared" si="5"/>
        <v>0</v>
      </c>
      <c r="P57" s="325">
        <f t="shared" si="6"/>
        <v>0</v>
      </c>
      <c r="Q57" s="325">
        <f t="shared" si="7"/>
        <v>0</v>
      </c>
      <c r="R57" s="325">
        <f t="shared" si="2"/>
        <v>0</v>
      </c>
      <c r="S57" s="325">
        <f t="shared" si="3"/>
        <v>13</v>
      </c>
      <c r="T57" s="325">
        <f t="shared" si="8"/>
        <v>13</v>
      </c>
      <c r="U57" s="325">
        <f t="shared" si="4"/>
        <v>1028</v>
      </c>
      <c r="V57" s="325">
        <f t="shared" si="9"/>
        <v>0</v>
      </c>
      <c r="W57" s="449" cm="1">
        <f t="array" ref="W57">+IF(U57&lt;0,error,0)</f>
        <v>0</v>
      </c>
    </row>
    <row r="58" spans="1:23" ht="18" customHeight="1" x14ac:dyDescent="0.2">
      <c r="A58" s="402" t="s">
        <v>116</v>
      </c>
      <c r="B58" s="403"/>
      <c r="C58" s="404" t="s">
        <v>117</v>
      </c>
      <c r="D58" s="405">
        <v>43112</v>
      </c>
      <c r="E58" s="406"/>
      <c r="F58" s="325"/>
      <c r="G58" s="324"/>
      <c r="H58" s="324">
        <v>2399.88</v>
      </c>
      <c r="I58" s="325">
        <v>2254.88</v>
      </c>
      <c r="J58" s="325">
        <v>0</v>
      </c>
      <c r="K58" s="325">
        <f t="shared" si="0"/>
        <v>0</v>
      </c>
      <c r="L58" s="325">
        <f t="shared" si="1"/>
        <v>0</v>
      </c>
      <c r="M58" s="407">
        <v>2.5</v>
      </c>
      <c r="N58" s="408" t="s">
        <v>17</v>
      </c>
      <c r="O58" s="325">
        <f t="shared" si="5"/>
        <v>0</v>
      </c>
      <c r="P58" s="325">
        <f t="shared" si="6"/>
        <v>0</v>
      </c>
      <c r="Q58" s="325">
        <f t="shared" si="7"/>
        <v>0</v>
      </c>
      <c r="R58" s="325">
        <f t="shared" si="2"/>
        <v>0</v>
      </c>
      <c r="S58" s="325">
        <f t="shared" si="3"/>
        <v>29</v>
      </c>
      <c r="T58" s="325">
        <f t="shared" si="8"/>
        <v>29</v>
      </c>
      <c r="U58" s="325">
        <f t="shared" si="4"/>
        <v>2225.88</v>
      </c>
      <c r="V58" s="325">
        <f t="shared" si="9"/>
        <v>0</v>
      </c>
      <c r="W58" s="449" cm="1">
        <f t="array" ref="W58">+IF(U58&lt;0,error,0)</f>
        <v>0</v>
      </c>
    </row>
    <row r="59" spans="1:23" ht="18" customHeight="1" x14ac:dyDescent="0.2">
      <c r="A59" s="402" t="s">
        <v>118</v>
      </c>
      <c r="B59" s="403"/>
      <c r="C59" s="404" t="s">
        <v>119</v>
      </c>
      <c r="D59" s="405">
        <v>43116</v>
      </c>
      <c r="E59" s="406"/>
      <c r="F59" s="325"/>
      <c r="G59" s="324"/>
      <c r="H59" s="324">
        <v>15330</v>
      </c>
      <c r="I59" s="325">
        <v>14390</v>
      </c>
      <c r="J59" s="325">
        <v>0</v>
      </c>
      <c r="K59" s="325">
        <f t="shared" si="0"/>
        <v>0</v>
      </c>
      <c r="L59" s="325">
        <f t="shared" si="1"/>
        <v>0</v>
      </c>
      <c r="M59" s="407">
        <v>2.5</v>
      </c>
      <c r="N59" s="408" t="s">
        <v>17</v>
      </c>
      <c r="O59" s="325">
        <f t="shared" si="5"/>
        <v>0</v>
      </c>
      <c r="P59" s="325">
        <f t="shared" si="6"/>
        <v>0</v>
      </c>
      <c r="Q59" s="325">
        <f t="shared" si="7"/>
        <v>0</v>
      </c>
      <c r="R59" s="325">
        <f t="shared" si="2"/>
        <v>0</v>
      </c>
      <c r="S59" s="325">
        <f t="shared" si="3"/>
        <v>191</v>
      </c>
      <c r="T59" s="325">
        <f t="shared" si="8"/>
        <v>191</v>
      </c>
      <c r="U59" s="325">
        <f t="shared" si="4"/>
        <v>14199</v>
      </c>
      <c r="V59" s="325">
        <f t="shared" si="9"/>
        <v>0</v>
      </c>
      <c r="W59" s="449" cm="1">
        <f t="array" ref="W59">+IF(U59&lt;0,error,0)</f>
        <v>0</v>
      </c>
    </row>
    <row r="60" spans="1:23" ht="18" customHeight="1" x14ac:dyDescent="0.2">
      <c r="A60" s="402" t="s">
        <v>120</v>
      </c>
      <c r="B60" s="403"/>
      <c r="C60" s="412" t="s">
        <v>121</v>
      </c>
      <c r="D60" s="405">
        <v>43117</v>
      </c>
      <c r="E60" s="406"/>
      <c r="F60" s="325"/>
      <c r="G60" s="324"/>
      <c r="H60" s="324">
        <v>45454.55</v>
      </c>
      <c r="I60" s="325">
        <v>42666.55</v>
      </c>
      <c r="J60" s="325">
        <v>0</v>
      </c>
      <c r="K60" s="325">
        <f t="shared" si="0"/>
        <v>0</v>
      </c>
      <c r="L60" s="325">
        <f t="shared" si="1"/>
        <v>0</v>
      </c>
      <c r="M60" s="407">
        <v>2.5</v>
      </c>
      <c r="N60" s="408" t="s">
        <v>17</v>
      </c>
      <c r="O60" s="325">
        <f t="shared" si="5"/>
        <v>0</v>
      </c>
      <c r="P60" s="325">
        <f t="shared" si="6"/>
        <v>0</v>
      </c>
      <c r="Q60" s="325">
        <f t="shared" si="7"/>
        <v>0</v>
      </c>
      <c r="R60" s="325">
        <f t="shared" si="2"/>
        <v>0</v>
      </c>
      <c r="S60" s="325">
        <f t="shared" si="3"/>
        <v>568</v>
      </c>
      <c r="T60" s="325">
        <f t="shared" si="8"/>
        <v>568</v>
      </c>
      <c r="U60" s="325">
        <f t="shared" si="4"/>
        <v>42098.55</v>
      </c>
      <c r="V60" s="325">
        <f t="shared" si="9"/>
        <v>0</v>
      </c>
      <c r="W60" s="449" cm="1">
        <f t="array" ref="W60">+IF(U60&lt;0,error,0)</f>
        <v>0</v>
      </c>
    </row>
    <row r="61" spans="1:23" ht="18" customHeight="1" x14ac:dyDescent="0.2">
      <c r="A61" s="402" t="s">
        <v>122</v>
      </c>
      <c r="B61" s="403"/>
      <c r="C61" s="411" t="s">
        <v>123</v>
      </c>
      <c r="D61" s="405">
        <v>43131</v>
      </c>
      <c r="E61" s="406"/>
      <c r="F61" s="325"/>
      <c r="G61" s="324"/>
      <c r="H61" s="324">
        <v>1953</v>
      </c>
      <c r="I61" s="325">
        <v>1837</v>
      </c>
      <c r="J61" s="325">
        <v>0</v>
      </c>
      <c r="K61" s="325">
        <f t="shared" si="0"/>
        <v>0</v>
      </c>
      <c r="L61" s="325">
        <f t="shared" si="1"/>
        <v>0</v>
      </c>
      <c r="M61" s="407">
        <v>2.5</v>
      </c>
      <c r="N61" s="408" t="s">
        <v>17</v>
      </c>
      <c r="O61" s="325">
        <f t="shared" si="5"/>
        <v>0</v>
      </c>
      <c r="P61" s="325">
        <f t="shared" si="6"/>
        <v>0</v>
      </c>
      <c r="Q61" s="325">
        <f t="shared" si="7"/>
        <v>0</v>
      </c>
      <c r="R61" s="325">
        <f t="shared" si="2"/>
        <v>0</v>
      </c>
      <c r="S61" s="325">
        <f t="shared" si="3"/>
        <v>24</v>
      </c>
      <c r="T61" s="325">
        <f t="shared" si="8"/>
        <v>24</v>
      </c>
      <c r="U61" s="325">
        <f t="shared" si="4"/>
        <v>1813</v>
      </c>
      <c r="V61" s="325">
        <f t="shared" si="9"/>
        <v>0</v>
      </c>
      <c r="W61" s="449" cm="1">
        <f t="array" ref="W61">+IF(U61&lt;0,error,0)</f>
        <v>0</v>
      </c>
    </row>
    <row r="62" spans="1:23" ht="18" customHeight="1" x14ac:dyDescent="0.2">
      <c r="A62" s="402" t="s">
        <v>124</v>
      </c>
      <c r="B62" s="403"/>
      <c r="C62" s="412" t="s">
        <v>125</v>
      </c>
      <c r="D62" s="405">
        <v>42917</v>
      </c>
      <c r="E62" s="406"/>
      <c r="F62" s="325"/>
      <c r="G62" s="324"/>
      <c r="H62" s="324">
        <v>16448.25</v>
      </c>
      <c r="I62" s="325">
        <v>15216.25</v>
      </c>
      <c r="J62" s="325">
        <v>0</v>
      </c>
      <c r="K62" s="325">
        <f t="shared" si="0"/>
        <v>0</v>
      </c>
      <c r="L62" s="325">
        <f t="shared" si="1"/>
        <v>0</v>
      </c>
      <c r="M62" s="407">
        <v>2.5</v>
      </c>
      <c r="N62" s="408" t="s">
        <v>17</v>
      </c>
      <c r="O62" s="325">
        <f t="shared" si="5"/>
        <v>0</v>
      </c>
      <c r="P62" s="325">
        <f t="shared" si="6"/>
        <v>0</v>
      </c>
      <c r="Q62" s="325">
        <f t="shared" si="7"/>
        <v>0</v>
      </c>
      <c r="R62" s="325">
        <f t="shared" si="2"/>
        <v>0</v>
      </c>
      <c r="S62" s="325">
        <f t="shared" si="3"/>
        <v>205</v>
      </c>
      <c r="T62" s="325">
        <f t="shared" si="8"/>
        <v>205</v>
      </c>
      <c r="U62" s="325">
        <f t="shared" si="4"/>
        <v>15011.25</v>
      </c>
      <c r="V62" s="325">
        <f t="shared" si="9"/>
        <v>0</v>
      </c>
      <c r="W62" s="449" cm="1">
        <f t="array" ref="W62">+IF(U62&lt;0,error,0)</f>
        <v>0</v>
      </c>
    </row>
    <row r="63" spans="1:23" ht="18" customHeight="1" x14ac:dyDescent="0.2">
      <c r="A63" s="402" t="s">
        <v>126</v>
      </c>
      <c r="B63" s="403"/>
      <c r="C63" s="411" t="s">
        <v>127</v>
      </c>
      <c r="D63" s="405">
        <v>43153</v>
      </c>
      <c r="E63" s="406"/>
      <c r="F63" s="325"/>
      <c r="G63" s="324"/>
      <c r="H63" s="324">
        <v>1829.8400000000001</v>
      </c>
      <c r="I63" s="325">
        <v>1724.8400000000001</v>
      </c>
      <c r="J63" s="325">
        <v>0</v>
      </c>
      <c r="K63" s="325">
        <f t="shared" si="0"/>
        <v>0</v>
      </c>
      <c r="L63" s="325">
        <f t="shared" si="1"/>
        <v>0</v>
      </c>
      <c r="M63" s="407">
        <v>2.5</v>
      </c>
      <c r="N63" s="408" t="s">
        <v>17</v>
      </c>
      <c r="O63" s="325">
        <f t="shared" si="5"/>
        <v>0</v>
      </c>
      <c r="P63" s="325">
        <f t="shared" si="6"/>
        <v>0</v>
      </c>
      <c r="Q63" s="325">
        <f t="shared" si="7"/>
        <v>0</v>
      </c>
      <c r="R63" s="325">
        <f t="shared" si="2"/>
        <v>0</v>
      </c>
      <c r="S63" s="325">
        <f t="shared" si="3"/>
        <v>22</v>
      </c>
      <c r="T63" s="325">
        <f t="shared" si="8"/>
        <v>22</v>
      </c>
      <c r="U63" s="325">
        <f t="shared" si="4"/>
        <v>1702.8400000000001</v>
      </c>
      <c r="V63" s="325">
        <f t="shared" si="9"/>
        <v>0</v>
      </c>
      <c r="W63" s="449" cm="1">
        <f t="array" ref="W63">+IF(U63&lt;0,error,0)</f>
        <v>0</v>
      </c>
    </row>
    <row r="64" spans="1:23" ht="18" customHeight="1" x14ac:dyDescent="0.2">
      <c r="A64" s="402" t="s">
        <v>128</v>
      </c>
      <c r="B64" s="403"/>
      <c r="C64" s="404" t="s">
        <v>129</v>
      </c>
      <c r="D64" s="405">
        <v>43165</v>
      </c>
      <c r="E64" s="406"/>
      <c r="F64" s="325"/>
      <c r="G64" s="324"/>
      <c r="H64" s="324">
        <v>104545.45</v>
      </c>
      <c r="I64" s="325">
        <v>98475.45</v>
      </c>
      <c r="J64" s="325">
        <v>0</v>
      </c>
      <c r="K64" s="325">
        <f t="shared" si="0"/>
        <v>0</v>
      </c>
      <c r="L64" s="325">
        <f t="shared" si="1"/>
        <v>0</v>
      </c>
      <c r="M64" s="407">
        <v>2.5</v>
      </c>
      <c r="N64" s="408" t="s">
        <v>17</v>
      </c>
      <c r="O64" s="325">
        <f t="shared" si="5"/>
        <v>0</v>
      </c>
      <c r="P64" s="325">
        <f t="shared" si="6"/>
        <v>0</v>
      </c>
      <c r="Q64" s="325">
        <f t="shared" si="7"/>
        <v>0</v>
      </c>
      <c r="R64" s="325">
        <f t="shared" si="2"/>
        <v>0</v>
      </c>
      <c r="S64" s="325">
        <f t="shared" si="3"/>
        <v>1306</v>
      </c>
      <c r="T64" s="325">
        <f t="shared" si="8"/>
        <v>1306</v>
      </c>
      <c r="U64" s="325">
        <f t="shared" si="4"/>
        <v>97169.45</v>
      </c>
      <c r="V64" s="325">
        <f t="shared" si="9"/>
        <v>0</v>
      </c>
      <c r="W64" s="449" cm="1">
        <f t="array" ref="W64">+IF(U64&lt;0,error,0)</f>
        <v>0</v>
      </c>
    </row>
    <row r="65" spans="1:23" ht="18" customHeight="1" x14ac:dyDescent="0.2">
      <c r="A65" s="402" t="s">
        <v>130</v>
      </c>
      <c r="B65" s="403"/>
      <c r="C65" s="404" t="s">
        <v>131</v>
      </c>
      <c r="D65" s="405">
        <v>42975</v>
      </c>
      <c r="E65" s="406"/>
      <c r="F65" s="325"/>
      <c r="G65" s="324"/>
      <c r="H65" s="324">
        <v>4404.3</v>
      </c>
      <c r="I65" s="325">
        <v>4091.3</v>
      </c>
      <c r="J65" s="325">
        <v>0</v>
      </c>
      <c r="K65" s="325">
        <f t="shared" si="0"/>
        <v>0</v>
      </c>
      <c r="L65" s="325">
        <f t="shared" si="1"/>
        <v>0</v>
      </c>
      <c r="M65" s="407">
        <v>2.5</v>
      </c>
      <c r="N65" s="408" t="s">
        <v>17</v>
      </c>
      <c r="O65" s="325">
        <f t="shared" si="5"/>
        <v>0</v>
      </c>
      <c r="P65" s="325">
        <f t="shared" si="6"/>
        <v>0</v>
      </c>
      <c r="Q65" s="325">
        <f t="shared" si="7"/>
        <v>0</v>
      </c>
      <c r="R65" s="325">
        <f t="shared" si="2"/>
        <v>0</v>
      </c>
      <c r="S65" s="325">
        <f t="shared" si="3"/>
        <v>55</v>
      </c>
      <c r="T65" s="325">
        <f t="shared" si="8"/>
        <v>55</v>
      </c>
      <c r="U65" s="325">
        <f t="shared" si="4"/>
        <v>4036.3</v>
      </c>
      <c r="V65" s="325">
        <f t="shared" si="9"/>
        <v>0</v>
      </c>
      <c r="W65" s="449" cm="1">
        <f t="array" ref="W65">+IF(U65&lt;0,error,0)</f>
        <v>0</v>
      </c>
    </row>
    <row r="66" spans="1:23" ht="18" customHeight="1" x14ac:dyDescent="0.2">
      <c r="A66" s="402" t="s">
        <v>132</v>
      </c>
      <c r="B66" s="403"/>
      <c r="C66" s="404" t="s">
        <v>133</v>
      </c>
      <c r="D66" s="405">
        <v>43007</v>
      </c>
      <c r="E66" s="406"/>
      <c r="F66" s="325"/>
      <c r="G66" s="324"/>
      <c r="H66" s="324">
        <v>3528.4</v>
      </c>
      <c r="I66" s="325">
        <v>3286.4</v>
      </c>
      <c r="J66" s="325">
        <v>0</v>
      </c>
      <c r="K66" s="325">
        <f t="shared" si="0"/>
        <v>0</v>
      </c>
      <c r="L66" s="325">
        <f t="shared" si="1"/>
        <v>0</v>
      </c>
      <c r="M66" s="407">
        <v>2.5</v>
      </c>
      <c r="N66" s="408" t="s">
        <v>17</v>
      </c>
      <c r="O66" s="325">
        <f t="shared" si="5"/>
        <v>0</v>
      </c>
      <c r="P66" s="325">
        <f t="shared" si="6"/>
        <v>0</v>
      </c>
      <c r="Q66" s="325">
        <f t="shared" si="7"/>
        <v>0</v>
      </c>
      <c r="R66" s="325">
        <f t="shared" si="2"/>
        <v>0</v>
      </c>
      <c r="S66" s="325">
        <f t="shared" si="3"/>
        <v>44</v>
      </c>
      <c r="T66" s="325">
        <f t="shared" si="8"/>
        <v>44</v>
      </c>
      <c r="U66" s="325">
        <f t="shared" si="4"/>
        <v>3242.4</v>
      </c>
      <c r="V66" s="325">
        <f t="shared" si="9"/>
        <v>0</v>
      </c>
      <c r="W66" s="449" cm="1">
        <f t="array" ref="W66">+IF(U66&lt;0,error,0)</f>
        <v>0</v>
      </c>
    </row>
    <row r="67" spans="1:23" ht="18" customHeight="1" x14ac:dyDescent="0.2">
      <c r="A67" s="402" t="s">
        <v>134</v>
      </c>
      <c r="B67" s="403"/>
      <c r="C67" s="404" t="s">
        <v>135</v>
      </c>
      <c r="D67" s="405">
        <v>43008</v>
      </c>
      <c r="E67" s="406"/>
      <c r="F67" s="325"/>
      <c r="G67" s="324"/>
      <c r="H67" s="324">
        <v>1260</v>
      </c>
      <c r="I67" s="325">
        <v>1175</v>
      </c>
      <c r="J67" s="325">
        <v>0</v>
      </c>
      <c r="K67" s="325">
        <f t="shared" si="0"/>
        <v>0</v>
      </c>
      <c r="L67" s="325">
        <f t="shared" si="1"/>
        <v>0</v>
      </c>
      <c r="M67" s="407">
        <v>2.5</v>
      </c>
      <c r="N67" s="408" t="s">
        <v>17</v>
      </c>
      <c r="O67" s="325">
        <f t="shared" si="5"/>
        <v>0</v>
      </c>
      <c r="P67" s="325">
        <f t="shared" si="6"/>
        <v>0</v>
      </c>
      <c r="Q67" s="325">
        <f t="shared" si="7"/>
        <v>0</v>
      </c>
      <c r="R67" s="325">
        <f t="shared" si="2"/>
        <v>0</v>
      </c>
      <c r="S67" s="325">
        <f t="shared" si="3"/>
        <v>15</v>
      </c>
      <c r="T67" s="325">
        <f t="shared" si="8"/>
        <v>15</v>
      </c>
      <c r="U67" s="325">
        <f t="shared" si="4"/>
        <v>1160</v>
      </c>
      <c r="V67" s="325">
        <f t="shared" si="9"/>
        <v>0</v>
      </c>
      <c r="W67" s="449" cm="1">
        <f t="array" ref="W67">+IF(U67&lt;0,error,0)</f>
        <v>0</v>
      </c>
    </row>
    <row r="68" spans="1:23" ht="18" customHeight="1" x14ac:dyDescent="0.2">
      <c r="A68" s="402" t="s">
        <v>136</v>
      </c>
      <c r="B68" s="403"/>
      <c r="C68" s="404" t="s">
        <v>137</v>
      </c>
      <c r="D68" s="405">
        <v>43013</v>
      </c>
      <c r="E68" s="406"/>
      <c r="F68" s="325"/>
      <c r="G68" s="324"/>
      <c r="H68" s="324">
        <v>3521.9900000000002</v>
      </c>
      <c r="I68" s="325">
        <v>3280.9900000000002</v>
      </c>
      <c r="J68" s="325">
        <v>0</v>
      </c>
      <c r="K68" s="325">
        <f t="shared" si="0"/>
        <v>0</v>
      </c>
      <c r="L68" s="325">
        <f t="shared" si="1"/>
        <v>0</v>
      </c>
      <c r="M68" s="407">
        <v>2.5</v>
      </c>
      <c r="N68" s="408" t="s">
        <v>17</v>
      </c>
      <c r="O68" s="325">
        <f t="shared" si="5"/>
        <v>0</v>
      </c>
      <c r="P68" s="325">
        <f t="shared" si="6"/>
        <v>0</v>
      </c>
      <c r="Q68" s="325">
        <f t="shared" si="7"/>
        <v>0</v>
      </c>
      <c r="R68" s="325">
        <f t="shared" si="2"/>
        <v>0</v>
      </c>
      <c r="S68" s="325">
        <f t="shared" si="3"/>
        <v>44</v>
      </c>
      <c r="T68" s="325">
        <f t="shared" si="8"/>
        <v>44</v>
      </c>
      <c r="U68" s="325">
        <f t="shared" si="4"/>
        <v>3236.9900000000002</v>
      </c>
      <c r="V68" s="325">
        <f t="shared" si="9"/>
        <v>0</v>
      </c>
      <c r="W68" s="449" cm="1">
        <f t="array" ref="W68">+IF(U68&lt;0,error,0)</f>
        <v>0</v>
      </c>
    </row>
    <row r="69" spans="1:23" ht="18" customHeight="1" x14ac:dyDescent="0.2">
      <c r="A69" s="402" t="s">
        <v>138</v>
      </c>
      <c r="B69" s="403"/>
      <c r="C69" s="404" t="s">
        <v>133</v>
      </c>
      <c r="D69" s="405">
        <v>43059</v>
      </c>
      <c r="E69" s="406"/>
      <c r="F69" s="325"/>
      <c r="G69" s="324"/>
      <c r="H69" s="324">
        <v>3019.37</v>
      </c>
      <c r="I69" s="325">
        <v>2823.37</v>
      </c>
      <c r="J69" s="325">
        <v>0</v>
      </c>
      <c r="K69" s="325">
        <f t="shared" si="0"/>
        <v>0</v>
      </c>
      <c r="L69" s="325">
        <f t="shared" si="1"/>
        <v>0</v>
      </c>
      <c r="M69" s="407">
        <v>2.5</v>
      </c>
      <c r="N69" s="408" t="s">
        <v>17</v>
      </c>
      <c r="O69" s="325">
        <f t="shared" si="5"/>
        <v>0</v>
      </c>
      <c r="P69" s="325">
        <f t="shared" si="6"/>
        <v>0</v>
      </c>
      <c r="Q69" s="325">
        <f t="shared" si="7"/>
        <v>0</v>
      </c>
      <c r="R69" s="325">
        <f t="shared" si="2"/>
        <v>0</v>
      </c>
      <c r="S69" s="325">
        <f t="shared" si="3"/>
        <v>37</v>
      </c>
      <c r="T69" s="325">
        <f t="shared" si="8"/>
        <v>37</v>
      </c>
      <c r="U69" s="325">
        <f t="shared" si="4"/>
        <v>2786.37</v>
      </c>
      <c r="V69" s="325">
        <f t="shared" si="9"/>
        <v>0</v>
      </c>
      <c r="W69" s="449" cm="1">
        <f t="array" ref="W69">+IF(U69&lt;0,error,0)</f>
        <v>0</v>
      </c>
    </row>
    <row r="70" spans="1:23" ht="18" customHeight="1" x14ac:dyDescent="0.2">
      <c r="A70" s="402" t="s">
        <v>139</v>
      </c>
      <c r="B70" s="403"/>
      <c r="C70" s="404" t="s">
        <v>133</v>
      </c>
      <c r="D70" s="405">
        <v>43059</v>
      </c>
      <c r="E70" s="406"/>
      <c r="F70" s="325"/>
      <c r="G70" s="324"/>
      <c r="H70" s="324">
        <v>5210.82</v>
      </c>
      <c r="I70" s="325">
        <v>4870.82</v>
      </c>
      <c r="J70" s="325">
        <v>0</v>
      </c>
      <c r="K70" s="325">
        <f t="shared" si="0"/>
        <v>0</v>
      </c>
      <c r="L70" s="325">
        <f t="shared" si="1"/>
        <v>0</v>
      </c>
      <c r="M70" s="407">
        <v>2.5</v>
      </c>
      <c r="N70" s="408" t="s">
        <v>17</v>
      </c>
      <c r="O70" s="325">
        <f t="shared" si="5"/>
        <v>0</v>
      </c>
      <c r="P70" s="325">
        <f t="shared" si="6"/>
        <v>0</v>
      </c>
      <c r="Q70" s="325">
        <f t="shared" si="7"/>
        <v>0</v>
      </c>
      <c r="R70" s="325">
        <f t="shared" si="2"/>
        <v>0</v>
      </c>
      <c r="S70" s="325">
        <f t="shared" si="3"/>
        <v>65</v>
      </c>
      <c r="T70" s="325">
        <f t="shared" si="8"/>
        <v>65</v>
      </c>
      <c r="U70" s="325">
        <f t="shared" si="4"/>
        <v>4805.82</v>
      </c>
      <c r="V70" s="325">
        <f t="shared" si="9"/>
        <v>0</v>
      </c>
      <c r="W70" s="449" cm="1">
        <f t="array" ref="W70">+IF(U70&lt;0,error,0)</f>
        <v>0</v>
      </c>
    </row>
    <row r="71" spans="1:23" ht="18" customHeight="1" x14ac:dyDescent="0.2">
      <c r="A71" s="402" t="s">
        <v>140</v>
      </c>
      <c r="B71" s="403"/>
      <c r="C71" s="412" t="s">
        <v>141</v>
      </c>
      <c r="D71" s="405">
        <v>43069</v>
      </c>
      <c r="E71" s="406"/>
      <c r="F71" s="325"/>
      <c r="G71" s="324"/>
      <c r="H71" s="324">
        <v>2679.5</v>
      </c>
      <c r="I71" s="325">
        <v>2507.5</v>
      </c>
      <c r="J71" s="325">
        <v>0</v>
      </c>
      <c r="K71" s="325">
        <f t="shared" si="0"/>
        <v>0</v>
      </c>
      <c r="L71" s="325">
        <f t="shared" si="1"/>
        <v>0</v>
      </c>
      <c r="M71" s="407">
        <v>2.5</v>
      </c>
      <c r="N71" s="408" t="s">
        <v>17</v>
      </c>
      <c r="O71" s="325">
        <f t="shared" si="5"/>
        <v>0</v>
      </c>
      <c r="P71" s="325">
        <f t="shared" si="6"/>
        <v>0</v>
      </c>
      <c r="Q71" s="325">
        <f t="shared" si="7"/>
        <v>0</v>
      </c>
      <c r="R71" s="325">
        <f t="shared" si="2"/>
        <v>0</v>
      </c>
      <c r="S71" s="325">
        <f t="shared" si="3"/>
        <v>33</v>
      </c>
      <c r="T71" s="325">
        <f t="shared" si="8"/>
        <v>33</v>
      </c>
      <c r="U71" s="325">
        <f t="shared" si="4"/>
        <v>2474.5</v>
      </c>
      <c r="V71" s="325">
        <f t="shared" si="9"/>
        <v>0</v>
      </c>
      <c r="W71" s="449" cm="1">
        <f t="array" ref="W71">+IF(U71&lt;0,error,0)</f>
        <v>0</v>
      </c>
    </row>
    <row r="72" spans="1:23" ht="18" customHeight="1" x14ac:dyDescent="0.2">
      <c r="A72" s="402" t="s">
        <v>142</v>
      </c>
      <c r="B72" s="403"/>
      <c r="C72" s="411" t="s">
        <v>143</v>
      </c>
      <c r="D72" s="405">
        <v>43100</v>
      </c>
      <c r="E72" s="406"/>
      <c r="F72" s="325"/>
      <c r="G72" s="324"/>
      <c r="H72" s="324">
        <v>4158</v>
      </c>
      <c r="I72" s="325">
        <v>3900</v>
      </c>
      <c r="J72" s="325">
        <v>0</v>
      </c>
      <c r="K72" s="325">
        <f t="shared" ref="K72:K135" si="10">INT(IF($E72&gt;0,IF(+F72-I72+Q72&lt;0,0,+F72-I72+Q72),0))</f>
        <v>0</v>
      </c>
      <c r="L72" s="325">
        <f t="shared" ref="L72:L135" si="11">INT(IF($E72&gt;0,IF(K72=0,-F72+I72-Q72,0),0))</f>
        <v>0</v>
      </c>
      <c r="M72" s="407">
        <v>2.5</v>
      </c>
      <c r="N72" s="408" t="s">
        <v>17</v>
      </c>
      <c r="O72" s="325">
        <f t="shared" si="5"/>
        <v>0</v>
      </c>
      <c r="P72" s="325">
        <f t="shared" si="6"/>
        <v>0</v>
      </c>
      <c r="Q72" s="325">
        <f t="shared" si="7"/>
        <v>0</v>
      </c>
      <c r="R72" s="325">
        <f t="shared" ref="R72:R135" si="12">INT(IF($E72&gt;0,0,(IF($N72="D",IF($D72&lt;$H$3,$I72*($M72/100)*$U$3/12,$J72*($M72/100)*($J$3-$D72)/365),0))))</f>
        <v>0</v>
      </c>
      <c r="S72" s="325">
        <f t="shared" ref="S72:S135" si="13">INT(IF($E72&gt;0,0,(IF($N72="P",IF($D72&lt;$H$3,$H72*($M72/100)*$U$3/12,$J72*($M72/100)*($J$3-$D72)/365),0))))</f>
        <v>51</v>
      </c>
      <c r="T72" s="325">
        <f t="shared" si="8"/>
        <v>51</v>
      </c>
      <c r="U72" s="325">
        <f t="shared" ref="U72:U135" si="14">+I72+J72-T72-F72+K72-L72</f>
        <v>3849</v>
      </c>
      <c r="V72" s="325">
        <f t="shared" si="9"/>
        <v>0</v>
      </c>
      <c r="W72" s="449" cm="1">
        <f t="array" ref="W72">+IF(U72&lt;0,error,0)</f>
        <v>0</v>
      </c>
    </row>
    <row r="73" spans="1:23" ht="18" customHeight="1" x14ac:dyDescent="0.2">
      <c r="A73" s="402" t="s">
        <v>144</v>
      </c>
      <c r="B73" s="403"/>
      <c r="C73" s="404" t="s">
        <v>145</v>
      </c>
      <c r="D73" s="405">
        <v>43146</v>
      </c>
      <c r="E73" s="406"/>
      <c r="F73" s="325"/>
      <c r="G73" s="324"/>
      <c r="H73" s="324">
        <v>1217.99</v>
      </c>
      <c r="I73" s="325">
        <v>1146.99</v>
      </c>
      <c r="J73" s="325">
        <v>0</v>
      </c>
      <c r="K73" s="325">
        <f t="shared" si="10"/>
        <v>0</v>
      </c>
      <c r="L73" s="325">
        <f t="shared" si="11"/>
        <v>0</v>
      </c>
      <c r="M73" s="407">
        <v>2.5</v>
      </c>
      <c r="N73" s="408" t="s">
        <v>17</v>
      </c>
      <c r="O73" s="325">
        <f t="shared" ref="O73:O136" si="15">IF(E73&gt;0,INT(IF($N73="D",IF($D73&lt;$H$3,$I73*($M73/100)*((E73-$H$3)/365),$J73*($M73/100)*($J$3-$D73)/365),0)),0)</f>
        <v>0</v>
      </c>
      <c r="P73" s="325">
        <f t="shared" ref="P73:P136" si="16">IF(E73&gt;0,INT(IF($N73="P",IF($D73&lt;$H$3,$H73*($M73/100)*(E73-$H$3)/365,$J73*($M73/100)*($J$3-$D73)/365),0)),0)</f>
        <v>0</v>
      </c>
      <c r="Q73" s="325">
        <f t="shared" ref="Q73:Q136" si="17">+O73+P73</f>
        <v>0</v>
      </c>
      <c r="R73" s="325">
        <f t="shared" si="12"/>
        <v>0</v>
      </c>
      <c r="S73" s="325">
        <f t="shared" si="13"/>
        <v>15</v>
      </c>
      <c r="T73" s="325">
        <f t="shared" ref="T73:T136" si="18">+R73+S73+Q73</f>
        <v>15</v>
      </c>
      <c r="U73" s="325">
        <f t="shared" si="14"/>
        <v>1131.99</v>
      </c>
      <c r="V73" s="325">
        <f t="shared" ref="V73:V136" si="19">IF(E73&gt;0,+H73+J73,0)</f>
        <v>0</v>
      </c>
      <c r="W73" s="449" cm="1">
        <f t="array" ref="W73">+IF(U73&lt;0,error,0)</f>
        <v>0</v>
      </c>
    </row>
    <row r="74" spans="1:23" ht="18" customHeight="1" x14ac:dyDescent="0.2">
      <c r="A74" s="402" t="s">
        <v>146</v>
      </c>
      <c r="B74" s="403"/>
      <c r="C74" s="404" t="s">
        <v>147</v>
      </c>
      <c r="D74" s="405">
        <v>42917</v>
      </c>
      <c r="E74" s="406"/>
      <c r="F74" s="325"/>
      <c r="G74" s="324"/>
      <c r="H74" s="324">
        <v>4836</v>
      </c>
      <c r="I74" s="325">
        <v>4474</v>
      </c>
      <c r="J74" s="325">
        <v>0</v>
      </c>
      <c r="K74" s="325">
        <f t="shared" si="10"/>
        <v>0</v>
      </c>
      <c r="L74" s="325">
        <f t="shared" si="11"/>
        <v>0</v>
      </c>
      <c r="M74" s="407">
        <v>2.5</v>
      </c>
      <c r="N74" s="408" t="s">
        <v>17</v>
      </c>
      <c r="O74" s="325">
        <f t="shared" si="15"/>
        <v>0</v>
      </c>
      <c r="P74" s="325">
        <f t="shared" si="16"/>
        <v>0</v>
      </c>
      <c r="Q74" s="325">
        <f t="shared" si="17"/>
        <v>0</v>
      </c>
      <c r="R74" s="325">
        <f t="shared" si="12"/>
        <v>0</v>
      </c>
      <c r="S74" s="325">
        <f t="shared" si="13"/>
        <v>60</v>
      </c>
      <c r="T74" s="325">
        <f t="shared" si="18"/>
        <v>60</v>
      </c>
      <c r="U74" s="325">
        <f t="shared" si="14"/>
        <v>4414</v>
      </c>
      <c r="V74" s="325">
        <f t="shared" si="19"/>
        <v>0</v>
      </c>
      <c r="W74" s="449" cm="1">
        <f t="array" ref="W74">+IF(U74&lt;0,error,0)</f>
        <v>0</v>
      </c>
    </row>
    <row r="75" spans="1:23" ht="18" customHeight="1" x14ac:dyDescent="0.2">
      <c r="A75" s="402" t="s">
        <v>148</v>
      </c>
      <c r="B75" s="403"/>
      <c r="C75" s="412" t="s">
        <v>149</v>
      </c>
      <c r="D75" s="405">
        <v>43220</v>
      </c>
      <c r="E75" s="406"/>
      <c r="F75" s="325"/>
      <c r="G75" s="324"/>
      <c r="H75" s="324">
        <v>2542</v>
      </c>
      <c r="I75" s="325">
        <v>2405</v>
      </c>
      <c r="J75" s="325">
        <v>0</v>
      </c>
      <c r="K75" s="325">
        <f t="shared" si="10"/>
        <v>0</v>
      </c>
      <c r="L75" s="325">
        <f t="shared" si="11"/>
        <v>0</v>
      </c>
      <c r="M75" s="407">
        <v>2.5</v>
      </c>
      <c r="N75" s="408" t="s">
        <v>17</v>
      </c>
      <c r="O75" s="325">
        <f t="shared" si="15"/>
        <v>0</v>
      </c>
      <c r="P75" s="325">
        <f t="shared" si="16"/>
        <v>0</v>
      </c>
      <c r="Q75" s="325">
        <f t="shared" si="17"/>
        <v>0</v>
      </c>
      <c r="R75" s="325">
        <f t="shared" si="12"/>
        <v>0</v>
      </c>
      <c r="S75" s="325">
        <f t="shared" si="13"/>
        <v>31</v>
      </c>
      <c r="T75" s="325">
        <f t="shared" si="18"/>
        <v>31</v>
      </c>
      <c r="U75" s="325">
        <f t="shared" si="14"/>
        <v>2374</v>
      </c>
      <c r="V75" s="325">
        <f t="shared" si="19"/>
        <v>0</v>
      </c>
      <c r="W75" s="449" cm="1">
        <f t="array" ref="W75">+IF(U75&lt;0,error,0)</f>
        <v>0</v>
      </c>
    </row>
    <row r="76" spans="1:23" ht="18" customHeight="1" x14ac:dyDescent="0.2">
      <c r="A76" s="402" t="s">
        <v>150</v>
      </c>
      <c r="B76" s="403"/>
      <c r="C76" s="411" t="s">
        <v>151</v>
      </c>
      <c r="D76" s="405">
        <v>43220</v>
      </c>
      <c r="E76" s="406"/>
      <c r="F76" s="325"/>
      <c r="G76" s="324"/>
      <c r="H76" s="324">
        <v>1848</v>
      </c>
      <c r="I76" s="325">
        <v>1749</v>
      </c>
      <c r="J76" s="325">
        <v>0</v>
      </c>
      <c r="K76" s="325">
        <f t="shared" si="10"/>
        <v>0</v>
      </c>
      <c r="L76" s="325">
        <f t="shared" si="11"/>
        <v>0</v>
      </c>
      <c r="M76" s="407">
        <v>2.5</v>
      </c>
      <c r="N76" s="408" t="s">
        <v>17</v>
      </c>
      <c r="O76" s="325">
        <f t="shared" si="15"/>
        <v>0</v>
      </c>
      <c r="P76" s="325">
        <f t="shared" si="16"/>
        <v>0</v>
      </c>
      <c r="Q76" s="325">
        <f t="shared" si="17"/>
        <v>0</v>
      </c>
      <c r="R76" s="325">
        <f t="shared" si="12"/>
        <v>0</v>
      </c>
      <c r="S76" s="325">
        <f t="shared" si="13"/>
        <v>23</v>
      </c>
      <c r="T76" s="325">
        <f t="shared" si="18"/>
        <v>23</v>
      </c>
      <c r="U76" s="325">
        <f t="shared" si="14"/>
        <v>1726</v>
      </c>
      <c r="V76" s="325">
        <f t="shared" si="19"/>
        <v>0</v>
      </c>
      <c r="W76" s="449" cm="1">
        <f t="array" ref="W76">+IF(U76&lt;0,error,0)</f>
        <v>0</v>
      </c>
    </row>
    <row r="77" spans="1:23" ht="18" customHeight="1" x14ac:dyDescent="0.2">
      <c r="A77" s="402" t="s">
        <v>152</v>
      </c>
      <c r="B77" s="403"/>
      <c r="C77" s="404" t="s">
        <v>153</v>
      </c>
      <c r="D77" s="405">
        <v>43220</v>
      </c>
      <c r="E77" s="406"/>
      <c r="F77" s="325"/>
      <c r="G77" s="324"/>
      <c r="H77" s="324">
        <v>3342.07</v>
      </c>
      <c r="I77" s="325">
        <v>3163.07</v>
      </c>
      <c r="J77" s="325">
        <v>0</v>
      </c>
      <c r="K77" s="325">
        <f t="shared" si="10"/>
        <v>0</v>
      </c>
      <c r="L77" s="325">
        <f t="shared" si="11"/>
        <v>0</v>
      </c>
      <c r="M77" s="407">
        <v>2.5</v>
      </c>
      <c r="N77" s="408" t="s">
        <v>17</v>
      </c>
      <c r="O77" s="325">
        <f t="shared" si="15"/>
        <v>0</v>
      </c>
      <c r="P77" s="325">
        <f t="shared" si="16"/>
        <v>0</v>
      </c>
      <c r="Q77" s="325">
        <f t="shared" si="17"/>
        <v>0</v>
      </c>
      <c r="R77" s="325">
        <f t="shared" si="12"/>
        <v>0</v>
      </c>
      <c r="S77" s="325">
        <f t="shared" si="13"/>
        <v>41</v>
      </c>
      <c r="T77" s="325">
        <f t="shared" si="18"/>
        <v>41</v>
      </c>
      <c r="U77" s="325">
        <f t="shared" si="14"/>
        <v>3122.07</v>
      </c>
      <c r="V77" s="325">
        <f t="shared" si="19"/>
        <v>0</v>
      </c>
      <c r="W77" s="449" cm="1">
        <f t="array" ref="W77">+IF(U77&lt;0,error,0)</f>
        <v>0</v>
      </c>
    </row>
    <row r="78" spans="1:23" ht="18" customHeight="1" x14ac:dyDescent="0.2">
      <c r="A78" s="402" t="s">
        <v>154</v>
      </c>
      <c r="B78" s="403"/>
      <c r="C78" s="404" t="s">
        <v>155</v>
      </c>
      <c r="D78" s="405">
        <v>43251</v>
      </c>
      <c r="E78" s="406"/>
      <c r="F78" s="325"/>
      <c r="G78" s="324"/>
      <c r="H78" s="324">
        <v>2883</v>
      </c>
      <c r="I78" s="325">
        <v>2733</v>
      </c>
      <c r="J78" s="325">
        <v>0</v>
      </c>
      <c r="K78" s="325">
        <f t="shared" si="10"/>
        <v>0</v>
      </c>
      <c r="L78" s="325">
        <f t="shared" si="11"/>
        <v>0</v>
      </c>
      <c r="M78" s="407">
        <v>2.5</v>
      </c>
      <c r="N78" s="408" t="s">
        <v>17</v>
      </c>
      <c r="O78" s="325">
        <f t="shared" si="15"/>
        <v>0</v>
      </c>
      <c r="P78" s="325">
        <f t="shared" si="16"/>
        <v>0</v>
      </c>
      <c r="Q78" s="325">
        <f t="shared" si="17"/>
        <v>0</v>
      </c>
      <c r="R78" s="325">
        <f t="shared" si="12"/>
        <v>0</v>
      </c>
      <c r="S78" s="325">
        <f t="shared" si="13"/>
        <v>36</v>
      </c>
      <c r="T78" s="325">
        <f t="shared" si="18"/>
        <v>36</v>
      </c>
      <c r="U78" s="325">
        <f t="shared" si="14"/>
        <v>2697</v>
      </c>
      <c r="V78" s="325">
        <f t="shared" si="19"/>
        <v>0</v>
      </c>
      <c r="W78" s="449" cm="1">
        <f t="array" ref="W78">+IF(U78&lt;0,error,0)</f>
        <v>0</v>
      </c>
    </row>
    <row r="79" spans="1:23" ht="18" customHeight="1" x14ac:dyDescent="0.2">
      <c r="A79" s="402" t="s">
        <v>156</v>
      </c>
      <c r="B79" s="403"/>
      <c r="C79" s="404" t="s">
        <v>157</v>
      </c>
      <c r="D79" s="405">
        <v>43251</v>
      </c>
      <c r="E79" s="406"/>
      <c r="F79" s="325"/>
      <c r="G79" s="324"/>
      <c r="H79" s="324">
        <v>2108</v>
      </c>
      <c r="I79" s="325">
        <v>2000</v>
      </c>
      <c r="J79" s="325">
        <v>0</v>
      </c>
      <c r="K79" s="325">
        <f t="shared" si="10"/>
        <v>0</v>
      </c>
      <c r="L79" s="325">
        <f t="shared" si="11"/>
        <v>0</v>
      </c>
      <c r="M79" s="407">
        <v>2.5</v>
      </c>
      <c r="N79" s="408" t="s">
        <v>17</v>
      </c>
      <c r="O79" s="325">
        <f t="shared" si="15"/>
        <v>0</v>
      </c>
      <c r="P79" s="325">
        <f t="shared" si="16"/>
        <v>0</v>
      </c>
      <c r="Q79" s="325">
        <f t="shared" si="17"/>
        <v>0</v>
      </c>
      <c r="R79" s="325">
        <f t="shared" si="12"/>
        <v>0</v>
      </c>
      <c r="S79" s="325">
        <f t="shared" si="13"/>
        <v>26</v>
      </c>
      <c r="T79" s="325">
        <f t="shared" si="18"/>
        <v>26</v>
      </c>
      <c r="U79" s="325">
        <f t="shared" si="14"/>
        <v>1974</v>
      </c>
      <c r="V79" s="325">
        <f t="shared" si="19"/>
        <v>0</v>
      </c>
      <c r="W79" s="449" cm="1">
        <f t="array" ref="W79">+IF(U79&lt;0,error,0)</f>
        <v>0</v>
      </c>
    </row>
    <row r="80" spans="1:23" ht="18" customHeight="1" x14ac:dyDescent="0.2">
      <c r="A80" s="402" t="s">
        <v>158</v>
      </c>
      <c r="B80" s="403"/>
      <c r="C80" s="404" t="s">
        <v>53</v>
      </c>
      <c r="D80" s="405">
        <v>43281</v>
      </c>
      <c r="E80" s="406"/>
      <c r="F80" s="325"/>
      <c r="G80" s="324"/>
      <c r="H80" s="324">
        <v>2604</v>
      </c>
      <c r="I80" s="325">
        <v>2475</v>
      </c>
      <c r="J80" s="325">
        <v>0</v>
      </c>
      <c r="K80" s="325">
        <f t="shared" si="10"/>
        <v>0</v>
      </c>
      <c r="L80" s="325">
        <f t="shared" si="11"/>
        <v>0</v>
      </c>
      <c r="M80" s="407">
        <v>2.5</v>
      </c>
      <c r="N80" s="408" t="s">
        <v>17</v>
      </c>
      <c r="O80" s="325">
        <f t="shared" si="15"/>
        <v>0</v>
      </c>
      <c r="P80" s="325">
        <f t="shared" si="16"/>
        <v>0</v>
      </c>
      <c r="Q80" s="325">
        <f t="shared" si="17"/>
        <v>0</v>
      </c>
      <c r="R80" s="325">
        <f t="shared" si="12"/>
        <v>0</v>
      </c>
      <c r="S80" s="325">
        <f t="shared" si="13"/>
        <v>32</v>
      </c>
      <c r="T80" s="325">
        <f t="shared" si="18"/>
        <v>32</v>
      </c>
      <c r="U80" s="325">
        <f t="shared" si="14"/>
        <v>2443</v>
      </c>
      <c r="V80" s="325">
        <f t="shared" si="19"/>
        <v>0</v>
      </c>
      <c r="W80" s="449" cm="1">
        <f t="array" ref="W80">+IF(U80&lt;0,error,0)</f>
        <v>0</v>
      </c>
    </row>
    <row r="81" spans="1:23" ht="18" customHeight="1" x14ac:dyDescent="0.2">
      <c r="A81" s="402" t="s">
        <v>159</v>
      </c>
      <c r="B81" s="403"/>
      <c r="C81" s="404" t="s">
        <v>160</v>
      </c>
      <c r="D81" s="405">
        <v>43165</v>
      </c>
      <c r="E81" s="406"/>
      <c r="F81" s="325"/>
      <c r="G81" s="324"/>
      <c r="H81" s="324">
        <v>2315.2400000000002</v>
      </c>
      <c r="I81" s="325">
        <v>2183.2400000000002</v>
      </c>
      <c r="J81" s="325">
        <v>0</v>
      </c>
      <c r="K81" s="325">
        <f t="shared" si="10"/>
        <v>0</v>
      </c>
      <c r="L81" s="325">
        <f t="shared" si="11"/>
        <v>0</v>
      </c>
      <c r="M81" s="407">
        <v>2.5</v>
      </c>
      <c r="N81" s="408" t="s">
        <v>17</v>
      </c>
      <c r="O81" s="325">
        <f t="shared" si="15"/>
        <v>0</v>
      </c>
      <c r="P81" s="325">
        <f t="shared" si="16"/>
        <v>0</v>
      </c>
      <c r="Q81" s="325">
        <f t="shared" si="17"/>
        <v>0</v>
      </c>
      <c r="R81" s="325">
        <f t="shared" si="12"/>
        <v>0</v>
      </c>
      <c r="S81" s="325">
        <f t="shared" si="13"/>
        <v>28</v>
      </c>
      <c r="T81" s="325">
        <f t="shared" si="18"/>
        <v>28</v>
      </c>
      <c r="U81" s="325">
        <f t="shared" si="14"/>
        <v>2155.2400000000002</v>
      </c>
      <c r="V81" s="325">
        <f t="shared" si="19"/>
        <v>0</v>
      </c>
      <c r="W81" s="449" cm="1">
        <f t="array" ref="W81">+IF(U81&lt;0,error,0)</f>
        <v>0</v>
      </c>
    </row>
    <row r="82" spans="1:23" ht="18" customHeight="1" x14ac:dyDescent="0.2">
      <c r="A82" s="402" t="s">
        <v>161</v>
      </c>
      <c r="B82" s="403"/>
      <c r="C82" s="404" t="s">
        <v>162</v>
      </c>
      <c r="D82" s="405">
        <v>43186</v>
      </c>
      <c r="E82" s="406"/>
      <c r="F82" s="325"/>
      <c r="G82" s="324"/>
      <c r="H82" s="324">
        <v>6455.62</v>
      </c>
      <c r="I82" s="325">
        <v>6091.62</v>
      </c>
      <c r="J82" s="325">
        <v>0</v>
      </c>
      <c r="K82" s="325">
        <f t="shared" si="10"/>
        <v>0</v>
      </c>
      <c r="L82" s="325">
        <f t="shared" si="11"/>
        <v>0</v>
      </c>
      <c r="M82" s="407">
        <v>2.5</v>
      </c>
      <c r="N82" s="408" t="s">
        <v>17</v>
      </c>
      <c r="O82" s="325">
        <f t="shared" si="15"/>
        <v>0</v>
      </c>
      <c r="P82" s="325">
        <f t="shared" si="16"/>
        <v>0</v>
      </c>
      <c r="Q82" s="325">
        <f t="shared" si="17"/>
        <v>0</v>
      </c>
      <c r="R82" s="325">
        <f t="shared" si="12"/>
        <v>0</v>
      </c>
      <c r="S82" s="325">
        <f t="shared" si="13"/>
        <v>80</v>
      </c>
      <c r="T82" s="325">
        <f t="shared" si="18"/>
        <v>80</v>
      </c>
      <c r="U82" s="325">
        <f t="shared" si="14"/>
        <v>6011.62</v>
      </c>
      <c r="V82" s="325">
        <f t="shared" si="19"/>
        <v>0</v>
      </c>
      <c r="W82" s="449" cm="1">
        <f t="array" ref="W82">+IF(U82&lt;0,error,0)</f>
        <v>0</v>
      </c>
    </row>
    <row r="83" spans="1:23" ht="18" customHeight="1" x14ac:dyDescent="0.2">
      <c r="A83" s="402" t="s">
        <v>163</v>
      </c>
      <c r="B83" s="403"/>
      <c r="C83" s="404" t="s">
        <v>164</v>
      </c>
      <c r="D83" s="405">
        <v>43263</v>
      </c>
      <c r="E83" s="406"/>
      <c r="F83" s="325"/>
      <c r="G83" s="324"/>
      <c r="H83" s="324">
        <v>68376.94</v>
      </c>
      <c r="I83" s="325">
        <v>64865.94</v>
      </c>
      <c r="J83" s="325">
        <v>0</v>
      </c>
      <c r="K83" s="325">
        <f t="shared" si="10"/>
        <v>0</v>
      </c>
      <c r="L83" s="325">
        <f t="shared" si="11"/>
        <v>0</v>
      </c>
      <c r="M83" s="407">
        <v>2.5</v>
      </c>
      <c r="N83" s="408" t="s">
        <v>17</v>
      </c>
      <c r="O83" s="325">
        <f t="shared" si="15"/>
        <v>0</v>
      </c>
      <c r="P83" s="325">
        <f t="shared" si="16"/>
        <v>0</v>
      </c>
      <c r="Q83" s="325">
        <f t="shared" si="17"/>
        <v>0</v>
      </c>
      <c r="R83" s="325">
        <f t="shared" si="12"/>
        <v>0</v>
      </c>
      <c r="S83" s="325">
        <f t="shared" si="13"/>
        <v>854</v>
      </c>
      <c r="T83" s="325">
        <f t="shared" si="18"/>
        <v>854</v>
      </c>
      <c r="U83" s="325">
        <f t="shared" si="14"/>
        <v>64011.94</v>
      </c>
      <c r="V83" s="325">
        <f t="shared" si="19"/>
        <v>0</v>
      </c>
      <c r="W83" s="449" cm="1">
        <f t="array" ref="W83">+IF(U83&lt;0,error,0)</f>
        <v>0</v>
      </c>
    </row>
    <row r="84" spans="1:23" ht="18" customHeight="1" x14ac:dyDescent="0.2">
      <c r="A84" s="402" t="s">
        <v>165</v>
      </c>
      <c r="B84" s="403"/>
      <c r="C84" s="404" t="s">
        <v>166</v>
      </c>
      <c r="D84" s="405">
        <v>42989</v>
      </c>
      <c r="E84" s="406"/>
      <c r="F84" s="325"/>
      <c r="G84" s="324"/>
      <c r="H84" s="324">
        <v>805.6</v>
      </c>
      <c r="I84" s="325">
        <v>750.6</v>
      </c>
      <c r="J84" s="325">
        <v>0</v>
      </c>
      <c r="K84" s="325">
        <f t="shared" si="10"/>
        <v>0</v>
      </c>
      <c r="L84" s="325">
        <f t="shared" si="11"/>
        <v>0</v>
      </c>
      <c r="M84" s="407">
        <v>2.5</v>
      </c>
      <c r="N84" s="408" t="s">
        <v>17</v>
      </c>
      <c r="O84" s="325">
        <f t="shared" si="15"/>
        <v>0</v>
      </c>
      <c r="P84" s="325">
        <f t="shared" si="16"/>
        <v>0</v>
      </c>
      <c r="Q84" s="325">
        <f t="shared" si="17"/>
        <v>0</v>
      </c>
      <c r="R84" s="325">
        <f t="shared" si="12"/>
        <v>0</v>
      </c>
      <c r="S84" s="325">
        <f t="shared" si="13"/>
        <v>10</v>
      </c>
      <c r="T84" s="325">
        <f t="shared" si="18"/>
        <v>10</v>
      </c>
      <c r="U84" s="325">
        <f t="shared" si="14"/>
        <v>740.6</v>
      </c>
      <c r="V84" s="325">
        <f t="shared" si="19"/>
        <v>0</v>
      </c>
      <c r="W84" s="449" cm="1">
        <f t="array" ref="W84">+IF(U84&lt;0,error,0)</f>
        <v>0</v>
      </c>
    </row>
    <row r="85" spans="1:23" ht="18" customHeight="1" x14ac:dyDescent="0.2">
      <c r="A85" s="402" t="s">
        <v>167</v>
      </c>
      <c r="B85" s="403"/>
      <c r="C85" s="404" t="s">
        <v>168</v>
      </c>
      <c r="D85" s="405">
        <v>43019</v>
      </c>
      <c r="E85" s="406"/>
      <c r="F85" s="325"/>
      <c r="G85" s="324"/>
      <c r="H85" s="324">
        <v>636</v>
      </c>
      <c r="I85" s="325">
        <v>595</v>
      </c>
      <c r="J85" s="325">
        <v>0</v>
      </c>
      <c r="K85" s="325">
        <f t="shared" si="10"/>
        <v>0</v>
      </c>
      <c r="L85" s="325">
        <f t="shared" si="11"/>
        <v>0</v>
      </c>
      <c r="M85" s="407">
        <v>2.5</v>
      </c>
      <c r="N85" s="408" t="s">
        <v>17</v>
      </c>
      <c r="O85" s="325">
        <f t="shared" si="15"/>
        <v>0</v>
      </c>
      <c r="P85" s="325">
        <f t="shared" si="16"/>
        <v>0</v>
      </c>
      <c r="Q85" s="325">
        <f t="shared" si="17"/>
        <v>0</v>
      </c>
      <c r="R85" s="325">
        <f t="shared" si="12"/>
        <v>0</v>
      </c>
      <c r="S85" s="325">
        <f t="shared" si="13"/>
        <v>7</v>
      </c>
      <c r="T85" s="325">
        <f t="shared" si="18"/>
        <v>7</v>
      </c>
      <c r="U85" s="325">
        <f t="shared" si="14"/>
        <v>588</v>
      </c>
      <c r="V85" s="325">
        <f t="shared" si="19"/>
        <v>0</v>
      </c>
      <c r="W85" s="449" cm="1">
        <f t="array" ref="W85">+IF(U85&lt;0,error,0)</f>
        <v>0</v>
      </c>
    </row>
    <row r="86" spans="1:23" ht="18" customHeight="1" x14ac:dyDescent="0.2">
      <c r="A86" s="402" t="s">
        <v>169</v>
      </c>
      <c r="B86" s="403"/>
      <c r="C86" s="404" t="s">
        <v>170</v>
      </c>
      <c r="D86" s="405">
        <v>43069</v>
      </c>
      <c r="E86" s="406"/>
      <c r="F86" s="325"/>
      <c r="G86" s="324"/>
      <c r="H86" s="324">
        <v>472.5</v>
      </c>
      <c r="I86" s="325">
        <v>444.5</v>
      </c>
      <c r="J86" s="325">
        <v>0</v>
      </c>
      <c r="K86" s="325">
        <f t="shared" si="10"/>
        <v>0</v>
      </c>
      <c r="L86" s="325">
        <f t="shared" si="11"/>
        <v>0</v>
      </c>
      <c r="M86" s="407">
        <v>2.5</v>
      </c>
      <c r="N86" s="408" t="s">
        <v>17</v>
      </c>
      <c r="O86" s="325">
        <f t="shared" si="15"/>
        <v>0</v>
      </c>
      <c r="P86" s="325">
        <f t="shared" si="16"/>
        <v>0</v>
      </c>
      <c r="Q86" s="325">
        <f t="shared" si="17"/>
        <v>0</v>
      </c>
      <c r="R86" s="325">
        <f t="shared" si="12"/>
        <v>0</v>
      </c>
      <c r="S86" s="325">
        <f t="shared" si="13"/>
        <v>5</v>
      </c>
      <c r="T86" s="325">
        <f t="shared" si="18"/>
        <v>5</v>
      </c>
      <c r="U86" s="325">
        <f t="shared" si="14"/>
        <v>439.5</v>
      </c>
      <c r="V86" s="325">
        <f t="shared" si="19"/>
        <v>0</v>
      </c>
      <c r="W86" s="449" cm="1">
        <f t="array" ref="W86">+IF(U86&lt;0,error,0)</f>
        <v>0</v>
      </c>
    </row>
    <row r="87" spans="1:23" ht="18" customHeight="1" x14ac:dyDescent="0.2">
      <c r="A87" s="402" t="s">
        <v>171</v>
      </c>
      <c r="B87" s="403"/>
      <c r="C87" s="404" t="s">
        <v>172</v>
      </c>
      <c r="D87" s="405">
        <v>43008</v>
      </c>
      <c r="E87" s="406"/>
      <c r="F87" s="325"/>
      <c r="G87" s="324"/>
      <c r="H87" s="324">
        <v>945</v>
      </c>
      <c r="I87" s="325">
        <v>882</v>
      </c>
      <c r="J87" s="325">
        <v>0</v>
      </c>
      <c r="K87" s="325">
        <f t="shared" si="10"/>
        <v>0</v>
      </c>
      <c r="L87" s="325">
        <f t="shared" si="11"/>
        <v>0</v>
      </c>
      <c r="M87" s="407">
        <v>2.5</v>
      </c>
      <c r="N87" s="408" t="s">
        <v>17</v>
      </c>
      <c r="O87" s="325">
        <f t="shared" si="15"/>
        <v>0</v>
      </c>
      <c r="P87" s="325">
        <f t="shared" si="16"/>
        <v>0</v>
      </c>
      <c r="Q87" s="325">
        <f t="shared" si="17"/>
        <v>0</v>
      </c>
      <c r="R87" s="325">
        <f t="shared" si="12"/>
        <v>0</v>
      </c>
      <c r="S87" s="325">
        <f t="shared" si="13"/>
        <v>11</v>
      </c>
      <c r="T87" s="325">
        <f t="shared" si="18"/>
        <v>11</v>
      </c>
      <c r="U87" s="325">
        <f t="shared" si="14"/>
        <v>871</v>
      </c>
      <c r="V87" s="325">
        <f t="shared" si="19"/>
        <v>0</v>
      </c>
      <c r="W87" s="449" cm="1">
        <f t="array" ref="W87">+IF(U87&lt;0,error,0)</f>
        <v>0</v>
      </c>
    </row>
    <row r="88" spans="1:23" ht="18" customHeight="1" x14ac:dyDescent="0.2">
      <c r="A88" s="402" t="s">
        <v>173</v>
      </c>
      <c r="B88" s="403"/>
      <c r="C88" s="404" t="s">
        <v>174</v>
      </c>
      <c r="D88" s="405">
        <v>43077</v>
      </c>
      <c r="E88" s="406"/>
      <c r="F88" s="325"/>
      <c r="G88" s="324"/>
      <c r="H88" s="324">
        <v>650</v>
      </c>
      <c r="I88" s="325">
        <v>609</v>
      </c>
      <c r="J88" s="325">
        <v>0</v>
      </c>
      <c r="K88" s="325">
        <f t="shared" si="10"/>
        <v>0</v>
      </c>
      <c r="L88" s="325">
        <f t="shared" si="11"/>
        <v>0</v>
      </c>
      <c r="M88" s="407">
        <v>2.5</v>
      </c>
      <c r="N88" s="408" t="s">
        <v>17</v>
      </c>
      <c r="O88" s="325">
        <f t="shared" si="15"/>
        <v>0</v>
      </c>
      <c r="P88" s="325">
        <f t="shared" si="16"/>
        <v>0</v>
      </c>
      <c r="Q88" s="325">
        <f t="shared" si="17"/>
        <v>0</v>
      </c>
      <c r="R88" s="325">
        <f t="shared" si="12"/>
        <v>0</v>
      </c>
      <c r="S88" s="325">
        <f t="shared" si="13"/>
        <v>8</v>
      </c>
      <c r="T88" s="325">
        <f t="shared" si="18"/>
        <v>8</v>
      </c>
      <c r="U88" s="325">
        <f t="shared" si="14"/>
        <v>601</v>
      </c>
      <c r="V88" s="325">
        <f t="shared" si="19"/>
        <v>0</v>
      </c>
      <c r="W88" s="449" cm="1">
        <f t="array" ref="W88">+IF(U88&lt;0,error,0)</f>
        <v>0</v>
      </c>
    </row>
    <row r="89" spans="1:23" ht="18" customHeight="1" x14ac:dyDescent="0.2">
      <c r="A89" s="402" t="s">
        <v>175</v>
      </c>
      <c r="B89" s="403"/>
      <c r="C89" s="412" t="s">
        <v>176</v>
      </c>
      <c r="D89" s="405">
        <v>43116</v>
      </c>
      <c r="E89" s="406"/>
      <c r="F89" s="325"/>
      <c r="G89" s="324"/>
      <c r="H89" s="324">
        <v>420</v>
      </c>
      <c r="I89" s="325">
        <v>395</v>
      </c>
      <c r="J89" s="325">
        <v>0</v>
      </c>
      <c r="K89" s="325">
        <f t="shared" si="10"/>
        <v>0</v>
      </c>
      <c r="L89" s="325">
        <f t="shared" si="11"/>
        <v>0</v>
      </c>
      <c r="M89" s="407">
        <v>2.5</v>
      </c>
      <c r="N89" s="408" t="s">
        <v>17</v>
      </c>
      <c r="O89" s="325">
        <f t="shared" si="15"/>
        <v>0</v>
      </c>
      <c r="P89" s="325">
        <f t="shared" si="16"/>
        <v>0</v>
      </c>
      <c r="Q89" s="325">
        <f t="shared" si="17"/>
        <v>0</v>
      </c>
      <c r="R89" s="325">
        <f t="shared" si="12"/>
        <v>0</v>
      </c>
      <c r="S89" s="325">
        <f t="shared" si="13"/>
        <v>5</v>
      </c>
      <c r="T89" s="325">
        <f t="shared" si="18"/>
        <v>5</v>
      </c>
      <c r="U89" s="325">
        <f t="shared" si="14"/>
        <v>390</v>
      </c>
      <c r="V89" s="325">
        <f t="shared" si="19"/>
        <v>0</v>
      </c>
      <c r="W89" s="449" cm="1">
        <f t="array" ref="W89">+IF(U89&lt;0,error,0)</f>
        <v>0</v>
      </c>
    </row>
    <row r="90" spans="1:23" ht="18" customHeight="1" x14ac:dyDescent="0.2">
      <c r="A90" s="402" t="s">
        <v>177</v>
      </c>
      <c r="B90" s="403"/>
      <c r="C90" s="411" t="s">
        <v>178</v>
      </c>
      <c r="D90" s="405">
        <v>43182</v>
      </c>
      <c r="E90" s="406"/>
      <c r="F90" s="325"/>
      <c r="G90" s="324"/>
      <c r="H90" s="324">
        <v>740</v>
      </c>
      <c r="I90" s="325">
        <v>699</v>
      </c>
      <c r="J90" s="325">
        <v>0</v>
      </c>
      <c r="K90" s="325">
        <f t="shared" si="10"/>
        <v>0</v>
      </c>
      <c r="L90" s="325">
        <f t="shared" si="11"/>
        <v>0</v>
      </c>
      <c r="M90" s="407">
        <v>2.5</v>
      </c>
      <c r="N90" s="408" t="s">
        <v>17</v>
      </c>
      <c r="O90" s="325">
        <f t="shared" si="15"/>
        <v>0</v>
      </c>
      <c r="P90" s="325">
        <f t="shared" si="16"/>
        <v>0</v>
      </c>
      <c r="Q90" s="325">
        <f t="shared" si="17"/>
        <v>0</v>
      </c>
      <c r="R90" s="325">
        <f t="shared" si="12"/>
        <v>0</v>
      </c>
      <c r="S90" s="325">
        <f t="shared" si="13"/>
        <v>9</v>
      </c>
      <c r="T90" s="325">
        <f t="shared" si="18"/>
        <v>9</v>
      </c>
      <c r="U90" s="325">
        <f t="shared" si="14"/>
        <v>690</v>
      </c>
      <c r="V90" s="325">
        <f t="shared" si="19"/>
        <v>0</v>
      </c>
      <c r="W90" s="449" cm="1">
        <f t="array" ref="W90">+IF(U90&lt;0,error,0)</f>
        <v>0</v>
      </c>
    </row>
    <row r="91" spans="1:23" ht="18" customHeight="1" x14ac:dyDescent="0.2">
      <c r="A91" s="402" t="s">
        <v>179</v>
      </c>
      <c r="B91" s="403"/>
      <c r="C91" s="412" t="s">
        <v>180</v>
      </c>
      <c r="D91" s="405">
        <v>43034</v>
      </c>
      <c r="E91" s="406"/>
      <c r="F91" s="325"/>
      <c r="G91" s="324"/>
      <c r="H91" s="324">
        <v>910</v>
      </c>
      <c r="I91" s="325">
        <v>850</v>
      </c>
      <c r="J91" s="325">
        <v>0</v>
      </c>
      <c r="K91" s="325">
        <f t="shared" si="10"/>
        <v>0</v>
      </c>
      <c r="L91" s="325">
        <f t="shared" si="11"/>
        <v>0</v>
      </c>
      <c r="M91" s="407">
        <v>2.5</v>
      </c>
      <c r="N91" s="408" t="s">
        <v>17</v>
      </c>
      <c r="O91" s="325">
        <f t="shared" si="15"/>
        <v>0</v>
      </c>
      <c r="P91" s="325">
        <f t="shared" si="16"/>
        <v>0</v>
      </c>
      <c r="Q91" s="325">
        <f t="shared" si="17"/>
        <v>0</v>
      </c>
      <c r="R91" s="325">
        <f t="shared" si="12"/>
        <v>0</v>
      </c>
      <c r="S91" s="325">
        <f t="shared" si="13"/>
        <v>11</v>
      </c>
      <c r="T91" s="325">
        <f t="shared" si="18"/>
        <v>11</v>
      </c>
      <c r="U91" s="325">
        <f t="shared" si="14"/>
        <v>839</v>
      </c>
      <c r="V91" s="325">
        <f t="shared" si="19"/>
        <v>0</v>
      </c>
      <c r="W91" s="449" cm="1">
        <f t="array" ref="W91">+IF(U91&lt;0,error,0)</f>
        <v>0</v>
      </c>
    </row>
    <row r="92" spans="1:23" ht="18" customHeight="1" x14ac:dyDescent="0.2">
      <c r="A92" s="402" t="s">
        <v>181</v>
      </c>
      <c r="B92" s="403"/>
      <c r="C92" s="411" t="s">
        <v>145</v>
      </c>
      <c r="D92" s="405">
        <v>43068</v>
      </c>
      <c r="E92" s="406"/>
      <c r="F92" s="325"/>
      <c r="G92" s="324"/>
      <c r="H92" s="324">
        <v>499.40000000000003</v>
      </c>
      <c r="I92" s="325">
        <v>468.40000000000003</v>
      </c>
      <c r="J92" s="325">
        <v>0</v>
      </c>
      <c r="K92" s="325">
        <f t="shared" si="10"/>
        <v>0</v>
      </c>
      <c r="L92" s="325">
        <f t="shared" si="11"/>
        <v>0</v>
      </c>
      <c r="M92" s="407">
        <v>2.5</v>
      </c>
      <c r="N92" s="408" t="s">
        <v>17</v>
      </c>
      <c r="O92" s="325">
        <f t="shared" si="15"/>
        <v>0</v>
      </c>
      <c r="P92" s="325">
        <f t="shared" si="16"/>
        <v>0</v>
      </c>
      <c r="Q92" s="325">
        <f t="shared" si="17"/>
        <v>0</v>
      </c>
      <c r="R92" s="325">
        <f t="shared" si="12"/>
        <v>0</v>
      </c>
      <c r="S92" s="325">
        <f t="shared" si="13"/>
        <v>6</v>
      </c>
      <c r="T92" s="325">
        <f t="shared" si="18"/>
        <v>6</v>
      </c>
      <c r="U92" s="325">
        <f t="shared" si="14"/>
        <v>462.40000000000003</v>
      </c>
      <c r="V92" s="325">
        <f t="shared" si="19"/>
        <v>0</v>
      </c>
      <c r="W92" s="449" cm="1">
        <f t="array" ref="W92">+IF(U92&lt;0,error,0)</f>
        <v>0</v>
      </c>
    </row>
    <row r="93" spans="1:23" ht="18" customHeight="1" x14ac:dyDescent="0.2">
      <c r="A93" s="402" t="s">
        <v>182</v>
      </c>
      <c r="B93" s="403"/>
      <c r="C93" s="404" t="s">
        <v>183</v>
      </c>
      <c r="D93" s="405">
        <v>43152</v>
      </c>
      <c r="E93" s="406"/>
      <c r="F93" s="325"/>
      <c r="G93" s="324"/>
      <c r="H93" s="324">
        <v>810</v>
      </c>
      <c r="I93" s="325">
        <v>764</v>
      </c>
      <c r="J93" s="325">
        <v>0</v>
      </c>
      <c r="K93" s="325">
        <f t="shared" si="10"/>
        <v>0</v>
      </c>
      <c r="L93" s="325">
        <f t="shared" si="11"/>
        <v>0</v>
      </c>
      <c r="M93" s="407">
        <v>2.5</v>
      </c>
      <c r="N93" s="408" t="s">
        <v>17</v>
      </c>
      <c r="O93" s="325">
        <f t="shared" si="15"/>
        <v>0</v>
      </c>
      <c r="P93" s="325">
        <f t="shared" si="16"/>
        <v>0</v>
      </c>
      <c r="Q93" s="325">
        <f t="shared" si="17"/>
        <v>0</v>
      </c>
      <c r="R93" s="325">
        <f t="shared" si="12"/>
        <v>0</v>
      </c>
      <c r="S93" s="325">
        <f t="shared" si="13"/>
        <v>10</v>
      </c>
      <c r="T93" s="325">
        <f t="shared" si="18"/>
        <v>10</v>
      </c>
      <c r="U93" s="325">
        <f t="shared" si="14"/>
        <v>754</v>
      </c>
      <c r="V93" s="325">
        <f t="shared" si="19"/>
        <v>0</v>
      </c>
      <c r="W93" s="449" cm="1">
        <f t="array" ref="W93">+IF(U93&lt;0,error,0)</f>
        <v>0</v>
      </c>
    </row>
    <row r="94" spans="1:23" ht="18" customHeight="1" x14ac:dyDescent="0.2">
      <c r="A94" s="402" t="s">
        <v>184</v>
      </c>
      <c r="B94" s="403"/>
      <c r="C94" s="404" t="s">
        <v>185</v>
      </c>
      <c r="D94" s="405">
        <v>43249</v>
      </c>
      <c r="E94" s="406"/>
      <c r="F94" s="325"/>
      <c r="G94" s="324"/>
      <c r="H94" s="324">
        <v>722.39</v>
      </c>
      <c r="I94" s="325">
        <v>684.39</v>
      </c>
      <c r="J94" s="325">
        <v>0</v>
      </c>
      <c r="K94" s="325">
        <f t="shared" si="10"/>
        <v>0</v>
      </c>
      <c r="L94" s="325">
        <f t="shared" si="11"/>
        <v>0</v>
      </c>
      <c r="M94" s="407">
        <v>2.5</v>
      </c>
      <c r="N94" s="408" t="s">
        <v>17</v>
      </c>
      <c r="O94" s="325">
        <f t="shared" si="15"/>
        <v>0</v>
      </c>
      <c r="P94" s="325">
        <f t="shared" si="16"/>
        <v>0</v>
      </c>
      <c r="Q94" s="325">
        <f t="shared" si="17"/>
        <v>0</v>
      </c>
      <c r="R94" s="325">
        <f t="shared" si="12"/>
        <v>0</v>
      </c>
      <c r="S94" s="325">
        <f t="shared" si="13"/>
        <v>9</v>
      </c>
      <c r="T94" s="325">
        <f t="shared" si="18"/>
        <v>9</v>
      </c>
      <c r="U94" s="325">
        <f t="shared" si="14"/>
        <v>675.39</v>
      </c>
      <c r="V94" s="325">
        <f t="shared" si="19"/>
        <v>0</v>
      </c>
      <c r="W94" s="449" cm="1">
        <f t="array" ref="W94">+IF(U94&lt;0,error,0)</f>
        <v>0</v>
      </c>
    </row>
    <row r="95" spans="1:23" ht="18" customHeight="1" x14ac:dyDescent="0.2">
      <c r="A95" s="402" t="s">
        <v>186</v>
      </c>
      <c r="B95" s="403"/>
      <c r="C95" s="404" t="s">
        <v>187</v>
      </c>
      <c r="D95" s="405">
        <v>43264</v>
      </c>
      <c r="E95" s="406"/>
      <c r="F95" s="325"/>
      <c r="G95" s="324"/>
      <c r="H95" s="324">
        <v>310</v>
      </c>
      <c r="I95" s="325">
        <v>296</v>
      </c>
      <c r="J95" s="325">
        <v>0</v>
      </c>
      <c r="K95" s="325">
        <f t="shared" si="10"/>
        <v>0</v>
      </c>
      <c r="L95" s="325">
        <f t="shared" si="11"/>
        <v>0</v>
      </c>
      <c r="M95" s="407">
        <v>2.5</v>
      </c>
      <c r="N95" s="408" t="s">
        <v>17</v>
      </c>
      <c r="O95" s="325">
        <f t="shared" si="15"/>
        <v>0</v>
      </c>
      <c r="P95" s="325">
        <f t="shared" si="16"/>
        <v>0</v>
      </c>
      <c r="Q95" s="325">
        <f t="shared" si="17"/>
        <v>0</v>
      </c>
      <c r="R95" s="325">
        <f t="shared" si="12"/>
        <v>0</v>
      </c>
      <c r="S95" s="325">
        <f t="shared" si="13"/>
        <v>3</v>
      </c>
      <c r="T95" s="325">
        <f t="shared" si="18"/>
        <v>3</v>
      </c>
      <c r="U95" s="325">
        <f t="shared" si="14"/>
        <v>293</v>
      </c>
      <c r="V95" s="325">
        <f t="shared" si="19"/>
        <v>0</v>
      </c>
      <c r="W95" s="449" cm="1">
        <f t="array" ref="W95">+IF(U95&lt;0,error,0)</f>
        <v>0</v>
      </c>
    </row>
    <row r="96" spans="1:23" ht="18" customHeight="1" x14ac:dyDescent="0.2">
      <c r="A96" s="402" t="s">
        <v>188</v>
      </c>
      <c r="B96" s="403"/>
      <c r="C96" s="404" t="s">
        <v>189</v>
      </c>
      <c r="D96" s="405">
        <v>43281</v>
      </c>
      <c r="E96" s="406"/>
      <c r="F96" s="325"/>
      <c r="G96" s="324"/>
      <c r="H96" s="324">
        <v>434</v>
      </c>
      <c r="I96" s="325">
        <v>412</v>
      </c>
      <c r="J96" s="325">
        <v>0</v>
      </c>
      <c r="K96" s="325">
        <f t="shared" si="10"/>
        <v>0</v>
      </c>
      <c r="L96" s="325">
        <f t="shared" si="11"/>
        <v>0</v>
      </c>
      <c r="M96" s="407">
        <v>2.5</v>
      </c>
      <c r="N96" s="408" t="s">
        <v>17</v>
      </c>
      <c r="O96" s="325">
        <f t="shared" si="15"/>
        <v>0</v>
      </c>
      <c r="P96" s="325">
        <f t="shared" si="16"/>
        <v>0</v>
      </c>
      <c r="Q96" s="325">
        <f t="shared" si="17"/>
        <v>0</v>
      </c>
      <c r="R96" s="325">
        <f t="shared" si="12"/>
        <v>0</v>
      </c>
      <c r="S96" s="325">
        <f t="shared" si="13"/>
        <v>5</v>
      </c>
      <c r="T96" s="325">
        <f t="shared" si="18"/>
        <v>5</v>
      </c>
      <c r="U96" s="325">
        <f t="shared" si="14"/>
        <v>407</v>
      </c>
      <c r="V96" s="325">
        <f t="shared" si="19"/>
        <v>0</v>
      </c>
      <c r="W96" s="449" cm="1">
        <f t="array" ref="W96">+IF(U96&lt;0,error,0)</f>
        <v>0</v>
      </c>
    </row>
    <row r="97" spans="1:23" ht="18" customHeight="1" x14ac:dyDescent="0.2">
      <c r="A97" s="402" t="s">
        <v>190</v>
      </c>
      <c r="B97" s="403"/>
      <c r="C97" s="412" t="s">
        <v>191</v>
      </c>
      <c r="D97" s="405">
        <v>42989</v>
      </c>
      <c r="E97" s="406"/>
      <c r="F97" s="325"/>
      <c r="G97" s="324"/>
      <c r="H97" s="324">
        <v>190</v>
      </c>
      <c r="I97" s="325">
        <v>178</v>
      </c>
      <c r="J97" s="325">
        <v>0</v>
      </c>
      <c r="K97" s="325">
        <f t="shared" si="10"/>
        <v>0</v>
      </c>
      <c r="L97" s="325">
        <f t="shared" si="11"/>
        <v>0</v>
      </c>
      <c r="M97" s="407">
        <v>2.5</v>
      </c>
      <c r="N97" s="408" t="s">
        <v>17</v>
      </c>
      <c r="O97" s="325">
        <f t="shared" si="15"/>
        <v>0</v>
      </c>
      <c r="P97" s="325">
        <f t="shared" si="16"/>
        <v>0</v>
      </c>
      <c r="Q97" s="325">
        <f t="shared" si="17"/>
        <v>0</v>
      </c>
      <c r="R97" s="325">
        <f t="shared" si="12"/>
        <v>0</v>
      </c>
      <c r="S97" s="325">
        <f t="shared" si="13"/>
        <v>2</v>
      </c>
      <c r="T97" s="325">
        <f t="shared" si="18"/>
        <v>2</v>
      </c>
      <c r="U97" s="325">
        <f t="shared" si="14"/>
        <v>176</v>
      </c>
      <c r="V97" s="325">
        <f t="shared" si="19"/>
        <v>0</v>
      </c>
      <c r="W97" s="449" cm="1">
        <f t="array" ref="W97">+IF(U97&lt;0,error,0)</f>
        <v>0</v>
      </c>
    </row>
    <row r="98" spans="1:23" ht="18" customHeight="1" x14ac:dyDescent="0.2">
      <c r="A98" s="402" t="s">
        <v>192</v>
      </c>
      <c r="B98" s="403"/>
      <c r="C98" s="412" t="s">
        <v>193</v>
      </c>
      <c r="D98" s="405">
        <v>42992</v>
      </c>
      <c r="E98" s="406"/>
      <c r="F98" s="325"/>
      <c r="G98" s="324"/>
      <c r="H98" s="324">
        <v>42.4</v>
      </c>
      <c r="I98" s="325">
        <v>40.4</v>
      </c>
      <c r="J98" s="325">
        <v>0</v>
      </c>
      <c r="K98" s="325">
        <f t="shared" si="10"/>
        <v>0</v>
      </c>
      <c r="L98" s="325">
        <f t="shared" si="11"/>
        <v>0</v>
      </c>
      <c r="M98" s="407">
        <v>2.5</v>
      </c>
      <c r="N98" s="408" t="s">
        <v>17</v>
      </c>
      <c r="O98" s="325">
        <f t="shared" si="15"/>
        <v>0</v>
      </c>
      <c r="P98" s="325">
        <f t="shared" si="16"/>
        <v>0</v>
      </c>
      <c r="Q98" s="325">
        <f t="shared" si="17"/>
        <v>0</v>
      </c>
      <c r="R98" s="325">
        <f t="shared" si="12"/>
        <v>0</v>
      </c>
      <c r="S98" s="325">
        <f t="shared" si="13"/>
        <v>0</v>
      </c>
      <c r="T98" s="325">
        <f t="shared" si="18"/>
        <v>0</v>
      </c>
      <c r="U98" s="325">
        <f t="shared" si="14"/>
        <v>40.4</v>
      </c>
      <c r="V98" s="325">
        <f t="shared" si="19"/>
        <v>0</v>
      </c>
      <c r="W98" s="449" cm="1">
        <f t="array" ref="W98">+IF(U98&lt;0,error,0)</f>
        <v>0</v>
      </c>
    </row>
    <row r="99" spans="1:23" ht="18" customHeight="1" x14ac:dyDescent="0.2">
      <c r="A99" s="402" t="s">
        <v>194</v>
      </c>
      <c r="B99" s="403"/>
      <c r="C99" s="412" t="s">
        <v>195</v>
      </c>
      <c r="D99" s="405">
        <v>42998</v>
      </c>
      <c r="E99" s="406"/>
      <c r="F99" s="325"/>
      <c r="G99" s="324"/>
      <c r="H99" s="324">
        <v>242</v>
      </c>
      <c r="I99" s="325">
        <v>225</v>
      </c>
      <c r="J99" s="325">
        <v>0</v>
      </c>
      <c r="K99" s="325">
        <f t="shared" si="10"/>
        <v>0</v>
      </c>
      <c r="L99" s="325">
        <f t="shared" si="11"/>
        <v>0</v>
      </c>
      <c r="M99" s="407">
        <v>2.5</v>
      </c>
      <c r="N99" s="408" t="s">
        <v>17</v>
      </c>
      <c r="O99" s="325">
        <f t="shared" si="15"/>
        <v>0</v>
      </c>
      <c r="P99" s="325">
        <f t="shared" si="16"/>
        <v>0</v>
      </c>
      <c r="Q99" s="325">
        <f t="shared" si="17"/>
        <v>0</v>
      </c>
      <c r="R99" s="325">
        <f t="shared" si="12"/>
        <v>0</v>
      </c>
      <c r="S99" s="325">
        <f t="shared" si="13"/>
        <v>3</v>
      </c>
      <c r="T99" s="325">
        <f t="shared" si="18"/>
        <v>3</v>
      </c>
      <c r="U99" s="325">
        <f t="shared" si="14"/>
        <v>222</v>
      </c>
      <c r="V99" s="325">
        <f t="shared" si="19"/>
        <v>0</v>
      </c>
      <c r="W99" s="449" cm="1">
        <f t="array" ref="W99">+IF(U99&lt;0,error,0)</f>
        <v>0</v>
      </c>
    </row>
    <row r="100" spans="1:23" ht="18" customHeight="1" x14ac:dyDescent="0.2">
      <c r="A100" s="402" t="s">
        <v>196</v>
      </c>
      <c r="B100" s="403"/>
      <c r="C100" s="412" t="s">
        <v>197</v>
      </c>
      <c r="D100" s="405">
        <v>43257</v>
      </c>
      <c r="E100" s="406"/>
      <c r="F100" s="325"/>
      <c r="G100" s="324"/>
      <c r="H100" s="324">
        <v>259.2</v>
      </c>
      <c r="I100" s="325">
        <v>246.2</v>
      </c>
      <c r="J100" s="325">
        <v>0</v>
      </c>
      <c r="K100" s="325">
        <f t="shared" si="10"/>
        <v>0</v>
      </c>
      <c r="L100" s="325">
        <f t="shared" si="11"/>
        <v>0</v>
      </c>
      <c r="M100" s="407">
        <v>2.5</v>
      </c>
      <c r="N100" s="408" t="s">
        <v>17</v>
      </c>
      <c r="O100" s="325">
        <f t="shared" si="15"/>
        <v>0</v>
      </c>
      <c r="P100" s="325">
        <f t="shared" si="16"/>
        <v>0</v>
      </c>
      <c r="Q100" s="325">
        <f t="shared" si="17"/>
        <v>0</v>
      </c>
      <c r="R100" s="325">
        <f t="shared" si="12"/>
        <v>0</v>
      </c>
      <c r="S100" s="325">
        <f t="shared" si="13"/>
        <v>3</v>
      </c>
      <c r="T100" s="325">
        <f t="shared" si="18"/>
        <v>3</v>
      </c>
      <c r="U100" s="325">
        <f t="shared" si="14"/>
        <v>243.2</v>
      </c>
      <c r="V100" s="325">
        <f t="shared" si="19"/>
        <v>0</v>
      </c>
      <c r="W100" s="449" cm="1">
        <f t="array" ref="W100">+IF(U100&lt;0,error,0)</f>
        <v>0</v>
      </c>
    </row>
    <row r="101" spans="1:23" ht="18" customHeight="1" x14ac:dyDescent="0.2">
      <c r="A101" s="402" t="s">
        <v>198</v>
      </c>
      <c r="B101" s="403"/>
      <c r="C101" s="411" t="s">
        <v>199</v>
      </c>
      <c r="D101" s="405">
        <v>43020</v>
      </c>
      <c r="E101" s="406"/>
      <c r="F101" s="325"/>
      <c r="G101" s="324"/>
      <c r="H101" s="324">
        <v>160</v>
      </c>
      <c r="I101" s="325">
        <v>149</v>
      </c>
      <c r="J101" s="325">
        <v>0</v>
      </c>
      <c r="K101" s="325">
        <f t="shared" si="10"/>
        <v>0</v>
      </c>
      <c r="L101" s="325">
        <f t="shared" si="11"/>
        <v>0</v>
      </c>
      <c r="M101" s="407">
        <v>2.5</v>
      </c>
      <c r="N101" s="408" t="s">
        <v>17</v>
      </c>
      <c r="O101" s="325">
        <f t="shared" si="15"/>
        <v>0</v>
      </c>
      <c r="P101" s="325">
        <f t="shared" si="16"/>
        <v>0</v>
      </c>
      <c r="Q101" s="325">
        <f t="shared" si="17"/>
        <v>0</v>
      </c>
      <c r="R101" s="325">
        <f t="shared" si="12"/>
        <v>0</v>
      </c>
      <c r="S101" s="325">
        <f t="shared" si="13"/>
        <v>2</v>
      </c>
      <c r="T101" s="325">
        <f t="shared" si="18"/>
        <v>2</v>
      </c>
      <c r="U101" s="325">
        <f t="shared" si="14"/>
        <v>147</v>
      </c>
      <c r="V101" s="325">
        <f t="shared" si="19"/>
        <v>0</v>
      </c>
      <c r="W101" s="449" cm="1">
        <f t="array" ref="W101">+IF(U101&lt;0,error,0)</f>
        <v>0</v>
      </c>
    </row>
    <row r="102" spans="1:23" ht="18" customHeight="1" x14ac:dyDescent="0.2">
      <c r="A102" s="402" t="s">
        <v>200</v>
      </c>
      <c r="B102" s="403"/>
      <c r="C102" s="404" t="s">
        <v>201</v>
      </c>
      <c r="D102" s="405">
        <v>43045</v>
      </c>
      <c r="E102" s="406"/>
      <c r="F102" s="325"/>
      <c r="G102" s="324"/>
      <c r="H102" s="324">
        <v>72.11</v>
      </c>
      <c r="I102" s="325">
        <v>69.11</v>
      </c>
      <c r="J102" s="325">
        <v>0</v>
      </c>
      <c r="K102" s="325">
        <f t="shared" si="10"/>
        <v>0</v>
      </c>
      <c r="L102" s="325">
        <f t="shared" si="11"/>
        <v>0</v>
      </c>
      <c r="M102" s="407">
        <v>2.5</v>
      </c>
      <c r="N102" s="408" t="s">
        <v>17</v>
      </c>
      <c r="O102" s="325">
        <f t="shared" si="15"/>
        <v>0</v>
      </c>
      <c r="P102" s="325">
        <f t="shared" si="16"/>
        <v>0</v>
      </c>
      <c r="Q102" s="325">
        <f t="shared" si="17"/>
        <v>0</v>
      </c>
      <c r="R102" s="325">
        <f t="shared" si="12"/>
        <v>0</v>
      </c>
      <c r="S102" s="325">
        <f t="shared" si="13"/>
        <v>0</v>
      </c>
      <c r="T102" s="325">
        <f t="shared" si="18"/>
        <v>0</v>
      </c>
      <c r="U102" s="325">
        <f t="shared" si="14"/>
        <v>69.11</v>
      </c>
      <c r="V102" s="325">
        <f t="shared" si="19"/>
        <v>0</v>
      </c>
      <c r="W102" s="449" cm="1">
        <f t="array" ref="W102">+IF(U102&lt;0,error,0)</f>
        <v>0</v>
      </c>
    </row>
    <row r="103" spans="1:23" ht="18" customHeight="1" x14ac:dyDescent="0.2">
      <c r="A103" s="402" t="s">
        <v>202</v>
      </c>
      <c r="B103" s="403"/>
      <c r="C103" s="412" t="s">
        <v>203</v>
      </c>
      <c r="D103" s="405">
        <v>43045</v>
      </c>
      <c r="E103" s="406"/>
      <c r="F103" s="325"/>
      <c r="G103" s="324"/>
      <c r="H103" s="324">
        <v>4.84</v>
      </c>
      <c r="I103" s="325">
        <v>2.84</v>
      </c>
      <c r="J103" s="325">
        <v>0</v>
      </c>
      <c r="K103" s="325">
        <f t="shared" si="10"/>
        <v>0</v>
      </c>
      <c r="L103" s="325">
        <f t="shared" si="11"/>
        <v>0</v>
      </c>
      <c r="M103" s="407">
        <v>2.5</v>
      </c>
      <c r="N103" s="408" t="s">
        <v>17</v>
      </c>
      <c r="O103" s="325">
        <f t="shared" si="15"/>
        <v>0</v>
      </c>
      <c r="P103" s="325">
        <f t="shared" si="16"/>
        <v>0</v>
      </c>
      <c r="Q103" s="325">
        <f t="shared" si="17"/>
        <v>0</v>
      </c>
      <c r="R103" s="325">
        <f t="shared" si="12"/>
        <v>0</v>
      </c>
      <c r="S103" s="325">
        <f t="shared" si="13"/>
        <v>0</v>
      </c>
      <c r="T103" s="325">
        <f t="shared" si="18"/>
        <v>0</v>
      </c>
      <c r="U103" s="325">
        <f t="shared" si="14"/>
        <v>2.84</v>
      </c>
      <c r="V103" s="325">
        <f t="shared" si="19"/>
        <v>0</v>
      </c>
      <c r="W103" s="449" cm="1">
        <f t="array" ref="W103">+IF(U103&lt;0,error,0)</f>
        <v>0</v>
      </c>
    </row>
    <row r="104" spans="1:23" ht="18" customHeight="1" x14ac:dyDescent="0.2">
      <c r="A104" s="402" t="s">
        <v>204</v>
      </c>
      <c r="B104" s="403"/>
      <c r="C104" s="411" t="s">
        <v>205</v>
      </c>
      <c r="D104" s="405">
        <v>43077</v>
      </c>
      <c r="E104" s="406"/>
      <c r="F104" s="325"/>
      <c r="G104" s="324"/>
      <c r="H104" s="324">
        <v>255.3</v>
      </c>
      <c r="I104" s="325">
        <v>239.3</v>
      </c>
      <c r="J104" s="325">
        <v>0</v>
      </c>
      <c r="K104" s="325">
        <f t="shared" si="10"/>
        <v>0</v>
      </c>
      <c r="L104" s="325">
        <f t="shared" si="11"/>
        <v>0</v>
      </c>
      <c r="M104" s="407">
        <v>2.5</v>
      </c>
      <c r="N104" s="408" t="s">
        <v>17</v>
      </c>
      <c r="O104" s="325">
        <f t="shared" si="15"/>
        <v>0</v>
      </c>
      <c r="P104" s="325">
        <f t="shared" si="16"/>
        <v>0</v>
      </c>
      <c r="Q104" s="325">
        <f t="shared" si="17"/>
        <v>0</v>
      </c>
      <c r="R104" s="325">
        <f t="shared" si="12"/>
        <v>0</v>
      </c>
      <c r="S104" s="325">
        <f t="shared" si="13"/>
        <v>3</v>
      </c>
      <c r="T104" s="325">
        <f t="shared" si="18"/>
        <v>3</v>
      </c>
      <c r="U104" s="325">
        <f t="shared" si="14"/>
        <v>236.3</v>
      </c>
      <c r="V104" s="325">
        <f t="shared" si="19"/>
        <v>0</v>
      </c>
      <c r="W104" s="449" cm="1">
        <f t="array" ref="W104">+IF(U104&lt;0,error,0)</f>
        <v>0</v>
      </c>
    </row>
    <row r="105" spans="1:23" ht="18" customHeight="1" x14ac:dyDescent="0.2">
      <c r="A105" s="402" t="s">
        <v>206</v>
      </c>
      <c r="B105" s="403"/>
      <c r="C105" s="404" t="s">
        <v>207</v>
      </c>
      <c r="D105" s="405">
        <v>43271</v>
      </c>
      <c r="E105" s="406"/>
      <c r="F105" s="325"/>
      <c r="G105" s="324"/>
      <c r="H105" s="324">
        <v>109.18</v>
      </c>
      <c r="I105" s="325">
        <v>104.18</v>
      </c>
      <c r="J105" s="325">
        <v>0</v>
      </c>
      <c r="K105" s="325">
        <f t="shared" si="10"/>
        <v>0</v>
      </c>
      <c r="L105" s="325">
        <f t="shared" si="11"/>
        <v>0</v>
      </c>
      <c r="M105" s="407">
        <v>2.5</v>
      </c>
      <c r="N105" s="408" t="s">
        <v>17</v>
      </c>
      <c r="O105" s="325">
        <f t="shared" si="15"/>
        <v>0</v>
      </c>
      <c r="P105" s="325">
        <f t="shared" si="16"/>
        <v>0</v>
      </c>
      <c r="Q105" s="325">
        <f t="shared" si="17"/>
        <v>0</v>
      </c>
      <c r="R105" s="325">
        <f t="shared" si="12"/>
        <v>0</v>
      </c>
      <c r="S105" s="325">
        <f t="shared" si="13"/>
        <v>1</v>
      </c>
      <c r="T105" s="325">
        <f t="shared" si="18"/>
        <v>1</v>
      </c>
      <c r="U105" s="325">
        <f t="shared" si="14"/>
        <v>103.18</v>
      </c>
      <c r="V105" s="325">
        <f t="shared" si="19"/>
        <v>0</v>
      </c>
      <c r="W105" s="449" cm="1">
        <f t="array" ref="W105">+IF(U105&lt;0,error,0)</f>
        <v>0</v>
      </c>
    </row>
    <row r="106" spans="1:23" ht="18" customHeight="1" x14ac:dyDescent="0.2">
      <c r="A106" s="402" t="s">
        <v>208</v>
      </c>
      <c r="B106" s="403"/>
      <c r="C106" s="404" t="s">
        <v>209</v>
      </c>
      <c r="D106" s="405">
        <v>43269</v>
      </c>
      <c r="E106" s="406"/>
      <c r="F106" s="325"/>
      <c r="G106" s="324"/>
      <c r="H106" s="324">
        <v>163.05000000000001</v>
      </c>
      <c r="I106" s="325">
        <v>154.05000000000001</v>
      </c>
      <c r="J106" s="325">
        <v>0</v>
      </c>
      <c r="K106" s="325">
        <f t="shared" si="10"/>
        <v>0</v>
      </c>
      <c r="L106" s="325">
        <f t="shared" si="11"/>
        <v>0</v>
      </c>
      <c r="M106" s="407">
        <v>2.5</v>
      </c>
      <c r="N106" s="408" t="s">
        <v>17</v>
      </c>
      <c r="O106" s="325">
        <f t="shared" si="15"/>
        <v>0</v>
      </c>
      <c r="P106" s="325">
        <f t="shared" si="16"/>
        <v>0</v>
      </c>
      <c r="Q106" s="325">
        <f t="shared" si="17"/>
        <v>0</v>
      </c>
      <c r="R106" s="325">
        <f t="shared" si="12"/>
        <v>0</v>
      </c>
      <c r="S106" s="325">
        <f t="shared" si="13"/>
        <v>2</v>
      </c>
      <c r="T106" s="325">
        <f t="shared" si="18"/>
        <v>2</v>
      </c>
      <c r="U106" s="325">
        <f t="shared" si="14"/>
        <v>152.05000000000001</v>
      </c>
      <c r="V106" s="325">
        <f t="shared" si="19"/>
        <v>0</v>
      </c>
      <c r="W106" s="449" cm="1">
        <f t="array" ref="W106">+IF(U106&lt;0,error,0)</f>
        <v>0</v>
      </c>
    </row>
    <row r="107" spans="1:23" ht="18" customHeight="1" x14ac:dyDescent="0.2">
      <c r="A107" s="402" t="s">
        <v>210</v>
      </c>
      <c r="B107" s="403"/>
      <c r="C107" s="404" t="s">
        <v>211</v>
      </c>
      <c r="D107" s="405">
        <v>43312</v>
      </c>
      <c r="E107" s="406"/>
      <c r="F107" s="325"/>
      <c r="G107" s="324"/>
      <c r="H107" s="324">
        <v>868</v>
      </c>
      <c r="I107" s="325">
        <v>829</v>
      </c>
      <c r="J107" s="325"/>
      <c r="K107" s="325">
        <f t="shared" si="10"/>
        <v>0</v>
      </c>
      <c r="L107" s="325">
        <f t="shared" si="11"/>
        <v>0</v>
      </c>
      <c r="M107" s="407">
        <v>2.5</v>
      </c>
      <c r="N107" s="408" t="s">
        <v>17</v>
      </c>
      <c r="O107" s="325">
        <f t="shared" si="15"/>
        <v>0</v>
      </c>
      <c r="P107" s="325">
        <f t="shared" si="16"/>
        <v>0</v>
      </c>
      <c r="Q107" s="325">
        <f t="shared" si="17"/>
        <v>0</v>
      </c>
      <c r="R107" s="325">
        <f t="shared" si="12"/>
        <v>0</v>
      </c>
      <c r="S107" s="325">
        <f t="shared" si="13"/>
        <v>10</v>
      </c>
      <c r="T107" s="325">
        <f t="shared" si="18"/>
        <v>10</v>
      </c>
      <c r="U107" s="325">
        <f t="shared" si="14"/>
        <v>819</v>
      </c>
      <c r="V107" s="325">
        <f t="shared" si="19"/>
        <v>0</v>
      </c>
      <c r="W107" s="449" cm="1">
        <f t="array" ref="W107">+IF(U107&lt;0,error,0)</f>
        <v>0</v>
      </c>
    </row>
    <row r="108" spans="1:23" ht="18" customHeight="1" x14ac:dyDescent="0.2">
      <c r="A108" s="402" t="s">
        <v>212</v>
      </c>
      <c r="B108" s="403"/>
      <c r="C108" s="404" t="s">
        <v>213</v>
      </c>
      <c r="D108" s="405">
        <v>43365</v>
      </c>
      <c r="E108" s="406"/>
      <c r="F108" s="325"/>
      <c r="G108" s="324"/>
      <c r="H108" s="324">
        <v>10874.57</v>
      </c>
      <c r="I108" s="325">
        <v>10394.57</v>
      </c>
      <c r="J108" s="325"/>
      <c r="K108" s="325">
        <f t="shared" si="10"/>
        <v>0</v>
      </c>
      <c r="L108" s="325">
        <f t="shared" si="11"/>
        <v>0</v>
      </c>
      <c r="M108" s="407">
        <v>2.5</v>
      </c>
      <c r="N108" s="408" t="s">
        <v>17</v>
      </c>
      <c r="O108" s="325">
        <f t="shared" si="15"/>
        <v>0</v>
      </c>
      <c r="P108" s="325">
        <f t="shared" si="16"/>
        <v>0</v>
      </c>
      <c r="Q108" s="325">
        <f t="shared" si="17"/>
        <v>0</v>
      </c>
      <c r="R108" s="325">
        <f t="shared" si="12"/>
        <v>0</v>
      </c>
      <c r="S108" s="325">
        <f t="shared" si="13"/>
        <v>135</v>
      </c>
      <c r="T108" s="325">
        <f t="shared" si="18"/>
        <v>135</v>
      </c>
      <c r="U108" s="325">
        <f t="shared" si="14"/>
        <v>10259.57</v>
      </c>
      <c r="V108" s="325">
        <f t="shared" si="19"/>
        <v>0</v>
      </c>
      <c r="W108" s="449" cm="1">
        <f t="array" ref="W108">+IF(U108&lt;0,error,0)</f>
        <v>0</v>
      </c>
    </row>
    <row r="109" spans="1:23" ht="18" customHeight="1" x14ac:dyDescent="0.2">
      <c r="A109" s="402" t="s">
        <v>214</v>
      </c>
      <c r="B109" s="403"/>
      <c r="C109" s="404" t="s">
        <v>213</v>
      </c>
      <c r="D109" s="405">
        <v>43370</v>
      </c>
      <c r="E109" s="406"/>
      <c r="F109" s="325"/>
      <c r="G109" s="324"/>
      <c r="H109" s="324">
        <v>3681.65</v>
      </c>
      <c r="I109" s="325">
        <v>3520.65</v>
      </c>
      <c r="J109" s="325"/>
      <c r="K109" s="325">
        <f t="shared" si="10"/>
        <v>0</v>
      </c>
      <c r="L109" s="325">
        <f t="shared" si="11"/>
        <v>0</v>
      </c>
      <c r="M109" s="407">
        <v>2.5</v>
      </c>
      <c r="N109" s="408" t="s">
        <v>17</v>
      </c>
      <c r="O109" s="325">
        <f t="shared" si="15"/>
        <v>0</v>
      </c>
      <c r="P109" s="325">
        <f t="shared" si="16"/>
        <v>0</v>
      </c>
      <c r="Q109" s="325">
        <f t="shared" si="17"/>
        <v>0</v>
      </c>
      <c r="R109" s="325">
        <f t="shared" si="12"/>
        <v>0</v>
      </c>
      <c r="S109" s="325">
        <f t="shared" si="13"/>
        <v>46</v>
      </c>
      <c r="T109" s="325">
        <f t="shared" si="18"/>
        <v>46</v>
      </c>
      <c r="U109" s="325">
        <f t="shared" si="14"/>
        <v>3474.65</v>
      </c>
      <c r="V109" s="325">
        <f t="shared" si="19"/>
        <v>0</v>
      </c>
      <c r="W109" s="449" cm="1">
        <f t="array" ref="W109">+IF(U109&lt;0,error,0)</f>
        <v>0</v>
      </c>
    </row>
    <row r="110" spans="1:23" ht="18" customHeight="1" x14ac:dyDescent="0.2">
      <c r="A110" s="402" t="s">
        <v>215</v>
      </c>
      <c r="B110" s="403"/>
      <c r="C110" s="404" t="s">
        <v>83</v>
      </c>
      <c r="D110" s="405">
        <v>43375</v>
      </c>
      <c r="E110" s="406"/>
      <c r="F110" s="325"/>
      <c r="G110" s="324"/>
      <c r="H110" s="324">
        <v>2735.33</v>
      </c>
      <c r="I110" s="325">
        <v>2617.33</v>
      </c>
      <c r="J110" s="325"/>
      <c r="K110" s="325">
        <f t="shared" si="10"/>
        <v>0</v>
      </c>
      <c r="L110" s="325">
        <f t="shared" si="11"/>
        <v>0</v>
      </c>
      <c r="M110" s="407">
        <v>2.5</v>
      </c>
      <c r="N110" s="408" t="s">
        <v>17</v>
      </c>
      <c r="O110" s="325">
        <f t="shared" si="15"/>
        <v>0</v>
      </c>
      <c r="P110" s="325">
        <f t="shared" si="16"/>
        <v>0</v>
      </c>
      <c r="Q110" s="325">
        <f t="shared" si="17"/>
        <v>0</v>
      </c>
      <c r="R110" s="325">
        <f t="shared" si="12"/>
        <v>0</v>
      </c>
      <c r="S110" s="325">
        <f t="shared" si="13"/>
        <v>34</v>
      </c>
      <c r="T110" s="325">
        <f t="shared" si="18"/>
        <v>34</v>
      </c>
      <c r="U110" s="325">
        <f t="shared" si="14"/>
        <v>2583.33</v>
      </c>
      <c r="V110" s="325">
        <f t="shared" si="19"/>
        <v>0</v>
      </c>
      <c r="W110" s="449" cm="1">
        <f t="array" ref="W110">+IF(U110&lt;0,error,0)</f>
        <v>0</v>
      </c>
    </row>
    <row r="111" spans="1:23" ht="18" customHeight="1" x14ac:dyDescent="0.2">
      <c r="A111" s="402" t="s">
        <v>216</v>
      </c>
      <c r="B111" s="403"/>
      <c r="C111" s="404" t="s">
        <v>217</v>
      </c>
      <c r="D111" s="405">
        <v>43402</v>
      </c>
      <c r="E111" s="406"/>
      <c r="F111" s="325"/>
      <c r="G111" s="324"/>
      <c r="H111" s="324">
        <v>3001.53</v>
      </c>
      <c r="I111" s="325">
        <v>2877.53</v>
      </c>
      <c r="J111" s="325"/>
      <c r="K111" s="325">
        <f t="shared" si="10"/>
        <v>0</v>
      </c>
      <c r="L111" s="325">
        <f t="shared" si="11"/>
        <v>0</v>
      </c>
      <c r="M111" s="407">
        <v>2.5</v>
      </c>
      <c r="N111" s="408" t="s">
        <v>17</v>
      </c>
      <c r="O111" s="325">
        <f t="shared" si="15"/>
        <v>0</v>
      </c>
      <c r="P111" s="325">
        <f t="shared" si="16"/>
        <v>0</v>
      </c>
      <c r="Q111" s="325">
        <f t="shared" si="17"/>
        <v>0</v>
      </c>
      <c r="R111" s="325">
        <f t="shared" si="12"/>
        <v>0</v>
      </c>
      <c r="S111" s="325">
        <f t="shared" si="13"/>
        <v>37</v>
      </c>
      <c r="T111" s="325">
        <f t="shared" si="18"/>
        <v>37</v>
      </c>
      <c r="U111" s="325">
        <f t="shared" si="14"/>
        <v>2840.53</v>
      </c>
      <c r="V111" s="325">
        <f t="shared" si="19"/>
        <v>0</v>
      </c>
      <c r="W111" s="449" cm="1">
        <f t="array" ref="W111">+IF(U111&lt;0,error,0)</f>
        <v>0</v>
      </c>
    </row>
    <row r="112" spans="1:23" ht="18" customHeight="1" x14ac:dyDescent="0.2">
      <c r="A112" s="402" t="s">
        <v>218</v>
      </c>
      <c r="B112" s="403"/>
      <c r="C112" s="404" t="s">
        <v>219</v>
      </c>
      <c r="D112" s="405">
        <v>43403</v>
      </c>
      <c r="E112" s="406"/>
      <c r="F112" s="325"/>
      <c r="G112" s="324"/>
      <c r="H112" s="324">
        <v>650.4</v>
      </c>
      <c r="I112" s="325">
        <v>624.4</v>
      </c>
      <c r="J112" s="325"/>
      <c r="K112" s="325">
        <f t="shared" si="10"/>
        <v>0</v>
      </c>
      <c r="L112" s="325">
        <f t="shared" si="11"/>
        <v>0</v>
      </c>
      <c r="M112" s="407">
        <v>2.5</v>
      </c>
      <c r="N112" s="408" t="s">
        <v>17</v>
      </c>
      <c r="O112" s="325">
        <f t="shared" si="15"/>
        <v>0</v>
      </c>
      <c r="P112" s="325">
        <f t="shared" si="16"/>
        <v>0</v>
      </c>
      <c r="Q112" s="325">
        <f t="shared" si="17"/>
        <v>0</v>
      </c>
      <c r="R112" s="325">
        <f t="shared" si="12"/>
        <v>0</v>
      </c>
      <c r="S112" s="325">
        <f t="shared" si="13"/>
        <v>8</v>
      </c>
      <c r="T112" s="325">
        <f t="shared" si="18"/>
        <v>8</v>
      </c>
      <c r="U112" s="325">
        <f t="shared" si="14"/>
        <v>616.4</v>
      </c>
      <c r="V112" s="325">
        <f t="shared" si="19"/>
        <v>0</v>
      </c>
      <c r="W112" s="449" cm="1">
        <f t="array" ref="W112">+IF(U112&lt;0,error,0)</f>
        <v>0</v>
      </c>
    </row>
    <row r="113" spans="1:23" ht="18" customHeight="1" x14ac:dyDescent="0.2">
      <c r="A113" s="402" t="s">
        <v>220</v>
      </c>
      <c r="B113" s="403"/>
      <c r="C113" s="404" t="s">
        <v>221</v>
      </c>
      <c r="D113" s="405">
        <v>43405</v>
      </c>
      <c r="E113" s="406"/>
      <c r="F113" s="325"/>
      <c r="G113" s="324"/>
      <c r="H113" s="324">
        <v>9691.65</v>
      </c>
      <c r="I113" s="325">
        <v>9288.65</v>
      </c>
      <c r="J113" s="325"/>
      <c r="K113" s="325">
        <f t="shared" si="10"/>
        <v>0</v>
      </c>
      <c r="L113" s="325">
        <f t="shared" si="11"/>
        <v>0</v>
      </c>
      <c r="M113" s="407">
        <v>2.5</v>
      </c>
      <c r="N113" s="408" t="s">
        <v>17</v>
      </c>
      <c r="O113" s="325">
        <f t="shared" si="15"/>
        <v>0</v>
      </c>
      <c r="P113" s="325">
        <f t="shared" si="16"/>
        <v>0</v>
      </c>
      <c r="Q113" s="325">
        <f t="shared" si="17"/>
        <v>0</v>
      </c>
      <c r="R113" s="325">
        <f t="shared" si="12"/>
        <v>0</v>
      </c>
      <c r="S113" s="325">
        <f t="shared" si="13"/>
        <v>121</v>
      </c>
      <c r="T113" s="325">
        <f t="shared" si="18"/>
        <v>121</v>
      </c>
      <c r="U113" s="325">
        <f t="shared" si="14"/>
        <v>9167.65</v>
      </c>
      <c r="V113" s="325">
        <f t="shared" si="19"/>
        <v>0</v>
      </c>
      <c r="W113" s="449" cm="1">
        <f t="array" ref="W113">+IF(U113&lt;0,error,0)</f>
        <v>0</v>
      </c>
    </row>
    <row r="114" spans="1:23" ht="18" customHeight="1" x14ac:dyDescent="0.2">
      <c r="A114" s="402" t="s">
        <v>222</v>
      </c>
      <c r="B114" s="403"/>
      <c r="C114" s="404" t="s">
        <v>223</v>
      </c>
      <c r="D114" s="405">
        <v>43404</v>
      </c>
      <c r="E114" s="406"/>
      <c r="F114" s="325"/>
      <c r="G114" s="324"/>
      <c r="H114" s="324">
        <v>2015</v>
      </c>
      <c r="I114" s="325">
        <v>1932</v>
      </c>
      <c r="J114" s="325"/>
      <c r="K114" s="325">
        <f t="shared" si="10"/>
        <v>0</v>
      </c>
      <c r="L114" s="325">
        <f t="shared" si="11"/>
        <v>0</v>
      </c>
      <c r="M114" s="407">
        <v>2.5</v>
      </c>
      <c r="N114" s="408" t="s">
        <v>17</v>
      </c>
      <c r="O114" s="325">
        <f t="shared" si="15"/>
        <v>0</v>
      </c>
      <c r="P114" s="325">
        <f t="shared" si="16"/>
        <v>0</v>
      </c>
      <c r="Q114" s="325">
        <f t="shared" si="17"/>
        <v>0</v>
      </c>
      <c r="R114" s="325">
        <f t="shared" si="12"/>
        <v>0</v>
      </c>
      <c r="S114" s="325">
        <f t="shared" si="13"/>
        <v>25</v>
      </c>
      <c r="T114" s="325">
        <f t="shared" si="18"/>
        <v>25</v>
      </c>
      <c r="U114" s="325">
        <f t="shared" si="14"/>
        <v>1907</v>
      </c>
      <c r="V114" s="325">
        <f t="shared" si="19"/>
        <v>0</v>
      </c>
      <c r="W114" s="449" cm="1">
        <f t="array" ref="W114">+IF(U114&lt;0,error,0)</f>
        <v>0</v>
      </c>
    </row>
    <row r="115" spans="1:23" ht="18" customHeight="1" x14ac:dyDescent="0.2">
      <c r="A115" s="402" t="s">
        <v>224</v>
      </c>
      <c r="B115" s="403"/>
      <c r="C115" s="404" t="s">
        <v>225</v>
      </c>
      <c r="D115" s="405">
        <v>43431</v>
      </c>
      <c r="E115" s="406"/>
      <c r="F115" s="325"/>
      <c r="G115" s="324"/>
      <c r="H115" s="324">
        <v>941.84</v>
      </c>
      <c r="I115" s="325">
        <v>905.84</v>
      </c>
      <c r="J115" s="325"/>
      <c r="K115" s="325">
        <f t="shared" si="10"/>
        <v>0</v>
      </c>
      <c r="L115" s="325">
        <f t="shared" si="11"/>
        <v>0</v>
      </c>
      <c r="M115" s="407">
        <v>2.5</v>
      </c>
      <c r="N115" s="408" t="s">
        <v>17</v>
      </c>
      <c r="O115" s="325">
        <f t="shared" si="15"/>
        <v>0</v>
      </c>
      <c r="P115" s="325">
        <f t="shared" si="16"/>
        <v>0</v>
      </c>
      <c r="Q115" s="325">
        <f t="shared" si="17"/>
        <v>0</v>
      </c>
      <c r="R115" s="325">
        <f t="shared" si="12"/>
        <v>0</v>
      </c>
      <c r="S115" s="325">
        <f t="shared" si="13"/>
        <v>11</v>
      </c>
      <c r="T115" s="325">
        <f t="shared" si="18"/>
        <v>11</v>
      </c>
      <c r="U115" s="325">
        <f t="shared" si="14"/>
        <v>894.84</v>
      </c>
      <c r="V115" s="325">
        <f t="shared" si="19"/>
        <v>0</v>
      </c>
      <c r="W115" s="449" cm="1">
        <f t="array" ref="W115">+IF(U115&lt;0,error,0)</f>
        <v>0</v>
      </c>
    </row>
    <row r="116" spans="1:23" ht="18" customHeight="1" x14ac:dyDescent="0.2">
      <c r="A116" s="402" t="s">
        <v>226</v>
      </c>
      <c r="B116" s="403"/>
      <c r="C116" s="404" t="s">
        <v>227</v>
      </c>
      <c r="D116" s="405">
        <v>43431</v>
      </c>
      <c r="E116" s="406"/>
      <c r="F116" s="325"/>
      <c r="G116" s="324"/>
      <c r="H116" s="324">
        <v>490</v>
      </c>
      <c r="I116" s="325">
        <v>470</v>
      </c>
      <c r="J116" s="325"/>
      <c r="K116" s="325">
        <f t="shared" si="10"/>
        <v>0</v>
      </c>
      <c r="L116" s="325">
        <f t="shared" si="11"/>
        <v>0</v>
      </c>
      <c r="M116" s="407">
        <v>2.5</v>
      </c>
      <c r="N116" s="408" t="s">
        <v>17</v>
      </c>
      <c r="O116" s="325">
        <f t="shared" si="15"/>
        <v>0</v>
      </c>
      <c r="P116" s="325">
        <f t="shared" si="16"/>
        <v>0</v>
      </c>
      <c r="Q116" s="325">
        <f t="shared" si="17"/>
        <v>0</v>
      </c>
      <c r="R116" s="325">
        <f t="shared" si="12"/>
        <v>0</v>
      </c>
      <c r="S116" s="325">
        <f t="shared" si="13"/>
        <v>6</v>
      </c>
      <c r="T116" s="325">
        <f t="shared" si="18"/>
        <v>6</v>
      </c>
      <c r="U116" s="325">
        <f t="shared" si="14"/>
        <v>464</v>
      </c>
      <c r="V116" s="325">
        <f t="shared" si="19"/>
        <v>0</v>
      </c>
      <c r="W116" s="449" cm="1">
        <f t="array" ref="W116">+IF(U116&lt;0,error,0)</f>
        <v>0</v>
      </c>
    </row>
    <row r="117" spans="1:23" ht="18" customHeight="1" x14ac:dyDescent="0.2">
      <c r="A117" s="402" t="s">
        <v>228</v>
      </c>
      <c r="B117" s="403"/>
      <c r="C117" s="404" t="s">
        <v>229</v>
      </c>
      <c r="D117" s="405">
        <v>43413</v>
      </c>
      <c r="E117" s="406"/>
      <c r="F117" s="325"/>
      <c r="G117" s="324"/>
      <c r="H117" s="324">
        <v>238.67000000000002</v>
      </c>
      <c r="I117" s="325">
        <v>230.67000000000002</v>
      </c>
      <c r="J117" s="325"/>
      <c r="K117" s="325">
        <f t="shared" si="10"/>
        <v>0</v>
      </c>
      <c r="L117" s="325">
        <f t="shared" si="11"/>
        <v>0</v>
      </c>
      <c r="M117" s="407">
        <v>2.5</v>
      </c>
      <c r="N117" s="408" t="s">
        <v>17</v>
      </c>
      <c r="O117" s="325">
        <f t="shared" si="15"/>
        <v>0</v>
      </c>
      <c r="P117" s="325">
        <f t="shared" si="16"/>
        <v>0</v>
      </c>
      <c r="Q117" s="325">
        <f t="shared" si="17"/>
        <v>0</v>
      </c>
      <c r="R117" s="325">
        <f t="shared" si="12"/>
        <v>0</v>
      </c>
      <c r="S117" s="325">
        <f t="shared" si="13"/>
        <v>2</v>
      </c>
      <c r="T117" s="325">
        <f t="shared" si="18"/>
        <v>2</v>
      </c>
      <c r="U117" s="325">
        <f t="shared" si="14"/>
        <v>228.67000000000002</v>
      </c>
      <c r="V117" s="325">
        <f t="shared" si="19"/>
        <v>0</v>
      </c>
      <c r="W117" s="449" cm="1">
        <f t="array" ref="W117">+IF(U117&lt;0,error,0)</f>
        <v>0</v>
      </c>
    </row>
    <row r="118" spans="1:23" ht="18" customHeight="1" x14ac:dyDescent="0.2">
      <c r="A118" s="402" t="s">
        <v>230</v>
      </c>
      <c r="B118" s="403"/>
      <c r="C118" s="404" t="s">
        <v>231</v>
      </c>
      <c r="D118" s="405">
        <v>43402</v>
      </c>
      <c r="E118" s="406"/>
      <c r="F118" s="325"/>
      <c r="G118" s="324"/>
      <c r="H118" s="324">
        <v>8195.41</v>
      </c>
      <c r="I118" s="325">
        <v>7853.41</v>
      </c>
      <c r="J118" s="325"/>
      <c r="K118" s="325">
        <f t="shared" si="10"/>
        <v>0</v>
      </c>
      <c r="L118" s="325">
        <f t="shared" si="11"/>
        <v>0</v>
      </c>
      <c r="M118" s="407">
        <v>2.5</v>
      </c>
      <c r="N118" s="408" t="s">
        <v>17</v>
      </c>
      <c r="O118" s="325">
        <f t="shared" si="15"/>
        <v>0</v>
      </c>
      <c r="P118" s="325">
        <f t="shared" si="16"/>
        <v>0</v>
      </c>
      <c r="Q118" s="325">
        <f t="shared" si="17"/>
        <v>0</v>
      </c>
      <c r="R118" s="325">
        <f t="shared" si="12"/>
        <v>0</v>
      </c>
      <c r="S118" s="325">
        <f t="shared" si="13"/>
        <v>102</v>
      </c>
      <c r="T118" s="325">
        <f t="shared" si="18"/>
        <v>102</v>
      </c>
      <c r="U118" s="325">
        <f t="shared" si="14"/>
        <v>7751.41</v>
      </c>
      <c r="V118" s="325">
        <f t="shared" si="19"/>
        <v>0</v>
      </c>
      <c r="W118" s="449" cm="1">
        <f t="array" ref="W118">+IF(U118&lt;0,error,0)</f>
        <v>0</v>
      </c>
    </row>
    <row r="119" spans="1:23" ht="18" customHeight="1" x14ac:dyDescent="0.2">
      <c r="A119" s="402" t="s">
        <v>232</v>
      </c>
      <c r="B119" s="403"/>
      <c r="C119" s="404" t="s">
        <v>233</v>
      </c>
      <c r="D119" s="405">
        <v>43434</v>
      </c>
      <c r="E119" s="406"/>
      <c r="F119" s="325"/>
      <c r="G119" s="324"/>
      <c r="H119" s="324">
        <v>4697.72</v>
      </c>
      <c r="I119" s="325">
        <v>4512.72</v>
      </c>
      <c r="J119" s="325"/>
      <c r="K119" s="325">
        <f t="shared" si="10"/>
        <v>0</v>
      </c>
      <c r="L119" s="325">
        <f t="shared" si="11"/>
        <v>0</v>
      </c>
      <c r="M119" s="407">
        <v>2.5</v>
      </c>
      <c r="N119" s="408" t="s">
        <v>17</v>
      </c>
      <c r="O119" s="325">
        <f t="shared" si="15"/>
        <v>0</v>
      </c>
      <c r="P119" s="325">
        <f t="shared" si="16"/>
        <v>0</v>
      </c>
      <c r="Q119" s="325">
        <f t="shared" si="17"/>
        <v>0</v>
      </c>
      <c r="R119" s="325">
        <f t="shared" si="12"/>
        <v>0</v>
      </c>
      <c r="S119" s="325">
        <f t="shared" si="13"/>
        <v>58</v>
      </c>
      <c r="T119" s="325">
        <f t="shared" si="18"/>
        <v>58</v>
      </c>
      <c r="U119" s="325">
        <f t="shared" si="14"/>
        <v>4454.72</v>
      </c>
      <c r="V119" s="325">
        <f t="shared" si="19"/>
        <v>0</v>
      </c>
      <c r="W119" s="449" cm="1">
        <f t="array" ref="W119">+IF(U119&lt;0,error,0)</f>
        <v>0</v>
      </c>
    </row>
    <row r="120" spans="1:23" ht="18" customHeight="1" x14ac:dyDescent="0.2">
      <c r="A120" s="402" t="s">
        <v>234</v>
      </c>
      <c r="B120" s="403"/>
      <c r="C120" s="404" t="s">
        <v>133</v>
      </c>
      <c r="D120" s="405">
        <v>43291</v>
      </c>
      <c r="E120" s="406"/>
      <c r="F120" s="325"/>
      <c r="G120" s="324"/>
      <c r="H120" s="324">
        <v>689.24</v>
      </c>
      <c r="I120" s="325">
        <v>656.24</v>
      </c>
      <c r="J120" s="325"/>
      <c r="K120" s="325">
        <f t="shared" si="10"/>
        <v>0</v>
      </c>
      <c r="L120" s="325">
        <f t="shared" si="11"/>
        <v>0</v>
      </c>
      <c r="M120" s="407">
        <v>2.5</v>
      </c>
      <c r="N120" s="408" t="s">
        <v>17</v>
      </c>
      <c r="O120" s="325">
        <f t="shared" si="15"/>
        <v>0</v>
      </c>
      <c r="P120" s="325">
        <f t="shared" si="16"/>
        <v>0</v>
      </c>
      <c r="Q120" s="325">
        <f t="shared" si="17"/>
        <v>0</v>
      </c>
      <c r="R120" s="325">
        <f t="shared" si="12"/>
        <v>0</v>
      </c>
      <c r="S120" s="325">
        <f t="shared" si="13"/>
        <v>8</v>
      </c>
      <c r="T120" s="325">
        <f t="shared" si="18"/>
        <v>8</v>
      </c>
      <c r="U120" s="325">
        <f t="shared" si="14"/>
        <v>648.24</v>
      </c>
      <c r="V120" s="325">
        <f t="shared" si="19"/>
        <v>0</v>
      </c>
      <c r="W120" s="449" cm="1">
        <f t="array" ref="W120">+IF(U120&lt;0,error,0)</f>
        <v>0</v>
      </c>
    </row>
    <row r="121" spans="1:23" ht="18" customHeight="1" x14ac:dyDescent="0.2">
      <c r="A121" s="402" t="s">
        <v>235</v>
      </c>
      <c r="B121" s="403"/>
      <c r="C121" s="404" t="s">
        <v>133</v>
      </c>
      <c r="D121" s="405">
        <v>43307</v>
      </c>
      <c r="E121" s="406"/>
      <c r="F121" s="325"/>
      <c r="G121" s="324"/>
      <c r="H121" s="324">
        <v>1145.6400000000001</v>
      </c>
      <c r="I121" s="325">
        <v>1091.6400000000001</v>
      </c>
      <c r="J121" s="325"/>
      <c r="K121" s="325">
        <f t="shared" si="10"/>
        <v>0</v>
      </c>
      <c r="L121" s="325">
        <f t="shared" si="11"/>
        <v>0</v>
      </c>
      <c r="M121" s="407">
        <v>2.5</v>
      </c>
      <c r="N121" s="408" t="s">
        <v>17</v>
      </c>
      <c r="O121" s="325">
        <f t="shared" si="15"/>
        <v>0</v>
      </c>
      <c r="P121" s="325">
        <f t="shared" si="16"/>
        <v>0</v>
      </c>
      <c r="Q121" s="325">
        <f t="shared" si="17"/>
        <v>0</v>
      </c>
      <c r="R121" s="325">
        <f t="shared" si="12"/>
        <v>0</v>
      </c>
      <c r="S121" s="325">
        <f t="shared" si="13"/>
        <v>14</v>
      </c>
      <c r="T121" s="325">
        <f t="shared" si="18"/>
        <v>14</v>
      </c>
      <c r="U121" s="325">
        <f t="shared" si="14"/>
        <v>1077.6400000000001</v>
      </c>
      <c r="V121" s="325">
        <f t="shared" si="19"/>
        <v>0</v>
      </c>
      <c r="W121" s="449" cm="1">
        <f t="array" ref="W121">+IF(U121&lt;0,error,0)</f>
        <v>0</v>
      </c>
    </row>
    <row r="122" spans="1:23" ht="18" customHeight="1" x14ac:dyDescent="0.2">
      <c r="A122" s="402" t="s">
        <v>236</v>
      </c>
      <c r="B122" s="403"/>
      <c r="C122" s="404" t="s">
        <v>53</v>
      </c>
      <c r="D122" s="405">
        <v>43312</v>
      </c>
      <c r="E122" s="406"/>
      <c r="F122" s="325"/>
      <c r="G122" s="324"/>
      <c r="H122" s="324">
        <v>1798</v>
      </c>
      <c r="I122" s="325">
        <v>1713</v>
      </c>
      <c r="J122" s="325"/>
      <c r="K122" s="325">
        <f t="shared" si="10"/>
        <v>0</v>
      </c>
      <c r="L122" s="325">
        <f t="shared" si="11"/>
        <v>0</v>
      </c>
      <c r="M122" s="407">
        <v>2.5</v>
      </c>
      <c r="N122" s="408" t="s">
        <v>17</v>
      </c>
      <c r="O122" s="325">
        <f t="shared" si="15"/>
        <v>0</v>
      </c>
      <c r="P122" s="325">
        <f t="shared" si="16"/>
        <v>0</v>
      </c>
      <c r="Q122" s="325">
        <f t="shared" si="17"/>
        <v>0</v>
      </c>
      <c r="R122" s="325">
        <f t="shared" si="12"/>
        <v>0</v>
      </c>
      <c r="S122" s="325">
        <f t="shared" si="13"/>
        <v>22</v>
      </c>
      <c r="T122" s="325">
        <f t="shared" si="18"/>
        <v>22</v>
      </c>
      <c r="U122" s="325">
        <f t="shared" si="14"/>
        <v>1691</v>
      </c>
      <c r="V122" s="325">
        <f t="shared" si="19"/>
        <v>0</v>
      </c>
      <c r="W122" s="449" cm="1">
        <f t="array" ref="W122">+IF(U122&lt;0,error,0)</f>
        <v>0</v>
      </c>
    </row>
    <row r="123" spans="1:23" ht="18" customHeight="1" x14ac:dyDescent="0.2">
      <c r="A123" s="402" t="s">
        <v>237</v>
      </c>
      <c r="B123" s="403"/>
      <c r="C123" s="404" t="s">
        <v>238</v>
      </c>
      <c r="D123" s="405">
        <v>43315</v>
      </c>
      <c r="E123" s="406"/>
      <c r="F123" s="325"/>
      <c r="G123" s="324"/>
      <c r="H123" s="324">
        <v>475</v>
      </c>
      <c r="I123" s="325">
        <v>455</v>
      </c>
      <c r="J123" s="325"/>
      <c r="K123" s="325">
        <f t="shared" si="10"/>
        <v>0</v>
      </c>
      <c r="L123" s="325">
        <f t="shared" si="11"/>
        <v>0</v>
      </c>
      <c r="M123" s="407">
        <v>2.5</v>
      </c>
      <c r="N123" s="408" t="s">
        <v>17</v>
      </c>
      <c r="O123" s="325">
        <f t="shared" si="15"/>
        <v>0</v>
      </c>
      <c r="P123" s="325">
        <f t="shared" si="16"/>
        <v>0</v>
      </c>
      <c r="Q123" s="325">
        <f t="shared" si="17"/>
        <v>0</v>
      </c>
      <c r="R123" s="325">
        <f t="shared" si="12"/>
        <v>0</v>
      </c>
      <c r="S123" s="325">
        <f t="shared" si="13"/>
        <v>5</v>
      </c>
      <c r="T123" s="325">
        <f t="shared" si="18"/>
        <v>5</v>
      </c>
      <c r="U123" s="325">
        <f t="shared" si="14"/>
        <v>450</v>
      </c>
      <c r="V123" s="325">
        <f t="shared" si="19"/>
        <v>0</v>
      </c>
      <c r="W123" s="449" cm="1">
        <f t="array" ref="W123">+IF(U123&lt;0,error,0)</f>
        <v>0</v>
      </c>
    </row>
    <row r="124" spans="1:23" ht="18" customHeight="1" x14ac:dyDescent="0.2">
      <c r="A124" s="402" t="s">
        <v>239</v>
      </c>
      <c r="B124" s="403"/>
      <c r="C124" s="404" t="s">
        <v>145</v>
      </c>
      <c r="D124" s="405">
        <v>43322</v>
      </c>
      <c r="E124" s="406"/>
      <c r="F124" s="325"/>
      <c r="G124" s="324"/>
      <c r="H124" s="324">
        <v>1140</v>
      </c>
      <c r="I124" s="325">
        <v>1087</v>
      </c>
      <c r="J124" s="325"/>
      <c r="K124" s="325">
        <f t="shared" si="10"/>
        <v>0</v>
      </c>
      <c r="L124" s="325">
        <f t="shared" si="11"/>
        <v>0</v>
      </c>
      <c r="M124" s="407">
        <v>2.5</v>
      </c>
      <c r="N124" s="408" t="s">
        <v>17</v>
      </c>
      <c r="O124" s="325">
        <f t="shared" si="15"/>
        <v>0</v>
      </c>
      <c r="P124" s="325">
        <f t="shared" si="16"/>
        <v>0</v>
      </c>
      <c r="Q124" s="325">
        <f t="shared" si="17"/>
        <v>0</v>
      </c>
      <c r="R124" s="325">
        <f t="shared" si="12"/>
        <v>0</v>
      </c>
      <c r="S124" s="325">
        <f t="shared" si="13"/>
        <v>14</v>
      </c>
      <c r="T124" s="325">
        <f t="shared" si="18"/>
        <v>14</v>
      </c>
      <c r="U124" s="325">
        <f t="shared" si="14"/>
        <v>1073</v>
      </c>
      <c r="V124" s="325">
        <f t="shared" si="19"/>
        <v>0</v>
      </c>
      <c r="W124" s="449" cm="1">
        <f t="array" ref="W124">+IF(U124&lt;0,error,0)</f>
        <v>0</v>
      </c>
    </row>
    <row r="125" spans="1:23" ht="18" customHeight="1" x14ac:dyDescent="0.2">
      <c r="A125" s="402" t="s">
        <v>240</v>
      </c>
      <c r="B125" s="403"/>
      <c r="C125" s="404" t="s">
        <v>241</v>
      </c>
      <c r="D125" s="405">
        <v>43327</v>
      </c>
      <c r="E125" s="406"/>
      <c r="F125" s="325"/>
      <c r="G125" s="324"/>
      <c r="H125" s="324">
        <v>910</v>
      </c>
      <c r="I125" s="325">
        <v>868</v>
      </c>
      <c r="J125" s="325"/>
      <c r="K125" s="325">
        <f t="shared" si="10"/>
        <v>0</v>
      </c>
      <c r="L125" s="325">
        <f t="shared" si="11"/>
        <v>0</v>
      </c>
      <c r="M125" s="407">
        <v>2.5</v>
      </c>
      <c r="N125" s="408" t="s">
        <v>17</v>
      </c>
      <c r="O125" s="325">
        <f t="shared" si="15"/>
        <v>0</v>
      </c>
      <c r="P125" s="325">
        <f t="shared" si="16"/>
        <v>0</v>
      </c>
      <c r="Q125" s="325">
        <f t="shared" si="17"/>
        <v>0</v>
      </c>
      <c r="R125" s="325">
        <f t="shared" si="12"/>
        <v>0</v>
      </c>
      <c r="S125" s="325">
        <f t="shared" si="13"/>
        <v>11</v>
      </c>
      <c r="T125" s="325">
        <f t="shared" si="18"/>
        <v>11</v>
      </c>
      <c r="U125" s="325">
        <f t="shared" si="14"/>
        <v>857</v>
      </c>
      <c r="V125" s="325">
        <f t="shared" si="19"/>
        <v>0</v>
      </c>
      <c r="W125" s="449" cm="1">
        <f t="array" ref="W125">+IF(U125&lt;0,error,0)</f>
        <v>0</v>
      </c>
    </row>
    <row r="126" spans="1:23" ht="18" customHeight="1" x14ac:dyDescent="0.2">
      <c r="A126" s="402" t="s">
        <v>242</v>
      </c>
      <c r="B126" s="403"/>
      <c r="C126" s="404" t="s">
        <v>243</v>
      </c>
      <c r="D126" s="405">
        <v>43336</v>
      </c>
      <c r="E126" s="406"/>
      <c r="F126" s="325"/>
      <c r="G126" s="324"/>
      <c r="H126" s="324">
        <v>590</v>
      </c>
      <c r="I126" s="325">
        <v>564</v>
      </c>
      <c r="J126" s="325"/>
      <c r="K126" s="325">
        <f t="shared" si="10"/>
        <v>0</v>
      </c>
      <c r="L126" s="325">
        <f t="shared" si="11"/>
        <v>0</v>
      </c>
      <c r="M126" s="407">
        <v>2.5</v>
      </c>
      <c r="N126" s="408" t="s">
        <v>17</v>
      </c>
      <c r="O126" s="325">
        <f t="shared" si="15"/>
        <v>0</v>
      </c>
      <c r="P126" s="325">
        <f t="shared" si="16"/>
        <v>0</v>
      </c>
      <c r="Q126" s="325">
        <f t="shared" si="17"/>
        <v>0</v>
      </c>
      <c r="R126" s="325">
        <f t="shared" si="12"/>
        <v>0</v>
      </c>
      <c r="S126" s="325">
        <f t="shared" si="13"/>
        <v>7</v>
      </c>
      <c r="T126" s="325">
        <f t="shared" si="18"/>
        <v>7</v>
      </c>
      <c r="U126" s="325">
        <f t="shared" si="14"/>
        <v>557</v>
      </c>
      <c r="V126" s="325">
        <f t="shared" si="19"/>
        <v>0</v>
      </c>
      <c r="W126" s="449" cm="1">
        <f t="array" ref="W126">+IF(U126&lt;0,error,0)</f>
        <v>0</v>
      </c>
    </row>
    <row r="127" spans="1:23" ht="18" customHeight="1" x14ac:dyDescent="0.2">
      <c r="A127" s="402" t="s">
        <v>244</v>
      </c>
      <c r="B127" s="403"/>
      <c r="C127" s="404" t="s">
        <v>53</v>
      </c>
      <c r="D127" s="405">
        <v>43343</v>
      </c>
      <c r="E127" s="406"/>
      <c r="F127" s="325"/>
      <c r="G127" s="324"/>
      <c r="H127" s="324">
        <v>2356</v>
      </c>
      <c r="I127" s="325">
        <v>2249</v>
      </c>
      <c r="J127" s="325"/>
      <c r="K127" s="325">
        <f t="shared" si="10"/>
        <v>0</v>
      </c>
      <c r="L127" s="325">
        <f t="shared" si="11"/>
        <v>0</v>
      </c>
      <c r="M127" s="407">
        <v>2.5</v>
      </c>
      <c r="N127" s="408" t="s">
        <v>17</v>
      </c>
      <c r="O127" s="325">
        <f t="shared" si="15"/>
        <v>0</v>
      </c>
      <c r="P127" s="325">
        <f t="shared" si="16"/>
        <v>0</v>
      </c>
      <c r="Q127" s="325">
        <f t="shared" si="17"/>
        <v>0</v>
      </c>
      <c r="R127" s="325">
        <f t="shared" si="12"/>
        <v>0</v>
      </c>
      <c r="S127" s="325">
        <f t="shared" si="13"/>
        <v>29</v>
      </c>
      <c r="T127" s="325">
        <f t="shared" si="18"/>
        <v>29</v>
      </c>
      <c r="U127" s="325">
        <f t="shared" si="14"/>
        <v>2220</v>
      </c>
      <c r="V127" s="325">
        <f t="shared" si="19"/>
        <v>0</v>
      </c>
      <c r="W127" s="449" cm="1">
        <f t="array" ref="W127">+IF(U127&lt;0,error,0)</f>
        <v>0</v>
      </c>
    </row>
    <row r="128" spans="1:23" ht="18" customHeight="1" x14ac:dyDescent="0.2">
      <c r="A128" s="402" t="s">
        <v>245</v>
      </c>
      <c r="B128" s="403"/>
      <c r="C128" s="404" t="s">
        <v>133</v>
      </c>
      <c r="D128" s="405">
        <v>43356</v>
      </c>
      <c r="E128" s="406"/>
      <c r="F128" s="325"/>
      <c r="G128" s="324"/>
      <c r="H128" s="324">
        <v>6444.64</v>
      </c>
      <c r="I128" s="325">
        <v>6156.64</v>
      </c>
      <c r="J128" s="325"/>
      <c r="K128" s="325">
        <f t="shared" si="10"/>
        <v>0</v>
      </c>
      <c r="L128" s="325">
        <f t="shared" si="11"/>
        <v>0</v>
      </c>
      <c r="M128" s="407">
        <v>2.5</v>
      </c>
      <c r="N128" s="408" t="s">
        <v>17</v>
      </c>
      <c r="O128" s="325">
        <f t="shared" si="15"/>
        <v>0</v>
      </c>
      <c r="P128" s="325">
        <f t="shared" si="16"/>
        <v>0</v>
      </c>
      <c r="Q128" s="325">
        <f t="shared" si="17"/>
        <v>0</v>
      </c>
      <c r="R128" s="325">
        <f t="shared" si="12"/>
        <v>0</v>
      </c>
      <c r="S128" s="325">
        <f t="shared" si="13"/>
        <v>80</v>
      </c>
      <c r="T128" s="325">
        <f t="shared" si="18"/>
        <v>80</v>
      </c>
      <c r="U128" s="325">
        <f t="shared" si="14"/>
        <v>6076.64</v>
      </c>
      <c r="V128" s="325">
        <f t="shared" si="19"/>
        <v>0</v>
      </c>
      <c r="W128" s="449" cm="1">
        <f t="array" ref="W128">+IF(U128&lt;0,error,0)</f>
        <v>0</v>
      </c>
    </row>
    <row r="129" spans="1:23" ht="18" customHeight="1" x14ac:dyDescent="0.2">
      <c r="A129" s="402" t="s">
        <v>246</v>
      </c>
      <c r="B129" s="403"/>
      <c r="C129" s="404" t="s">
        <v>133</v>
      </c>
      <c r="D129" s="405">
        <v>43361</v>
      </c>
      <c r="E129" s="406"/>
      <c r="F129" s="325"/>
      <c r="G129" s="324"/>
      <c r="H129" s="324">
        <v>2047.9</v>
      </c>
      <c r="I129" s="325">
        <v>1958.9</v>
      </c>
      <c r="J129" s="325"/>
      <c r="K129" s="325">
        <f t="shared" si="10"/>
        <v>0</v>
      </c>
      <c r="L129" s="325">
        <f t="shared" si="11"/>
        <v>0</v>
      </c>
      <c r="M129" s="407">
        <v>2.5</v>
      </c>
      <c r="N129" s="408" t="s">
        <v>17</v>
      </c>
      <c r="O129" s="325">
        <f t="shared" si="15"/>
        <v>0</v>
      </c>
      <c r="P129" s="325">
        <f t="shared" si="16"/>
        <v>0</v>
      </c>
      <c r="Q129" s="325">
        <f t="shared" si="17"/>
        <v>0</v>
      </c>
      <c r="R129" s="325">
        <f t="shared" si="12"/>
        <v>0</v>
      </c>
      <c r="S129" s="325">
        <f t="shared" si="13"/>
        <v>25</v>
      </c>
      <c r="T129" s="325">
        <f t="shared" si="18"/>
        <v>25</v>
      </c>
      <c r="U129" s="325">
        <f t="shared" si="14"/>
        <v>1933.9</v>
      </c>
      <c r="V129" s="325">
        <f t="shared" si="19"/>
        <v>0</v>
      </c>
      <c r="W129" s="449" cm="1">
        <f t="array" ref="W129">+IF(U129&lt;0,error,0)</f>
        <v>0</v>
      </c>
    </row>
    <row r="130" spans="1:23" ht="18" customHeight="1" x14ac:dyDescent="0.2">
      <c r="A130" s="402" t="s">
        <v>247</v>
      </c>
      <c r="B130" s="403"/>
      <c r="C130" s="404" t="s">
        <v>145</v>
      </c>
      <c r="D130" s="405">
        <v>43378</v>
      </c>
      <c r="E130" s="406"/>
      <c r="F130" s="325"/>
      <c r="G130" s="324"/>
      <c r="H130" s="324">
        <v>5334</v>
      </c>
      <c r="I130" s="325">
        <v>5104</v>
      </c>
      <c r="J130" s="325"/>
      <c r="K130" s="325">
        <f t="shared" si="10"/>
        <v>0</v>
      </c>
      <c r="L130" s="325">
        <f t="shared" si="11"/>
        <v>0</v>
      </c>
      <c r="M130" s="407">
        <v>2.5</v>
      </c>
      <c r="N130" s="408" t="s">
        <v>17</v>
      </c>
      <c r="O130" s="325">
        <f t="shared" si="15"/>
        <v>0</v>
      </c>
      <c r="P130" s="325">
        <f t="shared" si="16"/>
        <v>0</v>
      </c>
      <c r="Q130" s="325">
        <f t="shared" si="17"/>
        <v>0</v>
      </c>
      <c r="R130" s="325">
        <f t="shared" si="12"/>
        <v>0</v>
      </c>
      <c r="S130" s="325">
        <f t="shared" si="13"/>
        <v>66</v>
      </c>
      <c r="T130" s="325">
        <f t="shared" si="18"/>
        <v>66</v>
      </c>
      <c r="U130" s="325">
        <f t="shared" si="14"/>
        <v>5038</v>
      </c>
      <c r="V130" s="325">
        <f t="shared" si="19"/>
        <v>0</v>
      </c>
      <c r="W130" s="449" cm="1">
        <f t="array" ref="W130">+IF(U130&lt;0,error,0)</f>
        <v>0</v>
      </c>
    </row>
    <row r="131" spans="1:23" ht="18" customHeight="1" x14ac:dyDescent="0.2">
      <c r="A131" s="402" t="s">
        <v>248</v>
      </c>
      <c r="B131" s="403"/>
      <c r="C131" s="404" t="s">
        <v>133</v>
      </c>
      <c r="D131" s="405">
        <v>43391</v>
      </c>
      <c r="E131" s="406"/>
      <c r="F131" s="325"/>
      <c r="G131" s="324"/>
      <c r="H131" s="324">
        <v>497.97</v>
      </c>
      <c r="I131" s="325">
        <v>476.97</v>
      </c>
      <c r="J131" s="325"/>
      <c r="K131" s="325">
        <f t="shared" si="10"/>
        <v>0</v>
      </c>
      <c r="L131" s="325">
        <f t="shared" si="11"/>
        <v>0</v>
      </c>
      <c r="M131" s="407">
        <v>2.5</v>
      </c>
      <c r="N131" s="408" t="s">
        <v>17</v>
      </c>
      <c r="O131" s="325">
        <f t="shared" si="15"/>
        <v>0</v>
      </c>
      <c r="P131" s="325">
        <f t="shared" si="16"/>
        <v>0</v>
      </c>
      <c r="Q131" s="325">
        <f t="shared" si="17"/>
        <v>0</v>
      </c>
      <c r="R131" s="325">
        <f t="shared" si="12"/>
        <v>0</v>
      </c>
      <c r="S131" s="325">
        <f t="shared" si="13"/>
        <v>6</v>
      </c>
      <c r="T131" s="325">
        <f t="shared" si="18"/>
        <v>6</v>
      </c>
      <c r="U131" s="325">
        <f t="shared" si="14"/>
        <v>470.97</v>
      </c>
      <c r="V131" s="325">
        <f t="shared" si="19"/>
        <v>0</v>
      </c>
      <c r="W131" s="449" cm="1">
        <f t="array" ref="W131">+IF(U131&lt;0,error,0)</f>
        <v>0</v>
      </c>
    </row>
    <row r="132" spans="1:23" ht="18" customHeight="1" x14ac:dyDescent="0.2">
      <c r="A132" s="402" t="s">
        <v>249</v>
      </c>
      <c r="B132" s="403"/>
      <c r="C132" s="404" t="s">
        <v>250</v>
      </c>
      <c r="D132" s="405">
        <v>43399</v>
      </c>
      <c r="E132" s="406"/>
      <c r="F132" s="325"/>
      <c r="G132" s="324"/>
      <c r="H132" s="324">
        <v>910</v>
      </c>
      <c r="I132" s="325">
        <v>873</v>
      </c>
      <c r="J132" s="325"/>
      <c r="K132" s="325">
        <f t="shared" si="10"/>
        <v>0</v>
      </c>
      <c r="L132" s="325">
        <f t="shared" si="11"/>
        <v>0</v>
      </c>
      <c r="M132" s="407">
        <v>2.5</v>
      </c>
      <c r="N132" s="408" t="s">
        <v>17</v>
      </c>
      <c r="O132" s="325">
        <f t="shared" si="15"/>
        <v>0</v>
      </c>
      <c r="P132" s="325">
        <f t="shared" si="16"/>
        <v>0</v>
      </c>
      <c r="Q132" s="325">
        <f t="shared" si="17"/>
        <v>0</v>
      </c>
      <c r="R132" s="325">
        <f t="shared" si="12"/>
        <v>0</v>
      </c>
      <c r="S132" s="325">
        <f t="shared" si="13"/>
        <v>11</v>
      </c>
      <c r="T132" s="325">
        <f t="shared" si="18"/>
        <v>11</v>
      </c>
      <c r="U132" s="325">
        <f t="shared" si="14"/>
        <v>862</v>
      </c>
      <c r="V132" s="325">
        <f t="shared" si="19"/>
        <v>0</v>
      </c>
      <c r="W132" s="449" cm="1">
        <f t="array" ref="W132">+IF(U132&lt;0,error,0)</f>
        <v>0</v>
      </c>
    </row>
    <row r="133" spans="1:23" ht="18" customHeight="1" x14ac:dyDescent="0.2">
      <c r="A133" s="402" t="s">
        <v>251</v>
      </c>
      <c r="B133" s="403"/>
      <c r="C133" s="404" t="s">
        <v>145</v>
      </c>
      <c r="D133" s="405">
        <v>43403</v>
      </c>
      <c r="E133" s="406"/>
      <c r="F133" s="325"/>
      <c r="G133" s="324"/>
      <c r="H133" s="324">
        <v>224</v>
      </c>
      <c r="I133" s="325">
        <v>216</v>
      </c>
      <c r="J133" s="325"/>
      <c r="K133" s="325">
        <f t="shared" si="10"/>
        <v>0</v>
      </c>
      <c r="L133" s="325">
        <f t="shared" si="11"/>
        <v>0</v>
      </c>
      <c r="M133" s="407">
        <v>2.5</v>
      </c>
      <c r="N133" s="408" t="s">
        <v>17</v>
      </c>
      <c r="O133" s="325">
        <f t="shared" si="15"/>
        <v>0</v>
      </c>
      <c r="P133" s="325">
        <f t="shared" si="16"/>
        <v>0</v>
      </c>
      <c r="Q133" s="325">
        <f t="shared" si="17"/>
        <v>0</v>
      </c>
      <c r="R133" s="325">
        <f t="shared" si="12"/>
        <v>0</v>
      </c>
      <c r="S133" s="325">
        <f t="shared" si="13"/>
        <v>2</v>
      </c>
      <c r="T133" s="325">
        <f t="shared" si="18"/>
        <v>2</v>
      </c>
      <c r="U133" s="325">
        <f t="shared" si="14"/>
        <v>214</v>
      </c>
      <c r="V133" s="325">
        <f t="shared" si="19"/>
        <v>0</v>
      </c>
      <c r="W133" s="449" cm="1">
        <f t="array" ref="W133">+IF(U133&lt;0,error,0)</f>
        <v>0</v>
      </c>
    </row>
    <row r="134" spans="1:23" ht="18" customHeight="1" x14ac:dyDescent="0.2">
      <c r="A134" s="402" t="s">
        <v>252</v>
      </c>
      <c r="B134" s="403"/>
      <c r="C134" s="404" t="s">
        <v>250</v>
      </c>
      <c r="D134" s="405">
        <v>43409</v>
      </c>
      <c r="E134" s="406"/>
      <c r="F134" s="325"/>
      <c r="G134" s="324"/>
      <c r="H134" s="324">
        <v>70</v>
      </c>
      <c r="I134" s="325">
        <v>68</v>
      </c>
      <c r="J134" s="325"/>
      <c r="K134" s="325">
        <f t="shared" si="10"/>
        <v>0</v>
      </c>
      <c r="L134" s="325">
        <f t="shared" si="11"/>
        <v>0</v>
      </c>
      <c r="M134" s="407">
        <v>2.5</v>
      </c>
      <c r="N134" s="408" t="s">
        <v>17</v>
      </c>
      <c r="O134" s="325">
        <f t="shared" si="15"/>
        <v>0</v>
      </c>
      <c r="P134" s="325">
        <f t="shared" si="16"/>
        <v>0</v>
      </c>
      <c r="Q134" s="325">
        <f t="shared" si="17"/>
        <v>0</v>
      </c>
      <c r="R134" s="325">
        <f t="shared" si="12"/>
        <v>0</v>
      </c>
      <c r="S134" s="325">
        <f t="shared" si="13"/>
        <v>0</v>
      </c>
      <c r="T134" s="325">
        <f t="shared" si="18"/>
        <v>0</v>
      </c>
      <c r="U134" s="325">
        <f t="shared" si="14"/>
        <v>68</v>
      </c>
      <c r="V134" s="325">
        <f t="shared" si="19"/>
        <v>0</v>
      </c>
      <c r="W134" s="449" cm="1">
        <f t="array" ref="W134">+IF(U134&lt;0,error,0)</f>
        <v>0</v>
      </c>
    </row>
    <row r="135" spans="1:23" ht="18" customHeight="1" x14ac:dyDescent="0.2">
      <c r="A135" s="402" t="s">
        <v>253</v>
      </c>
      <c r="B135" s="403"/>
      <c r="C135" s="404" t="s">
        <v>145</v>
      </c>
      <c r="D135" s="405">
        <v>43411</v>
      </c>
      <c r="E135" s="406"/>
      <c r="F135" s="325"/>
      <c r="G135" s="324"/>
      <c r="H135" s="324">
        <v>1926.6000000000001</v>
      </c>
      <c r="I135" s="325">
        <v>1847.6000000000001</v>
      </c>
      <c r="J135" s="325"/>
      <c r="K135" s="325">
        <f t="shared" si="10"/>
        <v>0</v>
      </c>
      <c r="L135" s="325">
        <f t="shared" si="11"/>
        <v>0</v>
      </c>
      <c r="M135" s="407">
        <v>2.5</v>
      </c>
      <c r="N135" s="408" t="s">
        <v>17</v>
      </c>
      <c r="O135" s="325">
        <f t="shared" si="15"/>
        <v>0</v>
      </c>
      <c r="P135" s="325">
        <f t="shared" si="16"/>
        <v>0</v>
      </c>
      <c r="Q135" s="325">
        <f t="shared" si="17"/>
        <v>0</v>
      </c>
      <c r="R135" s="325">
        <f t="shared" si="12"/>
        <v>0</v>
      </c>
      <c r="S135" s="325">
        <f t="shared" si="13"/>
        <v>24</v>
      </c>
      <c r="T135" s="325">
        <f t="shared" si="18"/>
        <v>24</v>
      </c>
      <c r="U135" s="325">
        <f t="shared" si="14"/>
        <v>1823.6000000000001</v>
      </c>
      <c r="V135" s="325">
        <f t="shared" si="19"/>
        <v>0</v>
      </c>
      <c r="W135" s="449" cm="1">
        <f t="array" ref="W135">+IF(U135&lt;0,error,0)</f>
        <v>0</v>
      </c>
    </row>
    <row r="136" spans="1:23" ht="18" customHeight="1" x14ac:dyDescent="0.2">
      <c r="A136" s="402" t="s">
        <v>254</v>
      </c>
      <c r="B136" s="403"/>
      <c r="C136" s="404" t="s">
        <v>255</v>
      </c>
      <c r="D136" s="405">
        <v>43404</v>
      </c>
      <c r="E136" s="406"/>
      <c r="F136" s="325"/>
      <c r="G136" s="324"/>
      <c r="H136" s="324">
        <v>8255</v>
      </c>
      <c r="I136" s="325">
        <v>7911</v>
      </c>
      <c r="J136" s="325"/>
      <c r="K136" s="325">
        <f t="shared" ref="K136:K169" si="20">INT(IF($E136&gt;0,IF(+F136-I136+Q136&lt;0,0,+F136-I136+Q136),0))</f>
        <v>0</v>
      </c>
      <c r="L136" s="325">
        <f t="shared" ref="L136:L169" si="21">INT(IF($E136&gt;0,IF(K136=0,-F136+I136-Q136,0),0))</f>
        <v>0</v>
      </c>
      <c r="M136" s="407">
        <v>2.5</v>
      </c>
      <c r="N136" s="408" t="s">
        <v>17</v>
      </c>
      <c r="O136" s="325">
        <f t="shared" si="15"/>
        <v>0</v>
      </c>
      <c r="P136" s="325">
        <f t="shared" si="16"/>
        <v>0</v>
      </c>
      <c r="Q136" s="325">
        <f t="shared" si="17"/>
        <v>0</v>
      </c>
      <c r="R136" s="325">
        <f t="shared" ref="R136:R169" si="22">INT(IF($E136&gt;0,0,(IF($N136="D",IF($D136&lt;$H$3,$I136*($M136/100)*$U$3/12,$J136*($M136/100)*($J$3-$D136)/365),0))))</f>
        <v>0</v>
      </c>
      <c r="S136" s="325">
        <f t="shared" ref="S136:S169" si="23">INT(IF($E136&gt;0,0,(IF($N136="P",IF($D136&lt;$H$3,$H136*($M136/100)*$U$3/12,$J136*($M136/100)*($J$3-$D136)/365),0))))</f>
        <v>103</v>
      </c>
      <c r="T136" s="325">
        <f t="shared" si="18"/>
        <v>103</v>
      </c>
      <c r="U136" s="325">
        <f t="shared" ref="U136:U169" si="24">+I136+J136-T136-F136+K136-L136</f>
        <v>7808</v>
      </c>
      <c r="V136" s="325">
        <f t="shared" si="19"/>
        <v>0</v>
      </c>
      <c r="W136" s="449" cm="1">
        <f t="array" ref="W136">+IF(U136&lt;0,error,0)</f>
        <v>0</v>
      </c>
    </row>
    <row r="137" spans="1:23" ht="18" customHeight="1" x14ac:dyDescent="0.2">
      <c r="A137" s="402" t="s">
        <v>256</v>
      </c>
      <c r="B137" s="403"/>
      <c r="C137" s="404" t="s">
        <v>255</v>
      </c>
      <c r="D137" s="405">
        <v>43434</v>
      </c>
      <c r="E137" s="406"/>
      <c r="F137" s="325"/>
      <c r="G137" s="324"/>
      <c r="H137" s="324">
        <v>2304.5500000000002</v>
      </c>
      <c r="I137" s="325">
        <v>2214.5500000000002</v>
      </c>
      <c r="J137" s="325"/>
      <c r="K137" s="325">
        <f t="shared" si="20"/>
        <v>0</v>
      </c>
      <c r="L137" s="325">
        <f t="shared" si="21"/>
        <v>0</v>
      </c>
      <c r="M137" s="407">
        <v>2.5</v>
      </c>
      <c r="N137" s="408" t="s">
        <v>17</v>
      </c>
      <c r="O137" s="325">
        <f t="shared" ref="O137:O169" si="25">IF(E137&gt;0,INT(IF($N137="D",IF($D137&lt;$H$3,$I137*($M137/100)*((E137-$H$3)/365),$J137*($M137/100)*($J$3-$D137)/365),0)),0)</f>
        <v>0</v>
      </c>
      <c r="P137" s="325">
        <f t="shared" ref="P137:P169" si="26">IF(E137&gt;0,INT(IF($N137="P",IF($D137&lt;$H$3,$H137*($M137/100)*(E137-$H$3)/365,$J137*($M137/100)*($J$3-$D137)/365),0)),0)</f>
        <v>0</v>
      </c>
      <c r="Q137" s="325">
        <f t="shared" ref="Q137:Q169" si="27">+O137+P137</f>
        <v>0</v>
      </c>
      <c r="R137" s="325">
        <f t="shared" si="22"/>
        <v>0</v>
      </c>
      <c r="S137" s="325">
        <f t="shared" si="23"/>
        <v>28</v>
      </c>
      <c r="T137" s="325">
        <f t="shared" ref="T137:T153" si="28">+R137+S137+Q137</f>
        <v>28</v>
      </c>
      <c r="U137" s="325">
        <f t="shared" si="24"/>
        <v>2186.5500000000002</v>
      </c>
      <c r="V137" s="325">
        <f t="shared" ref="V137:V169" si="29">IF(E137&gt;0,+H137+J137,0)</f>
        <v>0</v>
      </c>
      <c r="W137" s="449" cm="1">
        <f t="array" ref="W137">+IF(U137&lt;0,error,0)</f>
        <v>0</v>
      </c>
    </row>
    <row r="138" spans="1:23" ht="18" customHeight="1" x14ac:dyDescent="0.2">
      <c r="A138" s="402" t="s">
        <v>257</v>
      </c>
      <c r="B138" s="403"/>
      <c r="C138" s="404" t="s">
        <v>258</v>
      </c>
      <c r="D138" s="405">
        <v>43291</v>
      </c>
      <c r="E138" s="406"/>
      <c r="F138" s="325"/>
      <c r="G138" s="324"/>
      <c r="H138" s="324">
        <v>62510.55</v>
      </c>
      <c r="I138" s="325">
        <v>59420.55</v>
      </c>
      <c r="J138" s="325"/>
      <c r="K138" s="325">
        <f t="shared" si="20"/>
        <v>0</v>
      </c>
      <c r="L138" s="325">
        <f t="shared" si="21"/>
        <v>0</v>
      </c>
      <c r="M138" s="407">
        <v>2.5</v>
      </c>
      <c r="N138" s="408" t="s">
        <v>17</v>
      </c>
      <c r="O138" s="325">
        <f t="shared" si="25"/>
        <v>0</v>
      </c>
      <c r="P138" s="325">
        <f t="shared" si="26"/>
        <v>0</v>
      </c>
      <c r="Q138" s="325">
        <f t="shared" si="27"/>
        <v>0</v>
      </c>
      <c r="R138" s="325">
        <f t="shared" si="22"/>
        <v>0</v>
      </c>
      <c r="S138" s="325">
        <f t="shared" si="23"/>
        <v>781</v>
      </c>
      <c r="T138" s="325">
        <f t="shared" si="28"/>
        <v>781</v>
      </c>
      <c r="U138" s="325">
        <f t="shared" si="24"/>
        <v>58639.55</v>
      </c>
      <c r="V138" s="325">
        <f t="shared" si="29"/>
        <v>0</v>
      </c>
      <c r="W138" s="449" cm="1">
        <f t="array" ref="W138">+IF(U138&lt;0,error,0)</f>
        <v>0</v>
      </c>
    </row>
    <row r="139" spans="1:23" ht="18" customHeight="1" x14ac:dyDescent="0.2">
      <c r="A139" s="402" t="s">
        <v>259</v>
      </c>
      <c r="B139" s="403"/>
      <c r="C139" s="404" t="s">
        <v>260</v>
      </c>
      <c r="D139" s="405">
        <v>43293</v>
      </c>
      <c r="E139" s="406"/>
      <c r="F139" s="325"/>
      <c r="G139" s="324"/>
      <c r="H139" s="324">
        <v>5625</v>
      </c>
      <c r="I139" s="325">
        <v>5348</v>
      </c>
      <c r="J139" s="325"/>
      <c r="K139" s="325">
        <f t="shared" si="20"/>
        <v>0</v>
      </c>
      <c r="L139" s="325">
        <f t="shared" si="21"/>
        <v>0</v>
      </c>
      <c r="M139" s="407">
        <v>2.5</v>
      </c>
      <c r="N139" s="408" t="s">
        <v>17</v>
      </c>
      <c r="O139" s="325">
        <f t="shared" si="25"/>
        <v>0</v>
      </c>
      <c r="P139" s="325">
        <f t="shared" si="26"/>
        <v>0</v>
      </c>
      <c r="Q139" s="325">
        <f t="shared" si="27"/>
        <v>0</v>
      </c>
      <c r="R139" s="325">
        <f t="shared" si="22"/>
        <v>0</v>
      </c>
      <c r="S139" s="325">
        <f t="shared" si="23"/>
        <v>70</v>
      </c>
      <c r="T139" s="325">
        <f t="shared" si="28"/>
        <v>70</v>
      </c>
      <c r="U139" s="325">
        <f t="shared" si="24"/>
        <v>5278</v>
      </c>
      <c r="V139" s="325">
        <f t="shared" si="29"/>
        <v>0</v>
      </c>
      <c r="W139" s="449" cm="1">
        <f t="array" ref="W139">+IF(U139&lt;0,error,0)</f>
        <v>0</v>
      </c>
    </row>
    <row r="140" spans="1:23" ht="18" customHeight="1" x14ac:dyDescent="0.2">
      <c r="A140" s="402" t="s">
        <v>261</v>
      </c>
      <c r="B140" s="403"/>
      <c r="C140" s="404" t="s">
        <v>262</v>
      </c>
      <c r="D140" s="405">
        <v>43297</v>
      </c>
      <c r="E140" s="406"/>
      <c r="F140" s="325"/>
      <c r="G140" s="324"/>
      <c r="H140" s="324">
        <v>5274.55</v>
      </c>
      <c r="I140" s="325">
        <v>5018.55</v>
      </c>
      <c r="J140" s="325"/>
      <c r="K140" s="325">
        <f t="shared" si="20"/>
        <v>0</v>
      </c>
      <c r="L140" s="325">
        <f t="shared" si="21"/>
        <v>0</v>
      </c>
      <c r="M140" s="407">
        <v>2.5</v>
      </c>
      <c r="N140" s="408" t="s">
        <v>17</v>
      </c>
      <c r="O140" s="325">
        <f t="shared" si="25"/>
        <v>0</v>
      </c>
      <c r="P140" s="325">
        <f t="shared" si="26"/>
        <v>0</v>
      </c>
      <c r="Q140" s="325">
        <f t="shared" si="27"/>
        <v>0</v>
      </c>
      <c r="R140" s="325">
        <f t="shared" si="22"/>
        <v>0</v>
      </c>
      <c r="S140" s="325">
        <f t="shared" si="23"/>
        <v>65</v>
      </c>
      <c r="T140" s="325">
        <f t="shared" si="28"/>
        <v>65</v>
      </c>
      <c r="U140" s="325">
        <f t="shared" si="24"/>
        <v>4953.55</v>
      </c>
      <c r="V140" s="325">
        <f t="shared" si="29"/>
        <v>0</v>
      </c>
      <c r="W140" s="449" cm="1">
        <f t="array" ref="W140">+IF(U140&lt;0,error,0)</f>
        <v>0</v>
      </c>
    </row>
    <row r="141" spans="1:23" ht="18" customHeight="1" x14ac:dyDescent="0.2">
      <c r="A141" s="402" t="s">
        <v>263</v>
      </c>
      <c r="B141" s="403"/>
      <c r="C141" s="404" t="s">
        <v>264</v>
      </c>
      <c r="D141" s="405">
        <v>43312</v>
      </c>
      <c r="E141" s="406"/>
      <c r="F141" s="325"/>
      <c r="G141" s="324"/>
      <c r="H141" s="324">
        <v>163.13</v>
      </c>
      <c r="I141" s="325">
        <v>156.13</v>
      </c>
      <c r="J141" s="325"/>
      <c r="K141" s="325">
        <f t="shared" si="20"/>
        <v>0</v>
      </c>
      <c r="L141" s="325">
        <f t="shared" si="21"/>
        <v>0</v>
      </c>
      <c r="M141" s="407">
        <v>2.5</v>
      </c>
      <c r="N141" s="408" t="s">
        <v>17</v>
      </c>
      <c r="O141" s="325">
        <f t="shared" si="25"/>
        <v>0</v>
      </c>
      <c r="P141" s="325">
        <f t="shared" si="26"/>
        <v>0</v>
      </c>
      <c r="Q141" s="325">
        <f t="shared" si="27"/>
        <v>0</v>
      </c>
      <c r="R141" s="325">
        <f t="shared" si="22"/>
        <v>0</v>
      </c>
      <c r="S141" s="325">
        <f t="shared" si="23"/>
        <v>2</v>
      </c>
      <c r="T141" s="325">
        <f t="shared" si="28"/>
        <v>2</v>
      </c>
      <c r="U141" s="325">
        <f t="shared" si="24"/>
        <v>154.13</v>
      </c>
      <c r="V141" s="325">
        <f t="shared" si="29"/>
        <v>0</v>
      </c>
      <c r="W141" s="449" cm="1">
        <f t="array" ref="W141">+IF(U141&lt;0,error,0)</f>
        <v>0</v>
      </c>
    </row>
    <row r="142" spans="1:23" ht="18" customHeight="1" x14ac:dyDescent="0.2">
      <c r="A142" s="402" t="s">
        <v>265</v>
      </c>
      <c r="B142" s="403"/>
      <c r="C142" s="404" t="s">
        <v>266</v>
      </c>
      <c r="D142" s="405">
        <v>43312</v>
      </c>
      <c r="E142" s="406"/>
      <c r="F142" s="325"/>
      <c r="G142" s="324"/>
      <c r="H142" s="324">
        <v>3542.3</v>
      </c>
      <c r="I142" s="325">
        <v>3373.3</v>
      </c>
      <c r="J142" s="325"/>
      <c r="K142" s="325">
        <f t="shared" si="20"/>
        <v>0</v>
      </c>
      <c r="L142" s="325">
        <f t="shared" si="21"/>
        <v>0</v>
      </c>
      <c r="M142" s="407">
        <v>2.5</v>
      </c>
      <c r="N142" s="408" t="s">
        <v>17</v>
      </c>
      <c r="O142" s="325">
        <f t="shared" si="25"/>
        <v>0</v>
      </c>
      <c r="P142" s="325">
        <f t="shared" si="26"/>
        <v>0</v>
      </c>
      <c r="Q142" s="325">
        <f t="shared" si="27"/>
        <v>0</v>
      </c>
      <c r="R142" s="325">
        <f t="shared" si="22"/>
        <v>0</v>
      </c>
      <c r="S142" s="325">
        <f t="shared" si="23"/>
        <v>44</v>
      </c>
      <c r="T142" s="325">
        <f t="shared" si="28"/>
        <v>44</v>
      </c>
      <c r="U142" s="325">
        <f t="shared" si="24"/>
        <v>3329.3</v>
      </c>
      <c r="V142" s="325">
        <f t="shared" si="29"/>
        <v>0</v>
      </c>
      <c r="W142" s="449" cm="1">
        <f t="array" ref="W142">+IF(U142&lt;0,error,0)</f>
        <v>0</v>
      </c>
    </row>
    <row r="143" spans="1:23" ht="18" customHeight="1" x14ac:dyDescent="0.2">
      <c r="A143" s="402" t="s">
        <v>267</v>
      </c>
      <c r="B143" s="403"/>
      <c r="C143" s="404" t="s">
        <v>268</v>
      </c>
      <c r="D143" s="405">
        <v>43312</v>
      </c>
      <c r="E143" s="406"/>
      <c r="F143" s="325"/>
      <c r="G143" s="324"/>
      <c r="H143" s="324">
        <v>1674</v>
      </c>
      <c r="I143" s="325">
        <v>1596</v>
      </c>
      <c r="J143" s="325"/>
      <c r="K143" s="325">
        <f t="shared" si="20"/>
        <v>0</v>
      </c>
      <c r="L143" s="325">
        <f t="shared" si="21"/>
        <v>0</v>
      </c>
      <c r="M143" s="407">
        <v>2.5</v>
      </c>
      <c r="N143" s="408" t="s">
        <v>17</v>
      </c>
      <c r="O143" s="325">
        <f t="shared" si="25"/>
        <v>0</v>
      </c>
      <c r="P143" s="325">
        <f t="shared" si="26"/>
        <v>0</v>
      </c>
      <c r="Q143" s="325">
        <f t="shared" si="27"/>
        <v>0</v>
      </c>
      <c r="R143" s="325">
        <f t="shared" si="22"/>
        <v>0</v>
      </c>
      <c r="S143" s="325">
        <f t="shared" si="23"/>
        <v>20</v>
      </c>
      <c r="T143" s="325">
        <f t="shared" si="28"/>
        <v>20</v>
      </c>
      <c r="U143" s="325">
        <f t="shared" si="24"/>
        <v>1576</v>
      </c>
      <c r="V143" s="325">
        <f t="shared" si="29"/>
        <v>0</v>
      </c>
      <c r="W143" s="449" cm="1">
        <f t="array" ref="W143">+IF(U143&lt;0,error,0)</f>
        <v>0</v>
      </c>
    </row>
    <row r="144" spans="1:23" ht="18" customHeight="1" x14ac:dyDescent="0.2">
      <c r="A144" s="402" t="s">
        <v>269</v>
      </c>
      <c r="B144" s="403"/>
      <c r="C144" s="404" t="s">
        <v>270</v>
      </c>
      <c r="D144" s="405">
        <v>43315</v>
      </c>
      <c r="E144" s="406"/>
      <c r="F144" s="325"/>
      <c r="G144" s="324"/>
      <c r="H144" s="324">
        <v>531.25</v>
      </c>
      <c r="I144" s="325">
        <v>508.25</v>
      </c>
      <c r="J144" s="325"/>
      <c r="K144" s="325">
        <f t="shared" si="20"/>
        <v>0</v>
      </c>
      <c r="L144" s="325">
        <f t="shared" si="21"/>
        <v>0</v>
      </c>
      <c r="M144" s="407">
        <v>2.5</v>
      </c>
      <c r="N144" s="408" t="s">
        <v>17</v>
      </c>
      <c r="O144" s="325">
        <f t="shared" si="25"/>
        <v>0</v>
      </c>
      <c r="P144" s="325">
        <f t="shared" si="26"/>
        <v>0</v>
      </c>
      <c r="Q144" s="325">
        <f t="shared" si="27"/>
        <v>0</v>
      </c>
      <c r="R144" s="325">
        <f t="shared" si="22"/>
        <v>0</v>
      </c>
      <c r="S144" s="325">
        <f t="shared" si="23"/>
        <v>6</v>
      </c>
      <c r="T144" s="325">
        <f t="shared" si="28"/>
        <v>6</v>
      </c>
      <c r="U144" s="325">
        <f t="shared" si="24"/>
        <v>502.25</v>
      </c>
      <c r="V144" s="325">
        <f t="shared" si="29"/>
        <v>0</v>
      </c>
      <c r="W144" s="449" cm="1">
        <f t="array" ref="W144">+IF(U144&lt;0,error,0)</f>
        <v>0</v>
      </c>
    </row>
    <row r="145" spans="1:23" ht="18" customHeight="1" x14ac:dyDescent="0.2">
      <c r="A145" s="402" t="s">
        <v>271</v>
      </c>
      <c r="B145" s="403"/>
      <c r="C145" s="404" t="s">
        <v>258</v>
      </c>
      <c r="D145" s="405">
        <v>43319</v>
      </c>
      <c r="E145" s="406"/>
      <c r="F145" s="325"/>
      <c r="G145" s="324"/>
      <c r="H145" s="324">
        <v>53941.08</v>
      </c>
      <c r="I145" s="325">
        <v>51378.080000000002</v>
      </c>
      <c r="J145" s="325"/>
      <c r="K145" s="325">
        <f t="shared" si="20"/>
        <v>0</v>
      </c>
      <c r="L145" s="325">
        <f t="shared" si="21"/>
        <v>0</v>
      </c>
      <c r="M145" s="407">
        <v>2.5</v>
      </c>
      <c r="N145" s="408" t="s">
        <v>17</v>
      </c>
      <c r="O145" s="325">
        <f t="shared" si="25"/>
        <v>0</v>
      </c>
      <c r="P145" s="325">
        <f t="shared" si="26"/>
        <v>0</v>
      </c>
      <c r="Q145" s="325">
        <f t="shared" si="27"/>
        <v>0</v>
      </c>
      <c r="R145" s="325">
        <f t="shared" si="22"/>
        <v>0</v>
      </c>
      <c r="S145" s="325">
        <f t="shared" si="23"/>
        <v>674</v>
      </c>
      <c r="T145" s="325">
        <f t="shared" si="28"/>
        <v>674</v>
      </c>
      <c r="U145" s="325">
        <f t="shared" si="24"/>
        <v>50704.08</v>
      </c>
      <c r="V145" s="325">
        <f t="shared" si="29"/>
        <v>0</v>
      </c>
      <c r="W145" s="449" cm="1">
        <f t="array" ref="W145">+IF(U145&lt;0,error,0)</f>
        <v>0</v>
      </c>
    </row>
    <row r="146" spans="1:23" ht="18" customHeight="1" x14ac:dyDescent="0.2">
      <c r="A146" s="402" t="s">
        <v>272</v>
      </c>
      <c r="B146" s="403"/>
      <c r="C146" s="404" t="s">
        <v>273</v>
      </c>
      <c r="D146" s="405">
        <v>43340</v>
      </c>
      <c r="E146" s="406"/>
      <c r="F146" s="325"/>
      <c r="G146" s="324"/>
      <c r="H146" s="324">
        <v>2565</v>
      </c>
      <c r="I146" s="325">
        <v>2447</v>
      </c>
      <c r="J146" s="325"/>
      <c r="K146" s="325">
        <f t="shared" si="20"/>
        <v>0</v>
      </c>
      <c r="L146" s="325">
        <f t="shared" si="21"/>
        <v>0</v>
      </c>
      <c r="M146" s="407">
        <v>2.5</v>
      </c>
      <c r="N146" s="408" t="s">
        <v>17</v>
      </c>
      <c r="O146" s="325">
        <f t="shared" si="25"/>
        <v>0</v>
      </c>
      <c r="P146" s="325">
        <f t="shared" si="26"/>
        <v>0</v>
      </c>
      <c r="Q146" s="325">
        <f t="shared" si="27"/>
        <v>0</v>
      </c>
      <c r="R146" s="325">
        <f t="shared" si="22"/>
        <v>0</v>
      </c>
      <c r="S146" s="325">
        <f t="shared" si="23"/>
        <v>32</v>
      </c>
      <c r="T146" s="325">
        <f t="shared" si="28"/>
        <v>32</v>
      </c>
      <c r="U146" s="325">
        <f t="shared" si="24"/>
        <v>2415</v>
      </c>
      <c r="V146" s="325">
        <f t="shared" si="29"/>
        <v>0</v>
      </c>
      <c r="W146" s="449" cm="1">
        <f t="array" ref="W146">+IF(U146&lt;0,error,0)</f>
        <v>0</v>
      </c>
    </row>
    <row r="147" spans="1:23" ht="18" customHeight="1" x14ac:dyDescent="0.2">
      <c r="A147" s="402" t="s">
        <v>274</v>
      </c>
      <c r="B147" s="403"/>
      <c r="C147" s="404" t="s">
        <v>268</v>
      </c>
      <c r="D147" s="405">
        <v>43343</v>
      </c>
      <c r="E147" s="406"/>
      <c r="F147" s="325"/>
      <c r="G147" s="324"/>
      <c r="H147" s="324">
        <v>1798</v>
      </c>
      <c r="I147" s="325">
        <v>1717</v>
      </c>
      <c r="J147" s="325"/>
      <c r="K147" s="325">
        <f t="shared" si="20"/>
        <v>0</v>
      </c>
      <c r="L147" s="325">
        <f t="shared" si="21"/>
        <v>0</v>
      </c>
      <c r="M147" s="407">
        <v>2.5</v>
      </c>
      <c r="N147" s="408" t="s">
        <v>17</v>
      </c>
      <c r="O147" s="325">
        <f t="shared" si="25"/>
        <v>0</v>
      </c>
      <c r="P147" s="325">
        <f t="shared" si="26"/>
        <v>0</v>
      </c>
      <c r="Q147" s="325">
        <f t="shared" si="27"/>
        <v>0</v>
      </c>
      <c r="R147" s="325">
        <f t="shared" si="22"/>
        <v>0</v>
      </c>
      <c r="S147" s="325">
        <f t="shared" si="23"/>
        <v>22</v>
      </c>
      <c r="T147" s="325">
        <f t="shared" si="28"/>
        <v>22</v>
      </c>
      <c r="U147" s="325">
        <f t="shared" si="24"/>
        <v>1695</v>
      </c>
      <c r="V147" s="325">
        <f t="shared" si="29"/>
        <v>0</v>
      </c>
      <c r="W147" s="449" cm="1">
        <f t="array" ref="W147">+IF(U147&lt;0,error,0)</f>
        <v>0</v>
      </c>
    </row>
    <row r="148" spans="1:23" ht="18" customHeight="1" x14ac:dyDescent="0.2">
      <c r="A148" s="402" t="s">
        <v>275</v>
      </c>
      <c r="B148" s="403"/>
      <c r="C148" s="404" t="s">
        <v>258</v>
      </c>
      <c r="D148" s="405">
        <v>43350</v>
      </c>
      <c r="E148" s="406"/>
      <c r="F148" s="325"/>
      <c r="G148" s="324"/>
      <c r="H148" s="324">
        <v>64500.33</v>
      </c>
      <c r="I148" s="325">
        <v>61572.33</v>
      </c>
      <c r="J148" s="325"/>
      <c r="K148" s="325">
        <f t="shared" si="20"/>
        <v>0</v>
      </c>
      <c r="L148" s="325">
        <f t="shared" si="21"/>
        <v>0</v>
      </c>
      <c r="M148" s="407">
        <v>2.5</v>
      </c>
      <c r="N148" s="408" t="s">
        <v>17</v>
      </c>
      <c r="O148" s="325">
        <f t="shared" si="25"/>
        <v>0</v>
      </c>
      <c r="P148" s="325">
        <f t="shared" si="26"/>
        <v>0</v>
      </c>
      <c r="Q148" s="325">
        <f t="shared" si="27"/>
        <v>0</v>
      </c>
      <c r="R148" s="325">
        <f t="shared" si="22"/>
        <v>0</v>
      </c>
      <c r="S148" s="325">
        <f t="shared" si="23"/>
        <v>806</v>
      </c>
      <c r="T148" s="325">
        <f t="shared" si="28"/>
        <v>806</v>
      </c>
      <c r="U148" s="325">
        <f t="shared" si="24"/>
        <v>60766.33</v>
      </c>
      <c r="V148" s="325">
        <f t="shared" si="29"/>
        <v>0</v>
      </c>
      <c r="W148" s="449" cm="1">
        <f t="array" ref="W148">+IF(U148&lt;0,error,0)</f>
        <v>0</v>
      </c>
    </row>
    <row r="149" spans="1:23" ht="18" customHeight="1" x14ac:dyDescent="0.2">
      <c r="A149" s="402" t="s">
        <v>276</v>
      </c>
      <c r="B149" s="403"/>
      <c r="C149" s="404" t="s">
        <v>277</v>
      </c>
      <c r="D149" s="405">
        <v>43356</v>
      </c>
      <c r="E149" s="406"/>
      <c r="F149" s="325"/>
      <c r="G149" s="324"/>
      <c r="H149" s="324">
        <v>4874.1500000000005</v>
      </c>
      <c r="I149" s="325">
        <v>4657.1500000000005</v>
      </c>
      <c r="J149" s="325"/>
      <c r="K149" s="325">
        <f t="shared" si="20"/>
        <v>0</v>
      </c>
      <c r="L149" s="325">
        <f t="shared" si="21"/>
        <v>0</v>
      </c>
      <c r="M149" s="407">
        <v>2.5</v>
      </c>
      <c r="N149" s="408" t="s">
        <v>17</v>
      </c>
      <c r="O149" s="325">
        <f t="shared" si="25"/>
        <v>0</v>
      </c>
      <c r="P149" s="325">
        <f t="shared" si="26"/>
        <v>0</v>
      </c>
      <c r="Q149" s="325">
        <f t="shared" si="27"/>
        <v>0</v>
      </c>
      <c r="R149" s="325">
        <f t="shared" si="22"/>
        <v>0</v>
      </c>
      <c r="S149" s="325">
        <f t="shared" si="23"/>
        <v>60</v>
      </c>
      <c r="T149" s="325">
        <f t="shared" si="28"/>
        <v>60</v>
      </c>
      <c r="U149" s="325">
        <f t="shared" si="24"/>
        <v>4597.1500000000005</v>
      </c>
      <c r="V149" s="325">
        <f t="shared" si="29"/>
        <v>0</v>
      </c>
      <c r="W149" s="449" cm="1">
        <f t="array" ref="W149">+IF(U149&lt;0,error,0)</f>
        <v>0</v>
      </c>
    </row>
    <row r="150" spans="1:23" ht="18" customHeight="1" x14ac:dyDescent="0.2">
      <c r="A150" s="402" t="s">
        <v>278</v>
      </c>
      <c r="B150" s="403"/>
      <c r="C150" s="404" t="s">
        <v>258</v>
      </c>
      <c r="D150" s="405">
        <v>43375</v>
      </c>
      <c r="E150" s="406"/>
      <c r="F150" s="325"/>
      <c r="G150" s="324"/>
      <c r="H150" s="324">
        <v>42752.950000000004</v>
      </c>
      <c r="I150" s="325">
        <v>40885.950000000004</v>
      </c>
      <c r="J150" s="325"/>
      <c r="K150" s="325">
        <f t="shared" si="20"/>
        <v>0</v>
      </c>
      <c r="L150" s="325">
        <f t="shared" si="21"/>
        <v>0</v>
      </c>
      <c r="M150" s="407">
        <v>2.5</v>
      </c>
      <c r="N150" s="408" t="s">
        <v>17</v>
      </c>
      <c r="O150" s="325">
        <f t="shared" si="25"/>
        <v>0</v>
      </c>
      <c r="P150" s="325">
        <f t="shared" si="26"/>
        <v>0</v>
      </c>
      <c r="Q150" s="325">
        <f t="shared" si="27"/>
        <v>0</v>
      </c>
      <c r="R150" s="325">
        <f t="shared" si="22"/>
        <v>0</v>
      </c>
      <c r="S150" s="325">
        <f t="shared" si="23"/>
        <v>534</v>
      </c>
      <c r="T150" s="325">
        <f t="shared" si="28"/>
        <v>534</v>
      </c>
      <c r="U150" s="325">
        <f t="shared" si="24"/>
        <v>40351.950000000004</v>
      </c>
      <c r="V150" s="325">
        <f t="shared" si="29"/>
        <v>0</v>
      </c>
      <c r="W150" s="449" cm="1">
        <f t="array" ref="W150">+IF(U150&lt;0,error,0)</f>
        <v>0</v>
      </c>
    </row>
    <row r="151" spans="1:23" ht="18" customHeight="1" x14ac:dyDescent="0.2">
      <c r="A151" s="402" t="s">
        <v>279</v>
      </c>
      <c r="B151" s="403"/>
      <c r="C151" s="412" t="s">
        <v>280</v>
      </c>
      <c r="D151" s="405">
        <v>43334</v>
      </c>
      <c r="E151" s="406"/>
      <c r="F151" s="325"/>
      <c r="G151" s="324"/>
      <c r="H151" s="324">
        <v>31700</v>
      </c>
      <c r="I151" s="325">
        <v>30227</v>
      </c>
      <c r="J151" s="325"/>
      <c r="K151" s="325">
        <f t="shared" si="20"/>
        <v>0</v>
      </c>
      <c r="L151" s="325">
        <f t="shared" si="21"/>
        <v>0</v>
      </c>
      <c r="M151" s="407">
        <v>2.5</v>
      </c>
      <c r="N151" s="408" t="s">
        <v>17</v>
      </c>
      <c r="O151" s="325">
        <f t="shared" si="25"/>
        <v>0</v>
      </c>
      <c r="P151" s="325">
        <f t="shared" si="26"/>
        <v>0</v>
      </c>
      <c r="Q151" s="325">
        <f t="shared" si="27"/>
        <v>0</v>
      </c>
      <c r="R151" s="325">
        <f t="shared" si="22"/>
        <v>0</v>
      </c>
      <c r="S151" s="325">
        <f t="shared" si="23"/>
        <v>396</v>
      </c>
      <c r="T151" s="325">
        <f t="shared" si="28"/>
        <v>396</v>
      </c>
      <c r="U151" s="325">
        <f t="shared" si="24"/>
        <v>29831</v>
      </c>
      <c r="V151" s="325">
        <f t="shared" si="29"/>
        <v>0</v>
      </c>
      <c r="W151" s="449" cm="1">
        <f t="array" ref="W151">+IF(U151&lt;0,error,0)</f>
        <v>0</v>
      </c>
    </row>
    <row r="152" spans="1:23" ht="18" customHeight="1" x14ac:dyDescent="0.2">
      <c r="A152" s="402" t="s">
        <v>281</v>
      </c>
      <c r="B152" s="403"/>
      <c r="C152" s="412" t="s">
        <v>282</v>
      </c>
      <c r="D152" s="405">
        <v>43374</v>
      </c>
      <c r="E152" s="406"/>
      <c r="F152" s="325"/>
      <c r="G152" s="324"/>
      <c r="H152" s="324">
        <v>9587.5</v>
      </c>
      <c r="I152" s="325">
        <v>9170.5</v>
      </c>
      <c r="J152" s="325"/>
      <c r="K152" s="325">
        <f t="shared" si="20"/>
        <v>0</v>
      </c>
      <c r="L152" s="325">
        <f t="shared" si="21"/>
        <v>0</v>
      </c>
      <c r="M152" s="407">
        <v>2.5</v>
      </c>
      <c r="N152" s="408" t="s">
        <v>17</v>
      </c>
      <c r="O152" s="325">
        <f t="shared" si="25"/>
        <v>0</v>
      </c>
      <c r="P152" s="325">
        <f t="shared" si="26"/>
        <v>0</v>
      </c>
      <c r="Q152" s="325">
        <f t="shared" si="27"/>
        <v>0</v>
      </c>
      <c r="R152" s="325">
        <f t="shared" si="22"/>
        <v>0</v>
      </c>
      <c r="S152" s="325">
        <f t="shared" si="23"/>
        <v>119</v>
      </c>
      <c r="T152" s="325">
        <f t="shared" si="28"/>
        <v>119</v>
      </c>
      <c r="U152" s="325">
        <f t="shared" si="24"/>
        <v>9051.5</v>
      </c>
      <c r="V152" s="325">
        <f t="shared" si="29"/>
        <v>0</v>
      </c>
      <c r="W152" s="449" cm="1">
        <f t="array" ref="W152">+IF(U152&lt;0,error,0)</f>
        <v>0</v>
      </c>
    </row>
    <row r="153" spans="1:23" ht="18" customHeight="1" x14ac:dyDescent="0.2">
      <c r="A153" s="402" t="s">
        <v>283</v>
      </c>
      <c r="B153" s="403"/>
      <c r="C153" s="404" t="s">
        <v>284</v>
      </c>
      <c r="D153" s="405">
        <v>43404</v>
      </c>
      <c r="E153" s="406"/>
      <c r="F153" s="325"/>
      <c r="G153" s="324"/>
      <c r="H153" s="324">
        <v>1040</v>
      </c>
      <c r="I153" s="325">
        <v>997</v>
      </c>
      <c r="J153" s="325"/>
      <c r="K153" s="325">
        <f t="shared" si="20"/>
        <v>0</v>
      </c>
      <c r="L153" s="325">
        <f t="shared" si="21"/>
        <v>0</v>
      </c>
      <c r="M153" s="407">
        <v>2.5</v>
      </c>
      <c r="N153" s="408" t="s">
        <v>17</v>
      </c>
      <c r="O153" s="325">
        <f t="shared" si="25"/>
        <v>0</v>
      </c>
      <c r="P153" s="325">
        <f t="shared" si="26"/>
        <v>0</v>
      </c>
      <c r="Q153" s="325">
        <f t="shared" si="27"/>
        <v>0</v>
      </c>
      <c r="R153" s="325">
        <f t="shared" si="22"/>
        <v>0</v>
      </c>
      <c r="S153" s="325">
        <f t="shared" si="23"/>
        <v>13</v>
      </c>
      <c r="T153" s="325">
        <f t="shared" si="28"/>
        <v>13</v>
      </c>
      <c r="U153" s="325">
        <f t="shared" si="24"/>
        <v>984</v>
      </c>
      <c r="V153" s="325">
        <f t="shared" si="29"/>
        <v>0</v>
      </c>
      <c r="W153" s="449" cm="1">
        <f t="array" ref="W153">+IF(U153&lt;0,error,0)</f>
        <v>0</v>
      </c>
    </row>
    <row r="154" spans="1:23" ht="18" customHeight="1" x14ac:dyDescent="0.2">
      <c r="A154" s="402">
        <v>740147</v>
      </c>
      <c r="B154" s="403"/>
      <c r="C154" s="404" t="s">
        <v>2039</v>
      </c>
      <c r="D154" s="405">
        <v>43502</v>
      </c>
      <c r="E154" s="406"/>
      <c r="F154" s="325"/>
      <c r="G154" s="324"/>
      <c r="H154" s="324">
        <v>31026.7</v>
      </c>
      <c r="I154" s="325">
        <v>29946.7</v>
      </c>
      <c r="J154" s="325"/>
      <c r="K154" s="325">
        <f t="shared" si="20"/>
        <v>0</v>
      </c>
      <c r="L154" s="325">
        <f t="shared" si="21"/>
        <v>0</v>
      </c>
      <c r="M154" s="407">
        <v>2.5</v>
      </c>
      <c r="N154" s="408" t="s">
        <v>17</v>
      </c>
      <c r="O154" s="325">
        <f t="shared" si="25"/>
        <v>0</v>
      </c>
      <c r="P154" s="325">
        <f t="shared" si="26"/>
        <v>0</v>
      </c>
      <c r="Q154" s="325">
        <f t="shared" si="27"/>
        <v>0</v>
      </c>
      <c r="R154" s="325">
        <f t="shared" si="22"/>
        <v>0</v>
      </c>
      <c r="S154" s="325">
        <f t="shared" si="23"/>
        <v>387</v>
      </c>
      <c r="T154" s="325">
        <f>+R154+S154+Q154</f>
        <v>387</v>
      </c>
      <c r="U154" s="325">
        <f t="shared" si="24"/>
        <v>29559.7</v>
      </c>
      <c r="V154" s="325">
        <f t="shared" si="29"/>
        <v>0</v>
      </c>
      <c r="W154" s="449" cm="1">
        <f t="array" ref="W154">+IF(U154&lt;0,error,0)</f>
        <v>0</v>
      </c>
    </row>
    <row r="155" spans="1:23" ht="18" customHeight="1" x14ac:dyDescent="0.2">
      <c r="A155" s="402">
        <v>740148</v>
      </c>
      <c r="B155" s="403"/>
      <c r="C155" s="404" t="s">
        <v>2040</v>
      </c>
      <c r="D155" s="405">
        <v>43566</v>
      </c>
      <c r="E155" s="406"/>
      <c r="F155" s="325"/>
      <c r="G155" s="324"/>
      <c r="H155" s="324">
        <v>13485.26</v>
      </c>
      <c r="I155" s="325">
        <v>13076.26</v>
      </c>
      <c r="J155" s="325"/>
      <c r="K155" s="325">
        <f t="shared" si="20"/>
        <v>0</v>
      </c>
      <c r="L155" s="325">
        <f t="shared" si="21"/>
        <v>0</v>
      </c>
      <c r="M155" s="407">
        <v>2.5</v>
      </c>
      <c r="N155" s="408" t="s">
        <v>17</v>
      </c>
      <c r="O155" s="325">
        <f t="shared" si="25"/>
        <v>0</v>
      </c>
      <c r="P155" s="325">
        <f t="shared" si="26"/>
        <v>0</v>
      </c>
      <c r="Q155" s="325">
        <f t="shared" si="27"/>
        <v>0</v>
      </c>
      <c r="R155" s="325">
        <f t="shared" si="22"/>
        <v>0</v>
      </c>
      <c r="S155" s="325">
        <f t="shared" si="23"/>
        <v>168</v>
      </c>
      <c r="T155" s="325">
        <f t="shared" ref="T155:T169" si="30">+R155+S155+Q155</f>
        <v>168</v>
      </c>
      <c r="U155" s="325">
        <f t="shared" si="24"/>
        <v>12908.26</v>
      </c>
      <c r="V155" s="325">
        <f t="shared" si="29"/>
        <v>0</v>
      </c>
      <c r="W155" s="449" cm="1">
        <f t="array" ref="W155">+IF(U155&lt;0,error,0)</f>
        <v>0</v>
      </c>
    </row>
    <row r="156" spans="1:23" ht="18" customHeight="1" x14ac:dyDescent="0.2">
      <c r="A156" s="402">
        <v>740149</v>
      </c>
      <c r="B156" s="403"/>
      <c r="C156" s="404" t="s">
        <v>2041</v>
      </c>
      <c r="D156" s="405">
        <v>43585</v>
      </c>
      <c r="E156" s="406"/>
      <c r="F156" s="325"/>
      <c r="G156" s="324"/>
      <c r="H156" s="324">
        <v>23909.5</v>
      </c>
      <c r="I156" s="325">
        <v>23214.5</v>
      </c>
      <c r="J156" s="325"/>
      <c r="K156" s="325">
        <f t="shared" si="20"/>
        <v>0</v>
      </c>
      <c r="L156" s="325">
        <f t="shared" si="21"/>
        <v>0</v>
      </c>
      <c r="M156" s="407">
        <v>2.5</v>
      </c>
      <c r="N156" s="408" t="s">
        <v>17</v>
      </c>
      <c r="O156" s="325">
        <f t="shared" si="25"/>
        <v>0</v>
      </c>
      <c r="P156" s="325">
        <f t="shared" si="26"/>
        <v>0</v>
      </c>
      <c r="Q156" s="325">
        <f t="shared" si="27"/>
        <v>0</v>
      </c>
      <c r="R156" s="325">
        <f t="shared" si="22"/>
        <v>0</v>
      </c>
      <c r="S156" s="325">
        <f t="shared" si="23"/>
        <v>298</v>
      </c>
      <c r="T156" s="325">
        <f t="shared" si="30"/>
        <v>298</v>
      </c>
      <c r="U156" s="325">
        <f t="shared" si="24"/>
        <v>22916.5</v>
      </c>
      <c r="V156" s="325">
        <f t="shared" si="29"/>
        <v>0</v>
      </c>
      <c r="W156" s="449" cm="1">
        <f t="array" ref="W156">+IF(U156&lt;0,error,0)</f>
        <v>0</v>
      </c>
    </row>
    <row r="157" spans="1:23" ht="18" customHeight="1" x14ac:dyDescent="0.2">
      <c r="A157" s="402">
        <v>740150</v>
      </c>
      <c r="B157" s="403"/>
      <c r="C157" s="404" t="s">
        <v>53</v>
      </c>
      <c r="D157" s="405">
        <v>43622</v>
      </c>
      <c r="E157" s="406"/>
      <c r="F157" s="325"/>
      <c r="G157" s="324"/>
      <c r="H157" s="324">
        <v>29309.15</v>
      </c>
      <c r="I157" s="325">
        <v>28529.15</v>
      </c>
      <c r="J157" s="325"/>
      <c r="K157" s="325">
        <f t="shared" si="20"/>
        <v>0</v>
      </c>
      <c r="L157" s="325">
        <f t="shared" si="21"/>
        <v>0</v>
      </c>
      <c r="M157" s="407">
        <v>2.5</v>
      </c>
      <c r="N157" s="408" t="s">
        <v>17</v>
      </c>
      <c r="O157" s="325">
        <f t="shared" si="25"/>
        <v>0</v>
      </c>
      <c r="P157" s="325">
        <f t="shared" si="26"/>
        <v>0</v>
      </c>
      <c r="Q157" s="325">
        <f t="shared" si="27"/>
        <v>0</v>
      </c>
      <c r="R157" s="325">
        <f t="shared" si="22"/>
        <v>0</v>
      </c>
      <c r="S157" s="325">
        <f t="shared" si="23"/>
        <v>366</v>
      </c>
      <c r="T157" s="325">
        <f t="shared" si="30"/>
        <v>366</v>
      </c>
      <c r="U157" s="325">
        <f t="shared" si="24"/>
        <v>28163.15</v>
      </c>
      <c r="V157" s="325">
        <f t="shared" si="29"/>
        <v>0</v>
      </c>
      <c r="W157" s="449" cm="1">
        <f t="array" ref="W157">+IF(U157&lt;0,error,0)</f>
        <v>0</v>
      </c>
    </row>
    <row r="158" spans="1:23" ht="18" customHeight="1" x14ac:dyDescent="0.2">
      <c r="A158" s="402">
        <v>740151</v>
      </c>
      <c r="B158" s="403"/>
      <c r="C158" s="404" t="s">
        <v>2042</v>
      </c>
      <c r="D158" s="405">
        <v>43617</v>
      </c>
      <c r="E158" s="406"/>
      <c r="F158" s="325"/>
      <c r="G158" s="324"/>
      <c r="H158" s="324">
        <v>38976.42</v>
      </c>
      <c r="I158" s="325">
        <v>37925.42</v>
      </c>
      <c r="J158" s="325"/>
      <c r="K158" s="325">
        <f t="shared" si="20"/>
        <v>0</v>
      </c>
      <c r="L158" s="325">
        <f t="shared" si="21"/>
        <v>0</v>
      </c>
      <c r="M158" s="407">
        <v>2.5</v>
      </c>
      <c r="N158" s="408" t="s">
        <v>17</v>
      </c>
      <c r="O158" s="325">
        <f t="shared" si="25"/>
        <v>0</v>
      </c>
      <c r="P158" s="325">
        <f t="shared" si="26"/>
        <v>0</v>
      </c>
      <c r="Q158" s="325">
        <f t="shared" si="27"/>
        <v>0</v>
      </c>
      <c r="R158" s="325">
        <f t="shared" si="22"/>
        <v>0</v>
      </c>
      <c r="S158" s="325">
        <f t="shared" si="23"/>
        <v>487</v>
      </c>
      <c r="T158" s="325">
        <f t="shared" si="30"/>
        <v>487</v>
      </c>
      <c r="U158" s="325">
        <f t="shared" si="24"/>
        <v>37438.42</v>
      </c>
      <c r="V158" s="325">
        <f t="shared" si="29"/>
        <v>0</v>
      </c>
      <c r="W158" s="449" cm="1">
        <f t="array" ref="W158">+IF(U158&lt;0,error,0)</f>
        <v>0</v>
      </c>
    </row>
    <row r="159" spans="1:23" ht="18" customHeight="1" x14ac:dyDescent="0.2">
      <c r="A159" s="402">
        <v>740152</v>
      </c>
      <c r="B159" s="403"/>
      <c r="C159" s="404" t="s">
        <v>1877</v>
      </c>
      <c r="D159" s="405">
        <v>43497</v>
      </c>
      <c r="E159" s="406"/>
      <c r="F159" s="325"/>
      <c r="G159" s="324"/>
      <c r="H159" s="324">
        <v>14080</v>
      </c>
      <c r="I159" s="325">
        <v>13585</v>
      </c>
      <c r="J159" s="325"/>
      <c r="K159" s="325">
        <f t="shared" si="20"/>
        <v>0</v>
      </c>
      <c r="L159" s="325">
        <f t="shared" si="21"/>
        <v>0</v>
      </c>
      <c r="M159" s="407">
        <v>2.5</v>
      </c>
      <c r="N159" s="408" t="s">
        <v>17</v>
      </c>
      <c r="O159" s="325">
        <f t="shared" si="25"/>
        <v>0</v>
      </c>
      <c r="P159" s="325">
        <f t="shared" si="26"/>
        <v>0</v>
      </c>
      <c r="Q159" s="325">
        <f t="shared" si="27"/>
        <v>0</v>
      </c>
      <c r="R159" s="325">
        <f t="shared" si="22"/>
        <v>0</v>
      </c>
      <c r="S159" s="325">
        <f t="shared" si="23"/>
        <v>176</v>
      </c>
      <c r="T159" s="325">
        <f t="shared" si="30"/>
        <v>176</v>
      </c>
      <c r="U159" s="325">
        <f t="shared" si="24"/>
        <v>13409</v>
      </c>
      <c r="V159" s="325">
        <f t="shared" si="29"/>
        <v>0</v>
      </c>
      <c r="W159" s="449" cm="1">
        <f t="array" ref="W159">+IF(U159&lt;0,error,0)</f>
        <v>0</v>
      </c>
    </row>
    <row r="160" spans="1:23" ht="18" customHeight="1" x14ac:dyDescent="0.2">
      <c r="A160" s="402">
        <v>740153</v>
      </c>
      <c r="B160" s="403"/>
      <c r="C160" s="404" t="s">
        <v>2108</v>
      </c>
      <c r="D160" s="405">
        <v>43709</v>
      </c>
      <c r="E160" s="406"/>
      <c r="F160" s="325"/>
      <c r="G160" s="324"/>
      <c r="H160" s="324">
        <v>7400.85</v>
      </c>
      <c r="I160" s="325">
        <v>7247.85</v>
      </c>
      <c r="J160" s="325"/>
      <c r="K160" s="325">
        <f t="shared" si="20"/>
        <v>0</v>
      </c>
      <c r="L160" s="325">
        <f t="shared" si="21"/>
        <v>0</v>
      </c>
      <c r="M160" s="407">
        <v>2.5</v>
      </c>
      <c r="N160" s="408" t="s">
        <v>17</v>
      </c>
      <c r="O160" s="325">
        <f t="shared" si="25"/>
        <v>0</v>
      </c>
      <c r="P160" s="325">
        <f t="shared" si="26"/>
        <v>0</v>
      </c>
      <c r="Q160" s="325">
        <f t="shared" si="27"/>
        <v>0</v>
      </c>
      <c r="R160" s="325">
        <f t="shared" si="22"/>
        <v>0</v>
      </c>
      <c r="S160" s="325">
        <f t="shared" si="23"/>
        <v>92</v>
      </c>
      <c r="T160" s="325">
        <f t="shared" si="30"/>
        <v>92</v>
      </c>
      <c r="U160" s="325">
        <f t="shared" si="24"/>
        <v>7155.85</v>
      </c>
      <c r="V160" s="325">
        <f t="shared" si="29"/>
        <v>0</v>
      </c>
      <c r="W160" s="449" cm="1">
        <f t="array" ref="W160">+IF(U160&lt;0,error,0)</f>
        <v>0</v>
      </c>
    </row>
    <row r="161" spans="1:26" ht="18" customHeight="1" x14ac:dyDescent="0.2">
      <c r="A161" s="402">
        <v>740154</v>
      </c>
      <c r="B161" s="403"/>
      <c r="C161" s="404" t="s">
        <v>2109</v>
      </c>
      <c r="D161" s="405">
        <v>43647</v>
      </c>
      <c r="E161" s="406"/>
      <c r="F161" s="325"/>
      <c r="G161" s="324"/>
      <c r="H161" s="324">
        <v>6012.5</v>
      </c>
      <c r="I161" s="325">
        <v>5862.5</v>
      </c>
      <c r="J161" s="325"/>
      <c r="K161" s="325">
        <f t="shared" si="20"/>
        <v>0</v>
      </c>
      <c r="L161" s="325">
        <f t="shared" si="21"/>
        <v>0</v>
      </c>
      <c r="M161" s="407">
        <v>2.5</v>
      </c>
      <c r="N161" s="408" t="s">
        <v>17</v>
      </c>
      <c r="O161" s="325">
        <f t="shared" si="25"/>
        <v>0</v>
      </c>
      <c r="P161" s="325">
        <f t="shared" si="26"/>
        <v>0</v>
      </c>
      <c r="Q161" s="325">
        <f t="shared" si="27"/>
        <v>0</v>
      </c>
      <c r="R161" s="325">
        <f t="shared" si="22"/>
        <v>0</v>
      </c>
      <c r="S161" s="325">
        <f t="shared" si="23"/>
        <v>75</v>
      </c>
      <c r="T161" s="325">
        <f t="shared" si="30"/>
        <v>75</v>
      </c>
      <c r="U161" s="325">
        <f t="shared" si="24"/>
        <v>5787.5</v>
      </c>
      <c r="V161" s="325">
        <f t="shared" si="29"/>
        <v>0</v>
      </c>
      <c r="W161" s="449" cm="1">
        <f t="array" ref="W161">+IF(U161&lt;0,error,0)</f>
        <v>0</v>
      </c>
    </row>
    <row r="162" spans="1:26" ht="18" customHeight="1" x14ac:dyDescent="0.2">
      <c r="A162" s="402">
        <v>740155</v>
      </c>
      <c r="B162" s="403"/>
      <c r="C162" s="404" t="s">
        <v>1852</v>
      </c>
      <c r="D162" s="405">
        <v>43818</v>
      </c>
      <c r="E162" s="406"/>
      <c r="F162" s="325"/>
      <c r="G162" s="324"/>
      <c r="H162" s="324">
        <v>18612.07</v>
      </c>
      <c r="I162" s="325">
        <v>18365.07</v>
      </c>
      <c r="J162" s="325"/>
      <c r="K162" s="325">
        <f t="shared" si="20"/>
        <v>0</v>
      </c>
      <c r="L162" s="325">
        <f t="shared" si="21"/>
        <v>0</v>
      </c>
      <c r="M162" s="407">
        <v>2.5</v>
      </c>
      <c r="N162" s="408" t="s">
        <v>17</v>
      </c>
      <c r="O162" s="325">
        <f t="shared" si="25"/>
        <v>0</v>
      </c>
      <c r="P162" s="325">
        <f t="shared" si="26"/>
        <v>0</v>
      </c>
      <c r="Q162" s="325">
        <f t="shared" si="27"/>
        <v>0</v>
      </c>
      <c r="R162" s="325">
        <f t="shared" si="22"/>
        <v>0</v>
      </c>
      <c r="S162" s="325">
        <f t="shared" si="23"/>
        <v>232</v>
      </c>
      <c r="T162" s="325">
        <f t="shared" si="30"/>
        <v>232</v>
      </c>
      <c r="U162" s="325">
        <f t="shared" si="24"/>
        <v>18133.07</v>
      </c>
      <c r="V162" s="325">
        <f t="shared" si="29"/>
        <v>0</v>
      </c>
      <c r="W162" s="449" cm="1">
        <f t="array" ref="W162">+IF(U162&lt;0,error,0)</f>
        <v>0</v>
      </c>
    </row>
    <row r="163" spans="1:26" ht="18" customHeight="1" x14ac:dyDescent="0.2">
      <c r="A163" s="402">
        <v>740156</v>
      </c>
      <c r="B163" s="403"/>
      <c r="C163" s="404" t="s">
        <v>53</v>
      </c>
      <c r="D163" s="405">
        <v>43830</v>
      </c>
      <c r="E163" s="406"/>
      <c r="F163" s="325"/>
      <c r="G163" s="324"/>
      <c r="H163" s="324">
        <v>29585.27</v>
      </c>
      <c r="I163" s="325">
        <v>29216.27</v>
      </c>
      <c r="J163" s="325"/>
      <c r="K163" s="325">
        <f t="shared" si="20"/>
        <v>0</v>
      </c>
      <c r="L163" s="325">
        <f t="shared" si="21"/>
        <v>0</v>
      </c>
      <c r="M163" s="407">
        <v>2.5</v>
      </c>
      <c r="N163" s="408" t="s">
        <v>17</v>
      </c>
      <c r="O163" s="325">
        <f t="shared" si="25"/>
        <v>0</v>
      </c>
      <c r="P163" s="325">
        <f t="shared" si="26"/>
        <v>0</v>
      </c>
      <c r="Q163" s="325">
        <f t="shared" si="27"/>
        <v>0</v>
      </c>
      <c r="R163" s="325">
        <f t="shared" si="22"/>
        <v>0</v>
      </c>
      <c r="S163" s="325">
        <f t="shared" si="23"/>
        <v>369</v>
      </c>
      <c r="T163" s="325">
        <f t="shared" si="30"/>
        <v>369</v>
      </c>
      <c r="U163" s="325">
        <f t="shared" si="24"/>
        <v>28847.27</v>
      </c>
      <c r="V163" s="325">
        <f t="shared" si="29"/>
        <v>0</v>
      </c>
      <c r="W163" s="449" cm="1">
        <f t="array" ref="W163">+IF(U163&lt;0,error,0)</f>
        <v>0</v>
      </c>
    </row>
    <row r="164" spans="1:26" ht="18" customHeight="1" x14ac:dyDescent="0.2">
      <c r="A164" s="402">
        <v>740157</v>
      </c>
      <c r="B164" s="403"/>
      <c r="C164" s="404" t="s">
        <v>2110</v>
      </c>
      <c r="D164" s="405">
        <v>43739</v>
      </c>
      <c r="E164" s="406"/>
      <c r="F164" s="325"/>
      <c r="G164" s="324"/>
      <c r="H164" s="324">
        <v>6325.23</v>
      </c>
      <c r="I164" s="325">
        <v>6207.23</v>
      </c>
      <c r="J164" s="325"/>
      <c r="K164" s="325">
        <f t="shared" si="20"/>
        <v>0</v>
      </c>
      <c r="L164" s="325">
        <f t="shared" si="21"/>
        <v>0</v>
      </c>
      <c r="M164" s="407">
        <v>2.5</v>
      </c>
      <c r="N164" s="408" t="s">
        <v>17</v>
      </c>
      <c r="O164" s="325">
        <f t="shared" si="25"/>
        <v>0</v>
      </c>
      <c r="P164" s="325">
        <f t="shared" si="26"/>
        <v>0</v>
      </c>
      <c r="Q164" s="325">
        <f t="shared" si="27"/>
        <v>0</v>
      </c>
      <c r="R164" s="325">
        <f t="shared" si="22"/>
        <v>0</v>
      </c>
      <c r="S164" s="325">
        <f t="shared" si="23"/>
        <v>79</v>
      </c>
      <c r="T164" s="325">
        <f t="shared" si="30"/>
        <v>79</v>
      </c>
      <c r="U164" s="325">
        <f t="shared" si="24"/>
        <v>6128.23</v>
      </c>
      <c r="V164" s="325">
        <f t="shared" si="29"/>
        <v>0</v>
      </c>
      <c r="W164" s="449" cm="1">
        <f t="array" ref="W164">+IF(U164&lt;0,error,0)</f>
        <v>0</v>
      </c>
    </row>
    <row r="165" spans="1:26" ht="18" customHeight="1" x14ac:dyDescent="0.2">
      <c r="A165" s="402">
        <v>740158</v>
      </c>
      <c r="B165" s="403"/>
      <c r="C165" s="404" t="s">
        <v>2111</v>
      </c>
      <c r="D165" s="405">
        <v>43739</v>
      </c>
      <c r="E165" s="406"/>
      <c r="F165" s="325"/>
      <c r="G165" s="324"/>
      <c r="H165" s="324">
        <v>1657.6</v>
      </c>
      <c r="I165" s="325">
        <v>1627.6</v>
      </c>
      <c r="J165" s="325"/>
      <c r="K165" s="325">
        <f t="shared" si="20"/>
        <v>0</v>
      </c>
      <c r="L165" s="325">
        <f t="shared" si="21"/>
        <v>0</v>
      </c>
      <c r="M165" s="407">
        <v>2.5</v>
      </c>
      <c r="N165" s="408" t="s">
        <v>17</v>
      </c>
      <c r="O165" s="325">
        <f t="shared" si="25"/>
        <v>0</v>
      </c>
      <c r="P165" s="325">
        <f t="shared" si="26"/>
        <v>0</v>
      </c>
      <c r="Q165" s="325">
        <f t="shared" si="27"/>
        <v>0</v>
      </c>
      <c r="R165" s="325">
        <f t="shared" si="22"/>
        <v>0</v>
      </c>
      <c r="S165" s="325">
        <f t="shared" si="23"/>
        <v>20</v>
      </c>
      <c r="T165" s="325">
        <f t="shared" si="30"/>
        <v>20</v>
      </c>
      <c r="U165" s="325">
        <f t="shared" si="24"/>
        <v>1607.6</v>
      </c>
      <c r="V165" s="325">
        <f t="shared" si="29"/>
        <v>0</v>
      </c>
      <c r="W165" s="449" cm="1">
        <f t="array" ref="W165">+IF(U165&lt;0,error,0)</f>
        <v>0</v>
      </c>
    </row>
    <row r="166" spans="1:26" ht="18" customHeight="1" x14ac:dyDescent="0.2">
      <c r="A166" s="402">
        <v>740159</v>
      </c>
      <c r="B166" s="403"/>
      <c r="C166" s="404" t="s">
        <v>2112</v>
      </c>
      <c r="D166" s="405">
        <v>43761</v>
      </c>
      <c r="E166" s="406"/>
      <c r="F166" s="325"/>
      <c r="G166" s="324"/>
      <c r="H166" s="324">
        <v>475</v>
      </c>
      <c r="I166" s="325">
        <v>468</v>
      </c>
      <c r="J166" s="325"/>
      <c r="K166" s="325">
        <f t="shared" si="20"/>
        <v>0</v>
      </c>
      <c r="L166" s="325">
        <f t="shared" si="21"/>
        <v>0</v>
      </c>
      <c r="M166" s="407">
        <v>2.5</v>
      </c>
      <c r="N166" s="408" t="s">
        <v>17</v>
      </c>
      <c r="O166" s="325">
        <f t="shared" si="25"/>
        <v>0</v>
      </c>
      <c r="P166" s="325">
        <f t="shared" si="26"/>
        <v>0</v>
      </c>
      <c r="Q166" s="325">
        <f t="shared" si="27"/>
        <v>0</v>
      </c>
      <c r="R166" s="325">
        <f t="shared" si="22"/>
        <v>0</v>
      </c>
      <c r="S166" s="325">
        <f t="shared" si="23"/>
        <v>5</v>
      </c>
      <c r="T166" s="325">
        <f t="shared" si="30"/>
        <v>5</v>
      </c>
      <c r="U166" s="325">
        <f t="shared" si="24"/>
        <v>463</v>
      </c>
      <c r="V166" s="325">
        <f t="shared" si="29"/>
        <v>0</v>
      </c>
      <c r="W166" s="449" cm="1">
        <f t="array" ref="W166">+IF(U166&lt;0,error,0)</f>
        <v>0</v>
      </c>
    </row>
    <row r="167" spans="1:26" ht="18" customHeight="1" x14ac:dyDescent="0.2">
      <c r="A167" s="402">
        <v>740160</v>
      </c>
      <c r="B167" s="403"/>
      <c r="C167" s="404" t="s">
        <v>2351</v>
      </c>
      <c r="D167" s="405">
        <v>43867</v>
      </c>
      <c r="E167" s="406"/>
      <c r="F167" s="325"/>
      <c r="G167" s="324"/>
      <c r="H167" s="324">
        <v>14020.58</v>
      </c>
      <c r="I167" s="325">
        <v>13881.58</v>
      </c>
      <c r="J167" s="325"/>
      <c r="K167" s="325">
        <f t="shared" si="20"/>
        <v>0</v>
      </c>
      <c r="L167" s="325">
        <f t="shared" si="21"/>
        <v>0</v>
      </c>
      <c r="M167" s="407">
        <v>2.5</v>
      </c>
      <c r="N167" s="408" t="s">
        <v>17</v>
      </c>
      <c r="O167" s="325">
        <f t="shared" si="25"/>
        <v>0</v>
      </c>
      <c r="P167" s="325">
        <f t="shared" si="26"/>
        <v>0</v>
      </c>
      <c r="Q167" s="325">
        <f t="shared" si="27"/>
        <v>0</v>
      </c>
      <c r="R167" s="325">
        <f t="shared" si="22"/>
        <v>0</v>
      </c>
      <c r="S167" s="325">
        <f t="shared" si="23"/>
        <v>175</v>
      </c>
      <c r="T167" s="325">
        <f t="shared" si="30"/>
        <v>175</v>
      </c>
      <c r="U167" s="325">
        <f t="shared" si="24"/>
        <v>13706.58</v>
      </c>
      <c r="V167" s="325">
        <f t="shared" si="29"/>
        <v>0</v>
      </c>
      <c r="W167" s="449" cm="1">
        <f t="array" ref="W167">+IF(U167&lt;0,error,0)</f>
        <v>0</v>
      </c>
    </row>
    <row r="168" spans="1:26" ht="18" customHeight="1" x14ac:dyDescent="0.2">
      <c r="A168" s="402">
        <v>740161</v>
      </c>
      <c r="B168" s="403"/>
      <c r="C168" s="404" t="s">
        <v>1852</v>
      </c>
      <c r="D168" s="405">
        <v>43890</v>
      </c>
      <c r="E168" s="406"/>
      <c r="F168" s="325"/>
      <c r="G168" s="324"/>
      <c r="H168" s="324">
        <v>7095.7</v>
      </c>
      <c r="I168" s="325">
        <v>7036.7</v>
      </c>
      <c r="J168" s="325"/>
      <c r="K168" s="325">
        <f t="shared" si="20"/>
        <v>0</v>
      </c>
      <c r="L168" s="325">
        <f t="shared" si="21"/>
        <v>0</v>
      </c>
      <c r="M168" s="407">
        <v>2.5</v>
      </c>
      <c r="N168" s="408" t="s">
        <v>17</v>
      </c>
      <c r="O168" s="325">
        <f t="shared" si="25"/>
        <v>0</v>
      </c>
      <c r="P168" s="325">
        <f t="shared" si="26"/>
        <v>0</v>
      </c>
      <c r="Q168" s="325">
        <f t="shared" si="27"/>
        <v>0</v>
      </c>
      <c r="R168" s="325">
        <f t="shared" si="22"/>
        <v>0</v>
      </c>
      <c r="S168" s="325">
        <f t="shared" si="23"/>
        <v>88</v>
      </c>
      <c r="T168" s="325">
        <f t="shared" si="30"/>
        <v>88</v>
      </c>
      <c r="U168" s="325">
        <f t="shared" si="24"/>
        <v>6948.7</v>
      </c>
      <c r="V168" s="325">
        <f t="shared" si="29"/>
        <v>0</v>
      </c>
      <c r="W168" s="449" cm="1">
        <f t="array" ref="W168">+IF(U168&lt;0,error,0)</f>
        <v>0</v>
      </c>
    </row>
    <row r="169" spans="1:26" ht="18" customHeight="1" x14ac:dyDescent="0.2">
      <c r="A169" s="402">
        <v>740162</v>
      </c>
      <c r="B169" s="403"/>
      <c r="C169" s="404" t="s">
        <v>53</v>
      </c>
      <c r="D169" s="405">
        <v>43886</v>
      </c>
      <c r="E169" s="406"/>
      <c r="F169" s="325"/>
      <c r="G169" s="324"/>
      <c r="H169" s="324">
        <v>2155.75</v>
      </c>
      <c r="I169" s="325">
        <v>2137.75</v>
      </c>
      <c r="J169" s="325"/>
      <c r="K169" s="325">
        <f t="shared" si="20"/>
        <v>0</v>
      </c>
      <c r="L169" s="325">
        <f t="shared" si="21"/>
        <v>0</v>
      </c>
      <c r="M169" s="407">
        <v>2.5</v>
      </c>
      <c r="N169" s="408" t="s">
        <v>17</v>
      </c>
      <c r="O169" s="325">
        <f t="shared" si="25"/>
        <v>0</v>
      </c>
      <c r="P169" s="325">
        <f t="shared" si="26"/>
        <v>0</v>
      </c>
      <c r="Q169" s="325">
        <f t="shared" si="27"/>
        <v>0</v>
      </c>
      <c r="R169" s="325">
        <f t="shared" si="22"/>
        <v>0</v>
      </c>
      <c r="S169" s="325">
        <f t="shared" si="23"/>
        <v>26</v>
      </c>
      <c r="T169" s="325">
        <f t="shared" si="30"/>
        <v>26</v>
      </c>
      <c r="U169" s="325">
        <f t="shared" si="24"/>
        <v>2111.75</v>
      </c>
      <c r="V169" s="325">
        <f t="shared" si="29"/>
        <v>0</v>
      </c>
      <c r="W169" s="449" cm="1">
        <f t="array" ref="W169">+IF(U169&lt;0,error,0)</f>
        <v>0</v>
      </c>
    </row>
    <row r="170" spans="1:26" ht="18" customHeight="1" x14ac:dyDescent="0.2">
      <c r="A170" s="402"/>
      <c r="B170" s="403"/>
      <c r="C170" s="404"/>
      <c r="D170" s="405"/>
      <c r="E170" s="406"/>
      <c r="F170" s="325"/>
      <c r="G170" s="324"/>
      <c r="H170" s="324"/>
      <c r="I170" s="325"/>
      <c r="J170" s="325"/>
      <c r="K170" s="325"/>
      <c r="L170" s="325"/>
      <c r="M170" s="407"/>
      <c r="N170" s="408"/>
      <c r="O170" s="325"/>
      <c r="P170" s="325"/>
      <c r="Q170" s="325"/>
      <c r="R170" s="325"/>
      <c r="S170" s="325"/>
      <c r="T170" s="325"/>
      <c r="U170" s="325"/>
      <c r="V170" s="325"/>
      <c r="W170" s="449" cm="1">
        <f t="array" ref="W170">+IF(U170&lt;0,error,0)</f>
        <v>0</v>
      </c>
    </row>
    <row r="171" spans="1:26" ht="18" customHeight="1" x14ac:dyDescent="0.2">
      <c r="A171" s="413"/>
      <c r="B171" s="414"/>
      <c r="C171" s="415" t="s">
        <v>2043</v>
      </c>
      <c r="D171" s="416"/>
      <c r="E171" s="406"/>
      <c r="F171" s="325"/>
      <c r="G171" s="324"/>
      <c r="H171" s="417">
        <f>+J172</f>
        <v>0</v>
      </c>
      <c r="I171" s="333"/>
      <c r="J171" s="333"/>
      <c r="K171" s="333"/>
      <c r="L171" s="333"/>
      <c r="M171" s="418"/>
      <c r="N171" s="408"/>
      <c r="O171" s="408"/>
      <c r="P171" s="333"/>
      <c r="Q171" s="333"/>
      <c r="R171" s="408"/>
      <c r="S171" s="333"/>
      <c r="T171" s="333"/>
      <c r="U171" s="333"/>
      <c r="V171" s="333"/>
      <c r="W171" s="449" cm="1">
        <f t="array" ref="W171">+IF(U171&lt;0,error,0)</f>
        <v>0</v>
      </c>
    </row>
    <row r="172" spans="1:26" s="347" customFormat="1" ht="18" customHeight="1" x14ac:dyDescent="0.2">
      <c r="A172" s="420"/>
      <c r="B172" s="421"/>
      <c r="C172" s="422" t="s">
        <v>1638</v>
      </c>
      <c r="D172" s="423"/>
      <c r="E172" s="424"/>
      <c r="F172" s="334">
        <f t="shared" ref="F172:L172" si="31">SUM(F8:F171)</f>
        <v>0</v>
      </c>
      <c r="G172" s="417">
        <f t="shared" si="31"/>
        <v>0</v>
      </c>
      <c r="H172" s="417">
        <f t="shared" si="31"/>
        <v>2171708.0500000003</v>
      </c>
      <c r="I172" s="417">
        <f t="shared" si="31"/>
        <v>2004844.0499999998</v>
      </c>
      <c r="J172" s="334">
        <f t="shared" si="31"/>
        <v>0</v>
      </c>
      <c r="K172" s="334">
        <f t="shared" si="31"/>
        <v>0</v>
      </c>
      <c r="L172" s="334">
        <f t="shared" si="31"/>
        <v>0</v>
      </c>
      <c r="M172" s="425"/>
      <c r="N172" s="426"/>
      <c r="O172" s="334">
        <f>SUM(O8:O171)</f>
        <v>0</v>
      </c>
      <c r="P172" s="334">
        <f>SUM(P8:P171)</f>
        <v>0</v>
      </c>
      <c r="Q172" s="334"/>
      <c r="R172" s="334">
        <f>SUM(R8:R171)</f>
        <v>0</v>
      </c>
      <c r="S172" s="334">
        <f>SUM(S8:S171)</f>
        <v>27069</v>
      </c>
      <c r="T172" s="417">
        <f>SUM(T8:T171)</f>
        <v>27069</v>
      </c>
      <c r="U172" s="334">
        <f>SUM(U8:U171)</f>
        <v>1977775.0499999998</v>
      </c>
      <c r="V172" s="334">
        <f>SUM(V8:V171)</f>
        <v>0</v>
      </c>
      <c r="W172" s="449" cm="1">
        <f t="array" ref="W172">+IF(U172&lt;0,error,0)</f>
        <v>0</v>
      </c>
      <c r="Y172" s="347">
        <f>2171708.05-193933</f>
        <v>1977775.0499999998</v>
      </c>
      <c r="Z172" s="505">
        <f>+U172-Y172</f>
        <v>0</v>
      </c>
    </row>
    <row r="173" spans="1:26" s="347" customFormat="1" ht="18" customHeight="1" x14ac:dyDescent="0.2">
      <c r="A173" s="420"/>
      <c r="B173" s="421"/>
      <c r="C173" s="428"/>
      <c r="D173" s="415"/>
      <c r="E173" s="429"/>
      <c r="F173" s="334"/>
      <c r="G173" s="417"/>
      <c r="H173" s="430"/>
      <c r="I173" s="335"/>
      <c r="J173" s="334"/>
      <c r="K173" s="334"/>
      <c r="L173" s="335"/>
      <c r="M173" s="425"/>
      <c r="N173" s="426"/>
      <c r="O173" s="426"/>
      <c r="P173" s="334"/>
      <c r="Q173" s="334"/>
      <c r="R173" s="426"/>
      <c r="S173" s="334">
        <v>18420</v>
      </c>
      <c r="T173" s="334"/>
      <c r="U173" s="334"/>
      <c r="V173" s="334"/>
      <c r="W173" s="449" cm="1">
        <f t="array" ref="W173">+IF(U173&lt;0,error,0)</f>
        <v>0</v>
      </c>
    </row>
    <row r="174" spans="1:26" ht="18" customHeight="1" x14ac:dyDescent="0.2">
      <c r="A174" s="432" t="s">
        <v>285</v>
      </c>
      <c r="B174" s="433"/>
      <c r="C174" s="418"/>
      <c r="D174" s="428"/>
      <c r="E174" s="434"/>
      <c r="F174" s="336"/>
      <c r="G174" s="435"/>
      <c r="H174" s="435"/>
      <c r="I174" s="336"/>
      <c r="J174" s="336"/>
      <c r="K174" s="336"/>
      <c r="L174" s="336"/>
      <c r="M174" s="428"/>
      <c r="N174" s="436"/>
      <c r="O174" s="436"/>
      <c r="P174" s="336"/>
      <c r="Q174" s="336"/>
      <c r="R174" s="436"/>
      <c r="S174" s="336"/>
      <c r="T174" s="336"/>
      <c r="U174" s="333"/>
      <c r="V174" s="333"/>
      <c r="W174" s="449" cm="1">
        <f t="array" ref="W174">+IF(U174&lt;0,error,0)</f>
        <v>0</v>
      </c>
    </row>
    <row r="175" spans="1:26" ht="18" customHeight="1" x14ac:dyDescent="0.2">
      <c r="A175" s="437" t="s">
        <v>286</v>
      </c>
      <c r="B175" s="414"/>
      <c r="C175" s="418"/>
      <c r="D175" s="418"/>
      <c r="E175" s="438"/>
      <c r="F175" s="333"/>
      <c r="G175" s="439"/>
      <c r="H175" s="439"/>
      <c r="I175" s="333"/>
      <c r="J175" s="333"/>
      <c r="K175" s="333"/>
      <c r="L175" s="333"/>
      <c r="M175" s="418"/>
      <c r="N175" s="408"/>
      <c r="O175" s="408"/>
      <c r="P175" s="333"/>
      <c r="Q175" s="333"/>
      <c r="R175" s="408"/>
      <c r="S175" s="333"/>
      <c r="T175" s="333"/>
      <c r="U175" s="333"/>
      <c r="V175" s="333"/>
      <c r="W175" s="449" cm="1">
        <f t="array" ref="W175">+IF(U175&lt;0,error,0)</f>
        <v>0</v>
      </c>
    </row>
    <row r="176" spans="1:26" ht="18" customHeight="1" x14ac:dyDescent="0.2">
      <c r="A176" s="402" t="s">
        <v>287</v>
      </c>
      <c r="B176" s="403"/>
      <c r="C176" s="411" t="s">
        <v>288</v>
      </c>
      <c r="D176" s="405">
        <v>37778</v>
      </c>
      <c r="E176" s="406"/>
      <c r="F176" s="325"/>
      <c r="G176" s="439"/>
      <c r="H176" s="324">
        <v>6000</v>
      </c>
      <c r="I176" s="325">
        <v>2502</v>
      </c>
      <c r="J176" s="325"/>
      <c r="K176" s="325">
        <f t="shared" ref="K176:K220" si="32">INT(IF($E176&gt;0,IF(+F176-I176+Q176&lt;0,0,+F176-I176+Q176),0))</f>
        <v>0</v>
      </c>
      <c r="L176" s="325">
        <f t="shared" ref="L176:L220" si="33">INT(IF($E176&gt;0,IF(K176=0,-F176+I176-Q176,0),0))</f>
        <v>0</v>
      </c>
      <c r="M176" s="407">
        <v>5</v>
      </c>
      <c r="N176" s="408" t="s">
        <v>289</v>
      </c>
      <c r="O176" s="325">
        <f>IF(E176&gt;0,INT(IF($N176="D",IF($D176&lt;$H$3,$I176*($M176/100)*((E176-$H$3)/365),$J176*($M176/100)*($J$3-$D176)/365),0)),0)</f>
        <v>0</v>
      </c>
      <c r="P176" s="325">
        <f>IF(E176&gt;0,INT(IF($N176="P",IF($D176&lt;$H$3,$H176*($M176/100)*(E176-$H$3)/365,$J176*($M176/100)*($J$3-$D176)/365),0)),0)</f>
        <v>0</v>
      </c>
      <c r="Q176" s="325">
        <f>+O176+P176</f>
        <v>0</v>
      </c>
      <c r="R176" s="325">
        <f>INT(IF($E176&gt;0,0,(IF($N176="D",IF($D176&lt;$H$3,$I176*($M176/100)*$U$3/12,$J176*($M176/100)*($J$3-$D176)/365),0))))</f>
        <v>62</v>
      </c>
      <c r="S176" s="325">
        <f>INT(IF($E176&gt;0,0,(IF($N176="P",IF($D176&lt;$H$3,$H176*($M176/100)*$U$3/12,$J176*($M176/100)*($J$3-$D176)/365),0))))</f>
        <v>0</v>
      </c>
      <c r="T176" s="325">
        <f t="shared" ref="T176:T177" si="34">+R176+S176+Q176</f>
        <v>62</v>
      </c>
      <c r="U176" s="325">
        <f t="shared" ref="U176:U177" si="35">+I176+J176-T176-F176+K176-L176</f>
        <v>2440</v>
      </c>
      <c r="V176" s="325">
        <f t="shared" ref="V176:V220" si="36">IF(E176&gt;0,+H176+J176,0)</f>
        <v>0</v>
      </c>
      <c r="W176" s="449" cm="1">
        <f t="array" ref="W176">+IF(U176&lt;0,error,0)</f>
        <v>0</v>
      </c>
    </row>
    <row r="177" spans="1:23" ht="18" customHeight="1" x14ac:dyDescent="0.2">
      <c r="A177" s="402" t="s">
        <v>290</v>
      </c>
      <c r="B177" s="403"/>
      <c r="C177" s="404" t="s">
        <v>291</v>
      </c>
      <c r="D177" s="405">
        <v>37778</v>
      </c>
      <c r="E177" s="406"/>
      <c r="F177" s="325"/>
      <c r="G177" s="324"/>
      <c r="H177" s="324">
        <v>3500</v>
      </c>
      <c r="I177" s="325">
        <v>1460</v>
      </c>
      <c r="J177" s="325"/>
      <c r="K177" s="325">
        <f t="shared" si="32"/>
        <v>0</v>
      </c>
      <c r="L177" s="325">
        <f t="shared" si="33"/>
        <v>0</v>
      </c>
      <c r="M177" s="407">
        <v>5</v>
      </c>
      <c r="N177" s="408" t="s">
        <v>289</v>
      </c>
      <c r="O177" s="325">
        <f t="shared" ref="O177:O221" si="37">IF(E177&gt;0,INT(IF($N177="D",IF($D177&lt;$H$3,$I177*($M177/100)*((E177-$H$3)/365),$J177*($M177/100)*($J$3-$D177)/365),0)),0)</f>
        <v>0</v>
      </c>
      <c r="P177" s="325">
        <f t="shared" ref="P177:P221" si="38">IF(E177&gt;0,INT(IF($N177="P",IF($D177&lt;$H$3,$H177*($M177/100)*(E177-$H$3)/365,$J177*($M177/100)*($J$3-$D177)/365),0)),0)</f>
        <v>0</v>
      </c>
      <c r="Q177" s="325">
        <f t="shared" ref="Q177:Q221" si="39">+O177+P177</f>
        <v>0</v>
      </c>
      <c r="R177" s="325">
        <f t="shared" ref="R177:R221" si="40">INT(IF($E177&gt;0,0,(IF($N177="D",IF($D177&lt;$H$3,$I177*($M177/100)*$U$3/12,$J177*($M177/100)*($J$3-$D177)/365),0))))</f>
        <v>36</v>
      </c>
      <c r="S177" s="325">
        <f t="shared" ref="S177:S221" si="41">INT(IF($E177&gt;0,0,(IF($N177="P",IF($D177&lt;$H$3,$H177*($M177/100)*$U$3/12,$J177*($M177/100)*($J$3-$D177)/365),0))))</f>
        <v>0</v>
      </c>
      <c r="T177" s="325">
        <f t="shared" si="34"/>
        <v>36</v>
      </c>
      <c r="U177" s="325">
        <f t="shared" si="35"/>
        <v>1424</v>
      </c>
      <c r="V177" s="325">
        <f t="shared" si="36"/>
        <v>0</v>
      </c>
      <c r="W177" s="449" cm="1">
        <f t="array" ref="W177">+IF(U177&lt;0,error,0)</f>
        <v>0</v>
      </c>
    </row>
    <row r="178" spans="1:23" ht="18" customHeight="1" x14ac:dyDescent="0.2">
      <c r="A178" s="402" t="s">
        <v>292</v>
      </c>
      <c r="B178" s="403"/>
      <c r="C178" s="404" t="s">
        <v>293</v>
      </c>
      <c r="D178" s="405">
        <v>37771</v>
      </c>
      <c r="E178" s="406"/>
      <c r="F178" s="325"/>
      <c r="G178" s="324"/>
      <c r="H178" s="324">
        <v>1000</v>
      </c>
      <c r="I178" s="325">
        <v>0</v>
      </c>
      <c r="J178" s="325"/>
      <c r="K178" s="325">
        <f t="shared" si="32"/>
        <v>0</v>
      </c>
      <c r="L178" s="325">
        <f t="shared" si="33"/>
        <v>0</v>
      </c>
      <c r="M178" s="407">
        <v>5</v>
      </c>
      <c r="N178" s="408" t="s">
        <v>289</v>
      </c>
      <c r="O178" s="325">
        <f t="shared" si="37"/>
        <v>0</v>
      </c>
      <c r="P178" s="325">
        <f t="shared" si="38"/>
        <v>0</v>
      </c>
      <c r="Q178" s="325">
        <f t="shared" si="39"/>
        <v>0</v>
      </c>
      <c r="R178" s="325">
        <f t="shared" si="40"/>
        <v>0</v>
      </c>
      <c r="S178" s="325">
        <f t="shared" si="41"/>
        <v>0</v>
      </c>
      <c r="T178" s="325">
        <v>0</v>
      </c>
      <c r="U178" s="325">
        <v>0</v>
      </c>
      <c r="V178" s="325">
        <f t="shared" si="36"/>
        <v>0</v>
      </c>
      <c r="W178" s="449" cm="1">
        <f t="array" ref="W178">+IF(U178&lt;0,error,0)</f>
        <v>0</v>
      </c>
    </row>
    <row r="179" spans="1:23" ht="18" customHeight="1" x14ac:dyDescent="0.2">
      <c r="A179" s="402" t="s">
        <v>299</v>
      </c>
      <c r="B179" s="403"/>
      <c r="C179" s="404" t="s">
        <v>300</v>
      </c>
      <c r="D179" s="405">
        <v>40749</v>
      </c>
      <c r="E179" s="406"/>
      <c r="F179" s="325"/>
      <c r="G179" s="324"/>
      <c r="H179" s="324">
        <v>800</v>
      </c>
      <c r="I179" s="325">
        <v>0</v>
      </c>
      <c r="J179" s="325"/>
      <c r="K179" s="325">
        <f t="shared" si="32"/>
        <v>0</v>
      </c>
      <c r="L179" s="325">
        <f t="shared" si="33"/>
        <v>0</v>
      </c>
      <c r="M179" s="407">
        <v>20</v>
      </c>
      <c r="N179" s="408" t="s">
        <v>289</v>
      </c>
      <c r="O179" s="325">
        <f t="shared" si="37"/>
        <v>0</v>
      </c>
      <c r="P179" s="325">
        <f t="shared" si="38"/>
        <v>0</v>
      </c>
      <c r="Q179" s="325">
        <f t="shared" si="39"/>
        <v>0</v>
      </c>
      <c r="R179" s="325">
        <f t="shared" si="40"/>
        <v>0</v>
      </c>
      <c r="S179" s="325">
        <f t="shared" si="41"/>
        <v>0</v>
      </c>
      <c r="T179" s="325">
        <v>0</v>
      </c>
      <c r="U179" s="325">
        <f t="shared" ref="U179:U221" si="42">+I179+J179-T179-F179+K179-L179</f>
        <v>0</v>
      </c>
      <c r="V179" s="325">
        <f t="shared" si="36"/>
        <v>0</v>
      </c>
      <c r="W179" s="449" cm="1">
        <f t="array" ref="W179">+IF(U179&lt;0,error,0)</f>
        <v>0</v>
      </c>
    </row>
    <row r="180" spans="1:23" ht="18" customHeight="1" x14ac:dyDescent="0.2">
      <c r="A180" s="402" t="s">
        <v>301</v>
      </c>
      <c r="B180" s="403"/>
      <c r="C180" s="404" t="s">
        <v>302</v>
      </c>
      <c r="D180" s="405">
        <v>40757</v>
      </c>
      <c r="E180" s="406"/>
      <c r="F180" s="325"/>
      <c r="G180" s="324"/>
      <c r="H180" s="324">
        <v>499</v>
      </c>
      <c r="I180" s="325">
        <v>0</v>
      </c>
      <c r="J180" s="325"/>
      <c r="K180" s="325">
        <f t="shared" si="32"/>
        <v>0</v>
      </c>
      <c r="L180" s="325">
        <f t="shared" si="33"/>
        <v>0</v>
      </c>
      <c r="M180" s="407">
        <v>20</v>
      </c>
      <c r="N180" s="408" t="s">
        <v>289</v>
      </c>
      <c r="O180" s="325">
        <f t="shared" si="37"/>
        <v>0</v>
      </c>
      <c r="P180" s="325">
        <f t="shared" si="38"/>
        <v>0</v>
      </c>
      <c r="Q180" s="325">
        <f t="shared" si="39"/>
        <v>0</v>
      </c>
      <c r="R180" s="325">
        <f t="shared" si="40"/>
        <v>0</v>
      </c>
      <c r="S180" s="325">
        <f t="shared" si="41"/>
        <v>0</v>
      </c>
      <c r="T180" s="325">
        <v>0</v>
      </c>
      <c r="U180" s="325">
        <f t="shared" si="42"/>
        <v>0</v>
      </c>
      <c r="V180" s="325">
        <f t="shared" si="36"/>
        <v>0</v>
      </c>
      <c r="W180" s="449" cm="1">
        <f t="array" ref="W180">+IF(U180&lt;0,error,0)</f>
        <v>0</v>
      </c>
    </row>
    <row r="181" spans="1:23" ht="18" customHeight="1" x14ac:dyDescent="0.2">
      <c r="A181" s="402" t="s">
        <v>303</v>
      </c>
      <c r="B181" s="403"/>
      <c r="C181" s="412" t="s">
        <v>304</v>
      </c>
      <c r="D181" s="405">
        <v>40813</v>
      </c>
      <c r="E181" s="406"/>
      <c r="F181" s="325"/>
      <c r="G181" s="324"/>
      <c r="H181" s="324">
        <v>19595</v>
      </c>
      <c r="I181" s="325">
        <v>2853</v>
      </c>
      <c r="J181" s="325"/>
      <c r="K181" s="325">
        <f t="shared" si="32"/>
        <v>0</v>
      </c>
      <c r="L181" s="325">
        <f t="shared" si="33"/>
        <v>0</v>
      </c>
      <c r="M181" s="407">
        <v>20</v>
      </c>
      <c r="N181" s="408" t="s">
        <v>289</v>
      </c>
      <c r="O181" s="325">
        <f t="shared" si="37"/>
        <v>0</v>
      </c>
      <c r="P181" s="325">
        <f t="shared" si="38"/>
        <v>0</v>
      </c>
      <c r="Q181" s="325">
        <f t="shared" si="39"/>
        <v>0</v>
      </c>
      <c r="R181" s="325">
        <f t="shared" si="40"/>
        <v>285</v>
      </c>
      <c r="S181" s="325">
        <f t="shared" si="41"/>
        <v>0</v>
      </c>
      <c r="T181" s="325">
        <f t="shared" ref="T181:T188" si="43">+R181+S181+Q181</f>
        <v>285</v>
      </c>
      <c r="U181" s="325">
        <f t="shared" si="42"/>
        <v>2568</v>
      </c>
      <c r="V181" s="325">
        <f t="shared" si="36"/>
        <v>0</v>
      </c>
      <c r="W181" s="449" cm="1">
        <f t="array" ref="W181">+IF(U181&lt;0,error,0)</f>
        <v>0</v>
      </c>
    </row>
    <row r="182" spans="1:23" ht="18" customHeight="1" x14ac:dyDescent="0.2">
      <c r="A182" s="402" t="s">
        <v>305</v>
      </c>
      <c r="B182" s="403"/>
      <c r="C182" s="412" t="s">
        <v>306</v>
      </c>
      <c r="D182" s="405">
        <v>40883</v>
      </c>
      <c r="E182" s="406"/>
      <c r="F182" s="325"/>
      <c r="G182" s="324"/>
      <c r="H182" s="324">
        <v>1058.97</v>
      </c>
      <c r="I182" s="325">
        <v>0</v>
      </c>
      <c r="J182" s="325"/>
      <c r="K182" s="325">
        <f t="shared" si="32"/>
        <v>0</v>
      </c>
      <c r="L182" s="325">
        <f t="shared" si="33"/>
        <v>0</v>
      </c>
      <c r="M182" s="407">
        <v>20</v>
      </c>
      <c r="N182" s="408" t="s">
        <v>289</v>
      </c>
      <c r="O182" s="325">
        <f t="shared" si="37"/>
        <v>0</v>
      </c>
      <c r="P182" s="325">
        <f t="shared" si="38"/>
        <v>0</v>
      </c>
      <c r="Q182" s="325">
        <f t="shared" si="39"/>
        <v>0</v>
      </c>
      <c r="R182" s="325">
        <f t="shared" si="40"/>
        <v>0</v>
      </c>
      <c r="S182" s="325">
        <f t="shared" si="41"/>
        <v>0</v>
      </c>
      <c r="T182" s="325">
        <v>0</v>
      </c>
      <c r="U182" s="325">
        <f t="shared" si="42"/>
        <v>0</v>
      </c>
      <c r="V182" s="325">
        <f t="shared" si="36"/>
        <v>0</v>
      </c>
      <c r="W182" s="449" cm="1">
        <f t="array" ref="W182">+IF(U182&lt;0,error,0)</f>
        <v>0</v>
      </c>
    </row>
    <row r="183" spans="1:23" ht="18" customHeight="1" x14ac:dyDescent="0.2">
      <c r="A183" s="402" t="s">
        <v>309</v>
      </c>
      <c r="B183" s="403"/>
      <c r="C183" s="404" t="s">
        <v>310</v>
      </c>
      <c r="D183" s="405">
        <v>40956</v>
      </c>
      <c r="E183" s="406"/>
      <c r="F183" s="325"/>
      <c r="G183" s="324"/>
      <c r="H183" s="324">
        <v>2050</v>
      </c>
      <c r="I183" s="325">
        <v>327</v>
      </c>
      <c r="J183" s="325"/>
      <c r="K183" s="325">
        <f t="shared" si="32"/>
        <v>0</v>
      </c>
      <c r="L183" s="325">
        <f t="shared" si="33"/>
        <v>0</v>
      </c>
      <c r="M183" s="407">
        <v>20</v>
      </c>
      <c r="N183" s="408" t="s">
        <v>289</v>
      </c>
      <c r="O183" s="325">
        <f t="shared" si="37"/>
        <v>0</v>
      </c>
      <c r="P183" s="325">
        <f t="shared" si="38"/>
        <v>0</v>
      </c>
      <c r="Q183" s="325">
        <f t="shared" si="39"/>
        <v>0</v>
      </c>
      <c r="R183" s="325">
        <f t="shared" si="40"/>
        <v>32</v>
      </c>
      <c r="S183" s="325">
        <f t="shared" si="41"/>
        <v>0</v>
      </c>
      <c r="T183" s="325">
        <f t="shared" si="43"/>
        <v>32</v>
      </c>
      <c r="U183" s="325">
        <f t="shared" si="42"/>
        <v>295</v>
      </c>
      <c r="V183" s="325">
        <f t="shared" si="36"/>
        <v>0</v>
      </c>
      <c r="W183" s="449" cm="1">
        <f t="array" ref="W183">+IF(U183&lt;0,error,0)</f>
        <v>0</v>
      </c>
    </row>
    <row r="184" spans="1:23" ht="18" customHeight="1" x14ac:dyDescent="0.2">
      <c r="A184" s="402" t="s">
        <v>311</v>
      </c>
      <c r="B184" s="403"/>
      <c r="C184" s="404" t="s">
        <v>312</v>
      </c>
      <c r="D184" s="405">
        <v>40966</v>
      </c>
      <c r="E184" s="406"/>
      <c r="F184" s="325"/>
      <c r="G184" s="324"/>
      <c r="H184" s="324">
        <v>5000</v>
      </c>
      <c r="I184" s="325">
        <v>802</v>
      </c>
      <c r="J184" s="325"/>
      <c r="K184" s="325">
        <f t="shared" si="32"/>
        <v>0</v>
      </c>
      <c r="L184" s="325">
        <f t="shared" si="33"/>
        <v>0</v>
      </c>
      <c r="M184" s="407">
        <v>20</v>
      </c>
      <c r="N184" s="408" t="s">
        <v>289</v>
      </c>
      <c r="O184" s="325">
        <f t="shared" si="37"/>
        <v>0</v>
      </c>
      <c r="P184" s="325">
        <f t="shared" si="38"/>
        <v>0</v>
      </c>
      <c r="Q184" s="325">
        <f t="shared" si="39"/>
        <v>0</v>
      </c>
      <c r="R184" s="325">
        <f t="shared" si="40"/>
        <v>80</v>
      </c>
      <c r="S184" s="325">
        <f t="shared" si="41"/>
        <v>0</v>
      </c>
      <c r="T184" s="325">
        <f t="shared" si="43"/>
        <v>80</v>
      </c>
      <c r="U184" s="325">
        <f t="shared" si="42"/>
        <v>722</v>
      </c>
      <c r="V184" s="325">
        <f t="shared" si="36"/>
        <v>0</v>
      </c>
      <c r="W184" s="449" cm="1">
        <f t="array" ref="W184">+IF(U184&lt;0,error,0)</f>
        <v>0</v>
      </c>
    </row>
    <row r="185" spans="1:23" ht="18" customHeight="1" x14ac:dyDescent="0.2">
      <c r="A185" s="402" t="s">
        <v>313</v>
      </c>
      <c r="B185" s="403"/>
      <c r="C185" s="404" t="s">
        <v>314</v>
      </c>
      <c r="D185" s="405">
        <v>40972</v>
      </c>
      <c r="E185" s="406"/>
      <c r="F185" s="325"/>
      <c r="G185" s="324"/>
      <c r="H185" s="324">
        <v>2045.25</v>
      </c>
      <c r="I185" s="325">
        <v>330.25</v>
      </c>
      <c r="J185" s="325"/>
      <c r="K185" s="325">
        <f t="shared" si="32"/>
        <v>0</v>
      </c>
      <c r="L185" s="325">
        <f t="shared" si="33"/>
        <v>0</v>
      </c>
      <c r="M185" s="407">
        <v>20</v>
      </c>
      <c r="N185" s="408" t="s">
        <v>289</v>
      </c>
      <c r="O185" s="325">
        <f t="shared" si="37"/>
        <v>0</v>
      </c>
      <c r="P185" s="325">
        <f t="shared" si="38"/>
        <v>0</v>
      </c>
      <c r="Q185" s="325">
        <f t="shared" si="39"/>
        <v>0</v>
      </c>
      <c r="R185" s="325">
        <f t="shared" si="40"/>
        <v>33</v>
      </c>
      <c r="S185" s="325">
        <f t="shared" si="41"/>
        <v>0</v>
      </c>
      <c r="T185" s="325">
        <f t="shared" si="43"/>
        <v>33</v>
      </c>
      <c r="U185" s="325">
        <f t="shared" si="42"/>
        <v>297.25</v>
      </c>
      <c r="V185" s="325">
        <f t="shared" si="36"/>
        <v>0</v>
      </c>
      <c r="W185" s="449" cm="1">
        <f t="array" ref="W185">+IF(U185&lt;0,error,0)</f>
        <v>0</v>
      </c>
    </row>
    <row r="186" spans="1:23" ht="18" customHeight="1" x14ac:dyDescent="0.2">
      <c r="A186" s="402" t="s">
        <v>315</v>
      </c>
      <c r="B186" s="403"/>
      <c r="C186" s="404" t="s">
        <v>316</v>
      </c>
      <c r="D186" s="405">
        <v>39185</v>
      </c>
      <c r="E186" s="406"/>
      <c r="F186" s="325"/>
      <c r="G186" s="324"/>
      <c r="H186" s="324">
        <v>122.16</v>
      </c>
      <c r="I186" s="325">
        <v>0</v>
      </c>
      <c r="J186" s="325"/>
      <c r="K186" s="325">
        <f t="shared" si="32"/>
        <v>0</v>
      </c>
      <c r="L186" s="325">
        <f t="shared" si="33"/>
        <v>0</v>
      </c>
      <c r="M186" s="407">
        <v>20</v>
      </c>
      <c r="N186" s="408" t="s">
        <v>289</v>
      </c>
      <c r="O186" s="325">
        <f t="shared" si="37"/>
        <v>0</v>
      </c>
      <c r="P186" s="325">
        <f t="shared" si="38"/>
        <v>0</v>
      </c>
      <c r="Q186" s="325">
        <f t="shared" si="39"/>
        <v>0</v>
      </c>
      <c r="R186" s="325">
        <f t="shared" si="40"/>
        <v>0</v>
      </c>
      <c r="S186" s="325">
        <f t="shared" si="41"/>
        <v>0</v>
      </c>
      <c r="T186" s="325">
        <v>0</v>
      </c>
      <c r="U186" s="325">
        <f t="shared" si="42"/>
        <v>0</v>
      </c>
      <c r="V186" s="325">
        <f t="shared" si="36"/>
        <v>0</v>
      </c>
      <c r="W186" s="449" cm="1">
        <f t="array" ref="W186">+IF(U186&lt;0,error,0)</f>
        <v>0</v>
      </c>
    </row>
    <row r="187" spans="1:23" ht="18" customHeight="1" x14ac:dyDescent="0.2">
      <c r="A187" s="402" t="s">
        <v>320</v>
      </c>
      <c r="B187" s="403"/>
      <c r="C187" s="404" t="s">
        <v>321</v>
      </c>
      <c r="D187" s="405">
        <v>41320</v>
      </c>
      <c r="E187" s="406"/>
      <c r="F187" s="325"/>
      <c r="G187" s="324"/>
      <c r="H187" s="324">
        <v>8200</v>
      </c>
      <c r="I187" s="325">
        <v>2898</v>
      </c>
      <c r="J187" s="325"/>
      <c r="K187" s="325">
        <f t="shared" si="32"/>
        <v>0</v>
      </c>
      <c r="L187" s="325">
        <f t="shared" si="33"/>
        <v>0</v>
      </c>
      <c r="M187" s="407">
        <v>13.3</v>
      </c>
      <c r="N187" s="408" t="s">
        <v>289</v>
      </c>
      <c r="O187" s="325">
        <f t="shared" si="37"/>
        <v>0</v>
      </c>
      <c r="P187" s="325">
        <f t="shared" si="38"/>
        <v>0</v>
      </c>
      <c r="Q187" s="325">
        <f t="shared" si="39"/>
        <v>0</v>
      </c>
      <c r="R187" s="325">
        <f t="shared" si="40"/>
        <v>192</v>
      </c>
      <c r="S187" s="325">
        <f t="shared" si="41"/>
        <v>0</v>
      </c>
      <c r="T187" s="325">
        <f t="shared" si="43"/>
        <v>192</v>
      </c>
      <c r="U187" s="325">
        <f t="shared" si="42"/>
        <v>2706</v>
      </c>
      <c r="V187" s="325">
        <f t="shared" si="36"/>
        <v>0</v>
      </c>
      <c r="W187" s="449" cm="1">
        <f t="array" ref="W187">+IF(U187&lt;0,error,0)</f>
        <v>0</v>
      </c>
    </row>
    <row r="188" spans="1:23" ht="18" customHeight="1" x14ac:dyDescent="0.2">
      <c r="A188" s="402" t="s">
        <v>324</v>
      </c>
      <c r="B188" s="403"/>
      <c r="C188" s="404" t="s">
        <v>325</v>
      </c>
      <c r="D188" s="405">
        <v>41052</v>
      </c>
      <c r="E188" s="406"/>
      <c r="F188" s="325"/>
      <c r="G188" s="324"/>
      <c r="H188" s="324">
        <v>142000</v>
      </c>
      <c r="I188" s="325">
        <v>23864</v>
      </c>
      <c r="J188" s="325"/>
      <c r="K188" s="325">
        <f t="shared" si="32"/>
        <v>0</v>
      </c>
      <c r="L188" s="325">
        <f t="shared" si="33"/>
        <v>0</v>
      </c>
      <c r="M188" s="407">
        <v>20</v>
      </c>
      <c r="N188" s="408" t="s">
        <v>289</v>
      </c>
      <c r="O188" s="325">
        <f t="shared" si="37"/>
        <v>0</v>
      </c>
      <c r="P188" s="325">
        <f t="shared" si="38"/>
        <v>0</v>
      </c>
      <c r="Q188" s="325">
        <f t="shared" si="39"/>
        <v>0</v>
      </c>
      <c r="R188" s="325">
        <f t="shared" si="40"/>
        <v>2386</v>
      </c>
      <c r="S188" s="325">
        <f t="shared" si="41"/>
        <v>0</v>
      </c>
      <c r="T188" s="325">
        <f t="shared" si="43"/>
        <v>2386</v>
      </c>
      <c r="U188" s="325">
        <f t="shared" si="42"/>
        <v>21478</v>
      </c>
      <c r="V188" s="325">
        <f t="shared" si="36"/>
        <v>0</v>
      </c>
      <c r="W188" s="449" cm="1">
        <f t="array" ref="W188">+IF(U188&lt;0,error,0)</f>
        <v>0</v>
      </c>
    </row>
    <row r="189" spans="1:23" ht="18" customHeight="1" x14ac:dyDescent="0.2">
      <c r="A189" s="402" t="s">
        <v>328</v>
      </c>
      <c r="B189" s="403"/>
      <c r="C189" s="404" t="s">
        <v>329</v>
      </c>
      <c r="D189" s="405">
        <v>41000</v>
      </c>
      <c r="E189" s="406"/>
      <c r="F189" s="325"/>
      <c r="G189" s="324"/>
      <c r="H189" s="324">
        <v>1386.3600000000001</v>
      </c>
      <c r="I189" s="325">
        <v>227.36</v>
      </c>
      <c r="J189" s="325"/>
      <c r="K189" s="325">
        <f t="shared" si="32"/>
        <v>0</v>
      </c>
      <c r="L189" s="325">
        <f t="shared" si="33"/>
        <v>0</v>
      </c>
      <c r="M189" s="407">
        <v>20</v>
      </c>
      <c r="N189" s="408" t="s">
        <v>289</v>
      </c>
      <c r="O189" s="325">
        <f t="shared" si="37"/>
        <v>0</v>
      </c>
      <c r="P189" s="325">
        <f t="shared" si="38"/>
        <v>0</v>
      </c>
      <c r="Q189" s="325">
        <f t="shared" si="39"/>
        <v>0</v>
      </c>
      <c r="R189" s="325">
        <f t="shared" si="40"/>
        <v>22</v>
      </c>
      <c r="S189" s="325">
        <f t="shared" si="41"/>
        <v>0</v>
      </c>
      <c r="T189" s="325">
        <f>+R189+S189+Q189</f>
        <v>22</v>
      </c>
      <c r="U189" s="325">
        <f t="shared" si="42"/>
        <v>205.36</v>
      </c>
      <c r="V189" s="325">
        <f t="shared" si="36"/>
        <v>0</v>
      </c>
      <c r="W189" s="449" cm="1">
        <f t="array" ref="W189">+IF(U189&lt;0,error,0)</f>
        <v>0</v>
      </c>
    </row>
    <row r="190" spans="1:23" ht="18" customHeight="1" x14ac:dyDescent="0.2">
      <c r="A190" s="402" t="s">
        <v>356</v>
      </c>
      <c r="B190" s="403"/>
      <c r="C190" s="404" t="s">
        <v>347</v>
      </c>
      <c r="D190" s="405">
        <v>39388</v>
      </c>
      <c r="E190" s="406"/>
      <c r="F190" s="325"/>
      <c r="G190" s="324"/>
      <c r="H190" s="324">
        <v>1690</v>
      </c>
      <c r="I190" s="325">
        <v>450</v>
      </c>
      <c r="J190" s="325"/>
      <c r="K190" s="325">
        <f t="shared" si="32"/>
        <v>0</v>
      </c>
      <c r="L190" s="325">
        <f t="shared" si="33"/>
        <v>0</v>
      </c>
      <c r="M190" s="407">
        <v>10</v>
      </c>
      <c r="N190" s="408" t="s">
        <v>289</v>
      </c>
      <c r="O190" s="325">
        <f t="shared" si="37"/>
        <v>0</v>
      </c>
      <c r="P190" s="325">
        <f t="shared" si="38"/>
        <v>0</v>
      </c>
      <c r="Q190" s="325">
        <f t="shared" si="39"/>
        <v>0</v>
      </c>
      <c r="R190" s="325">
        <f t="shared" si="40"/>
        <v>22</v>
      </c>
      <c r="S190" s="325">
        <f t="shared" si="41"/>
        <v>0</v>
      </c>
      <c r="T190" s="325">
        <f t="shared" ref="T190:T223" si="44">+R190+S190+Q190</f>
        <v>22</v>
      </c>
      <c r="U190" s="325">
        <f t="shared" si="42"/>
        <v>428</v>
      </c>
      <c r="V190" s="325">
        <f t="shared" si="36"/>
        <v>0</v>
      </c>
      <c r="W190" s="449" cm="1">
        <f t="array" ref="W190">+IF(U190&lt;0,error,0)</f>
        <v>0</v>
      </c>
    </row>
    <row r="191" spans="1:23" ht="18" customHeight="1" x14ac:dyDescent="0.2">
      <c r="A191" s="402" t="s">
        <v>359</v>
      </c>
      <c r="B191" s="403"/>
      <c r="C191" s="404" t="s">
        <v>360</v>
      </c>
      <c r="D191" s="405">
        <v>39379</v>
      </c>
      <c r="E191" s="406"/>
      <c r="F191" s="325"/>
      <c r="G191" s="324"/>
      <c r="H191" s="324">
        <v>2727.27</v>
      </c>
      <c r="I191" s="325">
        <v>722.27</v>
      </c>
      <c r="J191" s="325"/>
      <c r="K191" s="325">
        <f t="shared" si="32"/>
        <v>0</v>
      </c>
      <c r="L191" s="325">
        <f t="shared" si="33"/>
        <v>0</v>
      </c>
      <c r="M191" s="407">
        <v>10</v>
      </c>
      <c r="N191" s="408" t="s">
        <v>289</v>
      </c>
      <c r="O191" s="325">
        <f t="shared" si="37"/>
        <v>0</v>
      </c>
      <c r="P191" s="325">
        <f t="shared" si="38"/>
        <v>0</v>
      </c>
      <c r="Q191" s="325">
        <f t="shared" si="39"/>
        <v>0</v>
      </c>
      <c r="R191" s="325">
        <f t="shared" si="40"/>
        <v>36</v>
      </c>
      <c r="S191" s="325">
        <f t="shared" si="41"/>
        <v>0</v>
      </c>
      <c r="T191" s="325">
        <f t="shared" si="44"/>
        <v>36</v>
      </c>
      <c r="U191" s="325">
        <f t="shared" si="42"/>
        <v>686.27</v>
      </c>
      <c r="V191" s="325">
        <f t="shared" si="36"/>
        <v>0</v>
      </c>
      <c r="W191" s="449" cm="1">
        <f t="array" ref="W191">+IF(U191&lt;0,error,0)</f>
        <v>0</v>
      </c>
    </row>
    <row r="192" spans="1:23" ht="18" customHeight="1" x14ac:dyDescent="0.2">
      <c r="A192" s="402" t="s">
        <v>363</v>
      </c>
      <c r="B192" s="403"/>
      <c r="C192" s="404" t="s">
        <v>364</v>
      </c>
      <c r="D192" s="405">
        <v>39386</v>
      </c>
      <c r="E192" s="406"/>
      <c r="F192" s="325"/>
      <c r="G192" s="324"/>
      <c r="H192" s="324">
        <v>22704.55</v>
      </c>
      <c r="I192" s="325">
        <v>11873.550000000001</v>
      </c>
      <c r="J192" s="325"/>
      <c r="K192" s="325">
        <f t="shared" si="32"/>
        <v>0</v>
      </c>
      <c r="L192" s="325">
        <f t="shared" si="33"/>
        <v>0</v>
      </c>
      <c r="M192" s="407">
        <v>5</v>
      </c>
      <c r="N192" s="408" t="s">
        <v>289</v>
      </c>
      <c r="O192" s="325">
        <f t="shared" si="37"/>
        <v>0</v>
      </c>
      <c r="P192" s="325">
        <f t="shared" si="38"/>
        <v>0</v>
      </c>
      <c r="Q192" s="325">
        <f t="shared" si="39"/>
        <v>0</v>
      </c>
      <c r="R192" s="325">
        <f t="shared" si="40"/>
        <v>296</v>
      </c>
      <c r="S192" s="325">
        <f t="shared" si="41"/>
        <v>0</v>
      </c>
      <c r="T192" s="325">
        <f t="shared" si="44"/>
        <v>296</v>
      </c>
      <c r="U192" s="325">
        <f t="shared" si="42"/>
        <v>11577.550000000001</v>
      </c>
      <c r="V192" s="325">
        <f t="shared" si="36"/>
        <v>0</v>
      </c>
      <c r="W192" s="449" cm="1">
        <f t="array" ref="W192">+IF(U192&lt;0,error,0)</f>
        <v>0</v>
      </c>
    </row>
    <row r="193" spans="1:23" ht="18" customHeight="1" x14ac:dyDescent="0.2">
      <c r="A193" s="402" t="s">
        <v>365</v>
      </c>
      <c r="B193" s="403"/>
      <c r="C193" s="404" t="s">
        <v>366</v>
      </c>
      <c r="D193" s="405">
        <v>39465</v>
      </c>
      <c r="E193" s="406"/>
      <c r="F193" s="325"/>
      <c r="G193" s="324"/>
      <c r="H193" s="324">
        <v>3640</v>
      </c>
      <c r="I193" s="325">
        <v>234</v>
      </c>
      <c r="J193" s="325"/>
      <c r="K193" s="325">
        <f t="shared" si="32"/>
        <v>0</v>
      </c>
      <c r="L193" s="325">
        <f t="shared" si="33"/>
        <v>0</v>
      </c>
      <c r="M193" s="407">
        <v>20</v>
      </c>
      <c r="N193" s="408" t="s">
        <v>289</v>
      </c>
      <c r="O193" s="325">
        <f t="shared" si="37"/>
        <v>0</v>
      </c>
      <c r="P193" s="325">
        <f t="shared" si="38"/>
        <v>0</v>
      </c>
      <c r="Q193" s="325">
        <f t="shared" si="39"/>
        <v>0</v>
      </c>
      <c r="R193" s="325">
        <f t="shared" si="40"/>
        <v>23</v>
      </c>
      <c r="S193" s="325">
        <f t="shared" si="41"/>
        <v>0</v>
      </c>
      <c r="T193" s="325">
        <f t="shared" si="44"/>
        <v>23</v>
      </c>
      <c r="U193" s="325">
        <f t="shared" si="42"/>
        <v>211</v>
      </c>
      <c r="V193" s="325">
        <f t="shared" si="36"/>
        <v>0</v>
      </c>
      <c r="W193" s="449" cm="1">
        <f t="array" ref="W193">+IF(U193&lt;0,error,0)</f>
        <v>0</v>
      </c>
    </row>
    <row r="194" spans="1:23" ht="18" customHeight="1" x14ac:dyDescent="0.2">
      <c r="A194" s="402" t="s">
        <v>367</v>
      </c>
      <c r="B194" s="403"/>
      <c r="C194" s="404" t="s">
        <v>368</v>
      </c>
      <c r="D194" s="405">
        <v>39470</v>
      </c>
      <c r="E194" s="406"/>
      <c r="F194" s="325"/>
      <c r="G194" s="324"/>
      <c r="H194" s="324">
        <v>4495</v>
      </c>
      <c r="I194" s="325">
        <v>289</v>
      </c>
      <c r="J194" s="325"/>
      <c r="K194" s="325">
        <f t="shared" si="32"/>
        <v>0</v>
      </c>
      <c r="L194" s="325">
        <f t="shared" si="33"/>
        <v>0</v>
      </c>
      <c r="M194" s="407">
        <v>20</v>
      </c>
      <c r="N194" s="408" t="s">
        <v>289</v>
      </c>
      <c r="O194" s="325">
        <f t="shared" si="37"/>
        <v>0</v>
      </c>
      <c r="P194" s="325">
        <f t="shared" si="38"/>
        <v>0</v>
      </c>
      <c r="Q194" s="325">
        <f t="shared" si="39"/>
        <v>0</v>
      </c>
      <c r="R194" s="325">
        <f t="shared" si="40"/>
        <v>28</v>
      </c>
      <c r="S194" s="325">
        <f t="shared" si="41"/>
        <v>0</v>
      </c>
      <c r="T194" s="325">
        <f t="shared" si="44"/>
        <v>28</v>
      </c>
      <c r="U194" s="325">
        <f t="shared" si="42"/>
        <v>261</v>
      </c>
      <c r="V194" s="325">
        <f t="shared" si="36"/>
        <v>0</v>
      </c>
      <c r="W194" s="449" cm="1">
        <f t="array" ref="W194">+IF(U194&lt;0,error,0)</f>
        <v>0</v>
      </c>
    </row>
    <row r="195" spans="1:23" ht="18" customHeight="1" x14ac:dyDescent="0.2">
      <c r="A195" s="402" t="s">
        <v>369</v>
      </c>
      <c r="B195" s="403"/>
      <c r="C195" s="404" t="s">
        <v>370</v>
      </c>
      <c r="D195" s="405">
        <v>39498</v>
      </c>
      <c r="E195" s="406"/>
      <c r="F195" s="325"/>
      <c r="G195" s="324"/>
      <c r="H195" s="324">
        <v>10468.09</v>
      </c>
      <c r="I195" s="325">
        <v>2866.09</v>
      </c>
      <c r="J195" s="325"/>
      <c r="K195" s="325">
        <f t="shared" si="32"/>
        <v>0</v>
      </c>
      <c r="L195" s="325">
        <f t="shared" si="33"/>
        <v>0</v>
      </c>
      <c r="M195" s="407">
        <v>10</v>
      </c>
      <c r="N195" s="408" t="s">
        <v>289</v>
      </c>
      <c r="O195" s="325">
        <f t="shared" si="37"/>
        <v>0</v>
      </c>
      <c r="P195" s="325">
        <f t="shared" si="38"/>
        <v>0</v>
      </c>
      <c r="Q195" s="325">
        <f t="shared" si="39"/>
        <v>0</v>
      </c>
      <c r="R195" s="325">
        <f t="shared" si="40"/>
        <v>143</v>
      </c>
      <c r="S195" s="325">
        <f t="shared" si="41"/>
        <v>0</v>
      </c>
      <c r="T195" s="325">
        <f t="shared" si="44"/>
        <v>143</v>
      </c>
      <c r="U195" s="325">
        <f t="shared" si="42"/>
        <v>2723.09</v>
      </c>
      <c r="V195" s="325">
        <f t="shared" si="36"/>
        <v>0</v>
      </c>
      <c r="W195" s="449" cm="1">
        <f t="array" ref="W195">+IF(U195&lt;0,error,0)</f>
        <v>0</v>
      </c>
    </row>
    <row r="196" spans="1:23" ht="18" customHeight="1" x14ac:dyDescent="0.2">
      <c r="A196" s="402" t="s">
        <v>371</v>
      </c>
      <c r="B196" s="403"/>
      <c r="C196" s="412" t="s">
        <v>372</v>
      </c>
      <c r="D196" s="405">
        <v>39499</v>
      </c>
      <c r="E196" s="406"/>
      <c r="F196" s="325"/>
      <c r="G196" s="324"/>
      <c r="H196" s="324">
        <v>13392.5</v>
      </c>
      <c r="I196" s="325">
        <v>5129.5</v>
      </c>
      <c r="J196" s="325"/>
      <c r="K196" s="325">
        <f t="shared" si="32"/>
        <v>0</v>
      </c>
      <c r="L196" s="325">
        <f t="shared" si="33"/>
        <v>0</v>
      </c>
      <c r="M196" s="407">
        <v>7.5</v>
      </c>
      <c r="N196" s="408" t="s">
        <v>289</v>
      </c>
      <c r="O196" s="325">
        <f t="shared" si="37"/>
        <v>0</v>
      </c>
      <c r="P196" s="325">
        <f t="shared" si="38"/>
        <v>0</v>
      </c>
      <c r="Q196" s="325">
        <f t="shared" si="39"/>
        <v>0</v>
      </c>
      <c r="R196" s="325">
        <f t="shared" si="40"/>
        <v>192</v>
      </c>
      <c r="S196" s="325">
        <f t="shared" si="41"/>
        <v>0</v>
      </c>
      <c r="T196" s="325">
        <f t="shared" si="44"/>
        <v>192</v>
      </c>
      <c r="U196" s="325">
        <f t="shared" si="42"/>
        <v>4937.5</v>
      </c>
      <c r="V196" s="325">
        <f t="shared" si="36"/>
        <v>0</v>
      </c>
      <c r="W196" s="449" cm="1">
        <f t="array" ref="W196">+IF(U196&lt;0,error,0)</f>
        <v>0</v>
      </c>
    </row>
    <row r="197" spans="1:23" ht="18" customHeight="1" x14ac:dyDescent="0.2">
      <c r="A197" s="402" t="s">
        <v>373</v>
      </c>
      <c r="B197" s="403"/>
      <c r="C197" s="404" t="s">
        <v>374</v>
      </c>
      <c r="D197" s="405">
        <v>39540</v>
      </c>
      <c r="E197" s="406"/>
      <c r="F197" s="325"/>
      <c r="G197" s="324"/>
      <c r="H197" s="324">
        <v>2372</v>
      </c>
      <c r="I197" s="325">
        <v>657</v>
      </c>
      <c r="J197" s="325"/>
      <c r="K197" s="325">
        <f t="shared" si="32"/>
        <v>0</v>
      </c>
      <c r="L197" s="325">
        <f t="shared" si="33"/>
        <v>0</v>
      </c>
      <c r="M197" s="407">
        <v>10</v>
      </c>
      <c r="N197" s="408" t="s">
        <v>289</v>
      </c>
      <c r="O197" s="325">
        <f t="shared" si="37"/>
        <v>0</v>
      </c>
      <c r="P197" s="325">
        <f t="shared" si="38"/>
        <v>0</v>
      </c>
      <c r="Q197" s="325">
        <f t="shared" si="39"/>
        <v>0</v>
      </c>
      <c r="R197" s="325">
        <f t="shared" si="40"/>
        <v>32</v>
      </c>
      <c r="S197" s="325">
        <f t="shared" si="41"/>
        <v>0</v>
      </c>
      <c r="T197" s="325">
        <f t="shared" si="44"/>
        <v>32</v>
      </c>
      <c r="U197" s="325">
        <f t="shared" si="42"/>
        <v>625</v>
      </c>
      <c r="V197" s="325">
        <f t="shared" si="36"/>
        <v>0</v>
      </c>
      <c r="W197" s="449" cm="1">
        <f t="array" ref="W197">+IF(U197&lt;0,error,0)</f>
        <v>0</v>
      </c>
    </row>
    <row r="198" spans="1:23" ht="18" customHeight="1" x14ac:dyDescent="0.2">
      <c r="A198" s="402" t="s">
        <v>384</v>
      </c>
      <c r="B198" s="403"/>
      <c r="C198" s="404" t="s">
        <v>385</v>
      </c>
      <c r="D198" s="405">
        <v>39479</v>
      </c>
      <c r="E198" s="406"/>
      <c r="F198" s="325"/>
      <c r="G198" s="324"/>
      <c r="H198" s="324">
        <v>950</v>
      </c>
      <c r="I198" s="325">
        <v>0</v>
      </c>
      <c r="J198" s="325"/>
      <c r="K198" s="325">
        <f t="shared" si="32"/>
        <v>0</v>
      </c>
      <c r="L198" s="325">
        <f t="shared" si="33"/>
        <v>0</v>
      </c>
      <c r="M198" s="407">
        <v>37.5</v>
      </c>
      <c r="N198" s="408" t="s">
        <v>289</v>
      </c>
      <c r="O198" s="325">
        <f t="shared" si="37"/>
        <v>0</v>
      </c>
      <c r="P198" s="325">
        <f t="shared" si="38"/>
        <v>0</v>
      </c>
      <c r="Q198" s="325">
        <f t="shared" si="39"/>
        <v>0</v>
      </c>
      <c r="R198" s="325">
        <f t="shared" si="40"/>
        <v>0</v>
      </c>
      <c r="S198" s="325">
        <f t="shared" si="41"/>
        <v>0</v>
      </c>
      <c r="T198" s="325">
        <v>0</v>
      </c>
      <c r="U198" s="325">
        <f t="shared" si="42"/>
        <v>0</v>
      </c>
      <c r="V198" s="325">
        <f t="shared" si="36"/>
        <v>0</v>
      </c>
      <c r="W198" s="449" cm="1">
        <f t="array" ref="W198">+IF(U198&lt;0,error,0)</f>
        <v>0</v>
      </c>
    </row>
    <row r="199" spans="1:23" ht="18" customHeight="1" x14ac:dyDescent="0.2">
      <c r="A199" s="402" t="s">
        <v>387</v>
      </c>
      <c r="B199" s="403"/>
      <c r="C199" s="412" t="s">
        <v>388</v>
      </c>
      <c r="D199" s="405">
        <v>39679</v>
      </c>
      <c r="E199" s="406"/>
      <c r="F199" s="325"/>
      <c r="G199" s="324"/>
      <c r="H199" s="324">
        <v>59090.91</v>
      </c>
      <c r="I199" s="325">
        <v>17017.91</v>
      </c>
      <c r="J199" s="325"/>
      <c r="K199" s="325">
        <f t="shared" si="32"/>
        <v>0</v>
      </c>
      <c r="L199" s="325">
        <f t="shared" si="33"/>
        <v>0</v>
      </c>
      <c r="M199" s="407">
        <v>10</v>
      </c>
      <c r="N199" s="408" t="s">
        <v>289</v>
      </c>
      <c r="O199" s="325">
        <f t="shared" si="37"/>
        <v>0</v>
      </c>
      <c r="P199" s="325">
        <f t="shared" si="38"/>
        <v>0</v>
      </c>
      <c r="Q199" s="325">
        <f t="shared" si="39"/>
        <v>0</v>
      </c>
      <c r="R199" s="325">
        <f t="shared" si="40"/>
        <v>850</v>
      </c>
      <c r="S199" s="325">
        <f t="shared" si="41"/>
        <v>0</v>
      </c>
      <c r="T199" s="325">
        <f t="shared" si="44"/>
        <v>850</v>
      </c>
      <c r="U199" s="325">
        <f t="shared" si="42"/>
        <v>16167.91</v>
      </c>
      <c r="V199" s="325">
        <f t="shared" si="36"/>
        <v>0</v>
      </c>
      <c r="W199" s="449" cm="1">
        <f t="array" ref="W199">+IF(U199&lt;0,error,0)</f>
        <v>0</v>
      </c>
    </row>
    <row r="200" spans="1:23" ht="18" customHeight="1" x14ac:dyDescent="0.2">
      <c r="A200" s="402" t="s">
        <v>389</v>
      </c>
      <c r="B200" s="403"/>
      <c r="C200" s="404" t="s">
        <v>390</v>
      </c>
      <c r="D200" s="405">
        <v>39679</v>
      </c>
      <c r="E200" s="406"/>
      <c r="F200" s="325"/>
      <c r="G200" s="324"/>
      <c r="H200" s="324">
        <v>91279.2</v>
      </c>
      <c r="I200" s="325">
        <v>26285.200000000001</v>
      </c>
      <c r="J200" s="325"/>
      <c r="K200" s="325">
        <f t="shared" si="32"/>
        <v>0</v>
      </c>
      <c r="L200" s="325">
        <f t="shared" si="33"/>
        <v>0</v>
      </c>
      <c r="M200" s="407">
        <v>10</v>
      </c>
      <c r="N200" s="408" t="s">
        <v>289</v>
      </c>
      <c r="O200" s="325">
        <f t="shared" si="37"/>
        <v>0</v>
      </c>
      <c r="P200" s="325">
        <f t="shared" si="38"/>
        <v>0</v>
      </c>
      <c r="Q200" s="325">
        <f t="shared" si="39"/>
        <v>0</v>
      </c>
      <c r="R200" s="325">
        <f t="shared" si="40"/>
        <v>1314</v>
      </c>
      <c r="S200" s="325">
        <f t="shared" si="41"/>
        <v>0</v>
      </c>
      <c r="T200" s="325">
        <f t="shared" si="44"/>
        <v>1314</v>
      </c>
      <c r="U200" s="325">
        <f t="shared" si="42"/>
        <v>24971.200000000001</v>
      </c>
      <c r="V200" s="325">
        <f t="shared" si="36"/>
        <v>0</v>
      </c>
      <c r="W200" s="449" cm="1">
        <f t="array" ref="W200">+IF(U200&lt;0,error,0)</f>
        <v>0</v>
      </c>
    </row>
    <row r="201" spans="1:23" ht="18" customHeight="1" x14ac:dyDescent="0.2">
      <c r="A201" s="402" t="s">
        <v>391</v>
      </c>
      <c r="B201" s="403"/>
      <c r="C201" s="404" t="s">
        <v>392</v>
      </c>
      <c r="D201" s="405">
        <v>39707</v>
      </c>
      <c r="E201" s="406"/>
      <c r="F201" s="325"/>
      <c r="G201" s="324"/>
      <c r="H201" s="324">
        <v>19690</v>
      </c>
      <c r="I201" s="325">
        <v>5722</v>
      </c>
      <c r="J201" s="325"/>
      <c r="K201" s="325">
        <f t="shared" si="32"/>
        <v>0</v>
      </c>
      <c r="L201" s="325">
        <f t="shared" si="33"/>
        <v>0</v>
      </c>
      <c r="M201" s="407">
        <v>10</v>
      </c>
      <c r="N201" s="408" t="s">
        <v>289</v>
      </c>
      <c r="O201" s="325">
        <f t="shared" si="37"/>
        <v>0</v>
      </c>
      <c r="P201" s="325">
        <f t="shared" si="38"/>
        <v>0</v>
      </c>
      <c r="Q201" s="325">
        <f t="shared" si="39"/>
        <v>0</v>
      </c>
      <c r="R201" s="325">
        <f t="shared" si="40"/>
        <v>286</v>
      </c>
      <c r="S201" s="325">
        <f t="shared" si="41"/>
        <v>0</v>
      </c>
      <c r="T201" s="325">
        <f t="shared" si="44"/>
        <v>286</v>
      </c>
      <c r="U201" s="325">
        <f t="shared" si="42"/>
        <v>5436</v>
      </c>
      <c r="V201" s="325">
        <f t="shared" si="36"/>
        <v>0</v>
      </c>
      <c r="W201" s="449" cm="1">
        <f t="array" ref="W201">+IF(U201&lt;0,error,0)</f>
        <v>0</v>
      </c>
    </row>
    <row r="202" spans="1:23" ht="18" customHeight="1" x14ac:dyDescent="0.2">
      <c r="A202" s="402" t="s">
        <v>393</v>
      </c>
      <c r="B202" s="403"/>
      <c r="C202" s="404" t="s">
        <v>394</v>
      </c>
      <c r="D202" s="405">
        <v>39720</v>
      </c>
      <c r="E202" s="406"/>
      <c r="F202" s="325"/>
      <c r="G202" s="324"/>
      <c r="H202" s="324">
        <v>575.45000000000005</v>
      </c>
      <c r="I202" s="325">
        <v>0</v>
      </c>
      <c r="J202" s="325"/>
      <c r="K202" s="325">
        <f t="shared" si="32"/>
        <v>0</v>
      </c>
      <c r="L202" s="325">
        <f t="shared" si="33"/>
        <v>0</v>
      </c>
      <c r="M202" s="407">
        <v>18.75</v>
      </c>
      <c r="N202" s="408" t="s">
        <v>289</v>
      </c>
      <c r="O202" s="325">
        <f t="shared" si="37"/>
        <v>0</v>
      </c>
      <c r="P202" s="325">
        <f t="shared" si="38"/>
        <v>0</v>
      </c>
      <c r="Q202" s="325">
        <f t="shared" si="39"/>
        <v>0</v>
      </c>
      <c r="R202" s="325">
        <f t="shared" si="40"/>
        <v>0</v>
      </c>
      <c r="S202" s="325">
        <f t="shared" si="41"/>
        <v>0</v>
      </c>
      <c r="T202" s="325">
        <v>0</v>
      </c>
      <c r="U202" s="325">
        <f t="shared" si="42"/>
        <v>0</v>
      </c>
      <c r="V202" s="325">
        <f t="shared" si="36"/>
        <v>0</v>
      </c>
      <c r="W202" s="449" cm="1">
        <f t="array" ref="W202">+IF(U202&lt;0,error,0)</f>
        <v>0</v>
      </c>
    </row>
    <row r="203" spans="1:23" ht="18" customHeight="1" x14ac:dyDescent="0.2">
      <c r="A203" s="402" t="s">
        <v>395</v>
      </c>
      <c r="B203" s="403"/>
      <c r="C203" s="404" t="s">
        <v>396</v>
      </c>
      <c r="D203" s="405">
        <v>39720</v>
      </c>
      <c r="E203" s="406"/>
      <c r="F203" s="325"/>
      <c r="G203" s="324"/>
      <c r="H203" s="324">
        <v>1055</v>
      </c>
      <c r="I203" s="325">
        <v>0</v>
      </c>
      <c r="J203" s="325"/>
      <c r="K203" s="325">
        <f t="shared" si="32"/>
        <v>0</v>
      </c>
      <c r="L203" s="325">
        <f t="shared" si="33"/>
        <v>0</v>
      </c>
      <c r="M203" s="407">
        <v>10</v>
      </c>
      <c r="N203" s="408" t="s">
        <v>289</v>
      </c>
      <c r="O203" s="325">
        <f t="shared" si="37"/>
        <v>0</v>
      </c>
      <c r="P203" s="325">
        <f t="shared" si="38"/>
        <v>0</v>
      </c>
      <c r="Q203" s="325">
        <f t="shared" si="39"/>
        <v>0</v>
      </c>
      <c r="R203" s="325">
        <f t="shared" si="40"/>
        <v>0</v>
      </c>
      <c r="S203" s="325">
        <f t="shared" si="41"/>
        <v>0</v>
      </c>
      <c r="T203" s="325">
        <v>0</v>
      </c>
      <c r="U203" s="325">
        <f t="shared" si="42"/>
        <v>0</v>
      </c>
      <c r="V203" s="325">
        <f t="shared" si="36"/>
        <v>0</v>
      </c>
      <c r="W203" s="449" cm="1">
        <f t="array" ref="W203">+IF(U203&lt;0,error,0)</f>
        <v>0</v>
      </c>
    </row>
    <row r="204" spans="1:23" ht="18" customHeight="1" x14ac:dyDescent="0.2">
      <c r="A204" s="402" t="s">
        <v>399</v>
      </c>
      <c r="B204" s="403"/>
      <c r="C204" s="404" t="s">
        <v>400</v>
      </c>
      <c r="D204" s="405">
        <v>39720</v>
      </c>
      <c r="E204" s="406"/>
      <c r="F204" s="325"/>
      <c r="G204" s="324"/>
      <c r="H204" s="324">
        <v>3644.55</v>
      </c>
      <c r="I204" s="325">
        <v>1064.55</v>
      </c>
      <c r="J204" s="325"/>
      <c r="K204" s="325">
        <f t="shared" si="32"/>
        <v>0</v>
      </c>
      <c r="L204" s="325">
        <f t="shared" si="33"/>
        <v>0</v>
      </c>
      <c r="M204" s="407">
        <v>10</v>
      </c>
      <c r="N204" s="408" t="s">
        <v>289</v>
      </c>
      <c r="O204" s="325">
        <f t="shared" si="37"/>
        <v>0</v>
      </c>
      <c r="P204" s="325">
        <f t="shared" si="38"/>
        <v>0</v>
      </c>
      <c r="Q204" s="325">
        <f t="shared" si="39"/>
        <v>0</v>
      </c>
      <c r="R204" s="325">
        <f t="shared" si="40"/>
        <v>53</v>
      </c>
      <c r="S204" s="325">
        <f t="shared" si="41"/>
        <v>0</v>
      </c>
      <c r="T204" s="325">
        <f t="shared" si="44"/>
        <v>53</v>
      </c>
      <c r="U204" s="325">
        <f t="shared" si="42"/>
        <v>1011.55</v>
      </c>
      <c r="V204" s="325">
        <f t="shared" si="36"/>
        <v>0</v>
      </c>
      <c r="W204" s="449" cm="1">
        <f t="array" ref="W204">+IF(U204&lt;0,error,0)</f>
        <v>0</v>
      </c>
    </row>
    <row r="205" spans="1:23" ht="18" customHeight="1" x14ac:dyDescent="0.2">
      <c r="A205" s="402" t="s">
        <v>402</v>
      </c>
      <c r="B205" s="403"/>
      <c r="C205" s="404" t="s">
        <v>403</v>
      </c>
      <c r="D205" s="405">
        <v>39720</v>
      </c>
      <c r="E205" s="406"/>
      <c r="F205" s="325"/>
      <c r="G205" s="324"/>
      <c r="H205" s="324">
        <v>13331.36</v>
      </c>
      <c r="I205" s="325">
        <v>3889.3599999999997</v>
      </c>
      <c r="J205" s="325"/>
      <c r="K205" s="325">
        <f t="shared" si="32"/>
        <v>0</v>
      </c>
      <c r="L205" s="325">
        <f t="shared" si="33"/>
        <v>0</v>
      </c>
      <c r="M205" s="407">
        <v>10</v>
      </c>
      <c r="N205" s="408" t="s">
        <v>289</v>
      </c>
      <c r="O205" s="325">
        <f t="shared" si="37"/>
        <v>0</v>
      </c>
      <c r="P205" s="325">
        <f t="shared" si="38"/>
        <v>0</v>
      </c>
      <c r="Q205" s="325">
        <f t="shared" si="39"/>
        <v>0</v>
      </c>
      <c r="R205" s="325">
        <f t="shared" si="40"/>
        <v>194</v>
      </c>
      <c r="S205" s="325">
        <f t="shared" si="41"/>
        <v>0</v>
      </c>
      <c r="T205" s="325">
        <f t="shared" si="44"/>
        <v>194</v>
      </c>
      <c r="U205" s="325">
        <f t="shared" si="42"/>
        <v>3695.3599999999997</v>
      </c>
      <c r="V205" s="325">
        <f t="shared" si="36"/>
        <v>0</v>
      </c>
      <c r="W205" s="449" cm="1">
        <f t="array" ref="W205">+IF(U205&lt;0,error,0)</f>
        <v>0</v>
      </c>
    </row>
    <row r="206" spans="1:23" ht="18" customHeight="1" x14ac:dyDescent="0.2">
      <c r="A206" s="402" t="s">
        <v>404</v>
      </c>
      <c r="B206" s="403"/>
      <c r="C206" s="404" t="s">
        <v>405</v>
      </c>
      <c r="D206" s="405">
        <v>39720</v>
      </c>
      <c r="E206" s="406"/>
      <c r="F206" s="325"/>
      <c r="G206" s="324"/>
      <c r="H206" s="324">
        <v>633</v>
      </c>
      <c r="I206" s="325">
        <v>0</v>
      </c>
      <c r="J206" s="325"/>
      <c r="K206" s="325">
        <f t="shared" si="32"/>
        <v>0</v>
      </c>
      <c r="L206" s="325">
        <f t="shared" si="33"/>
        <v>0</v>
      </c>
      <c r="M206" s="407">
        <v>18.75</v>
      </c>
      <c r="N206" s="408" t="s">
        <v>289</v>
      </c>
      <c r="O206" s="325">
        <f t="shared" si="37"/>
        <v>0</v>
      </c>
      <c r="P206" s="325">
        <f t="shared" si="38"/>
        <v>0</v>
      </c>
      <c r="Q206" s="325">
        <f t="shared" si="39"/>
        <v>0</v>
      </c>
      <c r="R206" s="325">
        <f t="shared" si="40"/>
        <v>0</v>
      </c>
      <c r="S206" s="325">
        <f t="shared" si="41"/>
        <v>0</v>
      </c>
      <c r="T206" s="325">
        <f t="shared" si="44"/>
        <v>0</v>
      </c>
      <c r="U206" s="325">
        <f t="shared" si="42"/>
        <v>0</v>
      </c>
      <c r="V206" s="325">
        <f t="shared" si="36"/>
        <v>0</v>
      </c>
      <c r="W206" s="449" cm="1">
        <f t="array" ref="W206">+IF(U206&lt;0,error,0)</f>
        <v>0</v>
      </c>
    </row>
    <row r="207" spans="1:23" ht="18" customHeight="1" x14ac:dyDescent="0.2">
      <c r="A207" s="402" t="s">
        <v>412</v>
      </c>
      <c r="B207" s="403"/>
      <c r="C207" s="404" t="s">
        <v>413</v>
      </c>
      <c r="D207" s="405">
        <v>39829</v>
      </c>
      <c r="E207" s="406"/>
      <c r="F207" s="325"/>
      <c r="G207" s="324"/>
      <c r="H207" s="324">
        <v>39099</v>
      </c>
      <c r="I207" s="325">
        <v>3128</v>
      </c>
      <c r="J207" s="325"/>
      <c r="K207" s="325">
        <f t="shared" si="32"/>
        <v>0</v>
      </c>
      <c r="L207" s="325">
        <f t="shared" si="33"/>
        <v>0</v>
      </c>
      <c r="M207" s="407">
        <v>20</v>
      </c>
      <c r="N207" s="408" t="s">
        <v>289</v>
      </c>
      <c r="O207" s="325">
        <f t="shared" si="37"/>
        <v>0</v>
      </c>
      <c r="P207" s="325">
        <f t="shared" si="38"/>
        <v>0</v>
      </c>
      <c r="Q207" s="325">
        <f t="shared" si="39"/>
        <v>0</v>
      </c>
      <c r="R207" s="325">
        <f t="shared" si="40"/>
        <v>312</v>
      </c>
      <c r="S207" s="325">
        <f t="shared" si="41"/>
        <v>0</v>
      </c>
      <c r="T207" s="325">
        <f t="shared" si="44"/>
        <v>312</v>
      </c>
      <c r="U207" s="325">
        <f t="shared" si="42"/>
        <v>2816</v>
      </c>
      <c r="V207" s="325">
        <f t="shared" si="36"/>
        <v>0</v>
      </c>
      <c r="W207" s="449" cm="1">
        <f t="array" ref="W207">+IF(U207&lt;0,error,0)</f>
        <v>0</v>
      </c>
    </row>
    <row r="208" spans="1:23" ht="18" customHeight="1" x14ac:dyDescent="0.2">
      <c r="A208" s="402" t="s">
        <v>417</v>
      </c>
      <c r="B208" s="403"/>
      <c r="C208" s="404" t="s">
        <v>418</v>
      </c>
      <c r="D208" s="405">
        <v>39833</v>
      </c>
      <c r="E208" s="406"/>
      <c r="F208" s="325"/>
      <c r="G208" s="324"/>
      <c r="H208" s="324">
        <v>7283.5</v>
      </c>
      <c r="I208" s="325">
        <v>2197.5</v>
      </c>
      <c r="J208" s="325"/>
      <c r="K208" s="325">
        <f t="shared" si="32"/>
        <v>0</v>
      </c>
      <c r="L208" s="325">
        <f t="shared" si="33"/>
        <v>0</v>
      </c>
      <c r="M208" s="407">
        <v>10</v>
      </c>
      <c r="N208" s="408" t="s">
        <v>289</v>
      </c>
      <c r="O208" s="325">
        <f t="shared" si="37"/>
        <v>0</v>
      </c>
      <c r="P208" s="325">
        <f t="shared" si="38"/>
        <v>0</v>
      </c>
      <c r="Q208" s="325">
        <f t="shared" si="39"/>
        <v>0</v>
      </c>
      <c r="R208" s="325">
        <f t="shared" si="40"/>
        <v>109</v>
      </c>
      <c r="S208" s="325">
        <f t="shared" si="41"/>
        <v>0</v>
      </c>
      <c r="T208" s="325">
        <f t="shared" si="44"/>
        <v>109</v>
      </c>
      <c r="U208" s="325">
        <f t="shared" si="42"/>
        <v>2088.5</v>
      </c>
      <c r="V208" s="325">
        <f t="shared" si="36"/>
        <v>0</v>
      </c>
      <c r="W208" s="449" cm="1">
        <f t="array" ref="W208">+IF(U208&lt;0,error,0)</f>
        <v>0</v>
      </c>
    </row>
    <row r="209" spans="1:23" ht="18" customHeight="1" x14ac:dyDescent="0.2">
      <c r="A209" s="402" t="s">
        <v>421</v>
      </c>
      <c r="B209" s="403"/>
      <c r="C209" s="404" t="s">
        <v>422</v>
      </c>
      <c r="D209" s="405">
        <v>39867</v>
      </c>
      <c r="E209" s="406"/>
      <c r="F209" s="325"/>
      <c r="G209" s="324"/>
      <c r="H209" s="324">
        <v>2965.46</v>
      </c>
      <c r="I209" s="325">
        <v>243.45999999999998</v>
      </c>
      <c r="J209" s="325"/>
      <c r="K209" s="325">
        <f t="shared" si="32"/>
        <v>0</v>
      </c>
      <c r="L209" s="325">
        <f t="shared" si="33"/>
        <v>0</v>
      </c>
      <c r="M209" s="407">
        <v>20</v>
      </c>
      <c r="N209" s="408" t="s">
        <v>289</v>
      </c>
      <c r="O209" s="325">
        <f t="shared" si="37"/>
        <v>0</v>
      </c>
      <c r="P209" s="325">
        <f t="shared" si="38"/>
        <v>0</v>
      </c>
      <c r="Q209" s="325">
        <f t="shared" si="39"/>
        <v>0</v>
      </c>
      <c r="R209" s="325">
        <f t="shared" si="40"/>
        <v>24</v>
      </c>
      <c r="S209" s="325">
        <f t="shared" si="41"/>
        <v>0</v>
      </c>
      <c r="T209" s="325">
        <f t="shared" si="44"/>
        <v>24</v>
      </c>
      <c r="U209" s="325">
        <f t="shared" si="42"/>
        <v>219.45999999999998</v>
      </c>
      <c r="V209" s="325">
        <f t="shared" si="36"/>
        <v>0</v>
      </c>
      <c r="W209" s="449" cm="1">
        <f t="array" ref="W209">+IF(U209&lt;0,error,0)</f>
        <v>0</v>
      </c>
    </row>
    <row r="210" spans="1:23" ht="18" customHeight="1" x14ac:dyDescent="0.2">
      <c r="A210" s="402" t="s">
        <v>426</v>
      </c>
      <c r="B210" s="403"/>
      <c r="C210" s="412" t="s">
        <v>427</v>
      </c>
      <c r="D210" s="405">
        <v>39955</v>
      </c>
      <c r="E210" s="406"/>
      <c r="F210" s="325"/>
      <c r="G210" s="324"/>
      <c r="H210" s="324">
        <v>2737.55</v>
      </c>
      <c r="I210" s="325">
        <v>236.55</v>
      </c>
      <c r="J210" s="325"/>
      <c r="K210" s="325">
        <f t="shared" si="32"/>
        <v>0</v>
      </c>
      <c r="L210" s="325">
        <f t="shared" si="33"/>
        <v>0</v>
      </c>
      <c r="M210" s="407">
        <v>20</v>
      </c>
      <c r="N210" s="408" t="s">
        <v>289</v>
      </c>
      <c r="O210" s="325">
        <f t="shared" si="37"/>
        <v>0</v>
      </c>
      <c r="P210" s="325">
        <f t="shared" si="38"/>
        <v>0</v>
      </c>
      <c r="Q210" s="325">
        <f t="shared" si="39"/>
        <v>0</v>
      </c>
      <c r="R210" s="325">
        <f t="shared" si="40"/>
        <v>23</v>
      </c>
      <c r="S210" s="325">
        <f t="shared" si="41"/>
        <v>0</v>
      </c>
      <c r="T210" s="325">
        <f t="shared" si="44"/>
        <v>23</v>
      </c>
      <c r="U210" s="325">
        <f t="shared" si="42"/>
        <v>213.55</v>
      </c>
      <c r="V210" s="325">
        <f t="shared" si="36"/>
        <v>0</v>
      </c>
      <c r="W210" s="449" cm="1">
        <f t="array" ref="W210">+IF(U210&lt;0,error,0)</f>
        <v>0</v>
      </c>
    </row>
    <row r="211" spans="1:23" ht="18" customHeight="1" x14ac:dyDescent="0.2">
      <c r="A211" s="402" t="s">
        <v>432</v>
      </c>
      <c r="B211" s="403"/>
      <c r="C211" s="404" t="s">
        <v>433</v>
      </c>
      <c r="D211" s="405">
        <v>39988</v>
      </c>
      <c r="E211" s="406"/>
      <c r="F211" s="325"/>
      <c r="G211" s="324"/>
      <c r="H211" s="324">
        <v>36880</v>
      </c>
      <c r="I211" s="325">
        <v>6228</v>
      </c>
      <c r="J211" s="325"/>
      <c r="K211" s="325">
        <f t="shared" si="32"/>
        <v>0</v>
      </c>
      <c r="L211" s="325">
        <f t="shared" si="33"/>
        <v>0</v>
      </c>
      <c r="M211" s="407">
        <v>15</v>
      </c>
      <c r="N211" s="408" t="s">
        <v>289</v>
      </c>
      <c r="O211" s="325">
        <f t="shared" si="37"/>
        <v>0</v>
      </c>
      <c r="P211" s="325">
        <f t="shared" si="38"/>
        <v>0</v>
      </c>
      <c r="Q211" s="325">
        <f t="shared" si="39"/>
        <v>0</v>
      </c>
      <c r="R211" s="325">
        <f t="shared" si="40"/>
        <v>467</v>
      </c>
      <c r="S211" s="325">
        <f t="shared" si="41"/>
        <v>0</v>
      </c>
      <c r="T211" s="325">
        <f t="shared" si="44"/>
        <v>467</v>
      </c>
      <c r="U211" s="325">
        <f t="shared" si="42"/>
        <v>5761</v>
      </c>
      <c r="V211" s="325">
        <f t="shared" si="36"/>
        <v>0</v>
      </c>
      <c r="W211" s="449" cm="1">
        <f t="array" ref="W211">+IF(U211&lt;0,error,0)</f>
        <v>0</v>
      </c>
    </row>
    <row r="212" spans="1:23" ht="18" customHeight="1" x14ac:dyDescent="0.2">
      <c r="A212" s="402" t="s">
        <v>441</v>
      </c>
      <c r="B212" s="403"/>
      <c r="C212" s="404" t="s">
        <v>442</v>
      </c>
      <c r="D212" s="405">
        <v>39787</v>
      </c>
      <c r="E212" s="406"/>
      <c r="F212" s="325"/>
      <c r="G212" s="324"/>
      <c r="H212" s="324">
        <v>233.96</v>
      </c>
      <c r="I212" s="325">
        <v>0</v>
      </c>
      <c r="J212" s="325"/>
      <c r="K212" s="325">
        <f t="shared" si="32"/>
        <v>0</v>
      </c>
      <c r="L212" s="325">
        <f t="shared" si="33"/>
        <v>0</v>
      </c>
      <c r="M212" s="407">
        <v>18.75</v>
      </c>
      <c r="N212" s="408" t="s">
        <v>289</v>
      </c>
      <c r="O212" s="325">
        <f t="shared" si="37"/>
        <v>0</v>
      </c>
      <c r="P212" s="325">
        <f t="shared" si="38"/>
        <v>0</v>
      </c>
      <c r="Q212" s="325">
        <f t="shared" si="39"/>
        <v>0</v>
      </c>
      <c r="R212" s="325">
        <f t="shared" si="40"/>
        <v>0</v>
      </c>
      <c r="S212" s="325">
        <f t="shared" si="41"/>
        <v>0</v>
      </c>
      <c r="T212" s="325">
        <f t="shared" si="44"/>
        <v>0</v>
      </c>
      <c r="U212" s="325">
        <f t="shared" si="42"/>
        <v>0</v>
      </c>
      <c r="V212" s="325">
        <f t="shared" si="36"/>
        <v>0</v>
      </c>
      <c r="W212" s="449" cm="1">
        <f t="array" ref="W212">+IF(U212&lt;0,error,0)</f>
        <v>0</v>
      </c>
    </row>
    <row r="213" spans="1:23" ht="18" customHeight="1" x14ac:dyDescent="0.2">
      <c r="A213" s="402" t="s">
        <v>444</v>
      </c>
      <c r="B213" s="403"/>
      <c r="C213" s="404" t="s">
        <v>445</v>
      </c>
      <c r="D213" s="405">
        <v>39790</v>
      </c>
      <c r="E213" s="406"/>
      <c r="F213" s="325"/>
      <c r="G213" s="324"/>
      <c r="H213" s="324">
        <v>1077.75</v>
      </c>
      <c r="I213" s="325">
        <v>0</v>
      </c>
      <c r="J213" s="325"/>
      <c r="K213" s="325">
        <f t="shared" si="32"/>
        <v>0</v>
      </c>
      <c r="L213" s="325">
        <f t="shared" si="33"/>
        <v>0</v>
      </c>
      <c r="M213" s="407">
        <v>18.75</v>
      </c>
      <c r="N213" s="408" t="s">
        <v>289</v>
      </c>
      <c r="O213" s="325">
        <f t="shared" si="37"/>
        <v>0</v>
      </c>
      <c r="P213" s="325">
        <f t="shared" si="38"/>
        <v>0</v>
      </c>
      <c r="Q213" s="325">
        <f t="shared" si="39"/>
        <v>0</v>
      </c>
      <c r="R213" s="325">
        <f t="shared" si="40"/>
        <v>0</v>
      </c>
      <c r="S213" s="325">
        <f t="shared" si="41"/>
        <v>0</v>
      </c>
      <c r="T213" s="325">
        <f t="shared" si="44"/>
        <v>0</v>
      </c>
      <c r="U213" s="325">
        <f t="shared" si="42"/>
        <v>0</v>
      </c>
      <c r="V213" s="325">
        <f t="shared" si="36"/>
        <v>0</v>
      </c>
      <c r="W213" s="449" cm="1">
        <f t="array" ref="W213">+IF(U213&lt;0,error,0)</f>
        <v>0</v>
      </c>
    </row>
    <row r="214" spans="1:23" ht="18" customHeight="1" x14ac:dyDescent="0.2">
      <c r="A214" s="402" t="s">
        <v>447</v>
      </c>
      <c r="B214" s="403"/>
      <c r="C214" s="404" t="s">
        <v>418</v>
      </c>
      <c r="D214" s="405">
        <v>39821</v>
      </c>
      <c r="E214" s="406"/>
      <c r="F214" s="325"/>
      <c r="G214" s="324"/>
      <c r="H214" s="324">
        <v>373.25</v>
      </c>
      <c r="I214" s="325">
        <v>0</v>
      </c>
      <c r="J214" s="325"/>
      <c r="K214" s="325">
        <f t="shared" si="32"/>
        <v>0</v>
      </c>
      <c r="L214" s="325">
        <f t="shared" si="33"/>
        <v>0</v>
      </c>
      <c r="M214" s="407">
        <v>18.75</v>
      </c>
      <c r="N214" s="408" t="s">
        <v>289</v>
      </c>
      <c r="O214" s="325">
        <f t="shared" si="37"/>
        <v>0</v>
      </c>
      <c r="P214" s="325">
        <f t="shared" si="38"/>
        <v>0</v>
      </c>
      <c r="Q214" s="325">
        <f t="shared" si="39"/>
        <v>0</v>
      </c>
      <c r="R214" s="325">
        <f t="shared" si="40"/>
        <v>0</v>
      </c>
      <c r="S214" s="325">
        <f t="shared" si="41"/>
        <v>0</v>
      </c>
      <c r="T214" s="325">
        <f t="shared" si="44"/>
        <v>0</v>
      </c>
      <c r="U214" s="325">
        <f t="shared" si="42"/>
        <v>0</v>
      </c>
      <c r="V214" s="325">
        <f t="shared" si="36"/>
        <v>0</v>
      </c>
      <c r="W214" s="449" cm="1">
        <f t="array" ref="W214">+IF(U214&lt;0,error,0)</f>
        <v>0</v>
      </c>
    </row>
    <row r="215" spans="1:23" ht="18" customHeight="1" x14ac:dyDescent="0.2">
      <c r="A215" s="402" t="s">
        <v>460</v>
      </c>
      <c r="B215" s="403"/>
      <c r="C215" s="404" t="s">
        <v>461</v>
      </c>
      <c r="D215" s="405">
        <v>40028</v>
      </c>
      <c r="E215" s="406"/>
      <c r="F215" s="325"/>
      <c r="G215" s="324"/>
      <c r="H215" s="324">
        <v>2060</v>
      </c>
      <c r="I215" s="325">
        <v>187</v>
      </c>
      <c r="J215" s="325"/>
      <c r="K215" s="325">
        <f t="shared" si="32"/>
        <v>0</v>
      </c>
      <c r="L215" s="325">
        <f t="shared" si="33"/>
        <v>0</v>
      </c>
      <c r="M215" s="407">
        <v>20</v>
      </c>
      <c r="N215" s="408" t="s">
        <v>289</v>
      </c>
      <c r="O215" s="325">
        <f t="shared" si="37"/>
        <v>0</v>
      </c>
      <c r="P215" s="325">
        <f t="shared" si="38"/>
        <v>0</v>
      </c>
      <c r="Q215" s="325">
        <f t="shared" si="39"/>
        <v>0</v>
      </c>
      <c r="R215" s="325">
        <f t="shared" si="40"/>
        <v>18</v>
      </c>
      <c r="S215" s="325">
        <f t="shared" si="41"/>
        <v>0</v>
      </c>
      <c r="T215" s="325">
        <f t="shared" si="44"/>
        <v>18</v>
      </c>
      <c r="U215" s="325">
        <f t="shared" si="42"/>
        <v>169</v>
      </c>
      <c r="V215" s="325">
        <f t="shared" si="36"/>
        <v>0</v>
      </c>
      <c r="W215" s="449" cm="1">
        <f t="array" ref="W215">+IF(U215&lt;0,error,0)</f>
        <v>0</v>
      </c>
    </row>
    <row r="216" spans="1:23" ht="18" customHeight="1" x14ac:dyDescent="0.2">
      <c r="A216" s="402" t="s">
        <v>477</v>
      </c>
      <c r="B216" s="403"/>
      <c r="C216" s="404" t="s">
        <v>478</v>
      </c>
      <c r="D216" s="405">
        <v>40095</v>
      </c>
      <c r="E216" s="406"/>
      <c r="F216" s="325"/>
      <c r="G216" s="324"/>
      <c r="H216" s="324">
        <v>2986.6</v>
      </c>
      <c r="I216" s="325">
        <v>282.60000000000002</v>
      </c>
      <c r="J216" s="325"/>
      <c r="K216" s="325">
        <f t="shared" si="32"/>
        <v>0</v>
      </c>
      <c r="L216" s="325">
        <f t="shared" si="33"/>
        <v>0</v>
      </c>
      <c r="M216" s="407">
        <v>20</v>
      </c>
      <c r="N216" s="408" t="s">
        <v>289</v>
      </c>
      <c r="O216" s="325">
        <f t="shared" si="37"/>
        <v>0</v>
      </c>
      <c r="P216" s="325">
        <f t="shared" si="38"/>
        <v>0</v>
      </c>
      <c r="Q216" s="325">
        <f t="shared" si="39"/>
        <v>0</v>
      </c>
      <c r="R216" s="325">
        <f t="shared" si="40"/>
        <v>28</v>
      </c>
      <c r="S216" s="325">
        <f t="shared" si="41"/>
        <v>0</v>
      </c>
      <c r="T216" s="325">
        <f t="shared" si="44"/>
        <v>28</v>
      </c>
      <c r="U216" s="325">
        <f t="shared" si="42"/>
        <v>254.60000000000002</v>
      </c>
      <c r="V216" s="325">
        <f t="shared" si="36"/>
        <v>0</v>
      </c>
      <c r="W216" s="449" cm="1">
        <f t="array" ref="W216">+IF(U216&lt;0,error,0)</f>
        <v>0</v>
      </c>
    </row>
    <row r="217" spans="1:23" ht="18" customHeight="1" x14ac:dyDescent="0.2">
      <c r="A217" s="402" t="s">
        <v>482</v>
      </c>
      <c r="B217" s="403"/>
      <c r="C217" s="404" t="s">
        <v>483</v>
      </c>
      <c r="D217" s="405">
        <v>40162</v>
      </c>
      <c r="E217" s="406"/>
      <c r="F217" s="325"/>
      <c r="G217" s="324"/>
      <c r="H217" s="324">
        <v>3500</v>
      </c>
      <c r="I217" s="325">
        <v>0</v>
      </c>
      <c r="J217" s="325"/>
      <c r="K217" s="325">
        <f t="shared" si="32"/>
        <v>0</v>
      </c>
      <c r="L217" s="325">
        <f t="shared" si="33"/>
        <v>0</v>
      </c>
      <c r="M217" s="407">
        <v>40</v>
      </c>
      <c r="N217" s="408" t="s">
        <v>289</v>
      </c>
      <c r="O217" s="325">
        <f t="shared" si="37"/>
        <v>0</v>
      </c>
      <c r="P217" s="325">
        <f t="shared" si="38"/>
        <v>0</v>
      </c>
      <c r="Q217" s="325">
        <f t="shared" si="39"/>
        <v>0</v>
      </c>
      <c r="R217" s="325">
        <f t="shared" si="40"/>
        <v>0</v>
      </c>
      <c r="S217" s="325">
        <f t="shared" si="41"/>
        <v>0</v>
      </c>
      <c r="T217" s="325">
        <f t="shared" si="44"/>
        <v>0</v>
      </c>
      <c r="U217" s="325">
        <f t="shared" si="42"/>
        <v>0</v>
      </c>
      <c r="V217" s="325">
        <f t="shared" si="36"/>
        <v>0</v>
      </c>
      <c r="W217" s="449" cm="1">
        <f t="array" ref="W217">+IF(U217&lt;0,error,0)</f>
        <v>0</v>
      </c>
    </row>
    <row r="218" spans="1:23" ht="18" customHeight="1" x14ac:dyDescent="0.2">
      <c r="A218" s="402" t="s">
        <v>486</v>
      </c>
      <c r="B218" s="403"/>
      <c r="C218" s="404" t="s">
        <v>487</v>
      </c>
      <c r="D218" s="405">
        <v>40210</v>
      </c>
      <c r="E218" s="406"/>
      <c r="F218" s="325"/>
      <c r="G218" s="324"/>
      <c r="H218" s="324">
        <v>1113</v>
      </c>
      <c r="I218" s="325">
        <v>0</v>
      </c>
      <c r="J218" s="325"/>
      <c r="K218" s="325">
        <f t="shared" si="32"/>
        <v>0</v>
      </c>
      <c r="L218" s="325">
        <f t="shared" si="33"/>
        <v>0</v>
      </c>
      <c r="M218" s="407">
        <v>10</v>
      </c>
      <c r="N218" s="408" t="s">
        <v>289</v>
      </c>
      <c r="O218" s="325">
        <f t="shared" si="37"/>
        <v>0</v>
      </c>
      <c r="P218" s="325">
        <f t="shared" si="38"/>
        <v>0</v>
      </c>
      <c r="Q218" s="325">
        <f t="shared" si="39"/>
        <v>0</v>
      </c>
      <c r="R218" s="325">
        <f t="shared" si="40"/>
        <v>0</v>
      </c>
      <c r="S218" s="325">
        <f t="shared" si="41"/>
        <v>0</v>
      </c>
      <c r="T218" s="325">
        <f t="shared" si="44"/>
        <v>0</v>
      </c>
      <c r="U218" s="325">
        <f t="shared" si="42"/>
        <v>0</v>
      </c>
      <c r="V218" s="325">
        <f t="shared" si="36"/>
        <v>0</v>
      </c>
      <c r="W218" s="449" cm="1">
        <f t="array" ref="W218">+IF(U218&lt;0,error,0)</f>
        <v>0</v>
      </c>
    </row>
    <row r="219" spans="1:23" ht="18" customHeight="1" x14ac:dyDescent="0.2">
      <c r="A219" s="402" t="s">
        <v>496</v>
      </c>
      <c r="B219" s="403"/>
      <c r="C219" s="404" t="s">
        <v>497</v>
      </c>
      <c r="D219" s="405">
        <v>40269</v>
      </c>
      <c r="E219" s="406"/>
      <c r="F219" s="325"/>
      <c r="G219" s="324"/>
      <c r="H219" s="324">
        <v>7900</v>
      </c>
      <c r="I219" s="325">
        <v>2701</v>
      </c>
      <c r="J219" s="325"/>
      <c r="K219" s="325">
        <f t="shared" si="32"/>
        <v>0</v>
      </c>
      <c r="L219" s="325">
        <f t="shared" si="33"/>
        <v>0</v>
      </c>
      <c r="M219" s="407">
        <v>10</v>
      </c>
      <c r="N219" s="408" t="s">
        <v>289</v>
      </c>
      <c r="O219" s="325">
        <f t="shared" si="37"/>
        <v>0</v>
      </c>
      <c r="P219" s="325">
        <f t="shared" si="38"/>
        <v>0</v>
      </c>
      <c r="Q219" s="325">
        <f t="shared" si="39"/>
        <v>0</v>
      </c>
      <c r="R219" s="325">
        <f t="shared" si="40"/>
        <v>135</v>
      </c>
      <c r="S219" s="325">
        <f t="shared" si="41"/>
        <v>0</v>
      </c>
      <c r="T219" s="325">
        <f t="shared" si="44"/>
        <v>135</v>
      </c>
      <c r="U219" s="325">
        <f t="shared" si="42"/>
        <v>2566</v>
      </c>
      <c r="V219" s="325">
        <f t="shared" si="36"/>
        <v>0</v>
      </c>
      <c r="W219" s="449" cm="1">
        <f t="array" ref="W219">+IF(U219&lt;0,error,0)</f>
        <v>0</v>
      </c>
    </row>
    <row r="220" spans="1:23" ht="18" customHeight="1" x14ac:dyDescent="0.2">
      <c r="A220" s="402" t="s">
        <v>502</v>
      </c>
      <c r="B220" s="403"/>
      <c r="C220" s="404" t="s">
        <v>360</v>
      </c>
      <c r="D220" s="405">
        <v>38056</v>
      </c>
      <c r="E220" s="406"/>
      <c r="F220" s="325"/>
      <c r="G220" s="324"/>
      <c r="H220" s="324">
        <v>600</v>
      </c>
      <c r="I220" s="325">
        <v>0</v>
      </c>
      <c r="J220" s="325"/>
      <c r="K220" s="325">
        <f t="shared" si="32"/>
        <v>0</v>
      </c>
      <c r="L220" s="325">
        <f t="shared" si="33"/>
        <v>0</v>
      </c>
      <c r="M220" s="407">
        <v>5</v>
      </c>
      <c r="N220" s="408" t="s">
        <v>289</v>
      </c>
      <c r="O220" s="325">
        <f t="shared" si="37"/>
        <v>0</v>
      </c>
      <c r="P220" s="325">
        <f t="shared" si="38"/>
        <v>0</v>
      </c>
      <c r="Q220" s="325">
        <f t="shared" si="39"/>
        <v>0</v>
      </c>
      <c r="R220" s="325">
        <f t="shared" si="40"/>
        <v>0</v>
      </c>
      <c r="S220" s="325">
        <f t="shared" si="41"/>
        <v>0</v>
      </c>
      <c r="T220" s="325">
        <f t="shared" si="44"/>
        <v>0</v>
      </c>
      <c r="U220" s="325">
        <f t="shared" si="42"/>
        <v>0</v>
      </c>
      <c r="V220" s="325">
        <f t="shared" si="36"/>
        <v>0</v>
      </c>
      <c r="W220" s="449" cm="1">
        <f t="array" ref="W220">+IF(U220&lt;0,error,0)</f>
        <v>0</v>
      </c>
    </row>
    <row r="221" spans="1:23" ht="18" customHeight="1" x14ac:dyDescent="0.2">
      <c r="A221" s="402" t="s">
        <v>503</v>
      </c>
      <c r="B221" s="403"/>
      <c r="C221" s="404" t="s">
        <v>504</v>
      </c>
      <c r="D221" s="405">
        <v>40359</v>
      </c>
      <c r="E221" s="406"/>
      <c r="F221" s="325"/>
      <c r="G221" s="324"/>
      <c r="H221" s="324">
        <v>669.4</v>
      </c>
      <c r="I221" s="325">
        <v>0</v>
      </c>
      <c r="J221" s="325"/>
      <c r="K221" s="325">
        <f t="shared" ref="K221:K255" si="45">INT(IF($E221&gt;0,IF(+F221-I221+Q221&lt;0,0,+F221-I221+Q221),0))</f>
        <v>0</v>
      </c>
      <c r="L221" s="325">
        <f t="shared" ref="L221:L255" si="46">INT(IF($E221&gt;0,IF(K221=0,-F221+I221-Q221,0),0))</f>
        <v>0</v>
      </c>
      <c r="M221" s="407">
        <v>10</v>
      </c>
      <c r="N221" s="408" t="s">
        <v>289</v>
      </c>
      <c r="O221" s="325">
        <f t="shared" si="37"/>
        <v>0</v>
      </c>
      <c r="P221" s="325">
        <f t="shared" si="38"/>
        <v>0</v>
      </c>
      <c r="Q221" s="325">
        <f t="shared" si="39"/>
        <v>0</v>
      </c>
      <c r="R221" s="325">
        <f t="shared" si="40"/>
        <v>0</v>
      </c>
      <c r="S221" s="325">
        <f t="shared" si="41"/>
        <v>0</v>
      </c>
      <c r="T221" s="325">
        <f t="shared" si="44"/>
        <v>0</v>
      </c>
      <c r="U221" s="325">
        <f t="shared" si="42"/>
        <v>0</v>
      </c>
      <c r="V221" s="325">
        <f t="shared" ref="V221:V255" si="47">IF(E221&gt;0,+H221+J221,0)</f>
        <v>0</v>
      </c>
      <c r="W221" s="449" cm="1">
        <f t="array" ref="W221">+IF(U221&lt;0,error,0)</f>
        <v>0</v>
      </c>
    </row>
    <row r="222" spans="1:23" ht="18" customHeight="1" x14ac:dyDescent="0.2">
      <c r="A222" s="402" t="s">
        <v>521</v>
      </c>
      <c r="B222" s="403"/>
      <c r="C222" s="404" t="s">
        <v>522</v>
      </c>
      <c r="D222" s="405">
        <v>40179</v>
      </c>
      <c r="E222" s="406"/>
      <c r="F222" s="325"/>
      <c r="G222" s="324"/>
      <c r="H222" s="324">
        <v>485</v>
      </c>
      <c r="I222" s="325">
        <v>0</v>
      </c>
      <c r="J222" s="325"/>
      <c r="K222" s="325">
        <f t="shared" si="45"/>
        <v>0</v>
      </c>
      <c r="L222" s="325">
        <f t="shared" si="46"/>
        <v>0</v>
      </c>
      <c r="M222" s="407">
        <v>20</v>
      </c>
      <c r="N222" s="408" t="s">
        <v>289</v>
      </c>
      <c r="O222" s="325">
        <f t="shared" ref="O222:O256" si="48">IF(E222&gt;0,INT(IF($N222="D",IF($D222&lt;$H$3,$I222*($M222/100)*((E222-$H$3)/365),$J222*($M222/100)*($J$3-$D222)/365),0)),0)</f>
        <v>0</v>
      </c>
      <c r="P222" s="325">
        <f t="shared" ref="P222:P256" si="49">IF(E222&gt;0,INT(IF($N222="P",IF($D222&lt;$H$3,$H222*($M222/100)*(E222-$H$3)/365,$J222*($M222/100)*($J$3-$D222)/365),0)),0)</f>
        <v>0</v>
      </c>
      <c r="Q222" s="325">
        <f t="shared" ref="Q222:Q256" si="50">+O222+P222</f>
        <v>0</v>
      </c>
      <c r="R222" s="325">
        <f t="shared" ref="R222:R256" si="51">INT(IF($E222&gt;0,0,(IF($N222="D",IF($D222&lt;$H$3,$I222*($M222/100)*$U$3/12,$J222*($M222/100)*($J$3-$D222)/365),0))))</f>
        <v>0</v>
      </c>
      <c r="S222" s="325">
        <f t="shared" ref="S222:S256" si="52">INT(IF($E222&gt;0,0,(IF($N222="P",IF($D222&lt;$H$3,$H222*($M222/100)*$U$3/12,$J222*($M222/100)*($J$3-$D222)/365),0))))</f>
        <v>0</v>
      </c>
      <c r="T222" s="325">
        <f t="shared" si="44"/>
        <v>0</v>
      </c>
      <c r="U222" s="325">
        <f t="shared" ref="U222:U258" si="53">+I222+J222-T222-F222+K222-L222</f>
        <v>0</v>
      </c>
      <c r="V222" s="325">
        <f t="shared" si="47"/>
        <v>0</v>
      </c>
      <c r="W222" s="449" cm="1">
        <f t="array" ref="W222">+IF(U222&lt;0,error,0)</f>
        <v>0</v>
      </c>
    </row>
    <row r="223" spans="1:23" ht="18" customHeight="1" x14ac:dyDescent="0.2">
      <c r="A223" s="402" t="s">
        <v>538</v>
      </c>
      <c r="B223" s="403"/>
      <c r="C223" s="404" t="s">
        <v>2392</v>
      </c>
      <c r="D223" s="405">
        <v>40303</v>
      </c>
      <c r="E223" s="406"/>
      <c r="F223" s="325"/>
      <c r="G223" s="324"/>
      <c r="H223" s="324">
        <f>1590.91*0.76</f>
        <v>1209.0916</v>
      </c>
      <c r="I223" s="325">
        <v>0</v>
      </c>
      <c r="J223" s="325"/>
      <c r="K223" s="325">
        <f t="shared" si="45"/>
        <v>0</v>
      </c>
      <c r="L223" s="325">
        <f t="shared" si="46"/>
        <v>0</v>
      </c>
      <c r="M223" s="407">
        <v>10</v>
      </c>
      <c r="N223" s="408" t="s">
        <v>289</v>
      </c>
      <c r="O223" s="325">
        <f t="shared" si="48"/>
        <v>0</v>
      </c>
      <c r="P223" s="325">
        <f t="shared" si="49"/>
        <v>0</v>
      </c>
      <c r="Q223" s="325">
        <f t="shared" si="50"/>
        <v>0</v>
      </c>
      <c r="R223" s="325">
        <f t="shared" si="51"/>
        <v>0</v>
      </c>
      <c r="S223" s="325">
        <f t="shared" si="52"/>
        <v>0</v>
      </c>
      <c r="T223" s="325">
        <f t="shared" si="44"/>
        <v>0</v>
      </c>
      <c r="U223" s="325">
        <f t="shared" si="53"/>
        <v>0</v>
      </c>
      <c r="V223" s="325">
        <f t="shared" si="47"/>
        <v>0</v>
      </c>
      <c r="W223" s="449" cm="1">
        <f t="array" ref="W223">+IF(U223&lt;0,error,0)</f>
        <v>0</v>
      </c>
    </row>
    <row r="224" spans="1:23" ht="18" customHeight="1" x14ac:dyDescent="0.2">
      <c r="A224" s="402" t="s">
        <v>2394</v>
      </c>
      <c r="B224" s="403"/>
      <c r="C224" s="404" t="s">
        <v>2393</v>
      </c>
      <c r="D224" s="405">
        <v>40303</v>
      </c>
      <c r="E224" s="406">
        <v>44046</v>
      </c>
      <c r="F224" s="325">
        <v>1800</v>
      </c>
      <c r="G224" s="324">
        <v>381.82</v>
      </c>
      <c r="H224" s="324">
        <f>1590.91*0.24</f>
        <v>381.8184</v>
      </c>
      <c r="I224" s="325">
        <v>0</v>
      </c>
      <c r="J224" s="325"/>
      <c r="K224" s="325">
        <f t="shared" ref="K224" si="54">INT(IF($E224&gt;0,IF(+F224-I224+Q224&lt;0,0,+F224-I224+Q224),0))</f>
        <v>1800</v>
      </c>
      <c r="L224" s="325">
        <f t="shared" ref="L224" si="55">INT(IF($E224&gt;0,IF(K224=0,-F224+I224-Q224,0),0))</f>
        <v>0</v>
      </c>
      <c r="M224" s="407">
        <v>10</v>
      </c>
      <c r="N224" s="408" t="s">
        <v>289</v>
      </c>
      <c r="O224" s="325">
        <f t="shared" ref="O224" si="56">IF(E224&gt;0,INT(IF($N224="D",IF($D224&lt;$H$3,$I224*($M224/100)*((E224-$H$3)/365),$J224*($M224/100)*($J$3-$D224)/365),0)),0)</f>
        <v>0</v>
      </c>
      <c r="P224" s="325">
        <f t="shared" ref="P224" si="57">IF(E224&gt;0,INT(IF($N224="P",IF($D224&lt;$H$3,$H224*($M224/100)*(E224-$H$3)/365,$J224*($M224/100)*($J$3-$D224)/365),0)),0)</f>
        <v>0</v>
      </c>
      <c r="Q224" s="325">
        <f t="shared" ref="Q224" si="58">+O224+P224</f>
        <v>0</v>
      </c>
      <c r="R224" s="325">
        <f t="shared" si="51"/>
        <v>0</v>
      </c>
      <c r="S224" s="325">
        <f t="shared" si="52"/>
        <v>0</v>
      </c>
      <c r="T224" s="325">
        <f t="shared" ref="T224" si="59">+R224+S224+Q224</f>
        <v>0</v>
      </c>
      <c r="U224" s="325">
        <f t="shared" ref="U224" si="60">+I224+J224-T224-F224+K224-L224</f>
        <v>0</v>
      </c>
      <c r="V224" s="325">
        <f t="shared" ref="V224" si="61">IF(E224&gt;0,+H224+J224,0)</f>
        <v>381.8184</v>
      </c>
      <c r="W224" s="449" cm="1">
        <f t="array" ref="W224">+IF(U224&lt;0,error,0)</f>
        <v>0</v>
      </c>
    </row>
    <row r="225" spans="1:23" ht="18" customHeight="1" x14ac:dyDescent="0.2">
      <c r="A225" s="402" t="s">
        <v>545</v>
      </c>
      <c r="B225" s="403"/>
      <c r="C225" s="412" t="s">
        <v>546</v>
      </c>
      <c r="D225" s="405">
        <v>40324</v>
      </c>
      <c r="E225" s="406"/>
      <c r="F225" s="325"/>
      <c r="G225" s="324"/>
      <c r="H225" s="324">
        <v>3500</v>
      </c>
      <c r="I225" s="325">
        <v>0</v>
      </c>
      <c r="J225" s="325"/>
      <c r="K225" s="325">
        <f t="shared" si="45"/>
        <v>0</v>
      </c>
      <c r="L225" s="325">
        <f t="shared" si="46"/>
        <v>0</v>
      </c>
      <c r="M225" s="407">
        <v>66.66</v>
      </c>
      <c r="N225" s="408" t="s">
        <v>289</v>
      </c>
      <c r="O225" s="325">
        <f t="shared" si="48"/>
        <v>0</v>
      </c>
      <c r="P225" s="325">
        <f t="shared" si="49"/>
        <v>0</v>
      </c>
      <c r="Q225" s="325">
        <f t="shared" si="50"/>
        <v>0</v>
      </c>
      <c r="R225" s="325">
        <f t="shared" si="51"/>
        <v>0</v>
      </c>
      <c r="S225" s="325">
        <f t="shared" si="52"/>
        <v>0</v>
      </c>
      <c r="T225" s="325">
        <f t="shared" ref="T225:T271" si="62">+R225+S225+Q225</f>
        <v>0</v>
      </c>
      <c r="U225" s="325">
        <f t="shared" si="53"/>
        <v>0</v>
      </c>
      <c r="V225" s="325">
        <f t="shared" si="47"/>
        <v>0</v>
      </c>
      <c r="W225" s="449" cm="1">
        <f t="array" ref="W225">+IF(U225&lt;0,error,0)</f>
        <v>0</v>
      </c>
    </row>
    <row r="226" spans="1:23" ht="18" customHeight="1" x14ac:dyDescent="0.2">
      <c r="A226" s="402" t="s">
        <v>550</v>
      </c>
      <c r="B226" s="403"/>
      <c r="C226" s="404" t="s">
        <v>551</v>
      </c>
      <c r="D226" s="405">
        <v>40385</v>
      </c>
      <c r="E226" s="406"/>
      <c r="F226" s="325"/>
      <c r="G226" s="324"/>
      <c r="H226" s="324">
        <v>1585</v>
      </c>
      <c r="I226" s="325">
        <v>0</v>
      </c>
      <c r="J226" s="325"/>
      <c r="K226" s="325">
        <f t="shared" si="45"/>
        <v>0</v>
      </c>
      <c r="L226" s="325">
        <f t="shared" si="46"/>
        <v>0</v>
      </c>
      <c r="M226" s="407">
        <v>28.57</v>
      </c>
      <c r="N226" s="408" t="s">
        <v>289</v>
      </c>
      <c r="O226" s="325">
        <f t="shared" si="48"/>
        <v>0</v>
      </c>
      <c r="P226" s="325">
        <f t="shared" si="49"/>
        <v>0</v>
      </c>
      <c r="Q226" s="325">
        <f t="shared" si="50"/>
        <v>0</v>
      </c>
      <c r="R226" s="325">
        <f t="shared" si="51"/>
        <v>0</v>
      </c>
      <c r="S226" s="325">
        <f t="shared" si="52"/>
        <v>0</v>
      </c>
      <c r="T226" s="325">
        <f t="shared" si="62"/>
        <v>0</v>
      </c>
      <c r="U226" s="325">
        <f t="shared" si="53"/>
        <v>0</v>
      </c>
      <c r="V226" s="325">
        <f t="shared" si="47"/>
        <v>0</v>
      </c>
      <c r="W226" s="449" cm="1">
        <f t="array" ref="W226">+IF(U226&lt;0,error,0)</f>
        <v>0</v>
      </c>
    </row>
    <row r="227" spans="1:23" ht="18" customHeight="1" x14ac:dyDescent="0.2">
      <c r="A227" s="402" t="s">
        <v>552</v>
      </c>
      <c r="B227" s="403"/>
      <c r="C227" s="412" t="s">
        <v>553</v>
      </c>
      <c r="D227" s="405">
        <v>40392</v>
      </c>
      <c r="E227" s="406"/>
      <c r="F227" s="325"/>
      <c r="G227" s="324"/>
      <c r="H227" s="324">
        <v>58788.82</v>
      </c>
      <c r="I227" s="325">
        <v>27021.82</v>
      </c>
      <c r="J227" s="325"/>
      <c r="K227" s="325">
        <f t="shared" si="45"/>
        <v>0</v>
      </c>
      <c r="L227" s="325">
        <f t="shared" si="46"/>
        <v>0</v>
      </c>
      <c r="M227" s="407">
        <v>7.5</v>
      </c>
      <c r="N227" s="408" t="s">
        <v>289</v>
      </c>
      <c r="O227" s="325">
        <f t="shared" si="48"/>
        <v>0</v>
      </c>
      <c r="P227" s="325">
        <f t="shared" si="49"/>
        <v>0</v>
      </c>
      <c r="Q227" s="325">
        <f t="shared" si="50"/>
        <v>0</v>
      </c>
      <c r="R227" s="325">
        <f t="shared" si="51"/>
        <v>1013</v>
      </c>
      <c r="S227" s="325">
        <f t="shared" si="52"/>
        <v>0</v>
      </c>
      <c r="T227" s="325">
        <f t="shared" si="62"/>
        <v>1013</v>
      </c>
      <c r="U227" s="325">
        <f t="shared" si="53"/>
        <v>26008.82</v>
      </c>
      <c r="V227" s="325">
        <f t="shared" si="47"/>
        <v>0</v>
      </c>
      <c r="W227" s="449" cm="1">
        <f t="array" ref="W227">+IF(U227&lt;0,error,0)</f>
        <v>0</v>
      </c>
    </row>
    <row r="228" spans="1:23" ht="18" customHeight="1" x14ac:dyDescent="0.2">
      <c r="A228" s="402" t="s">
        <v>559</v>
      </c>
      <c r="B228" s="403"/>
      <c r="C228" s="404" t="s">
        <v>560</v>
      </c>
      <c r="D228" s="405">
        <v>40528</v>
      </c>
      <c r="E228" s="406"/>
      <c r="F228" s="325"/>
      <c r="G228" s="324"/>
      <c r="H228" s="324">
        <v>1140</v>
      </c>
      <c r="I228" s="325">
        <v>0</v>
      </c>
      <c r="J228" s="325"/>
      <c r="K228" s="325">
        <f t="shared" si="45"/>
        <v>0</v>
      </c>
      <c r="L228" s="325">
        <f t="shared" si="46"/>
        <v>0</v>
      </c>
      <c r="M228" s="407">
        <v>20</v>
      </c>
      <c r="N228" s="408" t="s">
        <v>289</v>
      </c>
      <c r="O228" s="325">
        <f t="shared" si="48"/>
        <v>0</v>
      </c>
      <c r="P228" s="325">
        <f t="shared" si="49"/>
        <v>0</v>
      </c>
      <c r="Q228" s="325">
        <f t="shared" si="50"/>
        <v>0</v>
      </c>
      <c r="R228" s="325">
        <f t="shared" si="51"/>
        <v>0</v>
      </c>
      <c r="S228" s="325">
        <f t="shared" si="52"/>
        <v>0</v>
      </c>
      <c r="T228" s="325">
        <f t="shared" si="62"/>
        <v>0</v>
      </c>
      <c r="U228" s="325">
        <f t="shared" si="53"/>
        <v>0</v>
      </c>
      <c r="V228" s="325">
        <f t="shared" si="47"/>
        <v>0</v>
      </c>
      <c r="W228" s="449" cm="1">
        <f t="array" ref="W228">+IF(U228&lt;0,error,0)</f>
        <v>0</v>
      </c>
    </row>
    <row r="229" spans="1:23" ht="18" customHeight="1" x14ac:dyDescent="0.2">
      <c r="A229" s="402" t="s">
        <v>561</v>
      </c>
      <c r="B229" s="403"/>
      <c r="C229" s="404" t="s">
        <v>562</v>
      </c>
      <c r="D229" s="405">
        <v>40605</v>
      </c>
      <c r="E229" s="406"/>
      <c r="F229" s="325"/>
      <c r="G229" s="324"/>
      <c r="H229" s="324">
        <v>5818.18</v>
      </c>
      <c r="I229" s="325">
        <v>748.18000000000006</v>
      </c>
      <c r="J229" s="325"/>
      <c r="K229" s="325">
        <f t="shared" si="45"/>
        <v>0</v>
      </c>
      <c r="L229" s="325">
        <f t="shared" si="46"/>
        <v>0</v>
      </c>
      <c r="M229" s="407">
        <v>20</v>
      </c>
      <c r="N229" s="408" t="s">
        <v>289</v>
      </c>
      <c r="O229" s="325">
        <f t="shared" si="48"/>
        <v>0</v>
      </c>
      <c r="P229" s="325">
        <f t="shared" si="49"/>
        <v>0</v>
      </c>
      <c r="Q229" s="325">
        <f t="shared" si="50"/>
        <v>0</v>
      </c>
      <c r="R229" s="325">
        <f t="shared" si="51"/>
        <v>74</v>
      </c>
      <c r="S229" s="325">
        <f t="shared" si="52"/>
        <v>0</v>
      </c>
      <c r="T229" s="325">
        <f t="shared" si="62"/>
        <v>74</v>
      </c>
      <c r="U229" s="325">
        <f t="shared" si="53"/>
        <v>674.18000000000006</v>
      </c>
      <c r="V229" s="325">
        <f t="shared" si="47"/>
        <v>0</v>
      </c>
      <c r="W229" s="449" cm="1">
        <f t="array" ref="W229">+IF(U229&lt;0,error,0)</f>
        <v>0</v>
      </c>
    </row>
    <row r="230" spans="1:23" ht="18" customHeight="1" x14ac:dyDescent="0.2">
      <c r="A230" s="402" t="s">
        <v>565</v>
      </c>
      <c r="B230" s="403"/>
      <c r="C230" s="404" t="s">
        <v>566</v>
      </c>
      <c r="D230" s="405">
        <v>40627</v>
      </c>
      <c r="E230" s="406"/>
      <c r="F230" s="325"/>
      <c r="G230" s="324"/>
      <c r="H230" s="324">
        <v>727.27</v>
      </c>
      <c r="I230" s="325">
        <v>0</v>
      </c>
      <c r="J230" s="325"/>
      <c r="K230" s="325">
        <f t="shared" si="45"/>
        <v>0</v>
      </c>
      <c r="L230" s="325">
        <f t="shared" si="46"/>
        <v>0</v>
      </c>
      <c r="M230" s="407">
        <v>10</v>
      </c>
      <c r="N230" s="408" t="s">
        <v>289</v>
      </c>
      <c r="O230" s="325">
        <f t="shared" si="48"/>
        <v>0</v>
      </c>
      <c r="P230" s="325">
        <f t="shared" si="49"/>
        <v>0</v>
      </c>
      <c r="Q230" s="325">
        <f t="shared" si="50"/>
        <v>0</v>
      </c>
      <c r="R230" s="325">
        <f t="shared" si="51"/>
        <v>0</v>
      </c>
      <c r="S230" s="325">
        <f t="shared" si="52"/>
        <v>0</v>
      </c>
      <c r="T230" s="325">
        <f t="shared" si="62"/>
        <v>0</v>
      </c>
      <c r="U230" s="325">
        <f t="shared" si="53"/>
        <v>0</v>
      </c>
      <c r="V230" s="325">
        <f t="shared" si="47"/>
        <v>0</v>
      </c>
      <c r="W230" s="449" cm="1">
        <f t="array" ref="W230">+IF(U230&lt;0,error,0)</f>
        <v>0</v>
      </c>
    </row>
    <row r="231" spans="1:23" ht="18" customHeight="1" x14ac:dyDescent="0.2">
      <c r="A231" s="402" t="s">
        <v>567</v>
      </c>
      <c r="B231" s="403"/>
      <c r="C231" s="404" t="s">
        <v>568</v>
      </c>
      <c r="D231" s="405">
        <v>40629</v>
      </c>
      <c r="E231" s="406"/>
      <c r="F231" s="325"/>
      <c r="G231" s="324"/>
      <c r="H231" s="324">
        <v>7000</v>
      </c>
      <c r="I231" s="325">
        <v>3413</v>
      </c>
      <c r="J231" s="325"/>
      <c r="K231" s="325">
        <f t="shared" si="45"/>
        <v>0</v>
      </c>
      <c r="L231" s="325">
        <f t="shared" si="46"/>
        <v>0</v>
      </c>
      <c r="M231" s="407">
        <v>7.5</v>
      </c>
      <c r="N231" s="408" t="s">
        <v>289</v>
      </c>
      <c r="O231" s="325">
        <f t="shared" si="48"/>
        <v>0</v>
      </c>
      <c r="P231" s="325">
        <f t="shared" si="49"/>
        <v>0</v>
      </c>
      <c r="Q231" s="325">
        <f t="shared" si="50"/>
        <v>0</v>
      </c>
      <c r="R231" s="325">
        <f t="shared" si="51"/>
        <v>127</v>
      </c>
      <c r="S231" s="325">
        <f t="shared" si="52"/>
        <v>0</v>
      </c>
      <c r="T231" s="325">
        <f t="shared" si="62"/>
        <v>127</v>
      </c>
      <c r="U231" s="325">
        <f t="shared" si="53"/>
        <v>3286</v>
      </c>
      <c r="V231" s="325">
        <f t="shared" si="47"/>
        <v>0</v>
      </c>
      <c r="W231" s="449" cm="1">
        <f t="array" ref="W231">+IF(U231&lt;0,error,0)</f>
        <v>0</v>
      </c>
    </row>
    <row r="232" spans="1:23" ht="18" customHeight="1" x14ac:dyDescent="0.2">
      <c r="A232" s="402" t="s">
        <v>569</v>
      </c>
      <c r="B232" s="403"/>
      <c r="C232" s="412" t="s">
        <v>570</v>
      </c>
      <c r="D232" s="405">
        <v>40639</v>
      </c>
      <c r="E232" s="406"/>
      <c r="F232" s="325"/>
      <c r="G232" s="324"/>
      <c r="H232" s="324">
        <v>66600</v>
      </c>
      <c r="I232" s="325">
        <v>35283.79</v>
      </c>
      <c r="J232" s="325"/>
      <c r="K232" s="325">
        <f t="shared" si="45"/>
        <v>0</v>
      </c>
      <c r="L232" s="325">
        <f t="shared" si="46"/>
        <v>0</v>
      </c>
      <c r="M232" s="407">
        <v>6.67</v>
      </c>
      <c r="N232" s="408" t="s">
        <v>289</v>
      </c>
      <c r="O232" s="325">
        <f t="shared" si="48"/>
        <v>0</v>
      </c>
      <c r="P232" s="325">
        <f t="shared" si="49"/>
        <v>0</v>
      </c>
      <c r="Q232" s="325">
        <f t="shared" si="50"/>
        <v>0</v>
      </c>
      <c r="R232" s="325">
        <f t="shared" si="51"/>
        <v>1176</v>
      </c>
      <c r="S232" s="325">
        <f t="shared" si="52"/>
        <v>0</v>
      </c>
      <c r="T232" s="325">
        <f t="shared" si="62"/>
        <v>1176</v>
      </c>
      <c r="U232" s="325">
        <f t="shared" si="53"/>
        <v>34107.79</v>
      </c>
      <c r="V232" s="325">
        <f t="shared" si="47"/>
        <v>0</v>
      </c>
      <c r="W232" s="449" cm="1">
        <f t="array" ref="W232">+IF(U232&lt;0,error,0)</f>
        <v>0</v>
      </c>
    </row>
    <row r="233" spans="1:23" ht="18" customHeight="1" x14ac:dyDescent="0.2">
      <c r="A233" s="402" t="s">
        <v>573</v>
      </c>
      <c r="B233" s="403"/>
      <c r="C233" s="404" t="s">
        <v>574</v>
      </c>
      <c r="D233" s="405">
        <v>40714</v>
      </c>
      <c r="E233" s="406"/>
      <c r="F233" s="325"/>
      <c r="G233" s="324"/>
      <c r="H233" s="324">
        <v>5000</v>
      </c>
      <c r="I233" s="325">
        <v>1942</v>
      </c>
      <c r="J233" s="325"/>
      <c r="K233" s="325">
        <f t="shared" si="45"/>
        <v>0</v>
      </c>
      <c r="L233" s="325">
        <f t="shared" si="46"/>
        <v>0</v>
      </c>
      <c r="M233" s="407">
        <v>10</v>
      </c>
      <c r="N233" s="408" t="s">
        <v>289</v>
      </c>
      <c r="O233" s="325">
        <f t="shared" si="48"/>
        <v>0</v>
      </c>
      <c r="P233" s="325">
        <f t="shared" si="49"/>
        <v>0</v>
      </c>
      <c r="Q233" s="325">
        <f t="shared" si="50"/>
        <v>0</v>
      </c>
      <c r="R233" s="325">
        <f t="shared" si="51"/>
        <v>97</v>
      </c>
      <c r="S233" s="325">
        <f t="shared" si="52"/>
        <v>0</v>
      </c>
      <c r="T233" s="325">
        <f t="shared" si="62"/>
        <v>97</v>
      </c>
      <c r="U233" s="325">
        <f t="shared" si="53"/>
        <v>1845</v>
      </c>
      <c r="V233" s="325">
        <f t="shared" si="47"/>
        <v>0</v>
      </c>
      <c r="W233" s="449" cm="1">
        <f t="array" ref="W233">+IF(U233&lt;0,error,0)</f>
        <v>0</v>
      </c>
    </row>
    <row r="234" spans="1:23" ht="18" customHeight="1" x14ac:dyDescent="0.2">
      <c r="A234" s="402" t="s">
        <v>588</v>
      </c>
      <c r="B234" s="403"/>
      <c r="C234" s="412" t="s">
        <v>589</v>
      </c>
      <c r="D234" s="405">
        <v>40513</v>
      </c>
      <c r="E234" s="406"/>
      <c r="F234" s="325"/>
      <c r="G234" s="324"/>
      <c r="H234" s="324">
        <v>239.96</v>
      </c>
      <c r="I234" s="325">
        <v>0</v>
      </c>
      <c r="J234" s="325"/>
      <c r="K234" s="325">
        <f t="shared" si="45"/>
        <v>0</v>
      </c>
      <c r="L234" s="325">
        <f t="shared" si="46"/>
        <v>0</v>
      </c>
      <c r="M234" s="407">
        <v>20</v>
      </c>
      <c r="N234" s="408" t="s">
        <v>289</v>
      </c>
      <c r="O234" s="325">
        <f t="shared" si="48"/>
        <v>0</v>
      </c>
      <c r="P234" s="325">
        <f t="shared" si="49"/>
        <v>0</v>
      </c>
      <c r="Q234" s="325">
        <f t="shared" si="50"/>
        <v>0</v>
      </c>
      <c r="R234" s="325">
        <f t="shared" si="51"/>
        <v>0</v>
      </c>
      <c r="S234" s="325">
        <f t="shared" si="52"/>
        <v>0</v>
      </c>
      <c r="T234" s="325">
        <f t="shared" si="62"/>
        <v>0</v>
      </c>
      <c r="U234" s="325">
        <f t="shared" si="53"/>
        <v>0</v>
      </c>
      <c r="V234" s="325">
        <f t="shared" si="47"/>
        <v>0</v>
      </c>
      <c r="W234" s="449" cm="1">
        <f t="array" ref="W234">+IF(U234&lt;0,error,0)</f>
        <v>0</v>
      </c>
    </row>
    <row r="235" spans="1:23" ht="18" customHeight="1" x14ac:dyDescent="0.2">
      <c r="A235" s="402" t="s">
        <v>594</v>
      </c>
      <c r="B235" s="403"/>
      <c r="C235" s="404" t="s">
        <v>595</v>
      </c>
      <c r="D235" s="405">
        <v>40528</v>
      </c>
      <c r="E235" s="406"/>
      <c r="F235" s="325"/>
      <c r="G235" s="324"/>
      <c r="H235" s="324">
        <v>221.82</v>
      </c>
      <c r="I235" s="325">
        <v>0</v>
      </c>
      <c r="J235" s="325"/>
      <c r="K235" s="325">
        <f t="shared" si="45"/>
        <v>0</v>
      </c>
      <c r="L235" s="325">
        <f t="shared" si="46"/>
        <v>0</v>
      </c>
      <c r="M235" s="407">
        <v>20</v>
      </c>
      <c r="N235" s="408" t="s">
        <v>289</v>
      </c>
      <c r="O235" s="325">
        <f t="shared" si="48"/>
        <v>0</v>
      </c>
      <c r="P235" s="325">
        <f t="shared" si="49"/>
        <v>0</v>
      </c>
      <c r="Q235" s="325">
        <f t="shared" si="50"/>
        <v>0</v>
      </c>
      <c r="R235" s="325">
        <f t="shared" si="51"/>
        <v>0</v>
      </c>
      <c r="S235" s="325">
        <f t="shared" si="52"/>
        <v>0</v>
      </c>
      <c r="T235" s="325">
        <f t="shared" si="62"/>
        <v>0</v>
      </c>
      <c r="U235" s="325">
        <f t="shared" si="53"/>
        <v>0</v>
      </c>
      <c r="V235" s="325">
        <f t="shared" si="47"/>
        <v>0</v>
      </c>
      <c r="W235" s="449" cm="1">
        <f t="array" ref="W235">+IF(U235&lt;0,error,0)</f>
        <v>0</v>
      </c>
    </row>
    <row r="236" spans="1:23" ht="18" customHeight="1" x14ac:dyDescent="0.2">
      <c r="A236" s="402" t="s">
        <v>600</v>
      </c>
      <c r="B236" s="403"/>
      <c r="C236" s="404" t="s">
        <v>601</v>
      </c>
      <c r="D236" s="405">
        <v>40688</v>
      </c>
      <c r="E236" s="406"/>
      <c r="F236" s="325"/>
      <c r="G236" s="324"/>
      <c r="H236" s="324">
        <v>300</v>
      </c>
      <c r="I236" s="325">
        <v>0</v>
      </c>
      <c r="J236" s="325"/>
      <c r="K236" s="325">
        <f t="shared" si="45"/>
        <v>0</v>
      </c>
      <c r="L236" s="325">
        <f t="shared" si="46"/>
        <v>0</v>
      </c>
      <c r="M236" s="407">
        <v>20</v>
      </c>
      <c r="N236" s="408" t="s">
        <v>289</v>
      </c>
      <c r="O236" s="325">
        <f t="shared" si="48"/>
        <v>0</v>
      </c>
      <c r="P236" s="325">
        <f t="shared" si="49"/>
        <v>0</v>
      </c>
      <c r="Q236" s="325">
        <f t="shared" si="50"/>
        <v>0</v>
      </c>
      <c r="R236" s="325">
        <f t="shared" si="51"/>
        <v>0</v>
      </c>
      <c r="S236" s="325">
        <f t="shared" si="52"/>
        <v>0</v>
      </c>
      <c r="T236" s="325">
        <f t="shared" si="62"/>
        <v>0</v>
      </c>
      <c r="U236" s="325">
        <f t="shared" si="53"/>
        <v>0</v>
      </c>
      <c r="V236" s="325">
        <f t="shared" si="47"/>
        <v>0</v>
      </c>
      <c r="W236" s="449" cm="1">
        <f t="array" ref="W236">+IF(U236&lt;0,error,0)</f>
        <v>0</v>
      </c>
    </row>
    <row r="237" spans="1:23" ht="18" customHeight="1" x14ac:dyDescent="0.2">
      <c r="A237" s="402" t="s">
        <v>610</v>
      </c>
      <c r="B237" s="403"/>
      <c r="C237" s="404" t="s">
        <v>611</v>
      </c>
      <c r="D237" s="405">
        <v>38328</v>
      </c>
      <c r="E237" s="406"/>
      <c r="F237" s="325"/>
      <c r="G237" s="324"/>
      <c r="H237" s="324">
        <v>1000</v>
      </c>
      <c r="I237" s="325">
        <v>0</v>
      </c>
      <c r="J237" s="325"/>
      <c r="K237" s="325">
        <f t="shared" si="45"/>
        <v>0</v>
      </c>
      <c r="L237" s="325">
        <f t="shared" si="46"/>
        <v>0</v>
      </c>
      <c r="M237" s="407">
        <v>5</v>
      </c>
      <c r="N237" s="408" t="s">
        <v>289</v>
      </c>
      <c r="O237" s="325">
        <f t="shared" si="48"/>
        <v>0</v>
      </c>
      <c r="P237" s="325">
        <f t="shared" si="49"/>
        <v>0</v>
      </c>
      <c r="Q237" s="325">
        <f t="shared" si="50"/>
        <v>0</v>
      </c>
      <c r="R237" s="325">
        <f t="shared" si="51"/>
        <v>0</v>
      </c>
      <c r="S237" s="325">
        <f t="shared" si="52"/>
        <v>0</v>
      </c>
      <c r="T237" s="325">
        <f t="shared" si="62"/>
        <v>0</v>
      </c>
      <c r="U237" s="325">
        <f t="shared" si="53"/>
        <v>0</v>
      </c>
      <c r="V237" s="325">
        <f t="shared" si="47"/>
        <v>0</v>
      </c>
      <c r="W237" s="449" cm="1">
        <f t="array" ref="W237">+IF(U237&lt;0,error,0)</f>
        <v>0</v>
      </c>
    </row>
    <row r="238" spans="1:23" ht="18" customHeight="1" x14ac:dyDescent="0.2">
      <c r="A238" s="402" t="s">
        <v>612</v>
      </c>
      <c r="B238" s="403"/>
      <c r="C238" s="404" t="s">
        <v>613</v>
      </c>
      <c r="D238" s="405">
        <v>38413</v>
      </c>
      <c r="E238" s="406"/>
      <c r="F238" s="325"/>
      <c r="G238" s="324"/>
      <c r="H238" s="324">
        <v>3750</v>
      </c>
      <c r="I238" s="325">
        <v>1712</v>
      </c>
      <c r="J238" s="325"/>
      <c r="K238" s="325">
        <f t="shared" si="45"/>
        <v>0</v>
      </c>
      <c r="L238" s="325">
        <f t="shared" si="46"/>
        <v>0</v>
      </c>
      <c r="M238" s="407">
        <v>5</v>
      </c>
      <c r="N238" s="408" t="s">
        <v>289</v>
      </c>
      <c r="O238" s="325">
        <f t="shared" si="48"/>
        <v>0</v>
      </c>
      <c r="P238" s="325">
        <f t="shared" si="49"/>
        <v>0</v>
      </c>
      <c r="Q238" s="325">
        <f t="shared" si="50"/>
        <v>0</v>
      </c>
      <c r="R238" s="325">
        <f t="shared" si="51"/>
        <v>42</v>
      </c>
      <c r="S238" s="325">
        <f t="shared" si="52"/>
        <v>0</v>
      </c>
      <c r="T238" s="325">
        <f t="shared" si="62"/>
        <v>42</v>
      </c>
      <c r="U238" s="325">
        <f t="shared" si="53"/>
        <v>1670</v>
      </c>
      <c r="V238" s="325">
        <f t="shared" si="47"/>
        <v>0</v>
      </c>
      <c r="W238" s="449" cm="1">
        <f t="array" ref="W238">+IF(U238&lt;0,error,0)</f>
        <v>0</v>
      </c>
    </row>
    <row r="239" spans="1:23" ht="18" customHeight="1" x14ac:dyDescent="0.2">
      <c r="A239" s="402" t="s">
        <v>616</v>
      </c>
      <c r="B239" s="403"/>
      <c r="C239" s="404" t="s">
        <v>617</v>
      </c>
      <c r="D239" s="405">
        <v>40653</v>
      </c>
      <c r="E239" s="406"/>
      <c r="F239" s="325"/>
      <c r="G239" s="324"/>
      <c r="H239" s="324">
        <v>955.55000000000007</v>
      </c>
      <c r="I239" s="325">
        <v>0</v>
      </c>
      <c r="J239" s="325"/>
      <c r="K239" s="325">
        <f t="shared" si="45"/>
        <v>0</v>
      </c>
      <c r="L239" s="325">
        <f t="shared" si="46"/>
        <v>0</v>
      </c>
      <c r="M239" s="407">
        <v>20</v>
      </c>
      <c r="N239" s="408" t="s">
        <v>289</v>
      </c>
      <c r="O239" s="325">
        <f t="shared" si="48"/>
        <v>0</v>
      </c>
      <c r="P239" s="325">
        <f t="shared" si="49"/>
        <v>0</v>
      </c>
      <c r="Q239" s="325">
        <f t="shared" si="50"/>
        <v>0</v>
      </c>
      <c r="R239" s="325">
        <f t="shared" si="51"/>
        <v>0</v>
      </c>
      <c r="S239" s="325">
        <f t="shared" si="52"/>
        <v>0</v>
      </c>
      <c r="T239" s="325">
        <f t="shared" si="62"/>
        <v>0</v>
      </c>
      <c r="U239" s="325">
        <f t="shared" si="53"/>
        <v>0</v>
      </c>
      <c r="V239" s="325">
        <f t="shared" si="47"/>
        <v>0</v>
      </c>
      <c r="W239" s="449" cm="1">
        <f t="array" ref="W239">+IF(U239&lt;0,error,0)</f>
        <v>0</v>
      </c>
    </row>
    <row r="240" spans="1:23" ht="18" customHeight="1" x14ac:dyDescent="0.2">
      <c r="A240" s="402" t="s">
        <v>618</v>
      </c>
      <c r="B240" s="403"/>
      <c r="C240" s="404" t="s">
        <v>619</v>
      </c>
      <c r="D240" s="405">
        <v>40653</v>
      </c>
      <c r="E240" s="406"/>
      <c r="F240" s="325"/>
      <c r="G240" s="324"/>
      <c r="H240" s="324">
        <v>914</v>
      </c>
      <c r="I240" s="325">
        <v>0</v>
      </c>
      <c r="J240" s="325"/>
      <c r="K240" s="325">
        <f t="shared" si="45"/>
        <v>0</v>
      </c>
      <c r="L240" s="325">
        <f t="shared" si="46"/>
        <v>0</v>
      </c>
      <c r="M240" s="407">
        <v>20</v>
      </c>
      <c r="N240" s="408" t="s">
        <v>289</v>
      </c>
      <c r="O240" s="325">
        <f t="shared" si="48"/>
        <v>0</v>
      </c>
      <c r="P240" s="325">
        <f t="shared" si="49"/>
        <v>0</v>
      </c>
      <c r="Q240" s="325">
        <f t="shared" si="50"/>
        <v>0</v>
      </c>
      <c r="R240" s="325">
        <f t="shared" si="51"/>
        <v>0</v>
      </c>
      <c r="S240" s="325">
        <f t="shared" si="52"/>
        <v>0</v>
      </c>
      <c r="T240" s="325">
        <f t="shared" si="62"/>
        <v>0</v>
      </c>
      <c r="U240" s="325">
        <f t="shared" si="53"/>
        <v>0</v>
      </c>
      <c r="V240" s="325">
        <f t="shared" si="47"/>
        <v>0</v>
      </c>
      <c r="W240" s="449" cm="1">
        <f t="array" ref="W240">+IF(U240&lt;0,error,0)</f>
        <v>0</v>
      </c>
    </row>
    <row r="241" spans="1:23" ht="18" customHeight="1" x14ac:dyDescent="0.2">
      <c r="A241" s="402" t="s">
        <v>625</v>
      </c>
      <c r="B241" s="403"/>
      <c r="C241" s="404" t="s">
        <v>626</v>
      </c>
      <c r="D241" s="405">
        <v>38567</v>
      </c>
      <c r="E241" s="406"/>
      <c r="F241" s="325"/>
      <c r="G241" s="324"/>
      <c r="H241" s="324">
        <v>2100</v>
      </c>
      <c r="I241" s="325">
        <v>980</v>
      </c>
      <c r="J241" s="325"/>
      <c r="K241" s="325">
        <f t="shared" si="45"/>
        <v>0</v>
      </c>
      <c r="L241" s="325">
        <f t="shared" si="46"/>
        <v>0</v>
      </c>
      <c r="M241" s="407">
        <v>5</v>
      </c>
      <c r="N241" s="408" t="s">
        <v>289</v>
      </c>
      <c r="O241" s="325">
        <f t="shared" si="48"/>
        <v>0</v>
      </c>
      <c r="P241" s="325">
        <f t="shared" si="49"/>
        <v>0</v>
      </c>
      <c r="Q241" s="325">
        <f t="shared" si="50"/>
        <v>0</v>
      </c>
      <c r="R241" s="325">
        <f t="shared" si="51"/>
        <v>24</v>
      </c>
      <c r="S241" s="325">
        <f t="shared" si="52"/>
        <v>0</v>
      </c>
      <c r="T241" s="325">
        <f t="shared" si="62"/>
        <v>24</v>
      </c>
      <c r="U241" s="325">
        <f t="shared" si="53"/>
        <v>956</v>
      </c>
      <c r="V241" s="325">
        <f t="shared" si="47"/>
        <v>0</v>
      </c>
      <c r="W241" s="449" cm="1">
        <f t="array" ref="W241">+IF(U241&lt;0,error,0)</f>
        <v>0</v>
      </c>
    </row>
    <row r="242" spans="1:23" ht="18" customHeight="1" x14ac:dyDescent="0.2">
      <c r="A242" s="402" t="s">
        <v>627</v>
      </c>
      <c r="B242" s="403"/>
      <c r="C242" s="404" t="s">
        <v>628</v>
      </c>
      <c r="D242" s="405">
        <v>38726</v>
      </c>
      <c r="E242" s="406"/>
      <c r="F242" s="325"/>
      <c r="G242" s="324"/>
      <c r="H242" s="324">
        <v>23400</v>
      </c>
      <c r="I242" s="325">
        <v>11154</v>
      </c>
      <c r="J242" s="325"/>
      <c r="K242" s="325">
        <f t="shared" si="45"/>
        <v>0</v>
      </c>
      <c r="L242" s="325">
        <f t="shared" si="46"/>
        <v>0</v>
      </c>
      <c r="M242" s="407">
        <v>5</v>
      </c>
      <c r="N242" s="408" t="s">
        <v>289</v>
      </c>
      <c r="O242" s="325">
        <f t="shared" si="48"/>
        <v>0</v>
      </c>
      <c r="P242" s="325">
        <f t="shared" si="49"/>
        <v>0</v>
      </c>
      <c r="Q242" s="325">
        <f t="shared" si="50"/>
        <v>0</v>
      </c>
      <c r="R242" s="325">
        <f t="shared" si="51"/>
        <v>278</v>
      </c>
      <c r="S242" s="325">
        <f t="shared" si="52"/>
        <v>0</v>
      </c>
      <c r="T242" s="325">
        <f t="shared" si="62"/>
        <v>278</v>
      </c>
      <c r="U242" s="325">
        <f t="shared" si="53"/>
        <v>10876</v>
      </c>
      <c r="V242" s="325">
        <f t="shared" si="47"/>
        <v>0</v>
      </c>
      <c r="W242" s="449" cm="1">
        <f t="array" ref="W242">+IF(U242&lt;0,error,0)</f>
        <v>0</v>
      </c>
    </row>
    <row r="243" spans="1:23" ht="18" customHeight="1" x14ac:dyDescent="0.2">
      <c r="A243" s="402" t="s">
        <v>629</v>
      </c>
      <c r="B243" s="403"/>
      <c r="C243" s="404" t="s">
        <v>2271</v>
      </c>
      <c r="D243" s="405">
        <v>38730</v>
      </c>
      <c r="E243" s="406"/>
      <c r="F243" s="325"/>
      <c r="G243" s="324"/>
      <c r="H243" s="324">
        <v>19000</v>
      </c>
      <c r="I243" s="325">
        <v>3553</v>
      </c>
      <c r="J243" s="325"/>
      <c r="K243" s="325">
        <f t="shared" si="45"/>
        <v>0</v>
      </c>
      <c r="L243" s="325">
        <f t="shared" si="46"/>
        <v>0</v>
      </c>
      <c r="M243" s="407">
        <v>11</v>
      </c>
      <c r="N243" s="408" t="s">
        <v>289</v>
      </c>
      <c r="O243" s="325">
        <f t="shared" si="48"/>
        <v>0</v>
      </c>
      <c r="P243" s="325">
        <f t="shared" si="49"/>
        <v>0</v>
      </c>
      <c r="Q243" s="325">
        <f t="shared" si="50"/>
        <v>0</v>
      </c>
      <c r="R243" s="325">
        <f t="shared" si="51"/>
        <v>195</v>
      </c>
      <c r="S243" s="325">
        <f t="shared" si="52"/>
        <v>0</v>
      </c>
      <c r="T243" s="325">
        <f t="shared" si="62"/>
        <v>195</v>
      </c>
      <c r="U243" s="325">
        <f t="shared" si="53"/>
        <v>3358</v>
      </c>
      <c r="V243" s="325">
        <f t="shared" si="47"/>
        <v>0</v>
      </c>
      <c r="W243" s="449" cm="1">
        <f t="array" ref="W243">+IF(U243&lt;0,error,0)</f>
        <v>0</v>
      </c>
    </row>
    <row r="244" spans="1:23" ht="18" customHeight="1" x14ac:dyDescent="0.2">
      <c r="A244" s="402" t="s">
        <v>639</v>
      </c>
      <c r="B244" s="403"/>
      <c r="C244" s="404" t="s">
        <v>640</v>
      </c>
      <c r="D244" s="405">
        <v>38810</v>
      </c>
      <c r="E244" s="406"/>
      <c r="F244" s="325"/>
      <c r="G244" s="324"/>
      <c r="H244" s="324">
        <v>1250</v>
      </c>
      <c r="I244" s="325">
        <v>0</v>
      </c>
      <c r="J244" s="325"/>
      <c r="K244" s="325">
        <f t="shared" si="45"/>
        <v>0</v>
      </c>
      <c r="L244" s="325">
        <f t="shared" si="46"/>
        <v>0</v>
      </c>
      <c r="M244" s="407">
        <v>5</v>
      </c>
      <c r="N244" s="408" t="s">
        <v>289</v>
      </c>
      <c r="O244" s="325">
        <f t="shared" si="48"/>
        <v>0</v>
      </c>
      <c r="P244" s="325">
        <f t="shared" si="49"/>
        <v>0</v>
      </c>
      <c r="Q244" s="325">
        <f t="shared" si="50"/>
        <v>0</v>
      </c>
      <c r="R244" s="325">
        <f t="shared" si="51"/>
        <v>0</v>
      </c>
      <c r="S244" s="325">
        <f t="shared" si="52"/>
        <v>0</v>
      </c>
      <c r="T244" s="325">
        <f t="shared" si="62"/>
        <v>0</v>
      </c>
      <c r="U244" s="325">
        <f t="shared" si="53"/>
        <v>0</v>
      </c>
      <c r="V244" s="325">
        <f t="shared" si="47"/>
        <v>0</v>
      </c>
      <c r="W244" s="449" cm="1">
        <f t="array" ref="W244">+IF(U244&lt;0,error,0)</f>
        <v>0</v>
      </c>
    </row>
    <row r="245" spans="1:23" ht="18" customHeight="1" x14ac:dyDescent="0.2">
      <c r="A245" s="402" t="s">
        <v>641</v>
      </c>
      <c r="B245" s="403"/>
      <c r="C245" s="404" t="s">
        <v>640</v>
      </c>
      <c r="D245" s="405">
        <v>38813</v>
      </c>
      <c r="E245" s="406"/>
      <c r="F245" s="325"/>
      <c r="G245" s="324"/>
      <c r="H245" s="324">
        <v>1250</v>
      </c>
      <c r="I245" s="325">
        <v>0</v>
      </c>
      <c r="J245" s="325"/>
      <c r="K245" s="325">
        <f t="shared" si="45"/>
        <v>0</v>
      </c>
      <c r="L245" s="325">
        <f t="shared" si="46"/>
        <v>0</v>
      </c>
      <c r="M245" s="407">
        <v>5</v>
      </c>
      <c r="N245" s="408" t="s">
        <v>289</v>
      </c>
      <c r="O245" s="325">
        <f t="shared" si="48"/>
        <v>0</v>
      </c>
      <c r="P245" s="325">
        <f t="shared" si="49"/>
        <v>0</v>
      </c>
      <c r="Q245" s="325">
        <f t="shared" si="50"/>
        <v>0</v>
      </c>
      <c r="R245" s="325">
        <f t="shared" si="51"/>
        <v>0</v>
      </c>
      <c r="S245" s="325">
        <f t="shared" si="52"/>
        <v>0</v>
      </c>
      <c r="T245" s="325">
        <f t="shared" si="62"/>
        <v>0</v>
      </c>
      <c r="U245" s="325">
        <f t="shared" si="53"/>
        <v>0</v>
      </c>
      <c r="V245" s="325">
        <f t="shared" si="47"/>
        <v>0</v>
      </c>
      <c r="W245" s="449" cm="1">
        <f t="array" ref="W245">+IF(U245&lt;0,error,0)</f>
        <v>0</v>
      </c>
    </row>
    <row r="246" spans="1:23" ht="18" customHeight="1" x14ac:dyDescent="0.2">
      <c r="A246" s="402" t="s">
        <v>642</v>
      </c>
      <c r="B246" s="403"/>
      <c r="C246" s="404" t="s">
        <v>643</v>
      </c>
      <c r="D246" s="405">
        <v>38834</v>
      </c>
      <c r="E246" s="406"/>
      <c r="F246" s="325"/>
      <c r="G246" s="324"/>
      <c r="H246" s="324">
        <v>1000</v>
      </c>
      <c r="I246" s="325">
        <v>0</v>
      </c>
      <c r="J246" s="325"/>
      <c r="K246" s="325">
        <f t="shared" si="45"/>
        <v>0</v>
      </c>
      <c r="L246" s="325">
        <f t="shared" si="46"/>
        <v>0</v>
      </c>
      <c r="M246" s="407">
        <v>5</v>
      </c>
      <c r="N246" s="408" t="s">
        <v>289</v>
      </c>
      <c r="O246" s="325">
        <f t="shared" si="48"/>
        <v>0</v>
      </c>
      <c r="P246" s="325">
        <f t="shared" si="49"/>
        <v>0</v>
      </c>
      <c r="Q246" s="325">
        <f t="shared" si="50"/>
        <v>0</v>
      </c>
      <c r="R246" s="325">
        <f t="shared" si="51"/>
        <v>0</v>
      </c>
      <c r="S246" s="325">
        <f t="shared" si="52"/>
        <v>0</v>
      </c>
      <c r="T246" s="325">
        <f t="shared" si="62"/>
        <v>0</v>
      </c>
      <c r="U246" s="325">
        <f t="shared" si="53"/>
        <v>0</v>
      </c>
      <c r="V246" s="325">
        <f t="shared" si="47"/>
        <v>0</v>
      </c>
      <c r="W246" s="449" cm="1">
        <f t="array" ref="W246">+IF(U246&lt;0,error,0)</f>
        <v>0</v>
      </c>
    </row>
    <row r="247" spans="1:23" ht="18" customHeight="1" x14ac:dyDescent="0.2">
      <c r="A247" s="402" t="s">
        <v>644</v>
      </c>
      <c r="B247" s="403"/>
      <c r="C247" s="404" t="s">
        <v>645</v>
      </c>
      <c r="D247" s="405">
        <v>38825</v>
      </c>
      <c r="E247" s="406"/>
      <c r="F247" s="325"/>
      <c r="G247" s="324"/>
      <c r="H247" s="324">
        <v>4200</v>
      </c>
      <c r="I247" s="325">
        <v>2031</v>
      </c>
      <c r="J247" s="325"/>
      <c r="K247" s="325">
        <f t="shared" si="45"/>
        <v>0</v>
      </c>
      <c r="L247" s="325">
        <f t="shared" si="46"/>
        <v>0</v>
      </c>
      <c r="M247" s="407">
        <v>5</v>
      </c>
      <c r="N247" s="408" t="s">
        <v>289</v>
      </c>
      <c r="O247" s="325">
        <f t="shared" si="48"/>
        <v>0</v>
      </c>
      <c r="P247" s="325">
        <f t="shared" si="49"/>
        <v>0</v>
      </c>
      <c r="Q247" s="325">
        <f t="shared" si="50"/>
        <v>0</v>
      </c>
      <c r="R247" s="325">
        <f t="shared" si="51"/>
        <v>50</v>
      </c>
      <c r="S247" s="325">
        <f t="shared" si="52"/>
        <v>0</v>
      </c>
      <c r="T247" s="325">
        <f t="shared" si="62"/>
        <v>50</v>
      </c>
      <c r="U247" s="325">
        <f t="shared" si="53"/>
        <v>1981</v>
      </c>
      <c r="V247" s="325">
        <f t="shared" si="47"/>
        <v>0</v>
      </c>
      <c r="W247" s="449" cm="1">
        <f t="array" ref="W247">+IF(U247&lt;0,error,0)</f>
        <v>0</v>
      </c>
    </row>
    <row r="248" spans="1:23" ht="18" customHeight="1" x14ac:dyDescent="0.2">
      <c r="A248" s="402" t="s">
        <v>649</v>
      </c>
      <c r="B248" s="403"/>
      <c r="C248" s="404" t="s">
        <v>650</v>
      </c>
      <c r="D248" s="405">
        <v>38611</v>
      </c>
      <c r="E248" s="406"/>
      <c r="F248" s="325"/>
      <c r="G248" s="324"/>
      <c r="H248" s="324">
        <v>12000</v>
      </c>
      <c r="I248" s="325">
        <v>3803</v>
      </c>
      <c r="J248" s="325"/>
      <c r="K248" s="325">
        <f t="shared" si="45"/>
        <v>0</v>
      </c>
      <c r="L248" s="325">
        <f t="shared" si="46"/>
        <v>0</v>
      </c>
      <c r="M248" s="407">
        <v>7.5</v>
      </c>
      <c r="N248" s="408" t="s">
        <v>289</v>
      </c>
      <c r="O248" s="325">
        <f t="shared" si="48"/>
        <v>0</v>
      </c>
      <c r="P248" s="325">
        <f t="shared" si="49"/>
        <v>0</v>
      </c>
      <c r="Q248" s="325">
        <f t="shared" si="50"/>
        <v>0</v>
      </c>
      <c r="R248" s="325">
        <f t="shared" si="51"/>
        <v>142</v>
      </c>
      <c r="S248" s="325">
        <f t="shared" si="52"/>
        <v>0</v>
      </c>
      <c r="T248" s="325">
        <f t="shared" si="62"/>
        <v>142</v>
      </c>
      <c r="U248" s="325">
        <f t="shared" si="53"/>
        <v>3661</v>
      </c>
      <c r="V248" s="325">
        <f t="shared" si="47"/>
        <v>0</v>
      </c>
      <c r="W248" s="449" cm="1">
        <f t="array" ref="W248">+IF(U248&lt;0,error,0)</f>
        <v>0</v>
      </c>
    </row>
    <row r="249" spans="1:23" ht="18" customHeight="1" x14ac:dyDescent="0.2">
      <c r="A249" s="402" t="s">
        <v>651</v>
      </c>
      <c r="B249" s="403"/>
      <c r="C249" s="404" t="s">
        <v>652</v>
      </c>
      <c r="D249" s="405">
        <v>38687</v>
      </c>
      <c r="E249" s="406"/>
      <c r="F249" s="325"/>
      <c r="G249" s="324"/>
      <c r="H249" s="324">
        <v>4090.9100000000003</v>
      </c>
      <c r="I249" s="325">
        <v>1940.9099999999999</v>
      </c>
      <c r="J249" s="325"/>
      <c r="K249" s="325">
        <f t="shared" si="45"/>
        <v>0</v>
      </c>
      <c r="L249" s="325">
        <f t="shared" si="46"/>
        <v>0</v>
      </c>
      <c r="M249" s="407">
        <v>5</v>
      </c>
      <c r="N249" s="408" t="s">
        <v>289</v>
      </c>
      <c r="O249" s="325">
        <f t="shared" si="48"/>
        <v>0</v>
      </c>
      <c r="P249" s="325">
        <f t="shared" si="49"/>
        <v>0</v>
      </c>
      <c r="Q249" s="325">
        <f t="shared" si="50"/>
        <v>0</v>
      </c>
      <c r="R249" s="325">
        <f t="shared" si="51"/>
        <v>48</v>
      </c>
      <c r="S249" s="325">
        <f t="shared" si="52"/>
        <v>0</v>
      </c>
      <c r="T249" s="325">
        <f t="shared" si="62"/>
        <v>48</v>
      </c>
      <c r="U249" s="325">
        <f t="shared" si="53"/>
        <v>1892.9099999999999</v>
      </c>
      <c r="V249" s="325">
        <f t="shared" si="47"/>
        <v>0</v>
      </c>
      <c r="W249" s="449" cm="1">
        <f t="array" ref="W249">+IF(U249&lt;0,error,0)</f>
        <v>0</v>
      </c>
    </row>
    <row r="250" spans="1:23" ht="18" customHeight="1" x14ac:dyDescent="0.2">
      <c r="A250" s="402" t="s">
        <v>653</v>
      </c>
      <c r="B250" s="403"/>
      <c r="C250" s="404" t="s">
        <v>654</v>
      </c>
      <c r="D250" s="405">
        <v>38718</v>
      </c>
      <c r="E250" s="406"/>
      <c r="F250" s="325"/>
      <c r="G250" s="324"/>
      <c r="H250" s="324">
        <v>5740</v>
      </c>
      <c r="I250" s="325">
        <v>1862</v>
      </c>
      <c r="J250" s="325"/>
      <c r="K250" s="325">
        <f t="shared" si="45"/>
        <v>0</v>
      </c>
      <c r="L250" s="325">
        <f t="shared" si="46"/>
        <v>0</v>
      </c>
      <c r="M250" s="407">
        <v>7.5</v>
      </c>
      <c r="N250" s="408" t="s">
        <v>289</v>
      </c>
      <c r="O250" s="325">
        <f t="shared" si="48"/>
        <v>0</v>
      </c>
      <c r="P250" s="325">
        <f t="shared" si="49"/>
        <v>0</v>
      </c>
      <c r="Q250" s="325">
        <f t="shared" si="50"/>
        <v>0</v>
      </c>
      <c r="R250" s="325">
        <f t="shared" si="51"/>
        <v>69</v>
      </c>
      <c r="S250" s="325">
        <f t="shared" si="52"/>
        <v>0</v>
      </c>
      <c r="T250" s="325">
        <f t="shared" si="62"/>
        <v>69</v>
      </c>
      <c r="U250" s="325">
        <f t="shared" si="53"/>
        <v>1793</v>
      </c>
      <c r="V250" s="325">
        <f t="shared" si="47"/>
        <v>0</v>
      </c>
      <c r="W250" s="449" cm="1">
        <f t="array" ref="W250">+IF(U250&lt;0,error,0)</f>
        <v>0</v>
      </c>
    </row>
    <row r="251" spans="1:23" ht="18" customHeight="1" x14ac:dyDescent="0.2">
      <c r="A251" s="402" t="s">
        <v>657</v>
      </c>
      <c r="B251" s="403"/>
      <c r="C251" s="404" t="s">
        <v>658</v>
      </c>
      <c r="D251" s="405">
        <v>38966</v>
      </c>
      <c r="E251" s="406"/>
      <c r="F251" s="325"/>
      <c r="G251" s="324"/>
      <c r="H251" s="324">
        <v>1000</v>
      </c>
      <c r="I251" s="325">
        <v>0</v>
      </c>
      <c r="J251" s="325"/>
      <c r="K251" s="325">
        <f t="shared" si="45"/>
        <v>0</v>
      </c>
      <c r="L251" s="325">
        <f t="shared" si="46"/>
        <v>0</v>
      </c>
      <c r="M251" s="407">
        <v>10</v>
      </c>
      <c r="N251" s="408" t="s">
        <v>289</v>
      </c>
      <c r="O251" s="325">
        <f t="shared" si="48"/>
        <v>0</v>
      </c>
      <c r="P251" s="325">
        <f t="shared" si="49"/>
        <v>0</v>
      </c>
      <c r="Q251" s="325">
        <f t="shared" si="50"/>
        <v>0</v>
      </c>
      <c r="R251" s="325">
        <f t="shared" si="51"/>
        <v>0</v>
      </c>
      <c r="S251" s="325">
        <f t="shared" si="52"/>
        <v>0</v>
      </c>
      <c r="T251" s="325">
        <f t="shared" si="62"/>
        <v>0</v>
      </c>
      <c r="U251" s="325">
        <f t="shared" si="53"/>
        <v>0</v>
      </c>
      <c r="V251" s="325">
        <f t="shared" si="47"/>
        <v>0</v>
      </c>
      <c r="W251" s="449" cm="1">
        <f t="array" ref="W251">+IF(U251&lt;0,error,0)</f>
        <v>0</v>
      </c>
    </row>
    <row r="252" spans="1:23" ht="18" customHeight="1" x14ac:dyDescent="0.2">
      <c r="A252" s="402" t="s">
        <v>659</v>
      </c>
      <c r="B252" s="403"/>
      <c r="C252" s="404" t="s">
        <v>660</v>
      </c>
      <c r="D252" s="405">
        <v>39115</v>
      </c>
      <c r="E252" s="406"/>
      <c r="F252" s="325"/>
      <c r="G252" s="324"/>
      <c r="H252" s="324">
        <v>5000</v>
      </c>
      <c r="I252" s="325">
        <v>1227</v>
      </c>
      <c r="J252" s="325"/>
      <c r="K252" s="325">
        <f t="shared" si="45"/>
        <v>0</v>
      </c>
      <c r="L252" s="325">
        <f t="shared" si="46"/>
        <v>0</v>
      </c>
      <c r="M252" s="407">
        <v>10</v>
      </c>
      <c r="N252" s="408" t="s">
        <v>289</v>
      </c>
      <c r="O252" s="325">
        <f t="shared" si="48"/>
        <v>0</v>
      </c>
      <c r="P252" s="325">
        <f t="shared" si="49"/>
        <v>0</v>
      </c>
      <c r="Q252" s="325">
        <f t="shared" si="50"/>
        <v>0</v>
      </c>
      <c r="R252" s="325">
        <f t="shared" si="51"/>
        <v>61</v>
      </c>
      <c r="S252" s="325">
        <f t="shared" si="52"/>
        <v>0</v>
      </c>
      <c r="T252" s="325">
        <f t="shared" si="62"/>
        <v>61</v>
      </c>
      <c r="U252" s="325">
        <f t="shared" si="53"/>
        <v>1166</v>
      </c>
      <c r="V252" s="325">
        <f t="shared" si="47"/>
        <v>0</v>
      </c>
      <c r="W252" s="449" cm="1">
        <f t="array" ref="W252">+IF(U252&lt;0,error,0)</f>
        <v>0</v>
      </c>
    </row>
    <row r="253" spans="1:23" ht="18" customHeight="1" x14ac:dyDescent="0.2">
      <c r="A253" s="402" t="s">
        <v>661</v>
      </c>
      <c r="B253" s="403"/>
      <c r="C253" s="404" t="s">
        <v>662</v>
      </c>
      <c r="D253" s="405">
        <v>39138</v>
      </c>
      <c r="E253" s="406"/>
      <c r="F253" s="325"/>
      <c r="G253" s="324"/>
      <c r="H253" s="324">
        <v>2500</v>
      </c>
      <c r="I253" s="325">
        <v>0</v>
      </c>
      <c r="J253" s="325"/>
      <c r="K253" s="325">
        <f t="shared" si="45"/>
        <v>0</v>
      </c>
      <c r="L253" s="325">
        <f t="shared" si="46"/>
        <v>0</v>
      </c>
      <c r="M253" s="407">
        <v>10</v>
      </c>
      <c r="N253" s="408" t="s">
        <v>289</v>
      </c>
      <c r="O253" s="325">
        <f t="shared" si="48"/>
        <v>0</v>
      </c>
      <c r="P253" s="325">
        <f t="shared" si="49"/>
        <v>0</v>
      </c>
      <c r="Q253" s="325">
        <f t="shared" si="50"/>
        <v>0</v>
      </c>
      <c r="R253" s="325">
        <f t="shared" si="51"/>
        <v>0</v>
      </c>
      <c r="S253" s="325">
        <f t="shared" si="52"/>
        <v>0</v>
      </c>
      <c r="T253" s="325">
        <f t="shared" si="62"/>
        <v>0</v>
      </c>
      <c r="U253" s="325">
        <f t="shared" si="53"/>
        <v>0</v>
      </c>
      <c r="V253" s="325">
        <f t="shared" si="47"/>
        <v>0</v>
      </c>
      <c r="W253" s="449" cm="1">
        <f t="array" ref="W253">+IF(U253&lt;0,error,0)</f>
        <v>0</v>
      </c>
    </row>
    <row r="254" spans="1:23" ht="18" customHeight="1" x14ac:dyDescent="0.2">
      <c r="A254" s="402" t="s">
        <v>666</v>
      </c>
      <c r="B254" s="403"/>
      <c r="C254" s="412" t="s">
        <v>667</v>
      </c>
      <c r="D254" s="405">
        <v>39217</v>
      </c>
      <c r="E254" s="406"/>
      <c r="F254" s="325"/>
      <c r="G254" s="324"/>
      <c r="H254" s="324">
        <v>36666.620000000003</v>
      </c>
      <c r="I254" s="325">
        <v>5879</v>
      </c>
      <c r="J254" s="325"/>
      <c r="K254" s="325">
        <f t="shared" si="45"/>
        <v>0</v>
      </c>
      <c r="L254" s="325">
        <f t="shared" si="46"/>
        <v>0</v>
      </c>
      <c r="M254" s="407">
        <v>20</v>
      </c>
      <c r="N254" s="408" t="s">
        <v>289</v>
      </c>
      <c r="O254" s="325">
        <f t="shared" si="48"/>
        <v>0</v>
      </c>
      <c r="P254" s="325">
        <f t="shared" si="49"/>
        <v>0</v>
      </c>
      <c r="Q254" s="325">
        <f t="shared" si="50"/>
        <v>0</v>
      </c>
      <c r="R254" s="325">
        <f t="shared" si="51"/>
        <v>587</v>
      </c>
      <c r="S254" s="325">
        <f t="shared" si="52"/>
        <v>0</v>
      </c>
      <c r="T254" s="325">
        <f t="shared" si="62"/>
        <v>587</v>
      </c>
      <c r="U254" s="325">
        <f t="shared" si="53"/>
        <v>5292</v>
      </c>
      <c r="V254" s="325">
        <f t="shared" si="47"/>
        <v>0</v>
      </c>
      <c r="W254" s="449" cm="1">
        <f t="array" ref="W254">+IF(U254&lt;0,error,0)</f>
        <v>0</v>
      </c>
    </row>
    <row r="255" spans="1:23" ht="18" customHeight="1" x14ac:dyDescent="0.2">
      <c r="A255" s="402" t="s">
        <v>670</v>
      </c>
      <c r="B255" s="403"/>
      <c r="C255" s="404" t="s">
        <v>671</v>
      </c>
      <c r="D255" s="405">
        <v>41194</v>
      </c>
      <c r="E255" s="406"/>
      <c r="F255" s="325"/>
      <c r="G255" s="324"/>
      <c r="H255" s="324">
        <v>8127.89</v>
      </c>
      <c r="I255" s="325">
        <v>1496.8899999999999</v>
      </c>
      <c r="J255" s="325"/>
      <c r="K255" s="325">
        <f t="shared" si="45"/>
        <v>0</v>
      </c>
      <c r="L255" s="325">
        <f t="shared" si="46"/>
        <v>0</v>
      </c>
      <c r="M255" s="407">
        <v>20</v>
      </c>
      <c r="N255" s="408" t="s">
        <v>289</v>
      </c>
      <c r="O255" s="325">
        <f t="shared" si="48"/>
        <v>0</v>
      </c>
      <c r="P255" s="325">
        <f t="shared" si="49"/>
        <v>0</v>
      </c>
      <c r="Q255" s="325">
        <f t="shared" si="50"/>
        <v>0</v>
      </c>
      <c r="R255" s="325">
        <f t="shared" si="51"/>
        <v>149</v>
      </c>
      <c r="S255" s="325">
        <f t="shared" si="52"/>
        <v>0</v>
      </c>
      <c r="T255" s="325">
        <f t="shared" si="62"/>
        <v>149</v>
      </c>
      <c r="U255" s="325">
        <f t="shared" si="53"/>
        <v>1347.8899999999999</v>
      </c>
      <c r="V255" s="325">
        <f t="shared" si="47"/>
        <v>0</v>
      </c>
      <c r="W255" s="449" cm="1">
        <f t="array" ref="W255">+IF(U255&lt;0,error,0)</f>
        <v>0</v>
      </c>
    </row>
    <row r="256" spans="1:23" ht="18" customHeight="1" x14ac:dyDescent="0.2">
      <c r="A256" s="402" t="s">
        <v>674</v>
      </c>
      <c r="B256" s="403"/>
      <c r="C256" s="404" t="s">
        <v>675</v>
      </c>
      <c r="D256" s="405">
        <v>41235</v>
      </c>
      <c r="E256" s="406"/>
      <c r="F256" s="325"/>
      <c r="G256" s="324"/>
      <c r="H256" s="324">
        <v>2045.45</v>
      </c>
      <c r="I256" s="325">
        <v>700.45</v>
      </c>
      <c r="J256" s="325"/>
      <c r="K256" s="325">
        <f t="shared" ref="K256:K315" si="63">INT(IF($E256&gt;0,IF(+F256-I256+Q256&lt;0,0,+F256-I256+Q256),0))</f>
        <v>0</v>
      </c>
      <c r="L256" s="325">
        <f t="shared" ref="L256:L315" si="64">INT(IF($E256&gt;0,IF(K256=0,-F256+I256-Q256,0),0))</f>
        <v>0</v>
      </c>
      <c r="M256" s="407">
        <v>13.33</v>
      </c>
      <c r="N256" s="408" t="s">
        <v>289</v>
      </c>
      <c r="O256" s="325">
        <f t="shared" si="48"/>
        <v>0</v>
      </c>
      <c r="P256" s="325">
        <f t="shared" si="49"/>
        <v>0</v>
      </c>
      <c r="Q256" s="325">
        <f t="shared" si="50"/>
        <v>0</v>
      </c>
      <c r="R256" s="325">
        <f t="shared" si="51"/>
        <v>46</v>
      </c>
      <c r="S256" s="325">
        <f t="shared" si="52"/>
        <v>0</v>
      </c>
      <c r="T256" s="325">
        <f t="shared" si="62"/>
        <v>46</v>
      </c>
      <c r="U256" s="325">
        <f t="shared" si="53"/>
        <v>654.45000000000005</v>
      </c>
      <c r="V256" s="325">
        <f t="shared" ref="V256:V315" si="65">IF(E256&gt;0,+H256+J256,0)</f>
        <v>0</v>
      </c>
      <c r="W256" s="449" cm="1">
        <f t="array" ref="W256">+IF(U256&lt;0,error,0)</f>
        <v>0</v>
      </c>
    </row>
    <row r="257" spans="1:23" ht="18" customHeight="1" x14ac:dyDescent="0.2">
      <c r="A257" s="402" t="s">
        <v>676</v>
      </c>
      <c r="B257" s="403"/>
      <c r="C257" s="404" t="s">
        <v>677</v>
      </c>
      <c r="D257" s="405">
        <v>41235</v>
      </c>
      <c r="E257" s="406"/>
      <c r="F257" s="325"/>
      <c r="G257" s="324"/>
      <c r="H257" s="324">
        <v>2045.46</v>
      </c>
      <c r="I257" s="325">
        <v>700.46</v>
      </c>
      <c r="J257" s="325"/>
      <c r="K257" s="325">
        <f t="shared" si="63"/>
        <v>0</v>
      </c>
      <c r="L257" s="325">
        <f t="shared" si="64"/>
        <v>0</v>
      </c>
      <c r="M257" s="407">
        <v>13.33</v>
      </c>
      <c r="N257" s="408" t="s">
        <v>289</v>
      </c>
      <c r="O257" s="325">
        <f t="shared" ref="O257:O316" si="66">IF(E257&gt;0,INT(IF($N257="D",IF($D257&lt;$H$3,$I257*($M257/100)*((E257-$H$3)/365),$J257*($M257/100)*($J$3-$D257)/365),0)),0)</f>
        <v>0</v>
      </c>
      <c r="P257" s="325">
        <f t="shared" ref="P257:P316" si="67">IF(E257&gt;0,INT(IF($N257="P",IF($D257&lt;$H$3,$H257*($M257/100)*(E257-$H$3)/365,$J257*($M257/100)*($J$3-$D257)/365),0)),0)</f>
        <v>0</v>
      </c>
      <c r="Q257" s="325">
        <f t="shared" ref="Q257:Q316" si="68">+O257+P257</f>
        <v>0</v>
      </c>
      <c r="R257" s="325">
        <f t="shared" ref="R257:R316" si="69">INT(IF($E257&gt;0,0,(IF($N257="D",IF($D257&lt;$H$3,$I257*($M257/100)*$U$3/12,$J257*($M257/100)*($J$3-$D257)/365),0))))</f>
        <v>46</v>
      </c>
      <c r="S257" s="325">
        <f t="shared" ref="S257:S316" si="70">INT(IF($E257&gt;0,0,(IF($N257="P",IF($D257&lt;$H$3,$H257*($M257/100)*$U$3/12,$J257*($M257/100)*($J$3-$D257)/365),0))))</f>
        <v>0</v>
      </c>
      <c r="T257" s="325">
        <f t="shared" si="62"/>
        <v>46</v>
      </c>
      <c r="U257" s="325">
        <f t="shared" si="53"/>
        <v>654.46</v>
      </c>
      <c r="V257" s="325">
        <f t="shared" si="65"/>
        <v>0</v>
      </c>
      <c r="W257" s="449" cm="1">
        <f t="array" ref="W257">+IF(U257&lt;0,error,0)</f>
        <v>0</v>
      </c>
    </row>
    <row r="258" spans="1:23" ht="18" customHeight="1" x14ac:dyDescent="0.2">
      <c r="A258" s="402" t="s">
        <v>678</v>
      </c>
      <c r="B258" s="403"/>
      <c r="C258" s="404" t="s">
        <v>679</v>
      </c>
      <c r="D258" s="405">
        <v>41235</v>
      </c>
      <c r="E258" s="406"/>
      <c r="F258" s="325"/>
      <c r="G258" s="324"/>
      <c r="H258" s="324">
        <v>613.64</v>
      </c>
      <c r="I258" s="325">
        <v>0</v>
      </c>
      <c r="J258" s="325"/>
      <c r="K258" s="325">
        <f t="shared" si="63"/>
        <v>0</v>
      </c>
      <c r="L258" s="325">
        <f t="shared" si="64"/>
        <v>0</v>
      </c>
      <c r="M258" s="407">
        <v>13.33</v>
      </c>
      <c r="N258" s="408" t="s">
        <v>289</v>
      </c>
      <c r="O258" s="325">
        <f t="shared" si="66"/>
        <v>0</v>
      </c>
      <c r="P258" s="325">
        <f t="shared" si="67"/>
        <v>0</v>
      </c>
      <c r="Q258" s="325">
        <f t="shared" si="68"/>
        <v>0</v>
      </c>
      <c r="R258" s="325">
        <f t="shared" si="69"/>
        <v>0</v>
      </c>
      <c r="S258" s="325">
        <f t="shared" si="70"/>
        <v>0</v>
      </c>
      <c r="T258" s="325">
        <f t="shared" si="62"/>
        <v>0</v>
      </c>
      <c r="U258" s="325">
        <f t="shared" si="53"/>
        <v>0</v>
      </c>
      <c r="V258" s="325">
        <f t="shared" si="65"/>
        <v>0</v>
      </c>
      <c r="W258" s="449" cm="1">
        <f t="array" ref="W258">+IF(U258&lt;0,error,0)</f>
        <v>0</v>
      </c>
    </row>
    <row r="259" spans="1:23" ht="18" customHeight="1" x14ac:dyDescent="0.2">
      <c r="A259" s="402" t="s">
        <v>680</v>
      </c>
      <c r="B259" s="403"/>
      <c r="C259" s="404" t="s">
        <v>679</v>
      </c>
      <c r="D259" s="405">
        <v>41235</v>
      </c>
      <c r="E259" s="406"/>
      <c r="F259" s="325"/>
      <c r="G259" s="324"/>
      <c r="H259" s="324">
        <v>613.63</v>
      </c>
      <c r="I259" s="325">
        <v>0</v>
      </c>
      <c r="J259" s="325"/>
      <c r="K259" s="325">
        <f t="shared" si="63"/>
        <v>0</v>
      </c>
      <c r="L259" s="325">
        <f t="shared" si="64"/>
        <v>0</v>
      </c>
      <c r="M259" s="407">
        <v>13.33</v>
      </c>
      <c r="N259" s="408" t="s">
        <v>289</v>
      </c>
      <c r="O259" s="325">
        <f t="shared" si="66"/>
        <v>0</v>
      </c>
      <c r="P259" s="325">
        <f t="shared" si="67"/>
        <v>0</v>
      </c>
      <c r="Q259" s="325">
        <f t="shared" si="68"/>
        <v>0</v>
      </c>
      <c r="R259" s="325">
        <f t="shared" si="69"/>
        <v>0</v>
      </c>
      <c r="S259" s="325">
        <f t="shared" si="70"/>
        <v>0</v>
      </c>
      <c r="T259" s="325">
        <f t="shared" si="62"/>
        <v>0</v>
      </c>
      <c r="U259" s="325">
        <f t="shared" ref="U259:U318" si="71">+I259+J259-T259-F259+K259-L259</f>
        <v>0</v>
      </c>
      <c r="V259" s="325">
        <f t="shared" si="65"/>
        <v>0</v>
      </c>
      <c r="W259" s="449" cm="1">
        <f t="array" ref="W259">+IF(U259&lt;0,error,0)</f>
        <v>0</v>
      </c>
    </row>
    <row r="260" spans="1:23" ht="18" customHeight="1" x14ac:dyDescent="0.2">
      <c r="A260" s="402" t="s">
        <v>681</v>
      </c>
      <c r="B260" s="403"/>
      <c r="C260" s="404" t="s">
        <v>682</v>
      </c>
      <c r="D260" s="405">
        <v>41243</v>
      </c>
      <c r="E260" s="406"/>
      <c r="F260" s="325"/>
      <c r="G260" s="324"/>
      <c r="H260" s="324">
        <v>900</v>
      </c>
      <c r="I260" s="325">
        <v>0</v>
      </c>
      <c r="J260" s="325"/>
      <c r="K260" s="325">
        <f t="shared" si="63"/>
        <v>0</v>
      </c>
      <c r="L260" s="325">
        <f t="shared" si="64"/>
        <v>0</v>
      </c>
      <c r="M260" s="407">
        <v>15</v>
      </c>
      <c r="N260" s="408" t="s">
        <v>289</v>
      </c>
      <c r="O260" s="325">
        <f t="shared" si="66"/>
        <v>0</v>
      </c>
      <c r="P260" s="325">
        <f t="shared" si="67"/>
        <v>0</v>
      </c>
      <c r="Q260" s="325">
        <f t="shared" si="68"/>
        <v>0</v>
      </c>
      <c r="R260" s="325">
        <f t="shared" si="69"/>
        <v>0</v>
      </c>
      <c r="S260" s="325">
        <f t="shared" si="70"/>
        <v>0</v>
      </c>
      <c r="T260" s="325">
        <f t="shared" si="62"/>
        <v>0</v>
      </c>
      <c r="U260" s="325">
        <f t="shared" si="71"/>
        <v>0</v>
      </c>
      <c r="V260" s="325">
        <f t="shared" si="65"/>
        <v>0</v>
      </c>
      <c r="W260" s="449" cm="1">
        <f t="array" ref="W260">+IF(U260&lt;0,error,0)</f>
        <v>0</v>
      </c>
    </row>
    <row r="261" spans="1:23" ht="18" customHeight="1" x14ac:dyDescent="0.2">
      <c r="A261" s="402" t="s">
        <v>683</v>
      </c>
      <c r="B261" s="403"/>
      <c r="C261" s="404" t="s">
        <v>684</v>
      </c>
      <c r="D261" s="405">
        <v>41288</v>
      </c>
      <c r="E261" s="406"/>
      <c r="F261" s="325"/>
      <c r="G261" s="324"/>
      <c r="H261" s="324">
        <v>4000</v>
      </c>
      <c r="I261" s="325">
        <v>781</v>
      </c>
      <c r="J261" s="325"/>
      <c r="K261" s="325">
        <f t="shared" si="63"/>
        <v>0</v>
      </c>
      <c r="L261" s="325">
        <f t="shared" si="64"/>
        <v>0</v>
      </c>
      <c r="M261" s="407">
        <v>20</v>
      </c>
      <c r="N261" s="408" t="s">
        <v>289</v>
      </c>
      <c r="O261" s="325">
        <f t="shared" si="66"/>
        <v>0</v>
      </c>
      <c r="P261" s="325">
        <f t="shared" si="67"/>
        <v>0</v>
      </c>
      <c r="Q261" s="325">
        <f t="shared" si="68"/>
        <v>0</v>
      </c>
      <c r="R261" s="325">
        <f t="shared" si="69"/>
        <v>78</v>
      </c>
      <c r="S261" s="325">
        <f t="shared" si="70"/>
        <v>0</v>
      </c>
      <c r="T261" s="325">
        <f t="shared" si="62"/>
        <v>78</v>
      </c>
      <c r="U261" s="325">
        <f t="shared" si="71"/>
        <v>703</v>
      </c>
      <c r="V261" s="325">
        <f t="shared" si="65"/>
        <v>0</v>
      </c>
      <c r="W261" s="449" cm="1">
        <f t="array" ref="W261">+IF(U261&lt;0,error,0)</f>
        <v>0</v>
      </c>
    </row>
    <row r="262" spans="1:23" ht="18" customHeight="1" x14ac:dyDescent="0.2">
      <c r="A262" s="402" t="s">
        <v>685</v>
      </c>
      <c r="B262" s="403"/>
      <c r="C262" s="404" t="s">
        <v>686</v>
      </c>
      <c r="D262" s="405">
        <v>41297</v>
      </c>
      <c r="E262" s="406"/>
      <c r="F262" s="325"/>
      <c r="G262" s="324"/>
      <c r="H262" s="324">
        <v>4342.7300000000005</v>
      </c>
      <c r="I262" s="325">
        <v>852.73</v>
      </c>
      <c r="J262" s="325"/>
      <c r="K262" s="325">
        <f t="shared" si="63"/>
        <v>0</v>
      </c>
      <c r="L262" s="325">
        <f t="shared" si="64"/>
        <v>0</v>
      </c>
      <c r="M262" s="407">
        <v>20</v>
      </c>
      <c r="N262" s="408" t="s">
        <v>289</v>
      </c>
      <c r="O262" s="325">
        <f t="shared" si="66"/>
        <v>0</v>
      </c>
      <c r="P262" s="325">
        <f t="shared" si="67"/>
        <v>0</v>
      </c>
      <c r="Q262" s="325">
        <f t="shared" si="68"/>
        <v>0</v>
      </c>
      <c r="R262" s="325">
        <f t="shared" si="69"/>
        <v>85</v>
      </c>
      <c r="S262" s="325">
        <f t="shared" si="70"/>
        <v>0</v>
      </c>
      <c r="T262" s="325">
        <f t="shared" si="62"/>
        <v>85</v>
      </c>
      <c r="U262" s="325">
        <f t="shared" si="71"/>
        <v>767.73</v>
      </c>
      <c r="V262" s="325">
        <f t="shared" si="65"/>
        <v>0</v>
      </c>
      <c r="W262" s="449" cm="1">
        <f t="array" ref="W262">+IF(U262&lt;0,error,0)</f>
        <v>0</v>
      </c>
    </row>
    <row r="263" spans="1:23" ht="18" customHeight="1" x14ac:dyDescent="0.2">
      <c r="A263" s="402" t="s">
        <v>687</v>
      </c>
      <c r="B263" s="403"/>
      <c r="C263" s="404" t="s">
        <v>688</v>
      </c>
      <c r="D263" s="405">
        <v>41360</v>
      </c>
      <c r="E263" s="406"/>
      <c r="F263" s="325"/>
      <c r="G263" s="324"/>
      <c r="H263" s="324">
        <v>22080</v>
      </c>
      <c r="I263" s="325">
        <v>0</v>
      </c>
      <c r="J263" s="325"/>
      <c r="K263" s="325">
        <f t="shared" si="63"/>
        <v>0</v>
      </c>
      <c r="L263" s="325">
        <f t="shared" si="64"/>
        <v>0</v>
      </c>
      <c r="M263" s="407">
        <v>40</v>
      </c>
      <c r="N263" s="408" t="s">
        <v>289</v>
      </c>
      <c r="O263" s="325">
        <f t="shared" si="66"/>
        <v>0</v>
      </c>
      <c r="P263" s="325">
        <f t="shared" si="67"/>
        <v>0</v>
      </c>
      <c r="Q263" s="325">
        <f t="shared" si="68"/>
        <v>0</v>
      </c>
      <c r="R263" s="325">
        <f t="shared" si="69"/>
        <v>0</v>
      </c>
      <c r="S263" s="325">
        <f t="shared" si="70"/>
        <v>0</v>
      </c>
      <c r="T263" s="325">
        <f t="shared" si="62"/>
        <v>0</v>
      </c>
      <c r="U263" s="325">
        <f t="shared" si="71"/>
        <v>0</v>
      </c>
      <c r="V263" s="325">
        <f t="shared" si="65"/>
        <v>0</v>
      </c>
      <c r="W263" s="449" cm="1">
        <f t="array" ref="W263">+IF(U263&lt;0,error,0)</f>
        <v>0</v>
      </c>
    </row>
    <row r="264" spans="1:23" ht="18" customHeight="1" x14ac:dyDescent="0.2">
      <c r="A264" s="402" t="s">
        <v>690</v>
      </c>
      <c r="B264" s="403"/>
      <c r="C264" s="404" t="s">
        <v>691</v>
      </c>
      <c r="D264" s="405">
        <v>41361</v>
      </c>
      <c r="E264" s="406"/>
      <c r="F264" s="325"/>
      <c r="G264" s="324"/>
      <c r="H264" s="324">
        <v>5315.12</v>
      </c>
      <c r="I264" s="325">
        <v>1905.12</v>
      </c>
      <c r="J264" s="325"/>
      <c r="K264" s="325">
        <f t="shared" si="63"/>
        <v>0</v>
      </c>
      <c r="L264" s="325">
        <f t="shared" si="64"/>
        <v>0</v>
      </c>
      <c r="M264" s="407">
        <v>13.33</v>
      </c>
      <c r="N264" s="408" t="s">
        <v>289</v>
      </c>
      <c r="O264" s="325">
        <f t="shared" si="66"/>
        <v>0</v>
      </c>
      <c r="P264" s="325">
        <f t="shared" si="67"/>
        <v>0</v>
      </c>
      <c r="Q264" s="325">
        <f t="shared" si="68"/>
        <v>0</v>
      </c>
      <c r="R264" s="325">
        <f t="shared" si="69"/>
        <v>126</v>
      </c>
      <c r="S264" s="325">
        <f t="shared" si="70"/>
        <v>0</v>
      </c>
      <c r="T264" s="325">
        <f t="shared" si="62"/>
        <v>126</v>
      </c>
      <c r="U264" s="325">
        <f t="shared" si="71"/>
        <v>1779.12</v>
      </c>
      <c r="V264" s="325">
        <f t="shared" si="65"/>
        <v>0</v>
      </c>
      <c r="W264" s="449" cm="1">
        <f t="array" ref="W264">+IF(U264&lt;0,error,0)</f>
        <v>0</v>
      </c>
    </row>
    <row r="265" spans="1:23" ht="18" customHeight="1" x14ac:dyDescent="0.2">
      <c r="A265" s="402" t="s">
        <v>692</v>
      </c>
      <c r="B265" s="403"/>
      <c r="C265" s="404" t="s">
        <v>693</v>
      </c>
      <c r="D265" s="405">
        <v>41393</v>
      </c>
      <c r="E265" s="406"/>
      <c r="F265" s="325"/>
      <c r="G265" s="324"/>
      <c r="H265" s="324">
        <v>2800.4500000000003</v>
      </c>
      <c r="I265" s="325">
        <v>1324.45</v>
      </c>
      <c r="J265" s="325"/>
      <c r="K265" s="325">
        <f t="shared" si="63"/>
        <v>0</v>
      </c>
      <c r="L265" s="325">
        <f t="shared" si="64"/>
        <v>0</v>
      </c>
      <c r="M265" s="407">
        <v>10</v>
      </c>
      <c r="N265" s="408" t="s">
        <v>289</v>
      </c>
      <c r="O265" s="325">
        <f t="shared" si="66"/>
        <v>0</v>
      </c>
      <c r="P265" s="325">
        <f t="shared" si="67"/>
        <v>0</v>
      </c>
      <c r="Q265" s="325">
        <f t="shared" si="68"/>
        <v>0</v>
      </c>
      <c r="R265" s="325">
        <f t="shared" si="69"/>
        <v>66</v>
      </c>
      <c r="S265" s="325">
        <f t="shared" si="70"/>
        <v>0</v>
      </c>
      <c r="T265" s="325">
        <f t="shared" si="62"/>
        <v>66</v>
      </c>
      <c r="U265" s="325">
        <f t="shared" si="71"/>
        <v>1258.45</v>
      </c>
      <c r="V265" s="325">
        <f t="shared" si="65"/>
        <v>0</v>
      </c>
      <c r="W265" s="449" cm="1">
        <f t="array" ref="W265">+IF(U265&lt;0,error,0)</f>
        <v>0</v>
      </c>
    </row>
    <row r="266" spans="1:23" ht="18" customHeight="1" x14ac:dyDescent="0.2">
      <c r="A266" s="402" t="s">
        <v>694</v>
      </c>
      <c r="B266" s="403"/>
      <c r="C266" s="404" t="s">
        <v>695</v>
      </c>
      <c r="D266" s="405">
        <v>41425</v>
      </c>
      <c r="E266" s="406"/>
      <c r="F266" s="325"/>
      <c r="G266" s="324"/>
      <c r="H266" s="324">
        <v>11368.57</v>
      </c>
      <c r="I266" s="325">
        <v>349.57000000000005</v>
      </c>
      <c r="J266" s="325"/>
      <c r="K266" s="325">
        <f t="shared" si="63"/>
        <v>0</v>
      </c>
      <c r="L266" s="325">
        <f t="shared" si="64"/>
        <v>0</v>
      </c>
      <c r="M266" s="407">
        <v>40</v>
      </c>
      <c r="N266" s="408" t="s">
        <v>289</v>
      </c>
      <c r="O266" s="325">
        <f t="shared" si="66"/>
        <v>0</v>
      </c>
      <c r="P266" s="325">
        <f t="shared" si="67"/>
        <v>0</v>
      </c>
      <c r="Q266" s="325">
        <f t="shared" si="68"/>
        <v>0</v>
      </c>
      <c r="R266" s="325">
        <f t="shared" si="69"/>
        <v>69</v>
      </c>
      <c r="S266" s="325">
        <f t="shared" si="70"/>
        <v>0</v>
      </c>
      <c r="T266" s="325">
        <f t="shared" si="62"/>
        <v>69</v>
      </c>
      <c r="U266" s="325">
        <f t="shared" si="71"/>
        <v>280.57000000000005</v>
      </c>
      <c r="V266" s="325">
        <f t="shared" si="65"/>
        <v>0</v>
      </c>
      <c r="W266" s="449" cm="1">
        <f t="array" ref="W266">+IF(U266&lt;0,error,0)</f>
        <v>0</v>
      </c>
    </row>
    <row r="267" spans="1:23" ht="18" customHeight="1" x14ac:dyDescent="0.2">
      <c r="A267" s="402" t="s">
        <v>696</v>
      </c>
      <c r="B267" s="403"/>
      <c r="C267" s="404" t="s">
        <v>697</v>
      </c>
      <c r="D267" s="405">
        <v>41319</v>
      </c>
      <c r="E267" s="406"/>
      <c r="F267" s="325"/>
      <c r="G267" s="324"/>
      <c r="H267" s="324">
        <v>2170</v>
      </c>
      <c r="I267" s="325">
        <v>1007</v>
      </c>
      <c r="J267" s="325"/>
      <c r="K267" s="325">
        <f t="shared" si="63"/>
        <v>0</v>
      </c>
      <c r="L267" s="325">
        <f t="shared" si="64"/>
        <v>0</v>
      </c>
      <c r="M267" s="407">
        <v>10</v>
      </c>
      <c r="N267" s="408" t="s">
        <v>289</v>
      </c>
      <c r="O267" s="325">
        <f t="shared" si="66"/>
        <v>0</v>
      </c>
      <c r="P267" s="325">
        <f t="shared" si="67"/>
        <v>0</v>
      </c>
      <c r="Q267" s="325">
        <f t="shared" si="68"/>
        <v>0</v>
      </c>
      <c r="R267" s="325">
        <f t="shared" si="69"/>
        <v>50</v>
      </c>
      <c r="S267" s="325">
        <f t="shared" si="70"/>
        <v>0</v>
      </c>
      <c r="T267" s="325">
        <f t="shared" si="62"/>
        <v>50</v>
      </c>
      <c r="U267" s="325">
        <f t="shared" si="71"/>
        <v>957</v>
      </c>
      <c r="V267" s="325">
        <f t="shared" si="65"/>
        <v>0</v>
      </c>
      <c r="W267" s="449" cm="1">
        <f t="array" ref="W267">+IF(U267&lt;0,error,0)</f>
        <v>0</v>
      </c>
    </row>
    <row r="268" spans="1:23" ht="18" customHeight="1" x14ac:dyDescent="0.2">
      <c r="A268" s="402" t="s">
        <v>698</v>
      </c>
      <c r="B268" s="403"/>
      <c r="C268" s="412" t="s">
        <v>699</v>
      </c>
      <c r="D268" s="405">
        <v>41478</v>
      </c>
      <c r="E268" s="406"/>
      <c r="F268" s="325"/>
      <c r="G268" s="324"/>
      <c r="H268" s="324">
        <v>2050</v>
      </c>
      <c r="I268" s="325">
        <v>769</v>
      </c>
      <c r="J268" s="325"/>
      <c r="K268" s="325">
        <f t="shared" si="63"/>
        <v>0</v>
      </c>
      <c r="L268" s="325">
        <f t="shared" si="64"/>
        <v>0</v>
      </c>
      <c r="M268" s="407">
        <v>13.33</v>
      </c>
      <c r="N268" s="408" t="s">
        <v>289</v>
      </c>
      <c r="O268" s="325">
        <f t="shared" si="66"/>
        <v>0</v>
      </c>
      <c r="P268" s="325">
        <f t="shared" si="67"/>
        <v>0</v>
      </c>
      <c r="Q268" s="325">
        <f t="shared" si="68"/>
        <v>0</v>
      </c>
      <c r="R268" s="325">
        <f t="shared" si="69"/>
        <v>51</v>
      </c>
      <c r="S268" s="325">
        <f t="shared" si="70"/>
        <v>0</v>
      </c>
      <c r="T268" s="325">
        <f t="shared" si="62"/>
        <v>51</v>
      </c>
      <c r="U268" s="325">
        <f t="shared" si="71"/>
        <v>718</v>
      </c>
      <c r="V268" s="325">
        <f t="shared" si="65"/>
        <v>0</v>
      </c>
      <c r="W268" s="449" cm="1">
        <f t="array" ref="W268">+IF(U268&lt;0,error,0)</f>
        <v>0</v>
      </c>
    </row>
    <row r="269" spans="1:23" ht="18" customHeight="1" x14ac:dyDescent="0.2">
      <c r="A269" s="402" t="s">
        <v>700</v>
      </c>
      <c r="B269" s="403"/>
      <c r="C269" s="404" t="s">
        <v>701</v>
      </c>
      <c r="D269" s="405">
        <v>41528</v>
      </c>
      <c r="E269" s="406"/>
      <c r="F269" s="325"/>
      <c r="G269" s="324"/>
      <c r="H269" s="324">
        <v>15000</v>
      </c>
      <c r="I269" s="325">
        <v>5735</v>
      </c>
      <c r="J269" s="325"/>
      <c r="K269" s="325">
        <f t="shared" si="63"/>
        <v>0</v>
      </c>
      <c r="L269" s="325">
        <f t="shared" si="64"/>
        <v>0</v>
      </c>
      <c r="M269" s="407">
        <v>13.33</v>
      </c>
      <c r="N269" s="408" t="s">
        <v>289</v>
      </c>
      <c r="O269" s="325">
        <f t="shared" si="66"/>
        <v>0</v>
      </c>
      <c r="P269" s="325">
        <f t="shared" si="67"/>
        <v>0</v>
      </c>
      <c r="Q269" s="325">
        <f t="shared" si="68"/>
        <v>0</v>
      </c>
      <c r="R269" s="325">
        <f t="shared" si="69"/>
        <v>382</v>
      </c>
      <c r="S269" s="325">
        <f t="shared" si="70"/>
        <v>0</v>
      </c>
      <c r="T269" s="325">
        <f t="shared" si="62"/>
        <v>382</v>
      </c>
      <c r="U269" s="325">
        <f t="shared" si="71"/>
        <v>5353</v>
      </c>
      <c r="V269" s="325">
        <f t="shared" si="65"/>
        <v>0</v>
      </c>
      <c r="W269" s="449" cm="1">
        <f t="array" ref="W269">+IF(U269&lt;0,error,0)</f>
        <v>0</v>
      </c>
    </row>
    <row r="270" spans="1:23" ht="18" customHeight="1" x14ac:dyDescent="0.2">
      <c r="A270" s="402" t="s">
        <v>702</v>
      </c>
      <c r="B270" s="403"/>
      <c r="C270" s="404" t="s">
        <v>703</v>
      </c>
      <c r="D270" s="405">
        <v>41548</v>
      </c>
      <c r="E270" s="406"/>
      <c r="F270" s="325"/>
      <c r="G270" s="324"/>
      <c r="H270" s="324">
        <v>2610</v>
      </c>
      <c r="I270" s="325">
        <v>33</v>
      </c>
      <c r="J270" s="325"/>
      <c r="K270" s="325">
        <f t="shared" si="63"/>
        <v>0</v>
      </c>
      <c r="L270" s="325">
        <f t="shared" si="64"/>
        <v>0</v>
      </c>
      <c r="M270" s="407">
        <v>50</v>
      </c>
      <c r="N270" s="408" t="s">
        <v>289</v>
      </c>
      <c r="O270" s="325">
        <f t="shared" si="66"/>
        <v>0</v>
      </c>
      <c r="P270" s="325">
        <f t="shared" si="67"/>
        <v>0</v>
      </c>
      <c r="Q270" s="325">
        <f t="shared" si="68"/>
        <v>0</v>
      </c>
      <c r="R270" s="325">
        <f t="shared" si="69"/>
        <v>8</v>
      </c>
      <c r="S270" s="325">
        <f t="shared" si="70"/>
        <v>0</v>
      </c>
      <c r="T270" s="325">
        <f t="shared" si="62"/>
        <v>8</v>
      </c>
      <c r="U270" s="325">
        <f t="shared" si="71"/>
        <v>25</v>
      </c>
      <c r="V270" s="325">
        <f t="shared" si="65"/>
        <v>0</v>
      </c>
      <c r="W270" s="449" cm="1">
        <f t="array" ref="W270">+IF(U270&lt;0,error,0)</f>
        <v>0</v>
      </c>
    </row>
    <row r="271" spans="1:23" ht="18" customHeight="1" x14ac:dyDescent="0.2">
      <c r="A271" s="402" t="s">
        <v>704</v>
      </c>
      <c r="B271" s="403"/>
      <c r="C271" s="404" t="s">
        <v>705</v>
      </c>
      <c r="D271" s="405">
        <v>41584</v>
      </c>
      <c r="E271" s="406"/>
      <c r="F271" s="325"/>
      <c r="G271" s="324"/>
      <c r="H271" s="324">
        <v>30000</v>
      </c>
      <c r="I271" s="325">
        <v>11729</v>
      </c>
      <c r="J271" s="325"/>
      <c r="K271" s="325">
        <f t="shared" si="63"/>
        <v>0</v>
      </c>
      <c r="L271" s="325">
        <f t="shared" si="64"/>
        <v>0</v>
      </c>
      <c r="M271" s="407">
        <v>13.33</v>
      </c>
      <c r="N271" s="408" t="s">
        <v>289</v>
      </c>
      <c r="O271" s="325">
        <f t="shared" si="66"/>
        <v>0</v>
      </c>
      <c r="P271" s="325">
        <f t="shared" si="67"/>
        <v>0</v>
      </c>
      <c r="Q271" s="325">
        <f t="shared" si="68"/>
        <v>0</v>
      </c>
      <c r="R271" s="325">
        <f t="shared" si="69"/>
        <v>781</v>
      </c>
      <c r="S271" s="325">
        <f t="shared" si="70"/>
        <v>0</v>
      </c>
      <c r="T271" s="325">
        <f t="shared" si="62"/>
        <v>781</v>
      </c>
      <c r="U271" s="325">
        <f t="shared" si="71"/>
        <v>10948</v>
      </c>
      <c r="V271" s="325">
        <f t="shared" si="65"/>
        <v>0</v>
      </c>
      <c r="W271" s="449" cm="1">
        <f t="array" ref="W271">+IF(U271&lt;0,error,0)</f>
        <v>0</v>
      </c>
    </row>
    <row r="272" spans="1:23" ht="18" customHeight="1" x14ac:dyDescent="0.2">
      <c r="A272" s="402" t="s">
        <v>706</v>
      </c>
      <c r="B272" s="403"/>
      <c r="C272" s="404" t="s">
        <v>707</v>
      </c>
      <c r="D272" s="405">
        <v>41653</v>
      </c>
      <c r="E272" s="406"/>
      <c r="F272" s="325"/>
      <c r="G272" s="324"/>
      <c r="H272" s="324">
        <v>20000</v>
      </c>
      <c r="I272" s="325">
        <v>8037</v>
      </c>
      <c r="J272" s="325"/>
      <c r="K272" s="325">
        <f t="shared" si="63"/>
        <v>0</v>
      </c>
      <c r="L272" s="325">
        <f t="shared" si="64"/>
        <v>0</v>
      </c>
      <c r="M272" s="407">
        <v>13.33</v>
      </c>
      <c r="N272" s="408" t="s">
        <v>289</v>
      </c>
      <c r="O272" s="325">
        <f t="shared" si="66"/>
        <v>0</v>
      </c>
      <c r="P272" s="325">
        <f t="shared" si="67"/>
        <v>0</v>
      </c>
      <c r="Q272" s="325">
        <f t="shared" si="68"/>
        <v>0</v>
      </c>
      <c r="R272" s="325">
        <f t="shared" si="69"/>
        <v>535</v>
      </c>
      <c r="S272" s="325">
        <f t="shared" si="70"/>
        <v>0</v>
      </c>
      <c r="T272" s="325">
        <f t="shared" ref="T272:T331" si="72">+R272+S272+Q272</f>
        <v>535</v>
      </c>
      <c r="U272" s="325">
        <f t="shared" si="71"/>
        <v>7502</v>
      </c>
      <c r="V272" s="325">
        <f t="shared" si="65"/>
        <v>0</v>
      </c>
      <c r="W272" s="449" cm="1">
        <f t="array" ref="W272">+IF(U272&lt;0,error,0)</f>
        <v>0</v>
      </c>
    </row>
    <row r="273" spans="1:23" ht="18" customHeight="1" x14ac:dyDescent="0.2">
      <c r="A273" s="402" t="s">
        <v>708</v>
      </c>
      <c r="B273" s="403"/>
      <c r="C273" s="404" t="s">
        <v>709</v>
      </c>
      <c r="D273" s="405">
        <v>41753</v>
      </c>
      <c r="E273" s="406"/>
      <c r="F273" s="325"/>
      <c r="G273" s="324"/>
      <c r="H273" s="324">
        <v>24600</v>
      </c>
      <c r="I273" s="325">
        <v>10269</v>
      </c>
      <c r="J273" s="325"/>
      <c r="K273" s="325">
        <f t="shared" si="63"/>
        <v>0</v>
      </c>
      <c r="L273" s="325">
        <f t="shared" si="64"/>
        <v>0</v>
      </c>
      <c r="M273" s="407">
        <v>13.33</v>
      </c>
      <c r="N273" s="408" t="s">
        <v>289</v>
      </c>
      <c r="O273" s="325">
        <f t="shared" si="66"/>
        <v>0</v>
      </c>
      <c r="P273" s="325">
        <f t="shared" si="67"/>
        <v>0</v>
      </c>
      <c r="Q273" s="325">
        <f t="shared" si="68"/>
        <v>0</v>
      </c>
      <c r="R273" s="325">
        <f t="shared" si="69"/>
        <v>684</v>
      </c>
      <c r="S273" s="325">
        <f t="shared" si="70"/>
        <v>0</v>
      </c>
      <c r="T273" s="325">
        <f t="shared" si="72"/>
        <v>684</v>
      </c>
      <c r="U273" s="325">
        <f t="shared" si="71"/>
        <v>9585</v>
      </c>
      <c r="V273" s="325">
        <f t="shared" si="65"/>
        <v>0</v>
      </c>
      <c r="W273" s="449" cm="1">
        <f t="array" ref="W273">+IF(U273&lt;0,error,0)</f>
        <v>0</v>
      </c>
    </row>
    <row r="274" spans="1:23" ht="18" customHeight="1" x14ac:dyDescent="0.2">
      <c r="A274" s="402" t="s">
        <v>710</v>
      </c>
      <c r="B274" s="403"/>
      <c r="C274" s="404" t="s">
        <v>711</v>
      </c>
      <c r="D274" s="405">
        <v>41754</v>
      </c>
      <c r="E274" s="406"/>
      <c r="F274" s="325"/>
      <c r="G274" s="324"/>
      <c r="H274" s="324">
        <v>24600</v>
      </c>
      <c r="I274" s="325">
        <v>10272</v>
      </c>
      <c r="J274" s="325"/>
      <c r="K274" s="325">
        <f t="shared" si="63"/>
        <v>0</v>
      </c>
      <c r="L274" s="325">
        <f t="shared" si="64"/>
        <v>0</v>
      </c>
      <c r="M274" s="407">
        <v>13.33</v>
      </c>
      <c r="N274" s="408" t="s">
        <v>289</v>
      </c>
      <c r="O274" s="325">
        <f t="shared" si="66"/>
        <v>0</v>
      </c>
      <c r="P274" s="325">
        <f t="shared" si="67"/>
        <v>0</v>
      </c>
      <c r="Q274" s="325">
        <f t="shared" si="68"/>
        <v>0</v>
      </c>
      <c r="R274" s="325">
        <f t="shared" si="69"/>
        <v>684</v>
      </c>
      <c r="S274" s="325">
        <f t="shared" si="70"/>
        <v>0</v>
      </c>
      <c r="T274" s="325">
        <f t="shared" si="72"/>
        <v>684</v>
      </c>
      <c r="U274" s="325">
        <f t="shared" si="71"/>
        <v>9588</v>
      </c>
      <c r="V274" s="325">
        <f t="shared" si="65"/>
        <v>0</v>
      </c>
      <c r="W274" s="449" cm="1">
        <f t="array" ref="W274">+IF(U274&lt;0,error,0)</f>
        <v>0</v>
      </c>
    </row>
    <row r="275" spans="1:23" ht="18" customHeight="1" x14ac:dyDescent="0.2">
      <c r="A275" s="402" t="s">
        <v>712</v>
      </c>
      <c r="B275" s="403"/>
      <c r="C275" s="404" t="s">
        <v>713</v>
      </c>
      <c r="D275" s="405">
        <v>41691</v>
      </c>
      <c r="E275" s="406"/>
      <c r="F275" s="325"/>
      <c r="G275" s="324"/>
      <c r="H275" s="324">
        <v>2166.6999999999998</v>
      </c>
      <c r="I275" s="325">
        <v>540.70000000000005</v>
      </c>
      <c r="J275" s="325"/>
      <c r="K275" s="325">
        <f t="shared" si="63"/>
        <v>0</v>
      </c>
      <c r="L275" s="325">
        <f t="shared" si="64"/>
        <v>0</v>
      </c>
      <c r="M275" s="407">
        <v>20</v>
      </c>
      <c r="N275" s="408" t="s">
        <v>289</v>
      </c>
      <c r="O275" s="325">
        <f t="shared" si="66"/>
        <v>0</v>
      </c>
      <c r="P275" s="325">
        <f t="shared" si="67"/>
        <v>0</v>
      </c>
      <c r="Q275" s="325">
        <f t="shared" si="68"/>
        <v>0</v>
      </c>
      <c r="R275" s="325">
        <f t="shared" si="69"/>
        <v>54</v>
      </c>
      <c r="S275" s="325">
        <f t="shared" si="70"/>
        <v>0</v>
      </c>
      <c r="T275" s="325">
        <f t="shared" si="72"/>
        <v>54</v>
      </c>
      <c r="U275" s="325">
        <f t="shared" si="71"/>
        <v>486.70000000000005</v>
      </c>
      <c r="V275" s="325">
        <f t="shared" si="65"/>
        <v>0</v>
      </c>
      <c r="W275" s="449" cm="1">
        <f t="array" ref="W275">+IF(U275&lt;0,error,0)</f>
        <v>0</v>
      </c>
    </row>
    <row r="276" spans="1:23" ht="18" customHeight="1" x14ac:dyDescent="0.2">
      <c r="A276" s="402" t="s">
        <v>714</v>
      </c>
      <c r="B276" s="403"/>
      <c r="C276" s="404" t="s">
        <v>715</v>
      </c>
      <c r="D276" s="405">
        <v>41697</v>
      </c>
      <c r="E276" s="406"/>
      <c r="F276" s="325"/>
      <c r="G276" s="324"/>
      <c r="H276" s="324">
        <v>9476</v>
      </c>
      <c r="I276" s="325">
        <v>3874</v>
      </c>
      <c r="J276" s="325"/>
      <c r="K276" s="325">
        <f t="shared" si="63"/>
        <v>0</v>
      </c>
      <c r="L276" s="325">
        <f t="shared" si="64"/>
        <v>0</v>
      </c>
      <c r="M276" s="407">
        <v>13.33</v>
      </c>
      <c r="N276" s="408" t="s">
        <v>289</v>
      </c>
      <c r="O276" s="325">
        <f t="shared" si="66"/>
        <v>0</v>
      </c>
      <c r="P276" s="325">
        <f t="shared" si="67"/>
        <v>0</v>
      </c>
      <c r="Q276" s="325">
        <f t="shared" si="68"/>
        <v>0</v>
      </c>
      <c r="R276" s="325">
        <f t="shared" si="69"/>
        <v>258</v>
      </c>
      <c r="S276" s="325">
        <f t="shared" si="70"/>
        <v>0</v>
      </c>
      <c r="T276" s="325">
        <f t="shared" si="72"/>
        <v>258</v>
      </c>
      <c r="U276" s="325">
        <f t="shared" si="71"/>
        <v>3616</v>
      </c>
      <c r="V276" s="325">
        <f t="shared" si="65"/>
        <v>0</v>
      </c>
      <c r="W276" s="449" cm="1">
        <f t="array" ref="W276">+IF(U276&lt;0,error,0)</f>
        <v>0</v>
      </c>
    </row>
    <row r="277" spans="1:23" ht="18" customHeight="1" x14ac:dyDescent="0.2">
      <c r="A277" s="402" t="s">
        <v>716</v>
      </c>
      <c r="B277" s="403"/>
      <c r="C277" s="404" t="s">
        <v>717</v>
      </c>
      <c r="D277" s="405">
        <v>41786</v>
      </c>
      <c r="E277" s="406"/>
      <c r="F277" s="325"/>
      <c r="G277" s="324"/>
      <c r="H277" s="324">
        <v>32377.27</v>
      </c>
      <c r="I277" s="325">
        <v>27444.27</v>
      </c>
      <c r="J277" s="325"/>
      <c r="K277" s="325">
        <f t="shared" si="63"/>
        <v>0</v>
      </c>
      <c r="L277" s="325">
        <f t="shared" si="64"/>
        <v>0</v>
      </c>
      <c r="M277" s="407">
        <v>2.5</v>
      </c>
      <c r="N277" s="408" t="s">
        <v>17</v>
      </c>
      <c r="O277" s="325">
        <f t="shared" si="66"/>
        <v>0</v>
      </c>
      <c r="P277" s="325">
        <f t="shared" si="67"/>
        <v>0</v>
      </c>
      <c r="Q277" s="325">
        <f t="shared" si="68"/>
        <v>0</v>
      </c>
      <c r="R277" s="325">
        <f t="shared" si="69"/>
        <v>0</v>
      </c>
      <c r="S277" s="325">
        <f t="shared" si="70"/>
        <v>404</v>
      </c>
      <c r="T277" s="325">
        <f t="shared" si="72"/>
        <v>404</v>
      </c>
      <c r="U277" s="325">
        <f t="shared" si="71"/>
        <v>27040.27</v>
      </c>
      <c r="V277" s="325">
        <f t="shared" si="65"/>
        <v>0</v>
      </c>
      <c r="W277" s="449" cm="1">
        <f t="array" ref="W277">+IF(U277&lt;0,error,0)</f>
        <v>0</v>
      </c>
    </row>
    <row r="278" spans="1:23" ht="18" customHeight="1" x14ac:dyDescent="0.2">
      <c r="A278" s="402" t="s">
        <v>718</v>
      </c>
      <c r="B278" s="403"/>
      <c r="C278" s="404" t="s">
        <v>719</v>
      </c>
      <c r="D278" s="405">
        <v>41730</v>
      </c>
      <c r="E278" s="406"/>
      <c r="F278" s="325"/>
      <c r="G278" s="324"/>
      <c r="H278" s="324">
        <v>11325.460000000001</v>
      </c>
      <c r="I278" s="325">
        <v>2889.46</v>
      </c>
      <c r="J278" s="325"/>
      <c r="K278" s="325">
        <f t="shared" si="63"/>
        <v>0</v>
      </c>
      <c r="L278" s="325">
        <f t="shared" si="64"/>
        <v>0</v>
      </c>
      <c r="M278" s="407">
        <v>20</v>
      </c>
      <c r="N278" s="408" t="s">
        <v>289</v>
      </c>
      <c r="O278" s="325">
        <f t="shared" si="66"/>
        <v>0</v>
      </c>
      <c r="P278" s="325">
        <f t="shared" si="67"/>
        <v>0</v>
      </c>
      <c r="Q278" s="325">
        <f t="shared" si="68"/>
        <v>0</v>
      </c>
      <c r="R278" s="325">
        <f t="shared" si="69"/>
        <v>288</v>
      </c>
      <c r="S278" s="325">
        <f t="shared" si="70"/>
        <v>0</v>
      </c>
      <c r="T278" s="325">
        <f t="shared" si="72"/>
        <v>288</v>
      </c>
      <c r="U278" s="325">
        <f t="shared" si="71"/>
        <v>2601.46</v>
      </c>
      <c r="V278" s="325">
        <f t="shared" si="65"/>
        <v>0</v>
      </c>
      <c r="W278" s="449" cm="1">
        <f t="array" ref="W278">+IF(U278&lt;0,error,0)</f>
        <v>0</v>
      </c>
    </row>
    <row r="279" spans="1:23" ht="18" customHeight="1" x14ac:dyDescent="0.2">
      <c r="A279" s="402" t="s">
        <v>720</v>
      </c>
      <c r="B279" s="403"/>
      <c r="C279" s="404" t="s">
        <v>721</v>
      </c>
      <c r="D279" s="405">
        <v>41730</v>
      </c>
      <c r="E279" s="406"/>
      <c r="F279" s="325"/>
      <c r="G279" s="324"/>
      <c r="H279" s="324">
        <v>3535</v>
      </c>
      <c r="I279" s="325">
        <v>1843</v>
      </c>
      <c r="J279" s="325"/>
      <c r="K279" s="325">
        <f t="shared" si="63"/>
        <v>0</v>
      </c>
      <c r="L279" s="325">
        <f t="shared" si="64"/>
        <v>0</v>
      </c>
      <c r="M279" s="407">
        <v>10</v>
      </c>
      <c r="N279" s="408" t="s">
        <v>289</v>
      </c>
      <c r="O279" s="325">
        <f t="shared" si="66"/>
        <v>0</v>
      </c>
      <c r="P279" s="325">
        <f t="shared" si="67"/>
        <v>0</v>
      </c>
      <c r="Q279" s="325">
        <f t="shared" si="68"/>
        <v>0</v>
      </c>
      <c r="R279" s="325">
        <f t="shared" si="69"/>
        <v>92</v>
      </c>
      <c r="S279" s="325">
        <f t="shared" si="70"/>
        <v>0</v>
      </c>
      <c r="T279" s="325">
        <f t="shared" si="72"/>
        <v>92</v>
      </c>
      <c r="U279" s="325">
        <f t="shared" si="71"/>
        <v>1751</v>
      </c>
      <c r="V279" s="325">
        <f t="shared" si="65"/>
        <v>0</v>
      </c>
      <c r="W279" s="449" cm="1">
        <f t="array" ref="W279">+IF(U279&lt;0,error,0)</f>
        <v>0</v>
      </c>
    </row>
    <row r="280" spans="1:23" ht="18" customHeight="1" x14ac:dyDescent="0.2">
      <c r="A280" s="402" t="s">
        <v>722</v>
      </c>
      <c r="B280" s="403"/>
      <c r="C280" s="404" t="s">
        <v>723</v>
      </c>
      <c r="D280" s="405">
        <v>41730</v>
      </c>
      <c r="E280" s="406"/>
      <c r="F280" s="325"/>
      <c r="G280" s="324"/>
      <c r="H280" s="324">
        <v>1414.09</v>
      </c>
      <c r="I280" s="325">
        <v>738.09</v>
      </c>
      <c r="J280" s="325"/>
      <c r="K280" s="325">
        <f t="shared" si="63"/>
        <v>0</v>
      </c>
      <c r="L280" s="325">
        <f t="shared" si="64"/>
        <v>0</v>
      </c>
      <c r="M280" s="407">
        <v>10</v>
      </c>
      <c r="N280" s="408" t="s">
        <v>289</v>
      </c>
      <c r="O280" s="325">
        <f t="shared" si="66"/>
        <v>0</v>
      </c>
      <c r="P280" s="325">
        <f t="shared" si="67"/>
        <v>0</v>
      </c>
      <c r="Q280" s="325">
        <f t="shared" si="68"/>
        <v>0</v>
      </c>
      <c r="R280" s="325">
        <f t="shared" si="69"/>
        <v>36</v>
      </c>
      <c r="S280" s="325">
        <f t="shared" si="70"/>
        <v>0</v>
      </c>
      <c r="T280" s="325">
        <f t="shared" si="72"/>
        <v>36</v>
      </c>
      <c r="U280" s="325">
        <f t="shared" si="71"/>
        <v>702.09</v>
      </c>
      <c r="V280" s="325">
        <f t="shared" si="65"/>
        <v>0</v>
      </c>
      <c r="W280" s="449" cm="1">
        <f t="array" ref="W280">+IF(U280&lt;0,error,0)</f>
        <v>0</v>
      </c>
    </row>
    <row r="281" spans="1:23" ht="18" customHeight="1" x14ac:dyDescent="0.2">
      <c r="A281" s="402" t="s">
        <v>724</v>
      </c>
      <c r="B281" s="403"/>
      <c r="C281" s="404" t="s">
        <v>725</v>
      </c>
      <c r="D281" s="405">
        <v>41779</v>
      </c>
      <c r="E281" s="406"/>
      <c r="F281" s="325"/>
      <c r="G281" s="324"/>
      <c r="H281" s="324">
        <v>8000</v>
      </c>
      <c r="I281" s="325">
        <v>3373</v>
      </c>
      <c r="J281" s="325"/>
      <c r="K281" s="325">
        <f t="shared" si="63"/>
        <v>0</v>
      </c>
      <c r="L281" s="325">
        <f t="shared" si="64"/>
        <v>0</v>
      </c>
      <c r="M281" s="407">
        <v>13.33</v>
      </c>
      <c r="N281" s="408" t="s">
        <v>289</v>
      </c>
      <c r="O281" s="325">
        <f t="shared" si="66"/>
        <v>0</v>
      </c>
      <c r="P281" s="325">
        <f t="shared" si="67"/>
        <v>0</v>
      </c>
      <c r="Q281" s="325">
        <f t="shared" si="68"/>
        <v>0</v>
      </c>
      <c r="R281" s="325">
        <f t="shared" si="69"/>
        <v>224</v>
      </c>
      <c r="S281" s="325">
        <f t="shared" si="70"/>
        <v>0</v>
      </c>
      <c r="T281" s="325">
        <f t="shared" si="72"/>
        <v>224</v>
      </c>
      <c r="U281" s="325">
        <f t="shared" si="71"/>
        <v>3149</v>
      </c>
      <c r="V281" s="325">
        <f t="shared" si="65"/>
        <v>0</v>
      </c>
      <c r="W281" s="449" cm="1">
        <f t="array" ref="W281">+IF(U281&lt;0,error,0)</f>
        <v>0</v>
      </c>
    </row>
    <row r="282" spans="1:23" ht="18" customHeight="1" x14ac:dyDescent="0.2">
      <c r="A282" s="402" t="s">
        <v>726</v>
      </c>
      <c r="B282" s="403"/>
      <c r="C282" s="404" t="s">
        <v>727</v>
      </c>
      <c r="D282" s="405">
        <v>41795</v>
      </c>
      <c r="E282" s="406"/>
      <c r="F282" s="325"/>
      <c r="G282" s="324"/>
      <c r="H282" s="324">
        <v>1727</v>
      </c>
      <c r="I282" s="325">
        <v>734</v>
      </c>
      <c r="J282" s="325"/>
      <c r="K282" s="325">
        <f t="shared" si="63"/>
        <v>0</v>
      </c>
      <c r="L282" s="325">
        <f t="shared" si="64"/>
        <v>0</v>
      </c>
      <c r="M282" s="407">
        <v>13.33</v>
      </c>
      <c r="N282" s="408" t="s">
        <v>289</v>
      </c>
      <c r="O282" s="325">
        <f t="shared" si="66"/>
        <v>0</v>
      </c>
      <c r="P282" s="325">
        <f t="shared" si="67"/>
        <v>0</v>
      </c>
      <c r="Q282" s="325">
        <f t="shared" si="68"/>
        <v>0</v>
      </c>
      <c r="R282" s="325">
        <f t="shared" si="69"/>
        <v>48</v>
      </c>
      <c r="S282" s="325">
        <f t="shared" si="70"/>
        <v>0</v>
      </c>
      <c r="T282" s="325">
        <f t="shared" si="72"/>
        <v>48</v>
      </c>
      <c r="U282" s="325">
        <f t="shared" si="71"/>
        <v>686</v>
      </c>
      <c r="V282" s="325">
        <f t="shared" si="65"/>
        <v>0</v>
      </c>
      <c r="W282" s="449" cm="1">
        <f t="array" ref="W282">+IF(U282&lt;0,error,0)</f>
        <v>0</v>
      </c>
    </row>
    <row r="283" spans="1:23" ht="18" customHeight="1" x14ac:dyDescent="0.2">
      <c r="A283" s="402" t="s">
        <v>728</v>
      </c>
      <c r="B283" s="403"/>
      <c r="C283" s="412" t="s">
        <v>729</v>
      </c>
      <c r="D283" s="405">
        <v>41815</v>
      </c>
      <c r="E283" s="406"/>
      <c r="F283" s="325"/>
      <c r="G283" s="324"/>
      <c r="H283" s="324">
        <v>5571.72</v>
      </c>
      <c r="I283" s="325">
        <v>2380.7200000000003</v>
      </c>
      <c r="J283" s="325"/>
      <c r="K283" s="325">
        <f t="shared" si="63"/>
        <v>0</v>
      </c>
      <c r="L283" s="325">
        <f t="shared" si="64"/>
        <v>0</v>
      </c>
      <c r="M283" s="407">
        <v>13.33</v>
      </c>
      <c r="N283" s="408" t="s">
        <v>289</v>
      </c>
      <c r="O283" s="325">
        <f t="shared" si="66"/>
        <v>0</v>
      </c>
      <c r="P283" s="325">
        <f t="shared" si="67"/>
        <v>0</v>
      </c>
      <c r="Q283" s="325">
        <f t="shared" si="68"/>
        <v>0</v>
      </c>
      <c r="R283" s="325">
        <f t="shared" si="69"/>
        <v>158</v>
      </c>
      <c r="S283" s="325">
        <f t="shared" si="70"/>
        <v>0</v>
      </c>
      <c r="T283" s="325">
        <f t="shared" si="72"/>
        <v>158</v>
      </c>
      <c r="U283" s="325">
        <f t="shared" si="71"/>
        <v>2222.7200000000003</v>
      </c>
      <c r="V283" s="325">
        <f t="shared" si="65"/>
        <v>0</v>
      </c>
      <c r="W283" s="449" cm="1">
        <f t="array" ref="W283">+IF(U283&lt;0,error,0)</f>
        <v>0</v>
      </c>
    </row>
    <row r="284" spans="1:23" ht="18" customHeight="1" x14ac:dyDescent="0.2">
      <c r="A284" s="402" t="s">
        <v>730</v>
      </c>
      <c r="B284" s="403"/>
      <c r="C284" s="404" t="s">
        <v>731</v>
      </c>
      <c r="D284" s="405">
        <v>41815</v>
      </c>
      <c r="E284" s="406"/>
      <c r="F284" s="325"/>
      <c r="G284" s="324"/>
      <c r="H284" s="324">
        <v>1372.22</v>
      </c>
      <c r="I284" s="325">
        <v>588.22</v>
      </c>
      <c r="J284" s="325"/>
      <c r="K284" s="325">
        <f t="shared" si="63"/>
        <v>0</v>
      </c>
      <c r="L284" s="325">
        <f t="shared" si="64"/>
        <v>0</v>
      </c>
      <c r="M284" s="407">
        <v>13.33</v>
      </c>
      <c r="N284" s="408" t="s">
        <v>289</v>
      </c>
      <c r="O284" s="325">
        <f t="shared" si="66"/>
        <v>0</v>
      </c>
      <c r="P284" s="325">
        <f t="shared" si="67"/>
        <v>0</v>
      </c>
      <c r="Q284" s="325">
        <f t="shared" si="68"/>
        <v>0</v>
      </c>
      <c r="R284" s="325">
        <f t="shared" si="69"/>
        <v>39</v>
      </c>
      <c r="S284" s="325">
        <f t="shared" si="70"/>
        <v>0</v>
      </c>
      <c r="T284" s="325">
        <f t="shared" si="72"/>
        <v>39</v>
      </c>
      <c r="U284" s="325">
        <f t="shared" si="71"/>
        <v>549.22</v>
      </c>
      <c r="V284" s="325">
        <f t="shared" si="65"/>
        <v>0</v>
      </c>
      <c r="W284" s="449" cm="1">
        <f t="array" ref="W284">+IF(U284&lt;0,error,0)</f>
        <v>0</v>
      </c>
    </row>
    <row r="285" spans="1:23" ht="18" customHeight="1" x14ac:dyDescent="0.2">
      <c r="A285" s="402" t="s">
        <v>732</v>
      </c>
      <c r="B285" s="403"/>
      <c r="C285" s="412" t="s">
        <v>733</v>
      </c>
      <c r="D285" s="405">
        <v>41815</v>
      </c>
      <c r="E285" s="406"/>
      <c r="F285" s="325"/>
      <c r="G285" s="324"/>
      <c r="H285" s="324">
        <v>3188.21</v>
      </c>
      <c r="I285" s="325">
        <v>1363.21</v>
      </c>
      <c r="J285" s="325"/>
      <c r="K285" s="325">
        <f t="shared" si="63"/>
        <v>0</v>
      </c>
      <c r="L285" s="325">
        <f t="shared" si="64"/>
        <v>0</v>
      </c>
      <c r="M285" s="407">
        <v>13.33</v>
      </c>
      <c r="N285" s="408" t="s">
        <v>289</v>
      </c>
      <c r="O285" s="325">
        <f t="shared" si="66"/>
        <v>0</v>
      </c>
      <c r="P285" s="325">
        <f t="shared" si="67"/>
        <v>0</v>
      </c>
      <c r="Q285" s="325">
        <f t="shared" si="68"/>
        <v>0</v>
      </c>
      <c r="R285" s="325">
        <f t="shared" si="69"/>
        <v>90</v>
      </c>
      <c r="S285" s="325">
        <f t="shared" si="70"/>
        <v>0</v>
      </c>
      <c r="T285" s="325">
        <f t="shared" si="72"/>
        <v>90</v>
      </c>
      <c r="U285" s="325">
        <f t="shared" si="71"/>
        <v>1273.21</v>
      </c>
      <c r="V285" s="325">
        <f t="shared" si="65"/>
        <v>0</v>
      </c>
      <c r="W285" s="449" cm="1">
        <f t="array" ref="W285">+IF(U285&lt;0,error,0)</f>
        <v>0</v>
      </c>
    </row>
    <row r="286" spans="1:23" ht="18" customHeight="1" x14ac:dyDescent="0.2">
      <c r="A286" s="402" t="s">
        <v>734</v>
      </c>
      <c r="B286" s="403"/>
      <c r="C286" s="412" t="s">
        <v>735</v>
      </c>
      <c r="D286" s="405">
        <v>41815</v>
      </c>
      <c r="E286" s="406"/>
      <c r="F286" s="325"/>
      <c r="G286" s="324"/>
      <c r="H286" s="324">
        <v>550.80000000000007</v>
      </c>
      <c r="I286" s="325">
        <v>237.8</v>
      </c>
      <c r="J286" s="325"/>
      <c r="K286" s="325">
        <f t="shared" si="63"/>
        <v>0</v>
      </c>
      <c r="L286" s="325">
        <f t="shared" si="64"/>
        <v>0</v>
      </c>
      <c r="M286" s="407">
        <v>13.3</v>
      </c>
      <c r="N286" s="408" t="s">
        <v>289</v>
      </c>
      <c r="O286" s="325">
        <f t="shared" si="66"/>
        <v>0</v>
      </c>
      <c r="P286" s="325">
        <f t="shared" si="67"/>
        <v>0</v>
      </c>
      <c r="Q286" s="325">
        <f t="shared" si="68"/>
        <v>0</v>
      </c>
      <c r="R286" s="325">
        <f t="shared" si="69"/>
        <v>15</v>
      </c>
      <c r="S286" s="325">
        <f t="shared" si="70"/>
        <v>0</v>
      </c>
      <c r="T286" s="325">
        <f t="shared" si="72"/>
        <v>15</v>
      </c>
      <c r="U286" s="325">
        <f t="shared" si="71"/>
        <v>222.8</v>
      </c>
      <c r="V286" s="325">
        <f t="shared" si="65"/>
        <v>0</v>
      </c>
      <c r="W286" s="449" cm="1">
        <f t="array" ref="W286">+IF(U286&lt;0,error,0)</f>
        <v>0</v>
      </c>
    </row>
    <row r="287" spans="1:23" ht="18" customHeight="1" x14ac:dyDescent="0.2">
      <c r="A287" s="402" t="s">
        <v>736</v>
      </c>
      <c r="B287" s="403"/>
      <c r="C287" s="404" t="s">
        <v>737</v>
      </c>
      <c r="D287" s="405">
        <v>41815</v>
      </c>
      <c r="E287" s="406"/>
      <c r="F287" s="325"/>
      <c r="G287" s="324"/>
      <c r="H287" s="324">
        <v>1826.22</v>
      </c>
      <c r="I287" s="325">
        <v>782.22</v>
      </c>
      <c r="J287" s="325"/>
      <c r="K287" s="325">
        <f t="shared" si="63"/>
        <v>0</v>
      </c>
      <c r="L287" s="325">
        <f t="shared" si="64"/>
        <v>0</v>
      </c>
      <c r="M287" s="407">
        <v>13.33</v>
      </c>
      <c r="N287" s="408" t="s">
        <v>289</v>
      </c>
      <c r="O287" s="325">
        <f t="shared" si="66"/>
        <v>0</v>
      </c>
      <c r="P287" s="325">
        <f t="shared" si="67"/>
        <v>0</v>
      </c>
      <c r="Q287" s="325">
        <f t="shared" si="68"/>
        <v>0</v>
      </c>
      <c r="R287" s="325">
        <f t="shared" si="69"/>
        <v>52</v>
      </c>
      <c r="S287" s="325">
        <f t="shared" si="70"/>
        <v>0</v>
      </c>
      <c r="T287" s="325">
        <f t="shared" si="72"/>
        <v>52</v>
      </c>
      <c r="U287" s="325">
        <f t="shared" si="71"/>
        <v>730.22</v>
      </c>
      <c r="V287" s="325">
        <f t="shared" si="65"/>
        <v>0</v>
      </c>
      <c r="W287" s="449" cm="1">
        <f t="array" ref="W287">+IF(U287&lt;0,error,0)</f>
        <v>0</v>
      </c>
    </row>
    <row r="288" spans="1:23" ht="18" customHeight="1" x14ac:dyDescent="0.2">
      <c r="A288" s="402" t="s">
        <v>738</v>
      </c>
      <c r="B288" s="403"/>
      <c r="C288" s="412" t="s">
        <v>739</v>
      </c>
      <c r="D288" s="405">
        <v>41815</v>
      </c>
      <c r="E288" s="406"/>
      <c r="F288" s="325"/>
      <c r="G288" s="324"/>
      <c r="H288" s="324">
        <v>2677.48</v>
      </c>
      <c r="I288" s="325">
        <v>1145.48</v>
      </c>
      <c r="J288" s="325"/>
      <c r="K288" s="325">
        <f t="shared" si="63"/>
        <v>0</v>
      </c>
      <c r="L288" s="325">
        <f t="shared" si="64"/>
        <v>0</v>
      </c>
      <c r="M288" s="407">
        <v>13.33</v>
      </c>
      <c r="N288" s="408" t="s">
        <v>289</v>
      </c>
      <c r="O288" s="325">
        <f t="shared" si="66"/>
        <v>0</v>
      </c>
      <c r="P288" s="325">
        <f t="shared" si="67"/>
        <v>0</v>
      </c>
      <c r="Q288" s="325">
        <f t="shared" si="68"/>
        <v>0</v>
      </c>
      <c r="R288" s="325">
        <f t="shared" si="69"/>
        <v>76</v>
      </c>
      <c r="S288" s="325">
        <f t="shared" si="70"/>
        <v>0</v>
      </c>
      <c r="T288" s="325">
        <f t="shared" si="72"/>
        <v>76</v>
      </c>
      <c r="U288" s="325">
        <f t="shared" si="71"/>
        <v>1069.48</v>
      </c>
      <c r="V288" s="325">
        <f t="shared" si="65"/>
        <v>0</v>
      </c>
      <c r="W288" s="449" cm="1">
        <f t="array" ref="W288">+IF(U288&lt;0,error,0)</f>
        <v>0</v>
      </c>
    </row>
    <row r="289" spans="1:23" ht="18" customHeight="1" x14ac:dyDescent="0.2">
      <c r="A289" s="402" t="s">
        <v>740</v>
      </c>
      <c r="B289" s="403"/>
      <c r="C289" s="404" t="s">
        <v>741</v>
      </c>
      <c r="D289" s="405">
        <v>41815</v>
      </c>
      <c r="E289" s="406"/>
      <c r="F289" s="325"/>
      <c r="G289" s="324"/>
      <c r="H289" s="324">
        <v>1712.71</v>
      </c>
      <c r="I289" s="325">
        <v>732.71</v>
      </c>
      <c r="J289" s="325"/>
      <c r="K289" s="325">
        <f t="shared" si="63"/>
        <v>0</v>
      </c>
      <c r="L289" s="325">
        <f t="shared" si="64"/>
        <v>0</v>
      </c>
      <c r="M289" s="407">
        <v>13.33</v>
      </c>
      <c r="N289" s="408" t="s">
        <v>289</v>
      </c>
      <c r="O289" s="325">
        <f t="shared" si="66"/>
        <v>0</v>
      </c>
      <c r="P289" s="325">
        <f t="shared" si="67"/>
        <v>0</v>
      </c>
      <c r="Q289" s="325">
        <f t="shared" si="68"/>
        <v>0</v>
      </c>
      <c r="R289" s="325">
        <f t="shared" si="69"/>
        <v>48</v>
      </c>
      <c r="S289" s="325">
        <f t="shared" si="70"/>
        <v>0</v>
      </c>
      <c r="T289" s="325">
        <f t="shared" si="72"/>
        <v>48</v>
      </c>
      <c r="U289" s="325">
        <f t="shared" si="71"/>
        <v>684.71</v>
      </c>
      <c r="V289" s="325">
        <f t="shared" si="65"/>
        <v>0</v>
      </c>
      <c r="W289" s="449" cm="1">
        <f t="array" ref="W289">+IF(U289&lt;0,error,0)</f>
        <v>0</v>
      </c>
    </row>
    <row r="290" spans="1:23" ht="18" customHeight="1" x14ac:dyDescent="0.2">
      <c r="A290" s="402" t="s">
        <v>742</v>
      </c>
      <c r="B290" s="403"/>
      <c r="C290" s="412" t="s">
        <v>743</v>
      </c>
      <c r="D290" s="405">
        <v>41815</v>
      </c>
      <c r="E290" s="406"/>
      <c r="F290" s="325"/>
      <c r="G290" s="324"/>
      <c r="H290" s="324">
        <v>2563.98</v>
      </c>
      <c r="I290" s="325">
        <v>1095.98</v>
      </c>
      <c r="J290" s="325"/>
      <c r="K290" s="325">
        <f t="shared" si="63"/>
        <v>0</v>
      </c>
      <c r="L290" s="325">
        <f t="shared" si="64"/>
        <v>0</v>
      </c>
      <c r="M290" s="407">
        <v>13.33</v>
      </c>
      <c r="N290" s="408" t="s">
        <v>289</v>
      </c>
      <c r="O290" s="325">
        <f t="shared" si="66"/>
        <v>0</v>
      </c>
      <c r="P290" s="325">
        <f t="shared" si="67"/>
        <v>0</v>
      </c>
      <c r="Q290" s="325">
        <f t="shared" si="68"/>
        <v>0</v>
      </c>
      <c r="R290" s="325">
        <f t="shared" si="69"/>
        <v>73</v>
      </c>
      <c r="S290" s="325">
        <f t="shared" si="70"/>
        <v>0</v>
      </c>
      <c r="T290" s="325">
        <f t="shared" si="72"/>
        <v>73</v>
      </c>
      <c r="U290" s="325">
        <f t="shared" si="71"/>
        <v>1022.98</v>
      </c>
      <c r="V290" s="325">
        <f t="shared" si="65"/>
        <v>0</v>
      </c>
      <c r="W290" s="449" cm="1">
        <f t="array" ref="W290">+IF(U290&lt;0,error,0)</f>
        <v>0</v>
      </c>
    </row>
    <row r="291" spans="1:23" ht="18" customHeight="1" x14ac:dyDescent="0.2">
      <c r="A291" s="402" t="s">
        <v>744</v>
      </c>
      <c r="B291" s="403"/>
      <c r="C291" s="404" t="s">
        <v>745</v>
      </c>
      <c r="D291" s="405">
        <v>41815</v>
      </c>
      <c r="E291" s="406"/>
      <c r="F291" s="325"/>
      <c r="G291" s="324"/>
      <c r="H291" s="324">
        <v>1769.47</v>
      </c>
      <c r="I291" s="325">
        <v>756.47</v>
      </c>
      <c r="J291" s="325"/>
      <c r="K291" s="325">
        <f t="shared" si="63"/>
        <v>0</v>
      </c>
      <c r="L291" s="325">
        <f t="shared" si="64"/>
        <v>0</v>
      </c>
      <c r="M291" s="407">
        <v>13.33</v>
      </c>
      <c r="N291" s="408" t="s">
        <v>289</v>
      </c>
      <c r="O291" s="325">
        <f t="shared" si="66"/>
        <v>0</v>
      </c>
      <c r="P291" s="325">
        <f t="shared" si="67"/>
        <v>0</v>
      </c>
      <c r="Q291" s="325">
        <f t="shared" si="68"/>
        <v>0</v>
      </c>
      <c r="R291" s="325">
        <f t="shared" si="69"/>
        <v>50</v>
      </c>
      <c r="S291" s="325">
        <f t="shared" si="70"/>
        <v>0</v>
      </c>
      <c r="T291" s="325">
        <f t="shared" si="72"/>
        <v>50</v>
      </c>
      <c r="U291" s="325">
        <f t="shared" si="71"/>
        <v>706.47</v>
      </c>
      <c r="V291" s="325">
        <f t="shared" si="65"/>
        <v>0</v>
      </c>
      <c r="W291" s="449" cm="1">
        <f t="array" ref="W291">+IF(U291&lt;0,error,0)</f>
        <v>0</v>
      </c>
    </row>
    <row r="292" spans="1:23" ht="18" customHeight="1" x14ac:dyDescent="0.2">
      <c r="A292" s="402" t="s">
        <v>746</v>
      </c>
      <c r="B292" s="403"/>
      <c r="C292" s="404" t="s">
        <v>747</v>
      </c>
      <c r="D292" s="405">
        <v>41456</v>
      </c>
      <c r="E292" s="406"/>
      <c r="F292" s="325"/>
      <c r="G292" s="324"/>
      <c r="H292" s="324">
        <v>1063.6400000000001</v>
      </c>
      <c r="I292" s="325">
        <v>229.64</v>
      </c>
      <c r="J292" s="325"/>
      <c r="K292" s="325">
        <f t="shared" si="63"/>
        <v>0</v>
      </c>
      <c r="L292" s="325">
        <f t="shared" si="64"/>
        <v>0</v>
      </c>
      <c r="M292" s="407">
        <v>20</v>
      </c>
      <c r="N292" s="408" t="s">
        <v>289</v>
      </c>
      <c r="O292" s="325">
        <f t="shared" si="66"/>
        <v>0</v>
      </c>
      <c r="P292" s="325">
        <f t="shared" si="67"/>
        <v>0</v>
      </c>
      <c r="Q292" s="325">
        <f t="shared" si="68"/>
        <v>0</v>
      </c>
      <c r="R292" s="325">
        <f t="shared" si="69"/>
        <v>22</v>
      </c>
      <c r="S292" s="325">
        <f t="shared" si="70"/>
        <v>0</v>
      </c>
      <c r="T292" s="325">
        <f t="shared" si="72"/>
        <v>22</v>
      </c>
      <c r="U292" s="325">
        <f t="shared" si="71"/>
        <v>207.64</v>
      </c>
      <c r="V292" s="325">
        <f t="shared" si="65"/>
        <v>0</v>
      </c>
      <c r="W292" s="449" cm="1">
        <f t="array" ref="W292">+IF(U292&lt;0,error,0)</f>
        <v>0</v>
      </c>
    </row>
    <row r="293" spans="1:23" ht="18" customHeight="1" x14ac:dyDescent="0.2">
      <c r="A293" s="402" t="s">
        <v>748</v>
      </c>
      <c r="B293" s="403"/>
      <c r="C293" s="404" t="s">
        <v>749</v>
      </c>
      <c r="D293" s="405">
        <v>41690</v>
      </c>
      <c r="E293" s="406"/>
      <c r="F293" s="325"/>
      <c r="G293" s="324"/>
      <c r="H293" s="324">
        <v>1560</v>
      </c>
      <c r="I293" s="325">
        <v>72</v>
      </c>
      <c r="J293" s="325"/>
      <c r="K293" s="325">
        <f t="shared" si="63"/>
        <v>0</v>
      </c>
      <c r="L293" s="325">
        <f t="shared" si="64"/>
        <v>0</v>
      </c>
      <c r="M293" s="407">
        <v>40</v>
      </c>
      <c r="N293" s="408" t="s">
        <v>289</v>
      </c>
      <c r="O293" s="325">
        <f t="shared" si="66"/>
        <v>0</v>
      </c>
      <c r="P293" s="325">
        <f t="shared" si="67"/>
        <v>0</v>
      </c>
      <c r="Q293" s="325">
        <f t="shared" si="68"/>
        <v>0</v>
      </c>
      <c r="R293" s="325">
        <f t="shared" si="69"/>
        <v>14</v>
      </c>
      <c r="S293" s="325">
        <f t="shared" si="70"/>
        <v>0</v>
      </c>
      <c r="T293" s="325">
        <f t="shared" si="72"/>
        <v>14</v>
      </c>
      <c r="U293" s="325">
        <f t="shared" si="71"/>
        <v>58</v>
      </c>
      <c r="V293" s="325">
        <f t="shared" si="65"/>
        <v>0</v>
      </c>
      <c r="W293" s="449" cm="1">
        <f t="array" ref="W293">+IF(U293&lt;0,error,0)</f>
        <v>0</v>
      </c>
    </row>
    <row r="294" spans="1:23" ht="18" customHeight="1" x14ac:dyDescent="0.2">
      <c r="A294" s="402" t="s">
        <v>750</v>
      </c>
      <c r="B294" s="403"/>
      <c r="C294" s="404" t="s">
        <v>751</v>
      </c>
      <c r="D294" s="405">
        <v>41729</v>
      </c>
      <c r="E294" s="406"/>
      <c r="F294" s="325"/>
      <c r="G294" s="324"/>
      <c r="H294" s="324">
        <v>6872.7300000000005</v>
      </c>
      <c r="I294" s="325">
        <v>328.73</v>
      </c>
      <c r="J294" s="325"/>
      <c r="K294" s="325">
        <f t="shared" si="63"/>
        <v>0</v>
      </c>
      <c r="L294" s="325">
        <f t="shared" si="64"/>
        <v>0</v>
      </c>
      <c r="M294" s="407">
        <v>40</v>
      </c>
      <c r="N294" s="408" t="s">
        <v>289</v>
      </c>
      <c r="O294" s="325">
        <f t="shared" si="66"/>
        <v>0</v>
      </c>
      <c r="P294" s="325">
        <f t="shared" si="67"/>
        <v>0</v>
      </c>
      <c r="Q294" s="325">
        <f t="shared" si="68"/>
        <v>0</v>
      </c>
      <c r="R294" s="325">
        <f t="shared" si="69"/>
        <v>65</v>
      </c>
      <c r="S294" s="325">
        <f t="shared" si="70"/>
        <v>0</v>
      </c>
      <c r="T294" s="325">
        <f t="shared" si="72"/>
        <v>65</v>
      </c>
      <c r="U294" s="325">
        <f t="shared" si="71"/>
        <v>263.73</v>
      </c>
      <c r="V294" s="325">
        <f t="shared" si="65"/>
        <v>0</v>
      </c>
      <c r="W294" s="449" cm="1">
        <f t="array" ref="W294">+IF(U294&lt;0,error,0)</f>
        <v>0</v>
      </c>
    </row>
    <row r="295" spans="1:23" ht="18" customHeight="1" x14ac:dyDescent="0.2">
      <c r="A295" s="402" t="s">
        <v>752</v>
      </c>
      <c r="B295" s="403"/>
      <c r="C295" s="404" t="s">
        <v>751</v>
      </c>
      <c r="D295" s="405">
        <v>41816</v>
      </c>
      <c r="E295" s="406"/>
      <c r="F295" s="325"/>
      <c r="G295" s="324"/>
      <c r="H295" s="324">
        <v>1668</v>
      </c>
      <c r="I295" s="325">
        <v>89</v>
      </c>
      <c r="J295" s="325"/>
      <c r="K295" s="325">
        <f t="shared" si="63"/>
        <v>0</v>
      </c>
      <c r="L295" s="325">
        <f t="shared" si="64"/>
        <v>0</v>
      </c>
      <c r="M295" s="407">
        <v>40</v>
      </c>
      <c r="N295" s="408" t="s">
        <v>289</v>
      </c>
      <c r="O295" s="325">
        <f t="shared" si="66"/>
        <v>0</v>
      </c>
      <c r="P295" s="325">
        <f t="shared" si="67"/>
        <v>0</v>
      </c>
      <c r="Q295" s="325">
        <f t="shared" si="68"/>
        <v>0</v>
      </c>
      <c r="R295" s="325">
        <f t="shared" si="69"/>
        <v>17</v>
      </c>
      <c r="S295" s="325">
        <f t="shared" si="70"/>
        <v>0</v>
      </c>
      <c r="T295" s="325">
        <f t="shared" si="72"/>
        <v>17</v>
      </c>
      <c r="U295" s="325">
        <f t="shared" si="71"/>
        <v>72</v>
      </c>
      <c r="V295" s="325">
        <f t="shared" si="65"/>
        <v>0</v>
      </c>
      <c r="W295" s="449" cm="1">
        <f t="array" ref="W295">+IF(U295&lt;0,error,0)</f>
        <v>0</v>
      </c>
    </row>
    <row r="296" spans="1:23" ht="18" customHeight="1" x14ac:dyDescent="0.2">
      <c r="A296" s="402" t="s">
        <v>753</v>
      </c>
      <c r="B296" s="403"/>
      <c r="C296" s="404" t="s">
        <v>754</v>
      </c>
      <c r="D296" s="405">
        <v>41833</v>
      </c>
      <c r="E296" s="406"/>
      <c r="F296" s="325"/>
      <c r="G296" s="324"/>
      <c r="H296" s="324">
        <v>35072.43</v>
      </c>
      <c r="I296" s="325">
        <v>9495.43</v>
      </c>
      <c r="J296" s="325"/>
      <c r="K296" s="325">
        <f t="shared" si="63"/>
        <v>0</v>
      </c>
      <c r="L296" s="325">
        <f t="shared" si="64"/>
        <v>0</v>
      </c>
      <c r="M296" s="407">
        <v>20</v>
      </c>
      <c r="N296" s="408" t="s">
        <v>289</v>
      </c>
      <c r="O296" s="325">
        <f t="shared" si="66"/>
        <v>0</v>
      </c>
      <c r="P296" s="325">
        <f t="shared" si="67"/>
        <v>0</v>
      </c>
      <c r="Q296" s="325">
        <f t="shared" si="68"/>
        <v>0</v>
      </c>
      <c r="R296" s="325">
        <f t="shared" si="69"/>
        <v>949</v>
      </c>
      <c r="S296" s="325">
        <f t="shared" si="70"/>
        <v>0</v>
      </c>
      <c r="T296" s="325">
        <f t="shared" si="72"/>
        <v>949</v>
      </c>
      <c r="U296" s="325">
        <f t="shared" si="71"/>
        <v>8546.43</v>
      </c>
      <c r="V296" s="325">
        <f t="shared" si="65"/>
        <v>0</v>
      </c>
      <c r="W296" s="449" cm="1">
        <f t="array" ref="W296">+IF(U296&lt;0,error,0)</f>
        <v>0</v>
      </c>
    </row>
    <row r="297" spans="1:23" ht="18" customHeight="1" x14ac:dyDescent="0.2">
      <c r="A297" s="402" t="s">
        <v>755</v>
      </c>
      <c r="B297" s="403"/>
      <c r="C297" s="404" t="s">
        <v>756</v>
      </c>
      <c r="D297" s="405">
        <v>41934</v>
      </c>
      <c r="E297" s="406"/>
      <c r="F297" s="325"/>
      <c r="G297" s="324"/>
      <c r="H297" s="324">
        <v>1636.3700000000001</v>
      </c>
      <c r="I297" s="325">
        <v>734.37</v>
      </c>
      <c r="J297" s="325"/>
      <c r="K297" s="325">
        <f t="shared" si="63"/>
        <v>0</v>
      </c>
      <c r="L297" s="325">
        <f t="shared" si="64"/>
        <v>0</v>
      </c>
      <c r="M297" s="407">
        <v>13.33</v>
      </c>
      <c r="N297" s="408" t="s">
        <v>289</v>
      </c>
      <c r="O297" s="325">
        <f t="shared" si="66"/>
        <v>0</v>
      </c>
      <c r="P297" s="325">
        <f t="shared" si="67"/>
        <v>0</v>
      </c>
      <c r="Q297" s="325">
        <f t="shared" si="68"/>
        <v>0</v>
      </c>
      <c r="R297" s="325">
        <f t="shared" si="69"/>
        <v>48</v>
      </c>
      <c r="S297" s="325">
        <f t="shared" si="70"/>
        <v>0</v>
      </c>
      <c r="T297" s="325">
        <f t="shared" si="72"/>
        <v>48</v>
      </c>
      <c r="U297" s="325">
        <f t="shared" si="71"/>
        <v>686.37</v>
      </c>
      <c r="V297" s="325">
        <f t="shared" si="65"/>
        <v>0</v>
      </c>
      <c r="W297" s="449" cm="1">
        <f t="array" ref="W297">+IF(U297&lt;0,error,0)</f>
        <v>0</v>
      </c>
    </row>
    <row r="298" spans="1:23" ht="18" customHeight="1" x14ac:dyDescent="0.2">
      <c r="A298" s="402" t="s">
        <v>757</v>
      </c>
      <c r="B298" s="403"/>
      <c r="C298" s="404" t="s">
        <v>758</v>
      </c>
      <c r="D298" s="405">
        <v>41934</v>
      </c>
      <c r="E298" s="406"/>
      <c r="F298" s="325"/>
      <c r="G298" s="324"/>
      <c r="H298" s="324">
        <v>2045.45</v>
      </c>
      <c r="I298" s="325">
        <v>1279.45</v>
      </c>
      <c r="J298" s="325"/>
      <c r="K298" s="325">
        <f t="shared" si="63"/>
        <v>0</v>
      </c>
      <c r="L298" s="325">
        <f t="shared" si="64"/>
        <v>0</v>
      </c>
      <c r="M298" s="407">
        <v>8</v>
      </c>
      <c r="N298" s="408" t="s">
        <v>289</v>
      </c>
      <c r="O298" s="325">
        <f t="shared" si="66"/>
        <v>0</v>
      </c>
      <c r="P298" s="325">
        <f t="shared" si="67"/>
        <v>0</v>
      </c>
      <c r="Q298" s="325">
        <f t="shared" si="68"/>
        <v>0</v>
      </c>
      <c r="R298" s="325">
        <f t="shared" si="69"/>
        <v>51</v>
      </c>
      <c r="S298" s="325">
        <f t="shared" si="70"/>
        <v>0</v>
      </c>
      <c r="T298" s="325">
        <f t="shared" si="72"/>
        <v>51</v>
      </c>
      <c r="U298" s="325">
        <f t="shared" si="71"/>
        <v>1228.45</v>
      </c>
      <c r="V298" s="325">
        <f t="shared" si="65"/>
        <v>0</v>
      </c>
      <c r="W298" s="449" cm="1">
        <f t="array" ref="W298">+IF(U298&lt;0,error,0)</f>
        <v>0</v>
      </c>
    </row>
    <row r="299" spans="1:23" ht="18" customHeight="1" x14ac:dyDescent="0.2">
      <c r="A299" s="402" t="s">
        <v>759</v>
      </c>
      <c r="B299" s="403"/>
      <c r="C299" s="404" t="s">
        <v>760</v>
      </c>
      <c r="D299" s="405">
        <v>41934</v>
      </c>
      <c r="E299" s="406"/>
      <c r="F299" s="325"/>
      <c r="G299" s="324"/>
      <c r="H299" s="324">
        <v>19585.23</v>
      </c>
      <c r="I299" s="325">
        <v>5667.2300000000005</v>
      </c>
      <c r="J299" s="325"/>
      <c r="K299" s="325">
        <f t="shared" si="63"/>
        <v>0</v>
      </c>
      <c r="L299" s="325">
        <f t="shared" si="64"/>
        <v>0</v>
      </c>
      <c r="M299" s="407">
        <v>20</v>
      </c>
      <c r="N299" s="408" t="s">
        <v>289</v>
      </c>
      <c r="O299" s="325">
        <f t="shared" si="66"/>
        <v>0</v>
      </c>
      <c r="P299" s="325">
        <f t="shared" si="67"/>
        <v>0</v>
      </c>
      <c r="Q299" s="325">
        <f t="shared" si="68"/>
        <v>0</v>
      </c>
      <c r="R299" s="325">
        <f t="shared" si="69"/>
        <v>566</v>
      </c>
      <c r="S299" s="325">
        <f t="shared" si="70"/>
        <v>0</v>
      </c>
      <c r="T299" s="325">
        <f t="shared" si="72"/>
        <v>566</v>
      </c>
      <c r="U299" s="325">
        <f t="shared" si="71"/>
        <v>5101.2300000000005</v>
      </c>
      <c r="V299" s="325">
        <f t="shared" si="65"/>
        <v>0</v>
      </c>
      <c r="W299" s="449" cm="1">
        <f t="array" ref="W299">+IF(U299&lt;0,error,0)</f>
        <v>0</v>
      </c>
    </row>
    <row r="300" spans="1:23" ht="18" customHeight="1" x14ac:dyDescent="0.2">
      <c r="A300" s="402" t="s">
        <v>761</v>
      </c>
      <c r="B300" s="403"/>
      <c r="C300" s="404" t="s">
        <v>762</v>
      </c>
      <c r="D300" s="405">
        <v>42051</v>
      </c>
      <c r="E300" s="406"/>
      <c r="F300" s="325"/>
      <c r="G300" s="324"/>
      <c r="H300" s="324">
        <v>7375.91</v>
      </c>
      <c r="I300" s="325">
        <v>2293.91</v>
      </c>
      <c r="J300" s="325"/>
      <c r="K300" s="325">
        <f t="shared" si="63"/>
        <v>0</v>
      </c>
      <c r="L300" s="325">
        <f t="shared" si="64"/>
        <v>0</v>
      </c>
      <c r="M300" s="407">
        <v>20</v>
      </c>
      <c r="N300" s="408" t="s">
        <v>289</v>
      </c>
      <c r="O300" s="325">
        <f t="shared" si="66"/>
        <v>0</v>
      </c>
      <c r="P300" s="325">
        <f t="shared" si="67"/>
        <v>0</v>
      </c>
      <c r="Q300" s="325">
        <f t="shared" si="68"/>
        <v>0</v>
      </c>
      <c r="R300" s="325">
        <f t="shared" si="69"/>
        <v>229</v>
      </c>
      <c r="S300" s="325">
        <f t="shared" si="70"/>
        <v>0</v>
      </c>
      <c r="T300" s="325">
        <f t="shared" si="72"/>
        <v>229</v>
      </c>
      <c r="U300" s="325">
        <f t="shared" si="71"/>
        <v>2064.91</v>
      </c>
      <c r="V300" s="325">
        <f t="shared" si="65"/>
        <v>0</v>
      </c>
      <c r="W300" s="449" cm="1">
        <f t="array" ref="W300">+IF(U300&lt;0,error,0)</f>
        <v>0</v>
      </c>
    </row>
    <row r="301" spans="1:23" ht="18" customHeight="1" x14ac:dyDescent="0.2">
      <c r="A301" s="402" t="s">
        <v>763</v>
      </c>
      <c r="B301" s="403"/>
      <c r="C301" s="404" t="s">
        <v>764</v>
      </c>
      <c r="D301" s="405">
        <v>42094</v>
      </c>
      <c r="E301" s="406"/>
      <c r="F301" s="325"/>
      <c r="G301" s="324"/>
      <c r="H301" s="324">
        <v>42967.8</v>
      </c>
      <c r="I301" s="325">
        <v>20503.8</v>
      </c>
      <c r="J301" s="325"/>
      <c r="K301" s="325">
        <f t="shared" si="63"/>
        <v>0</v>
      </c>
      <c r="L301" s="325">
        <f t="shared" si="64"/>
        <v>0</v>
      </c>
      <c r="M301" s="407">
        <v>13.33</v>
      </c>
      <c r="N301" s="408" t="s">
        <v>289</v>
      </c>
      <c r="O301" s="325">
        <f t="shared" si="66"/>
        <v>0</v>
      </c>
      <c r="P301" s="325">
        <f t="shared" si="67"/>
        <v>0</v>
      </c>
      <c r="Q301" s="325">
        <f t="shared" si="68"/>
        <v>0</v>
      </c>
      <c r="R301" s="325">
        <f t="shared" si="69"/>
        <v>1366</v>
      </c>
      <c r="S301" s="325">
        <f t="shared" si="70"/>
        <v>0</v>
      </c>
      <c r="T301" s="325">
        <f t="shared" si="72"/>
        <v>1366</v>
      </c>
      <c r="U301" s="325">
        <f t="shared" si="71"/>
        <v>19137.8</v>
      </c>
      <c r="V301" s="325">
        <f t="shared" si="65"/>
        <v>0</v>
      </c>
      <c r="W301" s="449" cm="1">
        <f t="array" ref="W301">+IF(U301&lt;0,error,0)</f>
        <v>0</v>
      </c>
    </row>
    <row r="302" spans="1:23" ht="18" customHeight="1" x14ac:dyDescent="0.2">
      <c r="A302" s="402" t="s">
        <v>765</v>
      </c>
      <c r="B302" s="403"/>
      <c r="C302" s="404" t="s">
        <v>766</v>
      </c>
      <c r="D302" s="405">
        <v>42149</v>
      </c>
      <c r="E302" s="406"/>
      <c r="F302" s="325"/>
      <c r="G302" s="324"/>
      <c r="H302" s="324">
        <v>5984.55</v>
      </c>
      <c r="I302" s="325">
        <v>2915.55</v>
      </c>
      <c r="J302" s="325"/>
      <c r="K302" s="325">
        <f t="shared" si="63"/>
        <v>0</v>
      </c>
      <c r="L302" s="325">
        <f t="shared" si="64"/>
        <v>0</v>
      </c>
      <c r="M302" s="407">
        <v>13.33</v>
      </c>
      <c r="N302" s="408" t="s">
        <v>289</v>
      </c>
      <c r="O302" s="325">
        <f t="shared" si="66"/>
        <v>0</v>
      </c>
      <c r="P302" s="325">
        <f t="shared" si="67"/>
        <v>0</v>
      </c>
      <c r="Q302" s="325">
        <f t="shared" si="68"/>
        <v>0</v>
      </c>
      <c r="R302" s="325">
        <f t="shared" si="69"/>
        <v>194</v>
      </c>
      <c r="S302" s="325">
        <f t="shared" si="70"/>
        <v>0</v>
      </c>
      <c r="T302" s="325">
        <f t="shared" si="72"/>
        <v>194</v>
      </c>
      <c r="U302" s="325">
        <f t="shared" si="71"/>
        <v>2721.55</v>
      </c>
      <c r="V302" s="325">
        <f t="shared" si="65"/>
        <v>0</v>
      </c>
      <c r="W302" s="449" cm="1">
        <f t="array" ref="W302">+IF(U302&lt;0,error,0)</f>
        <v>0</v>
      </c>
    </row>
    <row r="303" spans="1:23" ht="18" customHeight="1" x14ac:dyDescent="0.2">
      <c r="A303" s="402" t="s">
        <v>767</v>
      </c>
      <c r="B303" s="403"/>
      <c r="C303" s="404" t="s">
        <v>768</v>
      </c>
      <c r="D303" s="405">
        <v>41842</v>
      </c>
      <c r="E303" s="406"/>
      <c r="F303" s="325"/>
      <c r="G303" s="324"/>
      <c r="H303" s="324">
        <v>2500</v>
      </c>
      <c r="I303" s="325">
        <v>0</v>
      </c>
      <c r="J303" s="325"/>
      <c r="K303" s="325">
        <f t="shared" si="63"/>
        <v>0</v>
      </c>
      <c r="L303" s="325">
        <f t="shared" si="64"/>
        <v>0</v>
      </c>
      <c r="M303" s="407">
        <v>20</v>
      </c>
      <c r="N303" s="408" t="s">
        <v>289</v>
      </c>
      <c r="O303" s="325">
        <f t="shared" si="66"/>
        <v>0</v>
      </c>
      <c r="P303" s="325">
        <f t="shared" si="67"/>
        <v>0</v>
      </c>
      <c r="Q303" s="325">
        <f t="shared" si="68"/>
        <v>0</v>
      </c>
      <c r="R303" s="325">
        <f t="shared" si="69"/>
        <v>0</v>
      </c>
      <c r="S303" s="325">
        <f t="shared" si="70"/>
        <v>0</v>
      </c>
      <c r="T303" s="325">
        <f t="shared" si="72"/>
        <v>0</v>
      </c>
      <c r="U303" s="325">
        <f t="shared" si="71"/>
        <v>0</v>
      </c>
      <c r="V303" s="325">
        <f t="shared" si="65"/>
        <v>0</v>
      </c>
      <c r="W303" s="449" cm="1">
        <f t="array" ref="W303">+IF(U303&lt;0,error,0)</f>
        <v>0</v>
      </c>
    </row>
    <row r="304" spans="1:23" ht="18" customHeight="1" x14ac:dyDescent="0.2">
      <c r="A304" s="402" t="s">
        <v>776</v>
      </c>
      <c r="B304" s="403"/>
      <c r="C304" s="404" t="s">
        <v>777</v>
      </c>
      <c r="D304" s="405">
        <v>41934</v>
      </c>
      <c r="E304" s="406"/>
      <c r="F304" s="325"/>
      <c r="G304" s="324"/>
      <c r="H304" s="324">
        <v>869.32</v>
      </c>
      <c r="I304" s="325">
        <v>0</v>
      </c>
      <c r="J304" s="325"/>
      <c r="K304" s="325">
        <f t="shared" si="63"/>
        <v>0</v>
      </c>
      <c r="L304" s="325">
        <f t="shared" si="64"/>
        <v>0</v>
      </c>
      <c r="M304" s="407">
        <v>20</v>
      </c>
      <c r="N304" s="408" t="s">
        <v>289</v>
      </c>
      <c r="O304" s="325">
        <f t="shared" si="66"/>
        <v>0</v>
      </c>
      <c r="P304" s="325">
        <f t="shared" si="67"/>
        <v>0</v>
      </c>
      <c r="Q304" s="325">
        <f t="shared" si="68"/>
        <v>0</v>
      </c>
      <c r="R304" s="325">
        <f t="shared" si="69"/>
        <v>0</v>
      </c>
      <c r="S304" s="325">
        <f t="shared" si="70"/>
        <v>0</v>
      </c>
      <c r="T304" s="325">
        <f t="shared" si="72"/>
        <v>0</v>
      </c>
      <c r="U304" s="325">
        <f t="shared" si="71"/>
        <v>0</v>
      </c>
      <c r="V304" s="325">
        <f t="shared" si="65"/>
        <v>0</v>
      </c>
      <c r="W304" s="449" cm="1">
        <f t="array" ref="W304">+IF(U304&lt;0,error,0)</f>
        <v>0</v>
      </c>
    </row>
    <row r="305" spans="1:23" ht="18" customHeight="1" x14ac:dyDescent="0.2">
      <c r="A305" s="402" t="s">
        <v>780</v>
      </c>
      <c r="B305" s="403"/>
      <c r="C305" s="404" t="s">
        <v>781</v>
      </c>
      <c r="D305" s="405">
        <v>42217</v>
      </c>
      <c r="E305" s="406"/>
      <c r="F305" s="325"/>
      <c r="G305" s="324"/>
      <c r="H305" s="324">
        <v>6500</v>
      </c>
      <c r="I305" s="325">
        <v>2228</v>
      </c>
      <c r="J305" s="325"/>
      <c r="K305" s="325">
        <f t="shared" si="63"/>
        <v>0</v>
      </c>
      <c r="L305" s="325">
        <f t="shared" si="64"/>
        <v>0</v>
      </c>
      <c r="M305" s="407">
        <v>20</v>
      </c>
      <c r="N305" s="408" t="s">
        <v>289</v>
      </c>
      <c r="O305" s="325">
        <f t="shared" si="66"/>
        <v>0</v>
      </c>
      <c r="P305" s="325">
        <f t="shared" si="67"/>
        <v>0</v>
      </c>
      <c r="Q305" s="325">
        <f t="shared" si="68"/>
        <v>0</v>
      </c>
      <c r="R305" s="325">
        <f t="shared" si="69"/>
        <v>222</v>
      </c>
      <c r="S305" s="325">
        <f t="shared" si="70"/>
        <v>0</v>
      </c>
      <c r="T305" s="325">
        <f t="shared" si="72"/>
        <v>222</v>
      </c>
      <c r="U305" s="325">
        <f t="shared" si="71"/>
        <v>2006</v>
      </c>
      <c r="V305" s="325">
        <f t="shared" si="65"/>
        <v>0</v>
      </c>
      <c r="W305" s="449" cm="1">
        <f t="array" ref="W305">+IF(U305&lt;0,error,0)</f>
        <v>0</v>
      </c>
    </row>
    <row r="306" spans="1:23" ht="18" customHeight="1" x14ac:dyDescent="0.2">
      <c r="A306" s="402" t="s">
        <v>782</v>
      </c>
      <c r="B306" s="403"/>
      <c r="C306" s="404" t="s">
        <v>783</v>
      </c>
      <c r="D306" s="405">
        <v>42229</v>
      </c>
      <c r="E306" s="406"/>
      <c r="F306" s="325"/>
      <c r="G306" s="324"/>
      <c r="H306" s="324">
        <v>3477</v>
      </c>
      <c r="I306" s="325">
        <v>2091.5370000000003</v>
      </c>
      <c r="J306" s="325"/>
      <c r="K306" s="325">
        <f t="shared" si="63"/>
        <v>0</v>
      </c>
      <c r="L306" s="325">
        <f t="shared" si="64"/>
        <v>0</v>
      </c>
      <c r="M306" s="407">
        <v>10</v>
      </c>
      <c r="N306" s="408" t="s">
        <v>289</v>
      </c>
      <c r="O306" s="325">
        <f t="shared" si="66"/>
        <v>0</v>
      </c>
      <c r="P306" s="325">
        <f t="shared" si="67"/>
        <v>0</v>
      </c>
      <c r="Q306" s="325">
        <f t="shared" si="68"/>
        <v>0</v>
      </c>
      <c r="R306" s="325">
        <f t="shared" si="69"/>
        <v>104</v>
      </c>
      <c r="S306" s="325">
        <f t="shared" si="70"/>
        <v>0</v>
      </c>
      <c r="T306" s="325">
        <f t="shared" si="72"/>
        <v>104</v>
      </c>
      <c r="U306" s="325">
        <f t="shared" si="71"/>
        <v>1987.5370000000003</v>
      </c>
      <c r="V306" s="325">
        <f t="shared" si="65"/>
        <v>0</v>
      </c>
      <c r="W306" s="449" cm="1">
        <f t="array" ref="W306">+IF(U306&lt;0,error,0)</f>
        <v>0</v>
      </c>
    </row>
    <row r="307" spans="1:23" ht="18" customHeight="1" x14ac:dyDescent="0.2">
      <c r="A307" s="402" t="s">
        <v>784</v>
      </c>
      <c r="B307" s="403"/>
      <c r="C307" s="404" t="s">
        <v>785</v>
      </c>
      <c r="D307" s="405">
        <v>42233</v>
      </c>
      <c r="E307" s="406"/>
      <c r="F307" s="325"/>
      <c r="G307" s="324"/>
      <c r="H307" s="324">
        <v>3240</v>
      </c>
      <c r="I307" s="325">
        <v>1952</v>
      </c>
      <c r="J307" s="325"/>
      <c r="K307" s="325">
        <f t="shared" si="63"/>
        <v>0</v>
      </c>
      <c r="L307" s="325">
        <f t="shared" si="64"/>
        <v>0</v>
      </c>
      <c r="M307" s="407">
        <v>10</v>
      </c>
      <c r="N307" s="408" t="s">
        <v>289</v>
      </c>
      <c r="O307" s="325">
        <f t="shared" si="66"/>
        <v>0</v>
      </c>
      <c r="P307" s="325">
        <f t="shared" si="67"/>
        <v>0</v>
      </c>
      <c r="Q307" s="325">
        <f t="shared" si="68"/>
        <v>0</v>
      </c>
      <c r="R307" s="325">
        <f t="shared" si="69"/>
        <v>97</v>
      </c>
      <c r="S307" s="325">
        <f t="shared" si="70"/>
        <v>0</v>
      </c>
      <c r="T307" s="325">
        <f t="shared" si="72"/>
        <v>97</v>
      </c>
      <c r="U307" s="325">
        <f t="shared" si="71"/>
        <v>1855</v>
      </c>
      <c r="V307" s="325">
        <f t="shared" si="65"/>
        <v>0</v>
      </c>
      <c r="W307" s="449" cm="1">
        <f t="array" ref="W307">+IF(U307&lt;0,error,0)</f>
        <v>0</v>
      </c>
    </row>
    <row r="308" spans="1:23" ht="18" customHeight="1" x14ac:dyDescent="0.2">
      <c r="A308" s="402" t="s">
        <v>786</v>
      </c>
      <c r="B308" s="403"/>
      <c r="C308" s="404" t="s">
        <v>787</v>
      </c>
      <c r="D308" s="405">
        <v>42278</v>
      </c>
      <c r="E308" s="406"/>
      <c r="F308" s="325"/>
      <c r="G308" s="324"/>
      <c r="H308" s="324">
        <v>953.64</v>
      </c>
      <c r="I308" s="325">
        <v>207.64</v>
      </c>
      <c r="J308" s="325"/>
      <c r="K308" s="325">
        <f t="shared" si="63"/>
        <v>0</v>
      </c>
      <c r="L308" s="325">
        <f t="shared" si="64"/>
        <v>0</v>
      </c>
      <c r="M308" s="407">
        <v>28.5</v>
      </c>
      <c r="N308" s="408" t="s">
        <v>289</v>
      </c>
      <c r="O308" s="325">
        <f t="shared" si="66"/>
        <v>0</v>
      </c>
      <c r="P308" s="325">
        <f t="shared" si="67"/>
        <v>0</v>
      </c>
      <c r="Q308" s="325">
        <f t="shared" si="68"/>
        <v>0</v>
      </c>
      <c r="R308" s="325">
        <f t="shared" si="69"/>
        <v>29</v>
      </c>
      <c r="S308" s="325">
        <f t="shared" si="70"/>
        <v>0</v>
      </c>
      <c r="T308" s="325">
        <f t="shared" si="72"/>
        <v>29</v>
      </c>
      <c r="U308" s="325">
        <f t="shared" si="71"/>
        <v>178.64</v>
      </c>
      <c r="V308" s="325">
        <f t="shared" si="65"/>
        <v>0</v>
      </c>
      <c r="W308" s="449" cm="1">
        <f t="array" ref="W308">+IF(U308&lt;0,error,0)</f>
        <v>0</v>
      </c>
    </row>
    <row r="309" spans="1:23" ht="18" customHeight="1" x14ac:dyDescent="0.2">
      <c r="A309" s="402" t="s">
        <v>788</v>
      </c>
      <c r="B309" s="403"/>
      <c r="C309" s="404" t="s">
        <v>2149</v>
      </c>
      <c r="D309" s="405">
        <v>42353</v>
      </c>
      <c r="E309" s="406"/>
      <c r="F309" s="325"/>
      <c r="G309" s="324"/>
      <c r="H309" s="324">
        <f>2395*7</f>
        <v>16765</v>
      </c>
      <c r="I309" s="325">
        <v>8872.6666666666661</v>
      </c>
      <c r="J309" s="325"/>
      <c r="K309" s="325">
        <f t="shared" si="63"/>
        <v>0</v>
      </c>
      <c r="L309" s="325">
        <f t="shared" si="64"/>
        <v>0</v>
      </c>
      <c r="M309" s="407">
        <v>13.3</v>
      </c>
      <c r="N309" s="408" t="s">
        <v>289</v>
      </c>
      <c r="O309" s="325">
        <f t="shared" si="66"/>
        <v>0</v>
      </c>
      <c r="P309" s="325">
        <f t="shared" si="67"/>
        <v>0</v>
      </c>
      <c r="Q309" s="325">
        <f t="shared" si="68"/>
        <v>0</v>
      </c>
      <c r="R309" s="325">
        <f t="shared" si="69"/>
        <v>590</v>
      </c>
      <c r="S309" s="325">
        <f t="shared" si="70"/>
        <v>0</v>
      </c>
      <c r="T309" s="325">
        <f t="shared" si="72"/>
        <v>590</v>
      </c>
      <c r="U309" s="325">
        <f t="shared" si="71"/>
        <v>8282.6666666666661</v>
      </c>
      <c r="V309" s="325">
        <f t="shared" si="65"/>
        <v>0</v>
      </c>
      <c r="W309" s="449" cm="1">
        <f t="array" ref="W309">+IF(U309&lt;0,error,0)</f>
        <v>0</v>
      </c>
    </row>
    <row r="310" spans="1:23" ht="18" customHeight="1" x14ac:dyDescent="0.2">
      <c r="A310" s="402" t="s">
        <v>790</v>
      </c>
      <c r="B310" s="403"/>
      <c r="C310" s="404" t="s">
        <v>791</v>
      </c>
      <c r="D310" s="405">
        <v>42377</v>
      </c>
      <c r="E310" s="406"/>
      <c r="F310" s="325"/>
      <c r="G310" s="324"/>
      <c r="H310" s="324">
        <v>12760</v>
      </c>
      <c r="I310" s="325">
        <v>8015</v>
      </c>
      <c r="J310" s="325"/>
      <c r="K310" s="325">
        <f t="shared" si="63"/>
        <v>0</v>
      </c>
      <c r="L310" s="325">
        <f t="shared" si="64"/>
        <v>0</v>
      </c>
      <c r="M310" s="407">
        <v>10</v>
      </c>
      <c r="N310" s="408" t="s">
        <v>289</v>
      </c>
      <c r="O310" s="325">
        <f t="shared" si="66"/>
        <v>0</v>
      </c>
      <c r="P310" s="325">
        <f t="shared" si="67"/>
        <v>0</v>
      </c>
      <c r="Q310" s="325">
        <f t="shared" si="68"/>
        <v>0</v>
      </c>
      <c r="R310" s="325">
        <f t="shared" si="69"/>
        <v>400</v>
      </c>
      <c r="S310" s="325">
        <f t="shared" si="70"/>
        <v>0</v>
      </c>
      <c r="T310" s="325">
        <f t="shared" si="72"/>
        <v>400</v>
      </c>
      <c r="U310" s="325">
        <f t="shared" si="71"/>
        <v>7615</v>
      </c>
      <c r="V310" s="325">
        <f t="shared" si="65"/>
        <v>0</v>
      </c>
      <c r="W310" s="449" cm="1">
        <f t="array" ref="W310">+IF(U310&lt;0,error,0)</f>
        <v>0</v>
      </c>
    </row>
    <row r="311" spans="1:23" ht="18" customHeight="1" x14ac:dyDescent="0.2">
      <c r="A311" s="402" t="s">
        <v>792</v>
      </c>
      <c r="B311" s="403"/>
      <c r="C311" s="404" t="s">
        <v>793</v>
      </c>
      <c r="D311" s="405">
        <v>42388</v>
      </c>
      <c r="E311" s="406"/>
      <c r="F311" s="325"/>
      <c r="G311" s="324"/>
      <c r="H311" s="324">
        <v>6380</v>
      </c>
      <c r="I311" s="325">
        <v>4021</v>
      </c>
      <c r="J311" s="325"/>
      <c r="K311" s="325">
        <f t="shared" si="63"/>
        <v>0</v>
      </c>
      <c r="L311" s="325">
        <f t="shared" si="64"/>
        <v>0</v>
      </c>
      <c r="M311" s="407">
        <v>10</v>
      </c>
      <c r="N311" s="408" t="s">
        <v>289</v>
      </c>
      <c r="O311" s="325">
        <f t="shared" si="66"/>
        <v>0</v>
      </c>
      <c r="P311" s="325">
        <f t="shared" si="67"/>
        <v>0</v>
      </c>
      <c r="Q311" s="325">
        <f t="shared" si="68"/>
        <v>0</v>
      </c>
      <c r="R311" s="325">
        <f t="shared" si="69"/>
        <v>201</v>
      </c>
      <c r="S311" s="325">
        <f t="shared" si="70"/>
        <v>0</v>
      </c>
      <c r="T311" s="325">
        <f t="shared" si="72"/>
        <v>201</v>
      </c>
      <c r="U311" s="325">
        <f t="shared" si="71"/>
        <v>3820</v>
      </c>
      <c r="V311" s="325">
        <f t="shared" si="65"/>
        <v>0</v>
      </c>
      <c r="W311" s="449" cm="1">
        <f t="array" ref="W311">+IF(U311&lt;0,error,0)</f>
        <v>0</v>
      </c>
    </row>
    <row r="312" spans="1:23" ht="18" customHeight="1" x14ac:dyDescent="0.2">
      <c r="A312" s="402" t="s">
        <v>794</v>
      </c>
      <c r="B312" s="403"/>
      <c r="C312" s="404" t="s">
        <v>795</v>
      </c>
      <c r="D312" s="405">
        <v>42389</v>
      </c>
      <c r="E312" s="406"/>
      <c r="F312" s="325"/>
      <c r="G312" s="324"/>
      <c r="H312" s="324">
        <v>10394.790000000001</v>
      </c>
      <c r="I312" s="325">
        <v>3972.79</v>
      </c>
      <c r="J312" s="325"/>
      <c r="K312" s="325">
        <f t="shared" si="63"/>
        <v>0</v>
      </c>
      <c r="L312" s="325">
        <f t="shared" si="64"/>
        <v>0</v>
      </c>
      <c r="M312" s="407">
        <v>20</v>
      </c>
      <c r="N312" s="408" t="s">
        <v>289</v>
      </c>
      <c r="O312" s="325">
        <f t="shared" si="66"/>
        <v>0</v>
      </c>
      <c r="P312" s="325">
        <f t="shared" si="67"/>
        <v>0</v>
      </c>
      <c r="Q312" s="325">
        <f t="shared" si="68"/>
        <v>0</v>
      </c>
      <c r="R312" s="325">
        <f t="shared" si="69"/>
        <v>397</v>
      </c>
      <c r="S312" s="325">
        <f t="shared" si="70"/>
        <v>0</v>
      </c>
      <c r="T312" s="325">
        <f t="shared" si="72"/>
        <v>397</v>
      </c>
      <c r="U312" s="325">
        <f t="shared" si="71"/>
        <v>3575.79</v>
      </c>
      <c r="V312" s="325">
        <f t="shared" si="65"/>
        <v>0</v>
      </c>
      <c r="W312" s="449" cm="1">
        <f t="array" ref="W312">+IF(U312&lt;0,error,0)</f>
        <v>0</v>
      </c>
    </row>
    <row r="313" spans="1:23" ht="18" customHeight="1" x14ac:dyDescent="0.2">
      <c r="A313" s="402" t="s">
        <v>796</v>
      </c>
      <c r="B313" s="403"/>
      <c r="C313" s="412" t="s">
        <v>797</v>
      </c>
      <c r="D313" s="405">
        <v>42404</v>
      </c>
      <c r="E313" s="406"/>
      <c r="F313" s="325"/>
      <c r="G313" s="324"/>
      <c r="H313" s="324">
        <v>1645</v>
      </c>
      <c r="I313" s="325">
        <v>204</v>
      </c>
      <c r="J313" s="325"/>
      <c r="K313" s="325">
        <f t="shared" si="63"/>
        <v>0</v>
      </c>
      <c r="L313" s="325">
        <f t="shared" si="64"/>
        <v>0</v>
      </c>
      <c r="M313" s="407">
        <v>40</v>
      </c>
      <c r="N313" s="408" t="s">
        <v>289</v>
      </c>
      <c r="O313" s="325">
        <f t="shared" si="66"/>
        <v>0</v>
      </c>
      <c r="P313" s="325">
        <f t="shared" si="67"/>
        <v>0</v>
      </c>
      <c r="Q313" s="325">
        <f t="shared" si="68"/>
        <v>0</v>
      </c>
      <c r="R313" s="325">
        <f t="shared" si="69"/>
        <v>40</v>
      </c>
      <c r="S313" s="325">
        <f t="shared" si="70"/>
        <v>0</v>
      </c>
      <c r="T313" s="325">
        <f t="shared" si="72"/>
        <v>40</v>
      </c>
      <c r="U313" s="325">
        <f t="shared" si="71"/>
        <v>164</v>
      </c>
      <c r="V313" s="325">
        <f t="shared" si="65"/>
        <v>0</v>
      </c>
      <c r="W313" s="449" cm="1">
        <f t="array" ref="W313">+IF(U313&lt;0,error,0)</f>
        <v>0</v>
      </c>
    </row>
    <row r="314" spans="1:23" ht="18" customHeight="1" x14ac:dyDescent="0.2">
      <c r="A314" s="402" t="s">
        <v>798</v>
      </c>
      <c r="B314" s="403"/>
      <c r="C314" s="404" t="s">
        <v>799</v>
      </c>
      <c r="D314" s="405">
        <v>42422</v>
      </c>
      <c r="E314" s="406"/>
      <c r="F314" s="325"/>
      <c r="G314" s="324"/>
      <c r="H314" s="324">
        <v>8528</v>
      </c>
      <c r="I314" s="325">
        <v>4630</v>
      </c>
      <c r="J314" s="325"/>
      <c r="K314" s="325">
        <f t="shared" si="63"/>
        <v>0</v>
      </c>
      <c r="L314" s="325">
        <f t="shared" si="64"/>
        <v>0</v>
      </c>
      <c r="M314" s="407">
        <v>13.33</v>
      </c>
      <c r="N314" s="408" t="s">
        <v>289</v>
      </c>
      <c r="O314" s="325">
        <f t="shared" si="66"/>
        <v>0</v>
      </c>
      <c r="P314" s="325">
        <f t="shared" si="67"/>
        <v>0</v>
      </c>
      <c r="Q314" s="325">
        <f t="shared" si="68"/>
        <v>0</v>
      </c>
      <c r="R314" s="325">
        <f t="shared" si="69"/>
        <v>308</v>
      </c>
      <c r="S314" s="325">
        <f t="shared" si="70"/>
        <v>0</v>
      </c>
      <c r="T314" s="325">
        <f t="shared" si="72"/>
        <v>308</v>
      </c>
      <c r="U314" s="325">
        <f t="shared" si="71"/>
        <v>4322</v>
      </c>
      <c r="V314" s="325">
        <f t="shared" si="65"/>
        <v>0</v>
      </c>
      <c r="W314" s="449" cm="1">
        <f t="array" ref="W314">+IF(U314&lt;0,error,0)</f>
        <v>0</v>
      </c>
    </row>
    <row r="315" spans="1:23" ht="18" customHeight="1" x14ac:dyDescent="0.2">
      <c r="A315" s="402" t="s">
        <v>800</v>
      </c>
      <c r="B315" s="403"/>
      <c r="C315" s="404" t="s">
        <v>801</v>
      </c>
      <c r="D315" s="405">
        <v>42424</v>
      </c>
      <c r="E315" s="406"/>
      <c r="F315" s="325"/>
      <c r="G315" s="324"/>
      <c r="H315" s="324">
        <v>11000</v>
      </c>
      <c r="I315" s="325">
        <v>5976</v>
      </c>
      <c r="J315" s="325"/>
      <c r="K315" s="325">
        <f t="shared" si="63"/>
        <v>0</v>
      </c>
      <c r="L315" s="325">
        <f t="shared" si="64"/>
        <v>0</v>
      </c>
      <c r="M315" s="407">
        <v>13.33</v>
      </c>
      <c r="N315" s="408" t="s">
        <v>289</v>
      </c>
      <c r="O315" s="325">
        <f t="shared" si="66"/>
        <v>0</v>
      </c>
      <c r="P315" s="325">
        <f t="shared" si="67"/>
        <v>0</v>
      </c>
      <c r="Q315" s="325">
        <f t="shared" si="68"/>
        <v>0</v>
      </c>
      <c r="R315" s="325">
        <f t="shared" si="69"/>
        <v>398</v>
      </c>
      <c r="S315" s="325">
        <f t="shared" si="70"/>
        <v>0</v>
      </c>
      <c r="T315" s="325">
        <f t="shared" si="72"/>
        <v>398</v>
      </c>
      <c r="U315" s="325">
        <f t="shared" si="71"/>
        <v>5578</v>
      </c>
      <c r="V315" s="325">
        <f t="shared" si="65"/>
        <v>0</v>
      </c>
      <c r="W315" s="449" cm="1">
        <f t="array" ref="W315">+IF(U315&lt;0,error,0)</f>
        <v>0</v>
      </c>
    </row>
    <row r="316" spans="1:23" ht="18" customHeight="1" x14ac:dyDescent="0.2">
      <c r="A316" s="402" t="s">
        <v>802</v>
      </c>
      <c r="B316" s="403"/>
      <c r="C316" s="412" t="s">
        <v>803</v>
      </c>
      <c r="D316" s="405">
        <v>42461</v>
      </c>
      <c r="E316" s="406"/>
      <c r="F316" s="325"/>
      <c r="G316" s="324"/>
      <c r="H316" s="324">
        <v>4822.4000000000005</v>
      </c>
      <c r="I316" s="325">
        <v>2657.4</v>
      </c>
      <c r="J316" s="325"/>
      <c r="K316" s="325">
        <f t="shared" ref="K316:K380" si="73">INT(IF($E316&gt;0,IF(+F316-I316+Q316&lt;0,0,+F316-I316+Q316),0))</f>
        <v>0</v>
      </c>
      <c r="L316" s="325">
        <f t="shared" ref="L316:L380" si="74">INT(IF($E316&gt;0,IF(K316=0,-F316+I316-Q316,0),0))</f>
        <v>0</v>
      </c>
      <c r="M316" s="407">
        <v>13.33</v>
      </c>
      <c r="N316" s="408" t="s">
        <v>289</v>
      </c>
      <c r="O316" s="325">
        <f t="shared" si="66"/>
        <v>0</v>
      </c>
      <c r="P316" s="325">
        <f t="shared" si="67"/>
        <v>0</v>
      </c>
      <c r="Q316" s="325">
        <f t="shared" si="68"/>
        <v>0</v>
      </c>
      <c r="R316" s="325">
        <f t="shared" si="69"/>
        <v>177</v>
      </c>
      <c r="S316" s="325">
        <f t="shared" si="70"/>
        <v>0</v>
      </c>
      <c r="T316" s="325">
        <f t="shared" si="72"/>
        <v>177</v>
      </c>
      <c r="U316" s="325">
        <f t="shared" si="71"/>
        <v>2480.4</v>
      </c>
      <c r="V316" s="325">
        <f t="shared" ref="V316:V380" si="75">IF(E316&gt;0,+H316+J316,0)</f>
        <v>0</v>
      </c>
      <c r="W316" s="449" cm="1">
        <f t="array" ref="W316">+IF(U316&lt;0,error,0)</f>
        <v>0</v>
      </c>
    </row>
    <row r="317" spans="1:23" ht="18" customHeight="1" x14ac:dyDescent="0.2">
      <c r="A317" s="402" t="s">
        <v>804</v>
      </c>
      <c r="B317" s="403"/>
      <c r="C317" s="404" t="s">
        <v>805</v>
      </c>
      <c r="D317" s="405">
        <v>42461</v>
      </c>
      <c r="E317" s="406"/>
      <c r="F317" s="325"/>
      <c r="G317" s="324"/>
      <c r="H317" s="324">
        <v>7445</v>
      </c>
      <c r="I317" s="325">
        <v>4104</v>
      </c>
      <c r="J317" s="325"/>
      <c r="K317" s="325">
        <f t="shared" si="73"/>
        <v>0</v>
      </c>
      <c r="L317" s="325">
        <f t="shared" si="74"/>
        <v>0</v>
      </c>
      <c r="M317" s="407">
        <v>13.33</v>
      </c>
      <c r="N317" s="408" t="s">
        <v>289</v>
      </c>
      <c r="O317" s="325">
        <f t="shared" ref="O317:O381" si="76">IF(E317&gt;0,INT(IF($N317="D",IF($D317&lt;$H$3,$I317*($M317/100)*((E317-$H$3)/365),$J317*($M317/100)*($J$3-$D317)/365),0)),0)</f>
        <v>0</v>
      </c>
      <c r="P317" s="325">
        <f t="shared" ref="P317:P381" si="77">IF(E317&gt;0,INT(IF($N317="P",IF($D317&lt;$H$3,$H317*($M317/100)*(E317-$H$3)/365,$J317*($M317/100)*($J$3-$D317)/365),0)),0)</f>
        <v>0</v>
      </c>
      <c r="Q317" s="325">
        <f t="shared" ref="Q317:Q381" si="78">+O317+P317</f>
        <v>0</v>
      </c>
      <c r="R317" s="325">
        <f t="shared" ref="R317:R381" si="79">INT(IF($E317&gt;0,0,(IF($N317="D",IF($D317&lt;$H$3,$I317*($M317/100)*$U$3/12,$J317*($M317/100)*($J$3-$D317)/365),0))))</f>
        <v>273</v>
      </c>
      <c r="S317" s="325">
        <f t="shared" ref="S317:S381" si="80">INT(IF($E317&gt;0,0,(IF($N317="P",IF($D317&lt;$H$3,$H317*($M317/100)*$U$3/12,$J317*($M317/100)*($J$3-$D317)/365),0))))</f>
        <v>0</v>
      </c>
      <c r="T317" s="325">
        <f t="shared" si="72"/>
        <v>273</v>
      </c>
      <c r="U317" s="325">
        <f t="shared" si="71"/>
        <v>3831</v>
      </c>
      <c r="V317" s="325">
        <f t="shared" si="75"/>
        <v>0</v>
      </c>
      <c r="W317" s="449" cm="1">
        <f t="array" ref="W317">+IF(U317&lt;0,error,0)</f>
        <v>0</v>
      </c>
    </row>
    <row r="318" spans="1:23" ht="18" customHeight="1" x14ac:dyDescent="0.2">
      <c r="A318" s="402" t="s">
        <v>806</v>
      </c>
      <c r="B318" s="403"/>
      <c r="C318" s="412" t="s">
        <v>807</v>
      </c>
      <c r="D318" s="405">
        <v>42492</v>
      </c>
      <c r="E318" s="406"/>
      <c r="F318" s="325"/>
      <c r="G318" s="324"/>
      <c r="H318" s="324">
        <v>57910</v>
      </c>
      <c r="I318" s="325">
        <v>32274</v>
      </c>
      <c r="J318" s="325"/>
      <c r="K318" s="325">
        <f t="shared" si="73"/>
        <v>0</v>
      </c>
      <c r="L318" s="325">
        <f t="shared" si="74"/>
        <v>0</v>
      </c>
      <c r="M318" s="407">
        <v>13.33</v>
      </c>
      <c r="N318" s="408" t="s">
        <v>289</v>
      </c>
      <c r="O318" s="325">
        <f t="shared" si="76"/>
        <v>0</v>
      </c>
      <c r="P318" s="325">
        <f t="shared" si="77"/>
        <v>0</v>
      </c>
      <c r="Q318" s="325">
        <f t="shared" si="78"/>
        <v>0</v>
      </c>
      <c r="R318" s="325">
        <f t="shared" si="79"/>
        <v>2151</v>
      </c>
      <c r="S318" s="325">
        <f t="shared" si="80"/>
        <v>0</v>
      </c>
      <c r="T318" s="325">
        <f t="shared" si="72"/>
        <v>2151</v>
      </c>
      <c r="U318" s="325">
        <f t="shared" si="71"/>
        <v>30123</v>
      </c>
      <c r="V318" s="325">
        <f t="shared" si="75"/>
        <v>0</v>
      </c>
      <c r="W318" s="449" cm="1">
        <f t="array" ref="W318">+IF(U318&lt;0,error,0)</f>
        <v>0</v>
      </c>
    </row>
    <row r="319" spans="1:23" ht="18" customHeight="1" x14ac:dyDescent="0.2">
      <c r="A319" s="402" t="s">
        <v>808</v>
      </c>
      <c r="B319" s="403"/>
      <c r="C319" s="404" t="s">
        <v>809</v>
      </c>
      <c r="D319" s="405">
        <v>42517</v>
      </c>
      <c r="E319" s="406"/>
      <c r="F319" s="325"/>
      <c r="G319" s="324"/>
      <c r="H319" s="324">
        <v>1500</v>
      </c>
      <c r="I319" s="325">
        <v>981</v>
      </c>
      <c r="J319" s="325"/>
      <c r="K319" s="325">
        <f t="shared" si="73"/>
        <v>0</v>
      </c>
      <c r="L319" s="325">
        <f t="shared" si="74"/>
        <v>0</v>
      </c>
      <c r="M319" s="407">
        <v>10</v>
      </c>
      <c r="N319" s="408" t="s">
        <v>289</v>
      </c>
      <c r="O319" s="325">
        <f t="shared" si="76"/>
        <v>0</v>
      </c>
      <c r="P319" s="325">
        <f t="shared" si="77"/>
        <v>0</v>
      </c>
      <c r="Q319" s="325">
        <f t="shared" si="78"/>
        <v>0</v>
      </c>
      <c r="R319" s="325">
        <f t="shared" si="79"/>
        <v>49</v>
      </c>
      <c r="S319" s="325">
        <f t="shared" si="80"/>
        <v>0</v>
      </c>
      <c r="T319" s="325">
        <f t="shared" si="72"/>
        <v>49</v>
      </c>
      <c r="U319" s="325">
        <f t="shared" ref="U319:U383" si="81">+I319+J319-T319-F319+K319-L319</f>
        <v>932</v>
      </c>
      <c r="V319" s="325">
        <f t="shared" si="75"/>
        <v>0</v>
      </c>
      <c r="W319" s="449" cm="1">
        <f t="array" ref="W319">+IF(U319&lt;0,error,0)</f>
        <v>0</v>
      </c>
    </row>
    <row r="320" spans="1:23" ht="18" customHeight="1" x14ac:dyDescent="0.2">
      <c r="A320" s="402" t="s">
        <v>810</v>
      </c>
      <c r="B320" s="403"/>
      <c r="C320" s="404" t="s">
        <v>811</v>
      </c>
      <c r="D320" s="405">
        <v>42520</v>
      </c>
      <c r="E320" s="406"/>
      <c r="F320" s="325"/>
      <c r="G320" s="324"/>
      <c r="H320" s="324">
        <v>3000</v>
      </c>
      <c r="I320" s="325">
        <v>1963</v>
      </c>
      <c r="J320" s="325"/>
      <c r="K320" s="325">
        <f t="shared" si="73"/>
        <v>0</v>
      </c>
      <c r="L320" s="325">
        <f t="shared" si="74"/>
        <v>0</v>
      </c>
      <c r="M320" s="407">
        <v>10</v>
      </c>
      <c r="N320" s="408" t="s">
        <v>289</v>
      </c>
      <c r="O320" s="325">
        <f t="shared" si="76"/>
        <v>0</v>
      </c>
      <c r="P320" s="325">
        <f t="shared" si="77"/>
        <v>0</v>
      </c>
      <c r="Q320" s="325">
        <f t="shared" si="78"/>
        <v>0</v>
      </c>
      <c r="R320" s="325">
        <f t="shared" si="79"/>
        <v>98</v>
      </c>
      <c r="S320" s="325">
        <f t="shared" si="80"/>
        <v>0</v>
      </c>
      <c r="T320" s="325">
        <f t="shared" si="72"/>
        <v>98</v>
      </c>
      <c r="U320" s="325">
        <f t="shared" si="81"/>
        <v>1865</v>
      </c>
      <c r="V320" s="325">
        <f t="shared" si="75"/>
        <v>0</v>
      </c>
      <c r="W320" s="449" cm="1">
        <f t="array" ref="W320">+IF(U320&lt;0,error,0)</f>
        <v>0</v>
      </c>
    </row>
    <row r="321" spans="1:23" ht="18" customHeight="1" x14ac:dyDescent="0.2">
      <c r="A321" s="402" t="s">
        <v>812</v>
      </c>
      <c r="B321" s="403"/>
      <c r="C321" s="404" t="s">
        <v>813</v>
      </c>
      <c r="D321" s="405">
        <v>42552</v>
      </c>
      <c r="E321" s="406"/>
      <c r="F321" s="325"/>
      <c r="G321" s="324"/>
      <c r="H321" s="324">
        <v>2289.5500000000002</v>
      </c>
      <c r="I321" s="325">
        <v>1511.55</v>
      </c>
      <c r="J321" s="325"/>
      <c r="K321" s="325">
        <f t="shared" si="73"/>
        <v>0</v>
      </c>
      <c r="L321" s="325">
        <f t="shared" si="74"/>
        <v>0</v>
      </c>
      <c r="M321" s="407">
        <v>10</v>
      </c>
      <c r="N321" s="408" t="s">
        <v>289</v>
      </c>
      <c r="O321" s="325">
        <f t="shared" si="76"/>
        <v>0</v>
      </c>
      <c r="P321" s="325">
        <f t="shared" si="77"/>
        <v>0</v>
      </c>
      <c r="Q321" s="325">
        <f t="shared" si="78"/>
        <v>0</v>
      </c>
      <c r="R321" s="325">
        <f t="shared" si="79"/>
        <v>75</v>
      </c>
      <c r="S321" s="325">
        <f t="shared" si="80"/>
        <v>0</v>
      </c>
      <c r="T321" s="325">
        <f t="shared" si="72"/>
        <v>75</v>
      </c>
      <c r="U321" s="325">
        <f t="shared" si="81"/>
        <v>1436.55</v>
      </c>
      <c r="V321" s="325">
        <f t="shared" si="75"/>
        <v>0</v>
      </c>
      <c r="W321" s="449" cm="1">
        <f t="array" ref="W321">+IF(U321&lt;0,error,0)</f>
        <v>0</v>
      </c>
    </row>
    <row r="322" spans="1:23" ht="18" customHeight="1" x14ac:dyDescent="0.2">
      <c r="A322" s="402" t="s">
        <v>814</v>
      </c>
      <c r="B322" s="403"/>
      <c r="C322" s="404" t="s">
        <v>815</v>
      </c>
      <c r="D322" s="405">
        <v>42716</v>
      </c>
      <c r="E322" s="406"/>
      <c r="F322" s="325"/>
      <c r="G322" s="324"/>
      <c r="H322" s="324">
        <v>14640</v>
      </c>
      <c r="I322" s="325">
        <v>10140</v>
      </c>
      <c r="J322" s="325"/>
      <c r="K322" s="325">
        <f t="shared" si="73"/>
        <v>0</v>
      </c>
      <c r="L322" s="325">
        <f t="shared" si="74"/>
        <v>0</v>
      </c>
      <c r="M322" s="407">
        <v>10</v>
      </c>
      <c r="N322" s="408" t="s">
        <v>289</v>
      </c>
      <c r="O322" s="325">
        <f t="shared" si="76"/>
        <v>0</v>
      </c>
      <c r="P322" s="325">
        <f t="shared" si="77"/>
        <v>0</v>
      </c>
      <c r="Q322" s="325">
        <f t="shared" si="78"/>
        <v>0</v>
      </c>
      <c r="R322" s="325">
        <f t="shared" si="79"/>
        <v>507</v>
      </c>
      <c r="S322" s="325">
        <f t="shared" si="80"/>
        <v>0</v>
      </c>
      <c r="T322" s="325">
        <f t="shared" si="72"/>
        <v>507</v>
      </c>
      <c r="U322" s="325">
        <f t="shared" si="81"/>
        <v>9633</v>
      </c>
      <c r="V322" s="325">
        <f t="shared" si="75"/>
        <v>0</v>
      </c>
      <c r="W322" s="449" cm="1">
        <f t="array" ref="W322">+IF(U322&lt;0,error,0)</f>
        <v>0</v>
      </c>
    </row>
    <row r="323" spans="1:23" ht="18" customHeight="1" x14ac:dyDescent="0.2">
      <c r="A323" s="402" t="s">
        <v>816</v>
      </c>
      <c r="B323" s="403"/>
      <c r="C323" s="404" t="s">
        <v>815</v>
      </c>
      <c r="D323" s="405">
        <v>42716</v>
      </c>
      <c r="E323" s="406"/>
      <c r="F323" s="325"/>
      <c r="G323" s="324"/>
      <c r="H323" s="324">
        <v>14640</v>
      </c>
      <c r="I323" s="325">
        <v>10140</v>
      </c>
      <c r="J323" s="325"/>
      <c r="K323" s="325">
        <f t="shared" si="73"/>
        <v>0</v>
      </c>
      <c r="L323" s="325">
        <f t="shared" si="74"/>
        <v>0</v>
      </c>
      <c r="M323" s="407">
        <v>10</v>
      </c>
      <c r="N323" s="408" t="s">
        <v>289</v>
      </c>
      <c r="O323" s="325">
        <f t="shared" si="76"/>
        <v>0</v>
      </c>
      <c r="P323" s="325">
        <f t="shared" si="77"/>
        <v>0</v>
      </c>
      <c r="Q323" s="325">
        <f t="shared" si="78"/>
        <v>0</v>
      </c>
      <c r="R323" s="325">
        <f t="shared" si="79"/>
        <v>507</v>
      </c>
      <c r="S323" s="325">
        <f t="shared" si="80"/>
        <v>0</v>
      </c>
      <c r="T323" s="325">
        <f t="shared" si="72"/>
        <v>507</v>
      </c>
      <c r="U323" s="325">
        <f t="shared" si="81"/>
        <v>9633</v>
      </c>
      <c r="V323" s="325">
        <f t="shared" si="75"/>
        <v>0</v>
      </c>
      <c r="W323" s="449" cm="1">
        <f t="array" ref="W323">+IF(U323&lt;0,error,0)</f>
        <v>0</v>
      </c>
    </row>
    <row r="324" spans="1:23" ht="18" customHeight="1" x14ac:dyDescent="0.2">
      <c r="A324" s="402" t="s">
        <v>817</v>
      </c>
      <c r="B324" s="403"/>
      <c r="C324" s="404" t="s">
        <v>818</v>
      </c>
      <c r="D324" s="405">
        <v>42775</v>
      </c>
      <c r="E324" s="406"/>
      <c r="F324" s="325"/>
      <c r="G324" s="324"/>
      <c r="H324" s="324">
        <v>23446.77</v>
      </c>
      <c r="I324" s="325">
        <v>11340.77</v>
      </c>
      <c r="J324" s="325"/>
      <c r="K324" s="325">
        <f t="shared" si="73"/>
        <v>0</v>
      </c>
      <c r="L324" s="325">
        <f t="shared" si="74"/>
        <v>0</v>
      </c>
      <c r="M324" s="407">
        <v>20</v>
      </c>
      <c r="N324" s="408" t="s">
        <v>289</v>
      </c>
      <c r="O324" s="325">
        <f t="shared" si="76"/>
        <v>0</v>
      </c>
      <c r="P324" s="325">
        <f t="shared" si="77"/>
        <v>0</v>
      </c>
      <c r="Q324" s="325">
        <f t="shared" si="78"/>
        <v>0</v>
      </c>
      <c r="R324" s="325">
        <f t="shared" si="79"/>
        <v>1134</v>
      </c>
      <c r="S324" s="325">
        <f t="shared" si="80"/>
        <v>0</v>
      </c>
      <c r="T324" s="325">
        <f t="shared" si="72"/>
        <v>1134</v>
      </c>
      <c r="U324" s="325">
        <f t="shared" si="81"/>
        <v>10206.77</v>
      </c>
      <c r="V324" s="325">
        <f t="shared" si="75"/>
        <v>0</v>
      </c>
      <c r="W324" s="449" cm="1">
        <f t="array" ref="W324">+IF(U324&lt;0,error,0)</f>
        <v>0</v>
      </c>
    </row>
    <row r="325" spans="1:23" ht="18" customHeight="1" x14ac:dyDescent="0.2">
      <c r="A325" s="402" t="s">
        <v>819</v>
      </c>
      <c r="B325" s="403"/>
      <c r="C325" s="404" t="s">
        <v>820</v>
      </c>
      <c r="D325" s="405">
        <v>42781</v>
      </c>
      <c r="E325" s="406"/>
      <c r="F325" s="325"/>
      <c r="G325" s="324"/>
      <c r="H325" s="324">
        <v>2440</v>
      </c>
      <c r="I325" s="325">
        <v>1722</v>
      </c>
      <c r="J325" s="325"/>
      <c r="K325" s="325">
        <f t="shared" si="73"/>
        <v>0</v>
      </c>
      <c r="L325" s="325">
        <f t="shared" si="74"/>
        <v>0</v>
      </c>
      <c r="M325" s="407">
        <v>10</v>
      </c>
      <c r="N325" s="408" t="s">
        <v>289</v>
      </c>
      <c r="O325" s="325">
        <f t="shared" si="76"/>
        <v>0</v>
      </c>
      <c r="P325" s="325">
        <f t="shared" si="77"/>
        <v>0</v>
      </c>
      <c r="Q325" s="325">
        <f t="shared" si="78"/>
        <v>0</v>
      </c>
      <c r="R325" s="325">
        <f t="shared" si="79"/>
        <v>86</v>
      </c>
      <c r="S325" s="325">
        <f t="shared" si="80"/>
        <v>0</v>
      </c>
      <c r="T325" s="325">
        <f t="shared" si="72"/>
        <v>86</v>
      </c>
      <c r="U325" s="325">
        <f t="shared" si="81"/>
        <v>1636</v>
      </c>
      <c r="V325" s="325">
        <f t="shared" si="75"/>
        <v>0</v>
      </c>
      <c r="W325" s="449" cm="1">
        <f t="array" ref="W325">+IF(U325&lt;0,error,0)</f>
        <v>0</v>
      </c>
    </row>
    <row r="326" spans="1:23" ht="18" customHeight="1" x14ac:dyDescent="0.2">
      <c r="A326" s="402" t="s">
        <v>821</v>
      </c>
      <c r="B326" s="403"/>
      <c r="C326" s="404" t="s">
        <v>822</v>
      </c>
      <c r="D326" s="405">
        <v>42796</v>
      </c>
      <c r="E326" s="406"/>
      <c r="F326" s="325"/>
      <c r="G326" s="324"/>
      <c r="H326" s="324">
        <v>8960</v>
      </c>
      <c r="I326" s="325">
        <v>6350</v>
      </c>
      <c r="J326" s="325"/>
      <c r="K326" s="325">
        <f t="shared" si="73"/>
        <v>0</v>
      </c>
      <c r="L326" s="325">
        <f t="shared" si="74"/>
        <v>0</v>
      </c>
      <c r="M326" s="407">
        <v>10</v>
      </c>
      <c r="N326" s="408" t="s">
        <v>289</v>
      </c>
      <c r="O326" s="325">
        <f t="shared" si="76"/>
        <v>0</v>
      </c>
      <c r="P326" s="325">
        <f t="shared" si="77"/>
        <v>0</v>
      </c>
      <c r="Q326" s="325">
        <f t="shared" si="78"/>
        <v>0</v>
      </c>
      <c r="R326" s="325">
        <f t="shared" si="79"/>
        <v>317</v>
      </c>
      <c r="S326" s="325">
        <f t="shared" si="80"/>
        <v>0</v>
      </c>
      <c r="T326" s="325">
        <f t="shared" si="72"/>
        <v>317</v>
      </c>
      <c r="U326" s="325">
        <f t="shared" si="81"/>
        <v>6033</v>
      </c>
      <c r="V326" s="325">
        <f t="shared" si="75"/>
        <v>0</v>
      </c>
      <c r="W326" s="449" cm="1">
        <f t="array" ref="W326">+IF(U326&lt;0,error,0)</f>
        <v>0</v>
      </c>
    </row>
    <row r="327" spans="1:23" ht="18" customHeight="1" x14ac:dyDescent="0.2">
      <c r="A327" s="402" t="s">
        <v>823</v>
      </c>
      <c r="B327" s="403"/>
      <c r="C327" s="404" t="s">
        <v>824</v>
      </c>
      <c r="D327" s="405">
        <v>42866</v>
      </c>
      <c r="E327" s="406"/>
      <c r="F327" s="325"/>
      <c r="G327" s="324"/>
      <c r="H327" s="324">
        <v>4585.37</v>
      </c>
      <c r="I327" s="325">
        <v>2339.37</v>
      </c>
      <c r="J327" s="325"/>
      <c r="K327" s="325">
        <f t="shared" si="73"/>
        <v>0</v>
      </c>
      <c r="L327" s="325">
        <f t="shared" si="74"/>
        <v>0</v>
      </c>
      <c r="M327" s="407">
        <v>20</v>
      </c>
      <c r="N327" s="408" t="s">
        <v>289</v>
      </c>
      <c r="O327" s="325">
        <f t="shared" si="76"/>
        <v>0</v>
      </c>
      <c r="P327" s="325">
        <f t="shared" si="77"/>
        <v>0</v>
      </c>
      <c r="Q327" s="325">
        <f t="shared" si="78"/>
        <v>0</v>
      </c>
      <c r="R327" s="325">
        <f t="shared" si="79"/>
        <v>233</v>
      </c>
      <c r="S327" s="325">
        <f t="shared" si="80"/>
        <v>0</v>
      </c>
      <c r="T327" s="325">
        <f t="shared" si="72"/>
        <v>233</v>
      </c>
      <c r="U327" s="325">
        <f t="shared" si="81"/>
        <v>2106.37</v>
      </c>
      <c r="V327" s="325">
        <f t="shared" si="75"/>
        <v>0</v>
      </c>
      <c r="W327" s="449" cm="1">
        <f t="array" ref="W327">+IF(U327&lt;0,error,0)</f>
        <v>0</v>
      </c>
    </row>
    <row r="328" spans="1:23" ht="18" customHeight="1" x14ac:dyDescent="0.2">
      <c r="A328" s="402" t="s">
        <v>825</v>
      </c>
      <c r="B328" s="403"/>
      <c r="C328" s="412" t="s">
        <v>826</v>
      </c>
      <c r="D328" s="405">
        <v>42553</v>
      </c>
      <c r="E328" s="406"/>
      <c r="F328" s="325"/>
      <c r="G328" s="324"/>
      <c r="H328" s="324">
        <v>3135</v>
      </c>
      <c r="I328" s="325">
        <v>1318</v>
      </c>
      <c r="J328" s="325"/>
      <c r="K328" s="325">
        <f t="shared" si="73"/>
        <v>0</v>
      </c>
      <c r="L328" s="325">
        <f t="shared" si="74"/>
        <v>0</v>
      </c>
      <c r="M328" s="407">
        <v>20</v>
      </c>
      <c r="N328" s="408" t="s">
        <v>289</v>
      </c>
      <c r="O328" s="325">
        <f t="shared" si="76"/>
        <v>0</v>
      </c>
      <c r="P328" s="325">
        <f t="shared" si="77"/>
        <v>0</v>
      </c>
      <c r="Q328" s="325">
        <f t="shared" si="78"/>
        <v>0</v>
      </c>
      <c r="R328" s="325">
        <f t="shared" si="79"/>
        <v>131</v>
      </c>
      <c r="S328" s="325">
        <f t="shared" si="80"/>
        <v>0</v>
      </c>
      <c r="T328" s="325">
        <f t="shared" si="72"/>
        <v>131</v>
      </c>
      <c r="U328" s="325">
        <f t="shared" si="81"/>
        <v>1187</v>
      </c>
      <c r="V328" s="325">
        <f t="shared" si="75"/>
        <v>0</v>
      </c>
      <c r="W328" s="449" cm="1">
        <f t="array" ref="W328">+IF(U328&lt;0,error,0)</f>
        <v>0</v>
      </c>
    </row>
    <row r="329" spans="1:23" ht="18" customHeight="1" x14ac:dyDescent="0.2">
      <c r="A329" s="402" t="s">
        <v>827</v>
      </c>
      <c r="B329" s="403"/>
      <c r="C329" s="404" t="s">
        <v>828</v>
      </c>
      <c r="D329" s="405">
        <v>42773</v>
      </c>
      <c r="E329" s="406"/>
      <c r="F329" s="325"/>
      <c r="G329" s="324"/>
      <c r="H329" s="324">
        <v>1365</v>
      </c>
      <c r="I329" s="325">
        <v>851</v>
      </c>
      <c r="J329" s="325"/>
      <c r="K329" s="325">
        <f t="shared" si="73"/>
        <v>0</v>
      </c>
      <c r="L329" s="325">
        <f t="shared" si="74"/>
        <v>0</v>
      </c>
      <c r="M329" s="407">
        <v>13.33</v>
      </c>
      <c r="N329" s="408" t="s">
        <v>289</v>
      </c>
      <c r="O329" s="325">
        <f t="shared" si="76"/>
        <v>0</v>
      </c>
      <c r="P329" s="325">
        <f t="shared" si="77"/>
        <v>0</v>
      </c>
      <c r="Q329" s="325">
        <f t="shared" si="78"/>
        <v>0</v>
      </c>
      <c r="R329" s="325">
        <f t="shared" si="79"/>
        <v>56</v>
      </c>
      <c r="S329" s="325">
        <f t="shared" si="80"/>
        <v>0</v>
      </c>
      <c r="T329" s="325">
        <f t="shared" si="72"/>
        <v>56</v>
      </c>
      <c r="U329" s="325">
        <f t="shared" si="81"/>
        <v>795</v>
      </c>
      <c r="V329" s="325">
        <f t="shared" si="75"/>
        <v>0</v>
      </c>
      <c r="W329" s="449" cm="1">
        <f t="array" ref="W329">+IF(U329&lt;0,error,0)</f>
        <v>0</v>
      </c>
    </row>
    <row r="330" spans="1:23" ht="18" customHeight="1" x14ac:dyDescent="0.2">
      <c r="A330" s="402" t="s">
        <v>829</v>
      </c>
      <c r="B330" s="403"/>
      <c r="C330" s="404" t="s">
        <v>830</v>
      </c>
      <c r="D330" s="405">
        <v>42826</v>
      </c>
      <c r="E330" s="406"/>
      <c r="F330" s="325"/>
      <c r="G330" s="324"/>
      <c r="H330" s="324">
        <v>20425.25</v>
      </c>
      <c r="I330" s="325">
        <v>12982.25</v>
      </c>
      <c r="J330" s="325"/>
      <c r="K330" s="325">
        <f t="shared" si="73"/>
        <v>0</v>
      </c>
      <c r="L330" s="325">
        <f t="shared" si="74"/>
        <v>0</v>
      </c>
      <c r="M330" s="407">
        <v>13.33</v>
      </c>
      <c r="N330" s="408" t="s">
        <v>289</v>
      </c>
      <c r="O330" s="325">
        <f t="shared" si="76"/>
        <v>0</v>
      </c>
      <c r="P330" s="325">
        <f t="shared" si="77"/>
        <v>0</v>
      </c>
      <c r="Q330" s="325">
        <f t="shared" si="78"/>
        <v>0</v>
      </c>
      <c r="R330" s="325">
        <f t="shared" si="79"/>
        <v>865</v>
      </c>
      <c r="S330" s="325">
        <f t="shared" si="80"/>
        <v>0</v>
      </c>
      <c r="T330" s="325">
        <f t="shared" si="72"/>
        <v>865</v>
      </c>
      <c r="U330" s="325">
        <f t="shared" si="81"/>
        <v>12117.25</v>
      </c>
      <c r="V330" s="325">
        <f t="shared" si="75"/>
        <v>0</v>
      </c>
      <c r="W330" s="449" cm="1">
        <f t="array" ref="W330">+IF(U330&lt;0,error,0)</f>
        <v>0</v>
      </c>
    </row>
    <row r="331" spans="1:23" ht="18" customHeight="1" x14ac:dyDescent="0.2">
      <c r="A331" s="402" t="s">
        <v>831</v>
      </c>
      <c r="B331" s="403"/>
      <c r="C331" s="404" t="s">
        <v>830</v>
      </c>
      <c r="D331" s="405">
        <v>42826</v>
      </c>
      <c r="E331" s="406"/>
      <c r="F331" s="325"/>
      <c r="G331" s="324"/>
      <c r="H331" s="324">
        <v>20425.25</v>
      </c>
      <c r="I331" s="325">
        <v>12982.25</v>
      </c>
      <c r="J331" s="325"/>
      <c r="K331" s="325">
        <f t="shared" si="73"/>
        <v>0</v>
      </c>
      <c r="L331" s="325">
        <f t="shared" si="74"/>
        <v>0</v>
      </c>
      <c r="M331" s="407">
        <v>13.33</v>
      </c>
      <c r="N331" s="408" t="s">
        <v>289</v>
      </c>
      <c r="O331" s="325">
        <f t="shared" si="76"/>
        <v>0</v>
      </c>
      <c r="P331" s="325">
        <f t="shared" si="77"/>
        <v>0</v>
      </c>
      <c r="Q331" s="325">
        <f t="shared" si="78"/>
        <v>0</v>
      </c>
      <c r="R331" s="325">
        <f t="shared" si="79"/>
        <v>865</v>
      </c>
      <c r="S331" s="325">
        <f t="shared" si="80"/>
        <v>0</v>
      </c>
      <c r="T331" s="325">
        <f t="shared" si="72"/>
        <v>865</v>
      </c>
      <c r="U331" s="325">
        <f t="shared" si="81"/>
        <v>12117.25</v>
      </c>
      <c r="V331" s="325">
        <f t="shared" si="75"/>
        <v>0</v>
      </c>
      <c r="W331" s="449" cm="1">
        <f t="array" ref="W331">+IF(U331&lt;0,error,0)</f>
        <v>0</v>
      </c>
    </row>
    <row r="332" spans="1:23" ht="18" customHeight="1" x14ac:dyDescent="0.2">
      <c r="A332" s="402" t="s">
        <v>832</v>
      </c>
      <c r="B332" s="403"/>
      <c r="C332" s="404" t="s">
        <v>833</v>
      </c>
      <c r="D332" s="405">
        <v>42826</v>
      </c>
      <c r="E332" s="406"/>
      <c r="F332" s="325"/>
      <c r="G332" s="324"/>
      <c r="H332" s="324">
        <v>20425.25</v>
      </c>
      <c r="I332" s="325">
        <v>12982.25</v>
      </c>
      <c r="J332" s="325"/>
      <c r="K332" s="325">
        <f t="shared" si="73"/>
        <v>0</v>
      </c>
      <c r="L332" s="325">
        <f t="shared" si="74"/>
        <v>0</v>
      </c>
      <c r="M332" s="407">
        <v>13.33</v>
      </c>
      <c r="N332" s="408" t="s">
        <v>289</v>
      </c>
      <c r="O332" s="325">
        <f t="shared" si="76"/>
        <v>0</v>
      </c>
      <c r="P332" s="325">
        <f t="shared" si="77"/>
        <v>0</v>
      </c>
      <c r="Q332" s="325">
        <f t="shared" si="78"/>
        <v>0</v>
      </c>
      <c r="R332" s="325">
        <f t="shared" si="79"/>
        <v>865</v>
      </c>
      <c r="S332" s="325">
        <f t="shared" si="80"/>
        <v>0</v>
      </c>
      <c r="T332" s="325">
        <f t="shared" ref="T332:T395" si="82">+R332+S332+Q332</f>
        <v>865</v>
      </c>
      <c r="U332" s="325">
        <f t="shared" si="81"/>
        <v>12117.25</v>
      </c>
      <c r="V332" s="325">
        <f t="shared" si="75"/>
        <v>0</v>
      </c>
      <c r="W332" s="449" cm="1">
        <f t="array" ref="W332">+IF(U332&lt;0,error,0)</f>
        <v>0</v>
      </c>
    </row>
    <row r="333" spans="1:23" ht="18" customHeight="1" x14ac:dyDescent="0.2">
      <c r="A333" s="402" t="s">
        <v>834</v>
      </c>
      <c r="B333" s="403"/>
      <c r="C333" s="404" t="s">
        <v>833</v>
      </c>
      <c r="D333" s="405">
        <v>42826</v>
      </c>
      <c r="E333" s="406"/>
      <c r="F333" s="325"/>
      <c r="G333" s="324"/>
      <c r="H333" s="324">
        <v>20425.25</v>
      </c>
      <c r="I333" s="325">
        <v>12982.25</v>
      </c>
      <c r="J333" s="325"/>
      <c r="K333" s="325">
        <f t="shared" si="73"/>
        <v>0</v>
      </c>
      <c r="L333" s="325">
        <f t="shared" si="74"/>
        <v>0</v>
      </c>
      <c r="M333" s="407">
        <v>13.33</v>
      </c>
      <c r="N333" s="408" t="s">
        <v>289</v>
      </c>
      <c r="O333" s="325">
        <f t="shared" si="76"/>
        <v>0</v>
      </c>
      <c r="P333" s="325">
        <f t="shared" si="77"/>
        <v>0</v>
      </c>
      <c r="Q333" s="325">
        <f t="shared" si="78"/>
        <v>0</v>
      </c>
      <c r="R333" s="325">
        <f t="shared" si="79"/>
        <v>865</v>
      </c>
      <c r="S333" s="325">
        <f t="shared" si="80"/>
        <v>0</v>
      </c>
      <c r="T333" s="325">
        <f t="shared" si="82"/>
        <v>865</v>
      </c>
      <c r="U333" s="325">
        <f t="shared" si="81"/>
        <v>12117.25</v>
      </c>
      <c r="V333" s="325">
        <f t="shared" si="75"/>
        <v>0</v>
      </c>
      <c r="W333" s="449" cm="1">
        <f t="array" ref="W333">+IF(U333&lt;0,error,0)</f>
        <v>0</v>
      </c>
    </row>
    <row r="334" spans="1:23" ht="18" customHeight="1" x14ac:dyDescent="0.2">
      <c r="A334" s="402" t="s">
        <v>835</v>
      </c>
      <c r="B334" s="403"/>
      <c r="C334" s="404" t="s">
        <v>836</v>
      </c>
      <c r="D334" s="405">
        <v>42837</v>
      </c>
      <c r="E334" s="406"/>
      <c r="F334" s="325"/>
      <c r="G334" s="324"/>
      <c r="H334" s="324">
        <v>6600</v>
      </c>
      <c r="I334" s="325">
        <v>4214</v>
      </c>
      <c r="J334" s="325"/>
      <c r="K334" s="325">
        <f t="shared" si="73"/>
        <v>0</v>
      </c>
      <c r="L334" s="325">
        <f t="shared" si="74"/>
        <v>0</v>
      </c>
      <c r="M334" s="407">
        <v>13.33</v>
      </c>
      <c r="N334" s="408" t="s">
        <v>289</v>
      </c>
      <c r="O334" s="325">
        <f t="shared" si="76"/>
        <v>0</v>
      </c>
      <c r="P334" s="325">
        <f t="shared" si="77"/>
        <v>0</v>
      </c>
      <c r="Q334" s="325">
        <f t="shared" si="78"/>
        <v>0</v>
      </c>
      <c r="R334" s="325">
        <f t="shared" si="79"/>
        <v>280</v>
      </c>
      <c r="S334" s="325">
        <f t="shared" si="80"/>
        <v>0</v>
      </c>
      <c r="T334" s="325">
        <f t="shared" si="82"/>
        <v>280</v>
      </c>
      <c r="U334" s="325">
        <f t="shared" si="81"/>
        <v>3934</v>
      </c>
      <c r="V334" s="325">
        <f t="shared" si="75"/>
        <v>0</v>
      </c>
      <c r="W334" s="449" cm="1">
        <f t="array" ref="W334">+IF(U334&lt;0,error,0)</f>
        <v>0</v>
      </c>
    </row>
    <row r="335" spans="1:23" ht="18" customHeight="1" x14ac:dyDescent="0.2">
      <c r="A335" s="402" t="s">
        <v>837</v>
      </c>
      <c r="B335" s="403"/>
      <c r="C335" s="404" t="s">
        <v>838</v>
      </c>
      <c r="D335" s="405">
        <v>42846</v>
      </c>
      <c r="E335" s="406"/>
      <c r="F335" s="325"/>
      <c r="G335" s="324"/>
      <c r="H335" s="324">
        <v>14900</v>
      </c>
      <c r="I335" s="325">
        <v>9542</v>
      </c>
      <c r="J335" s="325"/>
      <c r="K335" s="325">
        <f t="shared" si="73"/>
        <v>0</v>
      </c>
      <c r="L335" s="325">
        <f t="shared" si="74"/>
        <v>0</v>
      </c>
      <c r="M335" s="407">
        <v>13.33</v>
      </c>
      <c r="N335" s="408" t="s">
        <v>289</v>
      </c>
      <c r="O335" s="325">
        <f t="shared" si="76"/>
        <v>0</v>
      </c>
      <c r="P335" s="325">
        <f t="shared" si="77"/>
        <v>0</v>
      </c>
      <c r="Q335" s="325">
        <f t="shared" si="78"/>
        <v>0</v>
      </c>
      <c r="R335" s="325">
        <f t="shared" si="79"/>
        <v>635</v>
      </c>
      <c r="S335" s="325">
        <f t="shared" si="80"/>
        <v>0</v>
      </c>
      <c r="T335" s="325">
        <f t="shared" si="82"/>
        <v>635</v>
      </c>
      <c r="U335" s="325">
        <f t="shared" si="81"/>
        <v>8907</v>
      </c>
      <c r="V335" s="325">
        <f t="shared" si="75"/>
        <v>0</v>
      </c>
      <c r="W335" s="449" cm="1">
        <f t="array" ref="W335">+IF(U335&lt;0,error,0)</f>
        <v>0</v>
      </c>
    </row>
    <row r="336" spans="1:23" ht="18" customHeight="1" x14ac:dyDescent="0.2">
      <c r="A336" s="402" t="s">
        <v>839</v>
      </c>
      <c r="B336" s="403"/>
      <c r="C336" s="404" t="s">
        <v>840</v>
      </c>
      <c r="D336" s="405">
        <v>42559</v>
      </c>
      <c r="E336" s="406"/>
      <c r="F336" s="325"/>
      <c r="G336" s="324"/>
      <c r="H336" s="324">
        <v>14332.02</v>
      </c>
      <c r="I336" s="325">
        <v>8192.02</v>
      </c>
      <c r="J336" s="325"/>
      <c r="K336" s="325">
        <f t="shared" si="73"/>
        <v>0</v>
      </c>
      <c r="L336" s="325">
        <f t="shared" si="74"/>
        <v>0</v>
      </c>
      <c r="M336" s="407">
        <v>13.33</v>
      </c>
      <c r="N336" s="408" t="s">
        <v>289</v>
      </c>
      <c r="O336" s="325">
        <f t="shared" si="76"/>
        <v>0</v>
      </c>
      <c r="P336" s="325">
        <f t="shared" si="77"/>
        <v>0</v>
      </c>
      <c r="Q336" s="325">
        <f t="shared" si="78"/>
        <v>0</v>
      </c>
      <c r="R336" s="325">
        <f t="shared" si="79"/>
        <v>545</v>
      </c>
      <c r="S336" s="325">
        <f t="shared" si="80"/>
        <v>0</v>
      </c>
      <c r="T336" s="325">
        <f t="shared" si="82"/>
        <v>545</v>
      </c>
      <c r="U336" s="325">
        <f t="shared" si="81"/>
        <v>7647.02</v>
      </c>
      <c r="V336" s="325">
        <f t="shared" si="75"/>
        <v>0</v>
      </c>
      <c r="W336" s="449" cm="1">
        <f t="array" ref="W336">+IF(U336&lt;0,error,0)</f>
        <v>0</v>
      </c>
    </row>
    <row r="337" spans="1:23" ht="18" customHeight="1" x14ac:dyDescent="0.2">
      <c r="A337" s="402" t="s">
        <v>841</v>
      </c>
      <c r="B337" s="403"/>
      <c r="C337" s="404" t="s">
        <v>842</v>
      </c>
      <c r="D337" s="405">
        <v>42559</v>
      </c>
      <c r="E337" s="406"/>
      <c r="F337" s="325"/>
      <c r="G337" s="324"/>
      <c r="H337" s="324">
        <v>14332.02</v>
      </c>
      <c r="I337" s="325">
        <v>8192.02</v>
      </c>
      <c r="J337" s="325"/>
      <c r="K337" s="325">
        <f t="shared" si="73"/>
        <v>0</v>
      </c>
      <c r="L337" s="325">
        <f t="shared" si="74"/>
        <v>0</v>
      </c>
      <c r="M337" s="407">
        <v>13.33</v>
      </c>
      <c r="N337" s="408" t="s">
        <v>289</v>
      </c>
      <c r="O337" s="325">
        <f t="shared" si="76"/>
        <v>0</v>
      </c>
      <c r="P337" s="325">
        <f t="shared" si="77"/>
        <v>0</v>
      </c>
      <c r="Q337" s="325">
        <f t="shared" si="78"/>
        <v>0</v>
      </c>
      <c r="R337" s="325">
        <f t="shared" si="79"/>
        <v>545</v>
      </c>
      <c r="S337" s="325">
        <f t="shared" si="80"/>
        <v>0</v>
      </c>
      <c r="T337" s="325">
        <f t="shared" si="82"/>
        <v>545</v>
      </c>
      <c r="U337" s="325">
        <f t="shared" si="81"/>
        <v>7647.02</v>
      </c>
      <c r="V337" s="325">
        <f t="shared" si="75"/>
        <v>0</v>
      </c>
      <c r="W337" s="449" cm="1">
        <f t="array" ref="W337">+IF(U337&lt;0,error,0)</f>
        <v>0</v>
      </c>
    </row>
    <row r="338" spans="1:23" ht="18" customHeight="1" x14ac:dyDescent="0.2">
      <c r="A338" s="402" t="s">
        <v>843</v>
      </c>
      <c r="B338" s="403"/>
      <c r="C338" s="404" t="s">
        <v>842</v>
      </c>
      <c r="D338" s="405">
        <v>42559</v>
      </c>
      <c r="E338" s="406"/>
      <c r="F338" s="325"/>
      <c r="G338" s="324"/>
      <c r="H338" s="324">
        <v>14332.03</v>
      </c>
      <c r="I338" s="325">
        <v>8192.0300000000007</v>
      </c>
      <c r="J338" s="325"/>
      <c r="K338" s="325">
        <f t="shared" si="73"/>
        <v>0</v>
      </c>
      <c r="L338" s="325">
        <f t="shared" si="74"/>
        <v>0</v>
      </c>
      <c r="M338" s="407">
        <v>13.33</v>
      </c>
      <c r="N338" s="408" t="s">
        <v>289</v>
      </c>
      <c r="O338" s="325">
        <f t="shared" si="76"/>
        <v>0</v>
      </c>
      <c r="P338" s="325">
        <f t="shared" si="77"/>
        <v>0</v>
      </c>
      <c r="Q338" s="325">
        <f t="shared" si="78"/>
        <v>0</v>
      </c>
      <c r="R338" s="325">
        <f t="shared" si="79"/>
        <v>545</v>
      </c>
      <c r="S338" s="325">
        <f t="shared" si="80"/>
        <v>0</v>
      </c>
      <c r="T338" s="325">
        <f t="shared" si="82"/>
        <v>545</v>
      </c>
      <c r="U338" s="325">
        <f t="shared" si="81"/>
        <v>7647.0300000000007</v>
      </c>
      <c r="V338" s="325">
        <f t="shared" si="75"/>
        <v>0</v>
      </c>
      <c r="W338" s="449" cm="1">
        <f t="array" ref="W338">+IF(U338&lt;0,error,0)</f>
        <v>0</v>
      </c>
    </row>
    <row r="339" spans="1:23" ht="18" customHeight="1" x14ac:dyDescent="0.2">
      <c r="A339" s="402" t="s">
        <v>844</v>
      </c>
      <c r="B339" s="403"/>
      <c r="C339" s="404" t="s">
        <v>845</v>
      </c>
      <c r="D339" s="405">
        <v>42559</v>
      </c>
      <c r="E339" s="406"/>
      <c r="F339" s="325"/>
      <c r="G339" s="324"/>
      <c r="H339" s="324">
        <v>10781.01</v>
      </c>
      <c r="I339" s="325">
        <v>6162.01</v>
      </c>
      <c r="J339" s="325"/>
      <c r="K339" s="325">
        <f t="shared" si="73"/>
        <v>0</v>
      </c>
      <c r="L339" s="325">
        <f t="shared" si="74"/>
        <v>0</v>
      </c>
      <c r="M339" s="407">
        <v>13.33</v>
      </c>
      <c r="N339" s="408" t="s">
        <v>289</v>
      </c>
      <c r="O339" s="325">
        <f t="shared" si="76"/>
        <v>0</v>
      </c>
      <c r="P339" s="325">
        <f t="shared" si="77"/>
        <v>0</v>
      </c>
      <c r="Q339" s="325">
        <f t="shared" si="78"/>
        <v>0</v>
      </c>
      <c r="R339" s="325">
        <f t="shared" si="79"/>
        <v>410</v>
      </c>
      <c r="S339" s="325">
        <f t="shared" si="80"/>
        <v>0</v>
      </c>
      <c r="T339" s="325">
        <f t="shared" si="82"/>
        <v>410</v>
      </c>
      <c r="U339" s="325">
        <f t="shared" si="81"/>
        <v>5752.01</v>
      </c>
      <c r="V339" s="325">
        <f t="shared" si="75"/>
        <v>0</v>
      </c>
      <c r="W339" s="449" cm="1">
        <f t="array" ref="W339">+IF(U339&lt;0,error,0)</f>
        <v>0</v>
      </c>
    </row>
    <row r="340" spans="1:23" ht="18" customHeight="1" x14ac:dyDescent="0.2">
      <c r="A340" s="402" t="s">
        <v>846</v>
      </c>
      <c r="B340" s="403"/>
      <c r="C340" s="404" t="s">
        <v>845</v>
      </c>
      <c r="D340" s="405">
        <v>42559</v>
      </c>
      <c r="E340" s="406"/>
      <c r="F340" s="325"/>
      <c r="G340" s="324"/>
      <c r="H340" s="324">
        <v>10781.01</v>
      </c>
      <c r="I340" s="325">
        <v>6162.01</v>
      </c>
      <c r="J340" s="325"/>
      <c r="K340" s="325">
        <f t="shared" si="73"/>
        <v>0</v>
      </c>
      <c r="L340" s="325">
        <f t="shared" si="74"/>
        <v>0</v>
      </c>
      <c r="M340" s="407">
        <v>13.33</v>
      </c>
      <c r="N340" s="408" t="s">
        <v>289</v>
      </c>
      <c r="O340" s="325">
        <f t="shared" si="76"/>
        <v>0</v>
      </c>
      <c r="P340" s="325">
        <f t="shared" si="77"/>
        <v>0</v>
      </c>
      <c r="Q340" s="325">
        <f t="shared" si="78"/>
        <v>0</v>
      </c>
      <c r="R340" s="325">
        <f t="shared" si="79"/>
        <v>410</v>
      </c>
      <c r="S340" s="325">
        <f t="shared" si="80"/>
        <v>0</v>
      </c>
      <c r="T340" s="325">
        <f t="shared" si="82"/>
        <v>410</v>
      </c>
      <c r="U340" s="325">
        <f t="shared" si="81"/>
        <v>5752.01</v>
      </c>
      <c r="V340" s="325">
        <f t="shared" si="75"/>
        <v>0</v>
      </c>
      <c r="W340" s="449" cm="1">
        <f t="array" ref="W340">+IF(U340&lt;0,error,0)</f>
        <v>0</v>
      </c>
    </row>
    <row r="341" spans="1:23" ht="18" customHeight="1" x14ac:dyDescent="0.2">
      <c r="A341" s="402" t="s">
        <v>847</v>
      </c>
      <c r="B341" s="403"/>
      <c r="C341" s="404" t="s">
        <v>845</v>
      </c>
      <c r="D341" s="405">
        <v>42559</v>
      </c>
      <c r="E341" s="406"/>
      <c r="F341" s="325"/>
      <c r="G341" s="324"/>
      <c r="H341" s="324">
        <v>10781.01</v>
      </c>
      <c r="I341" s="325">
        <v>6162.01</v>
      </c>
      <c r="J341" s="325"/>
      <c r="K341" s="325">
        <f t="shared" si="73"/>
        <v>0</v>
      </c>
      <c r="L341" s="325">
        <f t="shared" si="74"/>
        <v>0</v>
      </c>
      <c r="M341" s="407">
        <v>13.33</v>
      </c>
      <c r="N341" s="408" t="s">
        <v>289</v>
      </c>
      <c r="O341" s="325">
        <f t="shared" si="76"/>
        <v>0</v>
      </c>
      <c r="P341" s="325">
        <f t="shared" si="77"/>
        <v>0</v>
      </c>
      <c r="Q341" s="325">
        <f t="shared" si="78"/>
        <v>0</v>
      </c>
      <c r="R341" s="325">
        <f t="shared" si="79"/>
        <v>410</v>
      </c>
      <c r="S341" s="325">
        <f t="shared" si="80"/>
        <v>0</v>
      </c>
      <c r="T341" s="325">
        <f t="shared" si="82"/>
        <v>410</v>
      </c>
      <c r="U341" s="325">
        <f t="shared" si="81"/>
        <v>5752.01</v>
      </c>
      <c r="V341" s="325">
        <f t="shared" si="75"/>
        <v>0</v>
      </c>
      <c r="W341" s="449" cm="1">
        <f t="array" ref="W341">+IF(U341&lt;0,error,0)</f>
        <v>0</v>
      </c>
    </row>
    <row r="342" spans="1:23" ht="18" customHeight="1" x14ac:dyDescent="0.2">
      <c r="A342" s="402" t="s">
        <v>848</v>
      </c>
      <c r="B342" s="403"/>
      <c r="C342" s="404" t="s">
        <v>845</v>
      </c>
      <c r="D342" s="405">
        <v>42559</v>
      </c>
      <c r="E342" s="406"/>
      <c r="F342" s="325"/>
      <c r="G342" s="324"/>
      <c r="H342" s="324">
        <v>10781.01</v>
      </c>
      <c r="I342" s="325">
        <v>6162.01</v>
      </c>
      <c r="J342" s="325"/>
      <c r="K342" s="325">
        <f t="shared" si="73"/>
        <v>0</v>
      </c>
      <c r="L342" s="325">
        <f t="shared" si="74"/>
        <v>0</v>
      </c>
      <c r="M342" s="407">
        <v>13.33</v>
      </c>
      <c r="N342" s="408" t="s">
        <v>289</v>
      </c>
      <c r="O342" s="325">
        <f t="shared" si="76"/>
        <v>0</v>
      </c>
      <c r="P342" s="325">
        <f t="shared" si="77"/>
        <v>0</v>
      </c>
      <c r="Q342" s="325">
        <f t="shared" si="78"/>
        <v>0</v>
      </c>
      <c r="R342" s="325">
        <f t="shared" si="79"/>
        <v>410</v>
      </c>
      <c r="S342" s="325">
        <f t="shared" si="80"/>
        <v>0</v>
      </c>
      <c r="T342" s="325">
        <f t="shared" si="82"/>
        <v>410</v>
      </c>
      <c r="U342" s="325">
        <f t="shared" si="81"/>
        <v>5752.01</v>
      </c>
      <c r="V342" s="325">
        <f t="shared" si="75"/>
        <v>0</v>
      </c>
      <c r="W342" s="449" cm="1">
        <f t="array" ref="W342">+IF(U342&lt;0,error,0)</f>
        <v>0</v>
      </c>
    </row>
    <row r="343" spans="1:23" ht="18" customHeight="1" x14ac:dyDescent="0.2">
      <c r="A343" s="402" t="s">
        <v>849</v>
      </c>
      <c r="B343" s="403"/>
      <c r="C343" s="404" t="s">
        <v>845</v>
      </c>
      <c r="D343" s="405">
        <v>42559</v>
      </c>
      <c r="E343" s="406"/>
      <c r="F343" s="325"/>
      <c r="G343" s="324"/>
      <c r="H343" s="324">
        <v>10781.01</v>
      </c>
      <c r="I343" s="325">
        <v>6162.01</v>
      </c>
      <c r="J343" s="325"/>
      <c r="K343" s="325">
        <f t="shared" si="73"/>
        <v>0</v>
      </c>
      <c r="L343" s="325">
        <f t="shared" si="74"/>
        <v>0</v>
      </c>
      <c r="M343" s="407">
        <v>13.33</v>
      </c>
      <c r="N343" s="408" t="s">
        <v>289</v>
      </c>
      <c r="O343" s="325">
        <f t="shared" si="76"/>
        <v>0</v>
      </c>
      <c r="P343" s="325">
        <f t="shared" si="77"/>
        <v>0</v>
      </c>
      <c r="Q343" s="325">
        <f t="shared" si="78"/>
        <v>0</v>
      </c>
      <c r="R343" s="325">
        <f t="shared" si="79"/>
        <v>410</v>
      </c>
      <c r="S343" s="325">
        <f t="shared" si="80"/>
        <v>0</v>
      </c>
      <c r="T343" s="325">
        <f t="shared" si="82"/>
        <v>410</v>
      </c>
      <c r="U343" s="325">
        <f t="shared" si="81"/>
        <v>5752.01</v>
      </c>
      <c r="V343" s="325">
        <f t="shared" si="75"/>
        <v>0</v>
      </c>
      <c r="W343" s="449" cm="1">
        <f t="array" ref="W343">+IF(U343&lt;0,error,0)</f>
        <v>0</v>
      </c>
    </row>
    <row r="344" spans="1:23" ht="18" customHeight="1" x14ac:dyDescent="0.2">
      <c r="A344" s="402" t="s">
        <v>850</v>
      </c>
      <c r="B344" s="403"/>
      <c r="C344" s="404" t="s">
        <v>845</v>
      </c>
      <c r="D344" s="405">
        <v>42559</v>
      </c>
      <c r="E344" s="406"/>
      <c r="F344" s="325"/>
      <c r="G344" s="324"/>
      <c r="H344" s="324">
        <v>10781.01</v>
      </c>
      <c r="I344" s="325">
        <v>6162.01</v>
      </c>
      <c r="J344" s="325"/>
      <c r="K344" s="325">
        <f t="shared" si="73"/>
        <v>0</v>
      </c>
      <c r="L344" s="325">
        <f t="shared" si="74"/>
        <v>0</v>
      </c>
      <c r="M344" s="407">
        <v>13.33</v>
      </c>
      <c r="N344" s="408" t="s">
        <v>289</v>
      </c>
      <c r="O344" s="325">
        <f t="shared" si="76"/>
        <v>0</v>
      </c>
      <c r="P344" s="325">
        <f t="shared" si="77"/>
        <v>0</v>
      </c>
      <c r="Q344" s="325">
        <f t="shared" si="78"/>
        <v>0</v>
      </c>
      <c r="R344" s="325">
        <f t="shared" si="79"/>
        <v>410</v>
      </c>
      <c r="S344" s="325">
        <f t="shared" si="80"/>
        <v>0</v>
      </c>
      <c r="T344" s="325">
        <f t="shared" si="82"/>
        <v>410</v>
      </c>
      <c r="U344" s="325">
        <f t="shared" si="81"/>
        <v>5752.01</v>
      </c>
      <c r="V344" s="325">
        <f t="shared" si="75"/>
        <v>0</v>
      </c>
      <c r="W344" s="449" cm="1">
        <f t="array" ref="W344">+IF(U344&lt;0,error,0)</f>
        <v>0</v>
      </c>
    </row>
    <row r="345" spans="1:23" ht="18" customHeight="1" x14ac:dyDescent="0.2">
      <c r="A345" s="402" t="s">
        <v>851</v>
      </c>
      <c r="B345" s="403"/>
      <c r="C345" s="404" t="s">
        <v>845</v>
      </c>
      <c r="D345" s="405">
        <v>42559</v>
      </c>
      <c r="E345" s="406"/>
      <c r="F345" s="325"/>
      <c r="G345" s="324"/>
      <c r="H345" s="324">
        <v>10781.01</v>
      </c>
      <c r="I345" s="325">
        <v>6162.01</v>
      </c>
      <c r="J345" s="325"/>
      <c r="K345" s="325">
        <f t="shared" si="73"/>
        <v>0</v>
      </c>
      <c r="L345" s="325">
        <f t="shared" si="74"/>
        <v>0</v>
      </c>
      <c r="M345" s="407">
        <v>13.33</v>
      </c>
      <c r="N345" s="408" t="s">
        <v>289</v>
      </c>
      <c r="O345" s="325">
        <f t="shared" si="76"/>
        <v>0</v>
      </c>
      <c r="P345" s="325">
        <f t="shared" si="77"/>
        <v>0</v>
      </c>
      <c r="Q345" s="325">
        <f t="shared" si="78"/>
        <v>0</v>
      </c>
      <c r="R345" s="325">
        <f t="shared" si="79"/>
        <v>410</v>
      </c>
      <c r="S345" s="325">
        <f t="shared" si="80"/>
        <v>0</v>
      </c>
      <c r="T345" s="325">
        <f t="shared" si="82"/>
        <v>410</v>
      </c>
      <c r="U345" s="325">
        <f t="shared" si="81"/>
        <v>5752.01</v>
      </c>
      <c r="V345" s="325">
        <f t="shared" si="75"/>
        <v>0</v>
      </c>
      <c r="W345" s="449" cm="1">
        <f t="array" ref="W345">+IF(U345&lt;0,error,0)</f>
        <v>0</v>
      </c>
    </row>
    <row r="346" spans="1:23" ht="18" customHeight="1" x14ac:dyDescent="0.2">
      <c r="A346" s="402" t="s">
        <v>852</v>
      </c>
      <c r="B346" s="403"/>
      <c r="C346" s="404" t="s">
        <v>845</v>
      </c>
      <c r="D346" s="405">
        <v>42559</v>
      </c>
      <c r="E346" s="406"/>
      <c r="F346" s="325"/>
      <c r="G346" s="324"/>
      <c r="H346" s="324">
        <v>10781.01</v>
      </c>
      <c r="I346" s="325">
        <v>6162.01</v>
      </c>
      <c r="J346" s="325"/>
      <c r="K346" s="325">
        <f t="shared" si="73"/>
        <v>0</v>
      </c>
      <c r="L346" s="325">
        <f t="shared" si="74"/>
        <v>0</v>
      </c>
      <c r="M346" s="407">
        <v>13.33</v>
      </c>
      <c r="N346" s="408" t="s">
        <v>289</v>
      </c>
      <c r="O346" s="325">
        <f t="shared" si="76"/>
        <v>0</v>
      </c>
      <c r="P346" s="325">
        <f t="shared" si="77"/>
        <v>0</v>
      </c>
      <c r="Q346" s="325">
        <f t="shared" si="78"/>
        <v>0</v>
      </c>
      <c r="R346" s="325">
        <f t="shared" si="79"/>
        <v>410</v>
      </c>
      <c r="S346" s="325">
        <f t="shared" si="80"/>
        <v>0</v>
      </c>
      <c r="T346" s="325">
        <f t="shared" si="82"/>
        <v>410</v>
      </c>
      <c r="U346" s="325">
        <f t="shared" si="81"/>
        <v>5752.01</v>
      </c>
      <c r="V346" s="325">
        <f t="shared" si="75"/>
        <v>0</v>
      </c>
      <c r="W346" s="449" cm="1">
        <f t="array" ref="W346">+IF(U346&lt;0,error,0)</f>
        <v>0</v>
      </c>
    </row>
    <row r="347" spans="1:23" ht="18" customHeight="1" x14ac:dyDescent="0.2">
      <c r="A347" s="402" t="s">
        <v>853</v>
      </c>
      <c r="B347" s="403"/>
      <c r="C347" s="404" t="s">
        <v>845</v>
      </c>
      <c r="D347" s="405">
        <v>42559</v>
      </c>
      <c r="E347" s="406"/>
      <c r="F347" s="325"/>
      <c r="G347" s="324"/>
      <c r="H347" s="324">
        <v>10781.01</v>
      </c>
      <c r="I347" s="325">
        <v>6162.01</v>
      </c>
      <c r="J347" s="325"/>
      <c r="K347" s="325">
        <f t="shared" si="73"/>
        <v>0</v>
      </c>
      <c r="L347" s="325">
        <f t="shared" si="74"/>
        <v>0</v>
      </c>
      <c r="M347" s="407">
        <v>13.33</v>
      </c>
      <c r="N347" s="408" t="s">
        <v>289</v>
      </c>
      <c r="O347" s="325">
        <f t="shared" si="76"/>
        <v>0</v>
      </c>
      <c r="P347" s="325">
        <f t="shared" si="77"/>
        <v>0</v>
      </c>
      <c r="Q347" s="325">
        <f t="shared" si="78"/>
        <v>0</v>
      </c>
      <c r="R347" s="325">
        <f t="shared" si="79"/>
        <v>410</v>
      </c>
      <c r="S347" s="325">
        <f t="shared" si="80"/>
        <v>0</v>
      </c>
      <c r="T347" s="325">
        <f t="shared" si="82"/>
        <v>410</v>
      </c>
      <c r="U347" s="325">
        <f t="shared" si="81"/>
        <v>5752.01</v>
      </c>
      <c r="V347" s="325">
        <f t="shared" si="75"/>
        <v>0</v>
      </c>
      <c r="W347" s="449" cm="1">
        <f t="array" ref="W347">+IF(U347&lt;0,error,0)</f>
        <v>0</v>
      </c>
    </row>
    <row r="348" spans="1:23" ht="18" customHeight="1" x14ac:dyDescent="0.2">
      <c r="A348" s="402" t="s">
        <v>854</v>
      </c>
      <c r="B348" s="403"/>
      <c r="C348" s="404" t="s">
        <v>845</v>
      </c>
      <c r="D348" s="405">
        <v>42559</v>
      </c>
      <c r="E348" s="406"/>
      <c r="F348" s="325"/>
      <c r="G348" s="324"/>
      <c r="H348" s="324">
        <v>10781.01</v>
      </c>
      <c r="I348" s="325">
        <v>6162.01</v>
      </c>
      <c r="J348" s="325"/>
      <c r="K348" s="325">
        <f t="shared" si="73"/>
        <v>0</v>
      </c>
      <c r="L348" s="325">
        <f t="shared" si="74"/>
        <v>0</v>
      </c>
      <c r="M348" s="407">
        <v>13.33</v>
      </c>
      <c r="N348" s="408" t="s">
        <v>289</v>
      </c>
      <c r="O348" s="325">
        <f t="shared" si="76"/>
        <v>0</v>
      </c>
      <c r="P348" s="325">
        <f t="shared" si="77"/>
        <v>0</v>
      </c>
      <c r="Q348" s="325">
        <f t="shared" si="78"/>
        <v>0</v>
      </c>
      <c r="R348" s="325">
        <f t="shared" si="79"/>
        <v>410</v>
      </c>
      <c r="S348" s="325">
        <f t="shared" si="80"/>
        <v>0</v>
      </c>
      <c r="T348" s="325">
        <f t="shared" si="82"/>
        <v>410</v>
      </c>
      <c r="U348" s="325">
        <f t="shared" si="81"/>
        <v>5752.01</v>
      </c>
      <c r="V348" s="325">
        <f t="shared" si="75"/>
        <v>0</v>
      </c>
      <c r="W348" s="449" cm="1">
        <f t="array" ref="W348">+IF(U348&lt;0,error,0)</f>
        <v>0</v>
      </c>
    </row>
    <row r="349" spans="1:23" ht="18" customHeight="1" x14ac:dyDescent="0.2">
      <c r="A349" s="402" t="s">
        <v>855</v>
      </c>
      <c r="B349" s="403"/>
      <c r="C349" s="404" t="s">
        <v>845</v>
      </c>
      <c r="D349" s="405">
        <v>42559</v>
      </c>
      <c r="E349" s="406"/>
      <c r="F349" s="325"/>
      <c r="G349" s="324"/>
      <c r="H349" s="324">
        <v>10781.01</v>
      </c>
      <c r="I349" s="325">
        <v>6162.01</v>
      </c>
      <c r="J349" s="325"/>
      <c r="K349" s="325">
        <f t="shared" si="73"/>
        <v>0</v>
      </c>
      <c r="L349" s="325">
        <f t="shared" si="74"/>
        <v>0</v>
      </c>
      <c r="M349" s="407">
        <v>13.33</v>
      </c>
      <c r="N349" s="408" t="s">
        <v>289</v>
      </c>
      <c r="O349" s="325">
        <f t="shared" si="76"/>
        <v>0</v>
      </c>
      <c r="P349" s="325">
        <f t="shared" si="77"/>
        <v>0</v>
      </c>
      <c r="Q349" s="325">
        <f t="shared" si="78"/>
        <v>0</v>
      </c>
      <c r="R349" s="325">
        <f t="shared" si="79"/>
        <v>410</v>
      </c>
      <c r="S349" s="325">
        <f t="shared" si="80"/>
        <v>0</v>
      </c>
      <c r="T349" s="325">
        <f t="shared" si="82"/>
        <v>410</v>
      </c>
      <c r="U349" s="325">
        <f t="shared" si="81"/>
        <v>5752.01</v>
      </c>
      <c r="V349" s="325">
        <f t="shared" si="75"/>
        <v>0</v>
      </c>
      <c r="W349" s="449" cm="1">
        <f t="array" ref="W349">+IF(U349&lt;0,error,0)</f>
        <v>0</v>
      </c>
    </row>
    <row r="350" spans="1:23" ht="18" customHeight="1" x14ac:dyDescent="0.2">
      <c r="A350" s="402" t="s">
        <v>856</v>
      </c>
      <c r="B350" s="403"/>
      <c r="C350" s="404" t="s">
        <v>845</v>
      </c>
      <c r="D350" s="405">
        <v>42559</v>
      </c>
      <c r="E350" s="406"/>
      <c r="F350" s="325"/>
      <c r="G350" s="324"/>
      <c r="H350" s="324">
        <v>10781.04</v>
      </c>
      <c r="I350" s="325">
        <v>6162.04</v>
      </c>
      <c r="J350" s="325"/>
      <c r="K350" s="325">
        <f t="shared" si="73"/>
        <v>0</v>
      </c>
      <c r="L350" s="325">
        <f t="shared" si="74"/>
        <v>0</v>
      </c>
      <c r="M350" s="407">
        <v>13.33</v>
      </c>
      <c r="N350" s="408" t="s">
        <v>289</v>
      </c>
      <c r="O350" s="325">
        <f t="shared" si="76"/>
        <v>0</v>
      </c>
      <c r="P350" s="325">
        <f t="shared" si="77"/>
        <v>0</v>
      </c>
      <c r="Q350" s="325">
        <f t="shared" si="78"/>
        <v>0</v>
      </c>
      <c r="R350" s="325">
        <f t="shared" si="79"/>
        <v>410</v>
      </c>
      <c r="S350" s="325">
        <f t="shared" si="80"/>
        <v>0</v>
      </c>
      <c r="T350" s="325">
        <f t="shared" si="82"/>
        <v>410</v>
      </c>
      <c r="U350" s="325">
        <f t="shared" si="81"/>
        <v>5752.04</v>
      </c>
      <c r="V350" s="325">
        <f t="shared" si="75"/>
        <v>0</v>
      </c>
      <c r="W350" s="449" cm="1">
        <f t="array" ref="W350">+IF(U350&lt;0,error,0)</f>
        <v>0</v>
      </c>
    </row>
    <row r="351" spans="1:23" ht="18" customHeight="1" x14ac:dyDescent="0.2">
      <c r="A351" s="402" t="s">
        <v>857</v>
      </c>
      <c r="B351" s="403"/>
      <c r="C351" s="404" t="s">
        <v>858</v>
      </c>
      <c r="D351" s="405">
        <v>42559</v>
      </c>
      <c r="E351" s="406"/>
      <c r="F351" s="325"/>
      <c r="G351" s="324"/>
      <c r="H351" s="324">
        <v>12100.24</v>
      </c>
      <c r="I351" s="325">
        <v>6915.24</v>
      </c>
      <c r="J351" s="325"/>
      <c r="K351" s="325">
        <f t="shared" si="73"/>
        <v>0</v>
      </c>
      <c r="L351" s="325">
        <f t="shared" si="74"/>
        <v>0</v>
      </c>
      <c r="M351" s="407">
        <v>13.33</v>
      </c>
      <c r="N351" s="408" t="s">
        <v>289</v>
      </c>
      <c r="O351" s="325">
        <f t="shared" si="76"/>
        <v>0</v>
      </c>
      <c r="P351" s="325">
        <f t="shared" si="77"/>
        <v>0</v>
      </c>
      <c r="Q351" s="325">
        <f t="shared" si="78"/>
        <v>0</v>
      </c>
      <c r="R351" s="325">
        <f t="shared" si="79"/>
        <v>460</v>
      </c>
      <c r="S351" s="325">
        <f t="shared" si="80"/>
        <v>0</v>
      </c>
      <c r="T351" s="325">
        <f t="shared" si="82"/>
        <v>460</v>
      </c>
      <c r="U351" s="325">
        <f t="shared" si="81"/>
        <v>6455.24</v>
      </c>
      <c r="V351" s="325">
        <f t="shared" si="75"/>
        <v>0</v>
      </c>
      <c r="W351" s="449" cm="1">
        <f t="array" ref="W351">+IF(U351&lt;0,error,0)</f>
        <v>0</v>
      </c>
    </row>
    <row r="352" spans="1:23" ht="18" customHeight="1" x14ac:dyDescent="0.2">
      <c r="A352" s="402" t="s">
        <v>859</v>
      </c>
      <c r="B352" s="403"/>
      <c r="C352" s="404" t="s">
        <v>860</v>
      </c>
      <c r="D352" s="405">
        <v>42559</v>
      </c>
      <c r="E352" s="406"/>
      <c r="F352" s="325"/>
      <c r="G352" s="324"/>
      <c r="H352" s="324">
        <v>12063.04</v>
      </c>
      <c r="I352" s="325">
        <v>6893.0400000000009</v>
      </c>
      <c r="J352" s="325"/>
      <c r="K352" s="325">
        <f t="shared" si="73"/>
        <v>0</v>
      </c>
      <c r="L352" s="325">
        <f t="shared" si="74"/>
        <v>0</v>
      </c>
      <c r="M352" s="407">
        <v>13.33</v>
      </c>
      <c r="N352" s="408" t="s">
        <v>289</v>
      </c>
      <c r="O352" s="325">
        <f t="shared" si="76"/>
        <v>0</v>
      </c>
      <c r="P352" s="325">
        <f t="shared" si="77"/>
        <v>0</v>
      </c>
      <c r="Q352" s="325">
        <f t="shared" si="78"/>
        <v>0</v>
      </c>
      <c r="R352" s="325">
        <f t="shared" si="79"/>
        <v>459</v>
      </c>
      <c r="S352" s="325">
        <f t="shared" si="80"/>
        <v>0</v>
      </c>
      <c r="T352" s="325">
        <f t="shared" si="82"/>
        <v>459</v>
      </c>
      <c r="U352" s="325">
        <f t="shared" si="81"/>
        <v>6434.0400000000009</v>
      </c>
      <c r="V352" s="325">
        <f t="shared" si="75"/>
        <v>0</v>
      </c>
      <c r="W352" s="449" cm="1">
        <f t="array" ref="W352">+IF(U352&lt;0,error,0)</f>
        <v>0</v>
      </c>
    </row>
    <row r="353" spans="1:23" ht="18" customHeight="1" x14ac:dyDescent="0.2">
      <c r="A353" s="402" t="s">
        <v>861</v>
      </c>
      <c r="B353" s="403"/>
      <c r="C353" s="404" t="s">
        <v>862</v>
      </c>
      <c r="D353" s="405">
        <v>42559</v>
      </c>
      <c r="E353" s="406"/>
      <c r="F353" s="325"/>
      <c r="G353" s="324"/>
      <c r="H353" s="324">
        <v>9762.02</v>
      </c>
      <c r="I353" s="325">
        <v>5580.02</v>
      </c>
      <c r="J353" s="325"/>
      <c r="K353" s="325">
        <f t="shared" si="73"/>
        <v>0</v>
      </c>
      <c r="L353" s="325">
        <f t="shared" si="74"/>
        <v>0</v>
      </c>
      <c r="M353" s="407">
        <v>13.33</v>
      </c>
      <c r="N353" s="408" t="s">
        <v>289</v>
      </c>
      <c r="O353" s="325">
        <f t="shared" si="76"/>
        <v>0</v>
      </c>
      <c r="P353" s="325">
        <f t="shared" si="77"/>
        <v>0</v>
      </c>
      <c r="Q353" s="325">
        <f t="shared" si="78"/>
        <v>0</v>
      </c>
      <c r="R353" s="325">
        <f t="shared" si="79"/>
        <v>371</v>
      </c>
      <c r="S353" s="325">
        <f t="shared" si="80"/>
        <v>0</v>
      </c>
      <c r="T353" s="325">
        <f t="shared" si="82"/>
        <v>371</v>
      </c>
      <c r="U353" s="325">
        <f t="shared" si="81"/>
        <v>5209.0200000000004</v>
      </c>
      <c r="V353" s="325">
        <f t="shared" si="75"/>
        <v>0</v>
      </c>
      <c r="W353" s="449" cm="1">
        <f t="array" ref="W353">+IF(U353&lt;0,error,0)</f>
        <v>0</v>
      </c>
    </row>
    <row r="354" spans="1:23" ht="18" customHeight="1" x14ac:dyDescent="0.2">
      <c r="A354" s="402" t="s">
        <v>863</v>
      </c>
      <c r="B354" s="403"/>
      <c r="C354" s="404" t="s">
        <v>864</v>
      </c>
      <c r="D354" s="405">
        <v>42559</v>
      </c>
      <c r="E354" s="406"/>
      <c r="F354" s="325"/>
      <c r="G354" s="324"/>
      <c r="H354" s="324">
        <v>14643.04</v>
      </c>
      <c r="I354" s="325">
        <v>8368.0400000000009</v>
      </c>
      <c r="J354" s="325"/>
      <c r="K354" s="325">
        <f t="shared" si="73"/>
        <v>0</v>
      </c>
      <c r="L354" s="325">
        <f t="shared" si="74"/>
        <v>0</v>
      </c>
      <c r="M354" s="407">
        <v>13.33</v>
      </c>
      <c r="N354" s="408" t="s">
        <v>289</v>
      </c>
      <c r="O354" s="325">
        <f t="shared" si="76"/>
        <v>0</v>
      </c>
      <c r="P354" s="325">
        <f t="shared" si="77"/>
        <v>0</v>
      </c>
      <c r="Q354" s="325">
        <f t="shared" si="78"/>
        <v>0</v>
      </c>
      <c r="R354" s="325">
        <f t="shared" si="79"/>
        <v>557</v>
      </c>
      <c r="S354" s="325">
        <f t="shared" si="80"/>
        <v>0</v>
      </c>
      <c r="T354" s="325">
        <f t="shared" si="82"/>
        <v>557</v>
      </c>
      <c r="U354" s="325">
        <f t="shared" si="81"/>
        <v>7811.0400000000009</v>
      </c>
      <c r="V354" s="325">
        <f t="shared" si="75"/>
        <v>0</v>
      </c>
      <c r="W354" s="449" cm="1">
        <f t="array" ref="W354">+IF(U354&lt;0,error,0)</f>
        <v>0</v>
      </c>
    </row>
    <row r="355" spans="1:23" ht="18" customHeight="1" x14ac:dyDescent="0.2">
      <c r="A355" s="402" t="s">
        <v>865</v>
      </c>
      <c r="B355" s="403"/>
      <c r="C355" s="404" t="s">
        <v>866</v>
      </c>
      <c r="D355" s="405">
        <v>42559</v>
      </c>
      <c r="E355" s="406"/>
      <c r="F355" s="325"/>
      <c r="G355" s="324"/>
      <c r="H355" s="324">
        <v>15141.01</v>
      </c>
      <c r="I355" s="325">
        <v>11532.01</v>
      </c>
      <c r="J355" s="325"/>
      <c r="K355" s="325">
        <f t="shared" si="73"/>
        <v>0</v>
      </c>
      <c r="L355" s="325">
        <f t="shared" si="74"/>
        <v>0</v>
      </c>
      <c r="M355" s="407">
        <v>6.67</v>
      </c>
      <c r="N355" s="408" t="s">
        <v>289</v>
      </c>
      <c r="O355" s="325">
        <f t="shared" si="76"/>
        <v>0</v>
      </c>
      <c r="P355" s="325">
        <f t="shared" si="77"/>
        <v>0</v>
      </c>
      <c r="Q355" s="325">
        <f t="shared" si="78"/>
        <v>0</v>
      </c>
      <c r="R355" s="325">
        <f t="shared" si="79"/>
        <v>384</v>
      </c>
      <c r="S355" s="325">
        <f t="shared" si="80"/>
        <v>0</v>
      </c>
      <c r="T355" s="325">
        <f t="shared" si="82"/>
        <v>384</v>
      </c>
      <c r="U355" s="325">
        <f t="shared" si="81"/>
        <v>11148.01</v>
      </c>
      <c r="V355" s="325">
        <f t="shared" si="75"/>
        <v>0</v>
      </c>
      <c r="W355" s="449" cm="1">
        <f t="array" ref="W355">+IF(U355&lt;0,error,0)</f>
        <v>0</v>
      </c>
    </row>
    <row r="356" spans="1:23" ht="18" customHeight="1" x14ac:dyDescent="0.2">
      <c r="A356" s="402" t="s">
        <v>867</v>
      </c>
      <c r="B356" s="403"/>
      <c r="C356" s="404" t="s">
        <v>866</v>
      </c>
      <c r="D356" s="405">
        <v>42559</v>
      </c>
      <c r="E356" s="406"/>
      <c r="F356" s="325"/>
      <c r="G356" s="324"/>
      <c r="H356" s="324">
        <v>15141.01</v>
      </c>
      <c r="I356" s="325">
        <v>6384.01</v>
      </c>
      <c r="J356" s="325"/>
      <c r="K356" s="325">
        <f t="shared" si="73"/>
        <v>0</v>
      </c>
      <c r="L356" s="325">
        <f t="shared" si="74"/>
        <v>0</v>
      </c>
      <c r="M356" s="407">
        <v>20</v>
      </c>
      <c r="N356" s="408" t="s">
        <v>289</v>
      </c>
      <c r="O356" s="325">
        <f t="shared" si="76"/>
        <v>0</v>
      </c>
      <c r="P356" s="325">
        <f t="shared" si="77"/>
        <v>0</v>
      </c>
      <c r="Q356" s="325">
        <f t="shared" si="78"/>
        <v>0</v>
      </c>
      <c r="R356" s="325">
        <f t="shared" si="79"/>
        <v>638</v>
      </c>
      <c r="S356" s="325">
        <f t="shared" si="80"/>
        <v>0</v>
      </c>
      <c r="T356" s="325">
        <f t="shared" si="82"/>
        <v>638</v>
      </c>
      <c r="U356" s="325">
        <f t="shared" si="81"/>
        <v>5746.01</v>
      </c>
      <c r="V356" s="325">
        <f t="shared" si="75"/>
        <v>0</v>
      </c>
      <c r="W356" s="449" cm="1">
        <f t="array" ref="W356">+IF(U356&lt;0,error,0)</f>
        <v>0</v>
      </c>
    </row>
    <row r="357" spans="1:23" ht="18" customHeight="1" x14ac:dyDescent="0.2">
      <c r="A357" s="402" t="s">
        <v>868</v>
      </c>
      <c r="B357" s="403"/>
      <c r="C357" s="404" t="s">
        <v>866</v>
      </c>
      <c r="D357" s="405">
        <v>42559</v>
      </c>
      <c r="E357" s="406"/>
      <c r="F357" s="325"/>
      <c r="G357" s="324"/>
      <c r="H357" s="324">
        <v>15141.01</v>
      </c>
      <c r="I357" s="325">
        <v>11532.01</v>
      </c>
      <c r="J357" s="325"/>
      <c r="K357" s="325">
        <f t="shared" si="73"/>
        <v>0</v>
      </c>
      <c r="L357" s="325">
        <f t="shared" si="74"/>
        <v>0</v>
      </c>
      <c r="M357" s="407">
        <v>6.67</v>
      </c>
      <c r="N357" s="408" t="s">
        <v>289</v>
      </c>
      <c r="O357" s="325">
        <f t="shared" si="76"/>
        <v>0</v>
      </c>
      <c r="P357" s="325">
        <f t="shared" si="77"/>
        <v>0</v>
      </c>
      <c r="Q357" s="325">
        <f t="shared" si="78"/>
        <v>0</v>
      </c>
      <c r="R357" s="325">
        <f t="shared" si="79"/>
        <v>384</v>
      </c>
      <c r="S357" s="325">
        <f t="shared" si="80"/>
        <v>0</v>
      </c>
      <c r="T357" s="325">
        <f t="shared" si="82"/>
        <v>384</v>
      </c>
      <c r="U357" s="325">
        <f t="shared" si="81"/>
        <v>11148.01</v>
      </c>
      <c r="V357" s="325">
        <f t="shared" si="75"/>
        <v>0</v>
      </c>
      <c r="W357" s="449" cm="1">
        <f t="array" ref="W357">+IF(U357&lt;0,error,0)</f>
        <v>0</v>
      </c>
    </row>
    <row r="358" spans="1:23" ht="18" customHeight="1" x14ac:dyDescent="0.2">
      <c r="A358" s="402" t="s">
        <v>869</v>
      </c>
      <c r="B358" s="403"/>
      <c r="C358" s="404" t="s">
        <v>866</v>
      </c>
      <c r="D358" s="405">
        <v>42559</v>
      </c>
      <c r="E358" s="406"/>
      <c r="F358" s="325"/>
      <c r="G358" s="324"/>
      <c r="H358" s="324">
        <v>15141.01</v>
      </c>
      <c r="I358" s="325">
        <v>11532.01</v>
      </c>
      <c r="J358" s="325"/>
      <c r="K358" s="325">
        <f t="shared" si="73"/>
        <v>0</v>
      </c>
      <c r="L358" s="325">
        <f t="shared" si="74"/>
        <v>0</v>
      </c>
      <c r="M358" s="407">
        <v>6.67</v>
      </c>
      <c r="N358" s="408" t="s">
        <v>289</v>
      </c>
      <c r="O358" s="325">
        <f t="shared" si="76"/>
        <v>0</v>
      </c>
      <c r="P358" s="325">
        <f t="shared" si="77"/>
        <v>0</v>
      </c>
      <c r="Q358" s="325">
        <f t="shared" si="78"/>
        <v>0</v>
      </c>
      <c r="R358" s="325">
        <f t="shared" si="79"/>
        <v>384</v>
      </c>
      <c r="S358" s="325">
        <f t="shared" si="80"/>
        <v>0</v>
      </c>
      <c r="T358" s="325">
        <f t="shared" si="82"/>
        <v>384</v>
      </c>
      <c r="U358" s="325">
        <f t="shared" si="81"/>
        <v>11148.01</v>
      </c>
      <c r="V358" s="325">
        <f t="shared" si="75"/>
        <v>0</v>
      </c>
      <c r="W358" s="449" cm="1">
        <f t="array" ref="W358">+IF(U358&lt;0,error,0)</f>
        <v>0</v>
      </c>
    </row>
    <row r="359" spans="1:23" ht="18" customHeight="1" x14ac:dyDescent="0.2">
      <c r="A359" s="402" t="s">
        <v>870</v>
      </c>
      <c r="B359" s="403"/>
      <c r="C359" s="404" t="s">
        <v>866</v>
      </c>
      <c r="D359" s="405">
        <v>42559</v>
      </c>
      <c r="E359" s="406"/>
      <c r="F359" s="325"/>
      <c r="G359" s="324"/>
      <c r="H359" s="324">
        <v>15141.02</v>
      </c>
      <c r="I359" s="325">
        <v>11532.02</v>
      </c>
      <c r="J359" s="325"/>
      <c r="K359" s="325">
        <f t="shared" si="73"/>
        <v>0</v>
      </c>
      <c r="L359" s="325">
        <f t="shared" si="74"/>
        <v>0</v>
      </c>
      <c r="M359" s="407">
        <v>6.67</v>
      </c>
      <c r="N359" s="408" t="s">
        <v>289</v>
      </c>
      <c r="O359" s="325">
        <f t="shared" si="76"/>
        <v>0</v>
      </c>
      <c r="P359" s="325">
        <f t="shared" si="77"/>
        <v>0</v>
      </c>
      <c r="Q359" s="325">
        <f t="shared" si="78"/>
        <v>0</v>
      </c>
      <c r="R359" s="325">
        <f t="shared" si="79"/>
        <v>384</v>
      </c>
      <c r="S359" s="325">
        <f t="shared" si="80"/>
        <v>0</v>
      </c>
      <c r="T359" s="325">
        <f t="shared" si="82"/>
        <v>384</v>
      </c>
      <c r="U359" s="325">
        <f t="shared" si="81"/>
        <v>11148.02</v>
      </c>
      <c r="V359" s="325">
        <f t="shared" si="75"/>
        <v>0</v>
      </c>
      <c r="W359" s="449" cm="1">
        <f t="array" ref="W359">+IF(U359&lt;0,error,0)</f>
        <v>0</v>
      </c>
    </row>
    <row r="360" spans="1:23" ht="18" customHeight="1" x14ac:dyDescent="0.2">
      <c r="A360" s="402" t="s">
        <v>871</v>
      </c>
      <c r="B360" s="403"/>
      <c r="C360" s="404" t="s">
        <v>872</v>
      </c>
      <c r="D360" s="405">
        <v>42559</v>
      </c>
      <c r="E360" s="406"/>
      <c r="F360" s="325"/>
      <c r="G360" s="324"/>
      <c r="H360" s="324">
        <v>20581.010000000002</v>
      </c>
      <c r="I360" s="325">
        <v>15674.010000000002</v>
      </c>
      <c r="J360" s="325"/>
      <c r="K360" s="325">
        <f t="shared" si="73"/>
        <v>0</v>
      </c>
      <c r="L360" s="325">
        <f t="shared" si="74"/>
        <v>0</v>
      </c>
      <c r="M360" s="407">
        <v>6.67</v>
      </c>
      <c r="N360" s="408" t="s">
        <v>289</v>
      </c>
      <c r="O360" s="325">
        <f t="shared" si="76"/>
        <v>0</v>
      </c>
      <c r="P360" s="325">
        <f t="shared" si="77"/>
        <v>0</v>
      </c>
      <c r="Q360" s="325">
        <f t="shared" si="78"/>
        <v>0</v>
      </c>
      <c r="R360" s="325">
        <f t="shared" si="79"/>
        <v>522</v>
      </c>
      <c r="S360" s="325">
        <f t="shared" si="80"/>
        <v>0</v>
      </c>
      <c r="T360" s="325">
        <f t="shared" si="82"/>
        <v>522</v>
      </c>
      <c r="U360" s="325">
        <f t="shared" si="81"/>
        <v>15152.010000000002</v>
      </c>
      <c r="V360" s="325">
        <f t="shared" si="75"/>
        <v>0</v>
      </c>
      <c r="W360" s="449" cm="1">
        <f t="array" ref="W360">+IF(U360&lt;0,error,0)</f>
        <v>0</v>
      </c>
    </row>
    <row r="361" spans="1:23" ht="18" customHeight="1" x14ac:dyDescent="0.2">
      <c r="A361" s="402" t="s">
        <v>873</v>
      </c>
      <c r="B361" s="403"/>
      <c r="C361" s="404" t="s">
        <v>872</v>
      </c>
      <c r="D361" s="405">
        <v>42559</v>
      </c>
      <c r="E361" s="406"/>
      <c r="F361" s="325"/>
      <c r="G361" s="324"/>
      <c r="H361" s="324">
        <v>20581.010000000002</v>
      </c>
      <c r="I361" s="325">
        <v>15674.010000000002</v>
      </c>
      <c r="J361" s="325"/>
      <c r="K361" s="325">
        <f t="shared" si="73"/>
        <v>0</v>
      </c>
      <c r="L361" s="325">
        <f t="shared" si="74"/>
        <v>0</v>
      </c>
      <c r="M361" s="407">
        <v>6.67</v>
      </c>
      <c r="N361" s="408" t="s">
        <v>289</v>
      </c>
      <c r="O361" s="325">
        <f t="shared" si="76"/>
        <v>0</v>
      </c>
      <c r="P361" s="325">
        <f t="shared" si="77"/>
        <v>0</v>
      </c>
      <c r="Q361" s="325">
        <f t="shared" si="78"/>
        <v>0</v>
      </c>
      <c r="R361" s="325">
        <f t="shared" si="79"/>
        <v>522</v>
      </c>
      <c r="S361" s="325">
        <f t="shared" si="80"/>
        <v>0</v>
      </c>
      <c r="T361" s="325">
        <f t="shared" si="82"/>
        <v>522</v>
      </c>
      <c r="U361" s="325">
        <f t="shared" si="81"/>
        <v>15152.010000000002</v>
      </c>
      <c r="V361" s="325">
        <f t="shared" si="75"/>
        <v>0</v>
      </c>
      <c r="W361" s="449" cm="1">
        <f t="array" ref="W361">+IF(U361&lt;0,error,0)</f>
        <v>0</v>
      </c>
    </row>
    <row r="362" spans="1:23" ht="18" customHeight="1" x14ac:dyDescent="0.2">
      <c r="A362" s="402" t="s">
        <v>874</v>
      </c>
      <c r="B362" s="403"/>
      <c r="C362" s="404" t="s">
        <v>872</v>
      </c>
      <c r="D362" s="405">
        <v>42559</v>
      </c>
      <c r="E362" s="406"/>
      <c r="F362" s="325"/>
      <c r="G362" s="324"/>
      <c r="H362" s="324">
        <v>20581.010000000002</v>
      </c>
      <c r="I362" s="325">
        <v>15674.010000000002</v>
      </c>
      <c r="J362" s="325"/>
      <c r="K362" s="325">
        <f t="shared" si="73"/>
        <v>0</v>
      </c>
      <c r="L362" s="325">
        <f t="shared" si="74"/>
        <v>0</v>
      </c>
      <c r="M362" s="407">
        <v>6.67</v>
      </c>
      <c r="N362" s="408" t="s">
        <v>289</v>
      </c>
      <c r="O362" s="325">
        <f t="shared" si="76"/>
        <v>0</v>
      </c>
      <c r="P362" s="325">
        <f t="shared" si="77"/>
        <v>0</v>
      </c>
      <c r="Q362" s="325">
        <f t="shared" si="78"/>
        <v>0</v>
      </c>
      <c r="R362" s="325">
        <f t="shared" si="79"/>
        <v>522</v>
      </c>
      <c r="S362" s="325">
        <f t="shared" si="80"/>
        <v>0</v>
      </c>
      <c r="T362" s="325">
        <f t="shared" si="82"/>
        <v>522</v>
      </c>
      <c r="U362" s="325">
        <f t="shared" si="81"/>
        <v>15152.010000000002</v>
      </c>
      <c r="V362" s="325">
        <f t="shared" si="75"/>
        <v>0</v>
      </c>
      <c r="W362" s="449" cm="1">
        <f t="array" ref="W362">+IF(U362&lt;0,error,0)</f>
        <v>0</v>
      </c>
    </row>
    <row r="363" spans="1:23" ht="18" customHeight="1" x14ac:dyDescent="0.2">
      <c r="A363" s="402" t="s">
        <v>875</v>
      </c>
      <c r="B363" s="403"/>
      <c r="C363" s="404" t="s">
        <v>872</v>
      </c>
      <c r="D363" s="405">
        <v>42559</v>
      </c>
      <c r="E363" s="406"/>
      <c r="F363" s="325"/>
      <c r="G363" s="324"/>
      <c r="H363" s="324">
        <v>20581.010000000002</v>
      </c>
      <c r="I363" s="325">
        <v>15674.010000000002</v>
      </c>
      <c r="J363" s="325"/>
      <c r="K363" s="325">
        <f t="shared" si="73"/>
        <v>0</v>
      </c>
      <c r="L363" s="325">
        <f t="shared" si="74"/>
        <v>0</v>
      </c>
      <c r="M363" s="407">
        <v>6.67</v>
      </c>
      <c r="N363" s="408" t="s">
        <v>289</v>
      </c>
      <c r="O363" s="325">
        <f t="shared" si="76"/>
        <v>0</v>
      </c>
      <c r="P363" s="325">
        <f t="shared" si="77"/>
        <v>0</v>
      </c>
      <c r="Q363" s="325">
        <f t="shared" si="78"/>
        <v>0</v>
      </c>
      <c r="R363" s="325">
        <f t="shared" si="79"/>
        <v>522</v>
      </c>
      <c r="S363" s="325">
        <f t="shared" si="80"/>
        <v>0</v>
      </c>
      <c r="T363" s="325">
        <f t="shared" si="82"/>
        <v>522</v>
      </c>
      <c r="U363" s="325">
        <f t="shared" si="81"/>
        <v>15152.010000000002</v>
      </c>
      <c r="V363" s="325">
        <f t="shared" si="75"/>
        <v>0</v>
      </c>
      <c r="W363" s="449" cm="1">
        <f t="array" ref="W363">+IF(U363&lt;0,error,0)</f>
        <v>0</v>
      </c>
    </row>
    <row r="364" spans="1:23" ht="18" customHeight="1" x14ac:dyDescent="0.2">
      <c r="A364" s="402" t="s">
        <v>876</v>
      </c>
      <c r="B364" s="403"/>
      <c r="C364" s="404" t="s">
        <v>872</v>
      </c>
      <c r="D364" s="405">
        <v>42559</v>
      </c>
      <c r="E364" s="406"/>
      <c r="F364" s="325"/>
      <c r="G364" s="324"/>
      <c r="H364" s="324">
        <v>20581.010000000002</v>
      </c>
      <c r="I364" s="325">
        <v>15674.010000000002</v>
      </c>
      <c r="J364" s="325"/>
      <c r="K364" s="325">
        <f t="shared" si="73"/>
        <v>0</v>
      </c>
      <c r="L364" s="325">
        <f t="shared" si="74"/>
        <v>0</v>
      </c>
      <c r="M364" s="407">
        <v>6.67</v>
      </c>
      <c r="N364" s="408" t="s">
        <v>289</v>
      </c>
      <c r="O364" s="325">
        <f t="shared" si="76"/>
        <v>0</v>
      </c>
      <c r="P364" s="325">
        <f t="shared" si="77"/>
        <v>0</v>
      </c>
      <c r="Q364" s="325">
        <f t="shared" si="78"/>
        <v>0</v>
      </c>
      <c r="R364" s="325">
        <f t="shared" si="79"/>
        <v>522</v>
      </c>
      <c r="S364" s="325">
        <f t="shared" si="80"/>
        <v>0</v>
      </c>
      <c r="T364" s="325">
        <f t="shared" si="82"/>
        <v>522</v>
      </c>
      <c r="U364" s="325">
        <f t="shared" si="81"/>
        <v>15152.010000000002</v>
      </c>
      <c r="V364" s="325">
        <f t="shared" si="75"/>
        <v>0</v>
      </c>
      <c r="W364" s="449" cm="1">
        <f t="array" ref="W364">+IF(U364&lt;0,error,0)</f>
        <v>0</v>
      </c>
    </row>
    <row r="365" spans="1:23" ht="18" customHeight="1" x14ac:dyDescent="0.2">
      <c r="A365" s="402" t="s">
        <v>877</v>
      </c>
      <c r="B365" s="403"/>
      <c r="C365" s="404" t="s">
        <v>872</v>
      </c>
      <c r="D365" s="405">
        <v>42559</v>
      </c>
      <c r="E365" s="406"/>
      <c r="F365" s="325"/>
      <c r="G365" s="324"/>
      <c r="H365" s="324">
        <v>20581.010000000002</v>
      </c>
      <c r="I365" s="325">
        <v>15674.010000000002</v>
      </c>
      <c r="J365" s="325"/>
      <c r="K365" s="325">
        <f t="shared" si="73"/>
        <v>0</v>
      </c>
      <c r="L365" s="325">
        <f t="shared" si="74"/>
        <v>0</v>
      </c>
      <c r="M365" s="407">
        <v>6.67</v>
      </c>
      <c r="N365" s="408" t="s">
        <v>289</v>
      </c>
      <c r="O365" s="325">
        <f t="shared" si="76"/>
        <v>0</v>
      </c>
      <c r="P365" s="325">
        <f t="shared" si="77"/>
        <v>0</v>
      </c>
      <c r="Q365" s="325">
        <f t="shared" si="78"/>
        <v>0</v>
      </c>
      <c r="R365" s="325">
        <f t="shared" si="79"/>
        <v>522</v>
      </c>
      <c r="S365" s="325">
        <f t="shared" si="80"/>
        <v>0</v>
      </c>
      <c r="T365" s="325">
        <f t="shared" si="82"/>
        <v>522</v>
      </c>
      <c r="U365" s="325">
        <f t="shared" si="81"/>
        <v>15152.010000000002</v>
      </c>
      <c r="V365" s="325">
        <f t="shared" si="75"/>
        <v>0</v>
      </c>
      <c r="W365" s="449" cm="1">
        <f t="array" ref="W365">+IF(U365&lt;0,error,0)</f>
        <v>0</v>
      </c>
    </row>
    <row r="366" spans="1:23" ht="18" customHeight="1" x14ac:dyDescent="0.2">
      <c r="A366" s="402" t="s">
        <v>878</v>
      </c>
      <c r="B366" s="403"/>
      <c r="C366" s="404" t="s">
        <v>872</v>
      </c>
      <c r="D366" s="405">
        <v>42559</v>
      </c>
      <c r="E366" s="406"/>
      <c r="F366" s="325"/>
      <c r="G366" s="324"/>
      <c r="H366" s="324">
        <v>20581.010000000002</v>
      </c>
      <c r="I366" s="325">
        <v>15674.010000000002</v>
      </c>
      <c r="J366" s="325"/>
      <c r="K366" s="325">
        <f t="shared" si="73"/>
        <v>0</v>
      </c>
      <c r="L366" s="325">
        <f t="shared" si="74"/>
        <v>0</v>
      </c>
      <c r="M366" s="407">
        <v>6.67</v>
      </c>
      <c r="N366" s="408" t="s">
        <v>289</v>
      </c>
      <c r="O366" s="325">
        <f t="shared" si="76"/>
        <v>0</v>
      </c>
      <c r="P366" s="325">
        <f t="shared" si="77"/>
        <v>0</v>
      </c>
      <c r="Q366" s="325">
        <f t="shared" si="78"/>
        <v>0</v>
      </c>
      <c r="R366" s="325">
        <f t="shared" si="79"/>
        <v>522</v>
      </c>
      <c r="S366" s="325">
        <f t="shared" si="80"/>
        <v>0</v>
      </c>
      <c r="T366" s="325">
        <f t="shared" si="82"/>
        <v>522</v>
      </c>
      <c r="U366" s="325">
        <f t="shared" si="81"/>
        <v>15152.010000000002</v>
      </c>
      <c r="V366" s="325">
        <f t="shared" si="75"/>
        <v>0</v>
      </c>
      <c r="W366" s="449" cm="1">
        <f t="array" ref="W366">+IF(U366&lt;0,error,0)</f>
        <v>0</v>
      </c>
    </row>
    <row r="367" spans="1:23" ht="18" customHeight="1" x14ac:dyDescent="0.2">
      <c r="A367" s="402" t="s">
        <v>879</v>
      </c>
      <c r="B367" s="403"/>
      <c r="C367" s="404" t="s">
        <v>872</v>
      </c>
      <c r="D367" s="405">
        <v>42559</v>
      </c>
      <c r="E367" s="406"/>
      <c r="F367" s="325"/>
      <c r="G367" s="324"/>
      <c r="H367" s="324">
        <v>20581.010000000002</v>
      </c>
      <c r="I367" s="325">
        <v>15674.010000000002</v>
      </c>
      <c r="J367" s="325"/>
      <c r="K367" s="325">
        <f t="shared" si="73"/>
        <v>0</v>
      </c>
      <c r="L367" s="325">
        <f t="shared" si="74"/>
        <v>0</v>
      </c>
      <c r="M367" s="407">
        <v>6.67</v>
      </c>
      <c r="N367" s="408" t="s">
        <v>289</v>
      </c>
      <c r="O367" s="325">
        <f t="shared" si="76"/>
        <v>0</v>
      </c>
      <c r="P367" s="325">
        <f t="shared" si="77"/>
        <v>0</v>
      </c>
      <c r="Q367" s="325">
        <f t="shared" si="78"/>
        <v>0</v>
      </c>
      <c r="R367" s="325">
        <f t="shared" si="79"/>
        <v>522</v>
      </c>
      <c r="S367" s="325">
        <f t="shared" si="80"/>
        <v>0</v>
      </c>
      <c r="T367" s="325">
        <f t="shared" si="82"/>
        <v>522</v>
      </c>
      <c r="U367" s="325">
        <f t="shared" si="81"/>
        <v>15152.010000000002</v>
      </c>
      <c r="V367" s="325">
        <f t="shared" si="75"/>
        <v>0</v>
      </c>
      <c r="W367" s="449" cm="1">
        <f t="array" ref="W367">+IF(U367&lt;0,error,0)</f>
        <v>0</v>
      </c>
    </row>
    <row r="368" spans="1:23" ht="18" customHeight="1" x14ac:dyDescent="0.2">
      <c r="A368" s="402" t="s">
        <v>880</v>
      </c>
      <c r="B368" s="403"/>
      <c r="C368" s="404" t="s">
        <v>872</v>
      </c>
      <c r="D368" s="405">
        <v>42559</v>
      </c>
      <c r="E368" s="406"/>
      <c r="F368" s="325"/>
      <c r="G368" s="324"/>
      <c r="H368" s="324">
        <v>20581.010000000002</v>
      </c>
      <c r="I368" s="325">
        <v>15674.010000000002</v>
      </c>
      <c r="J368" s="325"/>
      <c r="K368" s="325">
        <f t="shared" si="73"/>
        <v>0</v>
      </c>
      <c r="L368" s="325">
        <f t="shared" si="74"/>
        <v>0</v>
      </c>
      <c r="M368" s="407">
        <v>6.67</v>
      </c>
      <c r="N368" s="408" t="s">
        <v>289</v>
      </c>
      <c r="O368" s="325">
        <f t="shared" si="76"/>
        <v>0</v>
      </c>
      <c r="P368" s="325">
        <f t="shared" si="77"/>
        <v>0</v>
      </c>
      <c r="Q368" s="325">
        <f t="shared" si="78"/>
        <v>0</v>
      </c>
      <c r="R368" s="325">
        <f t="shared" si="79"/>
        <v>522</v>
      </c>
      <c r="S368" s="325">
        <f t="shared" si="80"/>
        <v>0</v>
      </c>
      <c r="T368" s="325">
        <f t="shared" si="82"/>
        <v>522</v>
      </c>
      <c r="U368" s="325">
        <f t="shared" si="81"/>
        <v>15152.010000000002</v>
      </c>
      <c r="V368" s="325">
        <f t="shared" si="75"/>
        <v>0</v>
      </c>
      <c r="W368" s="449" cm="1">
        <f t="array" ref="W368">+IF(U368&lt;0,error,0)</f>
        <v>0</v>
      </c>
    </row>
    <row r="369" spans="1:23" ht="18" customHeight="1" x14ac:dyDescent="0.2">
      <c r="A369" s="402" t="s">
        <v>881</v>
      </c>
      <c r="B369" s="403"/>
      <c r="C369" s="404" t="s">
        <v>872</v>
      </c>
      <c r="D369" s="405">
        <v>42559</v>
      </c>
      <c r="E369" s="406"/>
      <c r="F369" s="325"/>
      <c r="G369" s="324"/>
      <c r="H369" s="324">
        <v>20581.03</v>
      </c>
      <c r="I369" s="325">
        <v>15674.029999999999</v>
      </c>
      <c r="J369" s="325"/>
      <c r="K369" s="325">
        <f t="shared" si="73"/>
        <v>0</v>
      </c>
      <c r="L369" s="325">
        <f t="shared" si="74"/>
        <v>0</v>
      </c>
      <c r="M369" s="407">
        <v>6.67</v>
      </c>
      <c r="N369" s="408" t="s">
        <v>289</v>
      </c>
      <c r="O369" s="325">
        <f t="shared" si="76"/>
        <v>0</v>
      </c>
      <c r="P369" s="325">
        <f t="shared" si="77"/>
        <v>0</v>
      </c>
      <c r="Q369" s="325">
        <f t="shared" si="78"/>
        <v>0</v>
      </c>
      <c r="R369" s="325">
        <f t="shared" si="79"/>
        <v>522</v>
      </c>
      <c r="S369" s="325">
        <f t="shared" si="80"/>
        <v>0</v>
      </c>
      <c r="T369" s="325">
        <f t="shared" si="82"/>
        <v>522</v>
      </c>
      <c r="U369" s="325">
        <f t="shared" si="81"/>
        <v>15152.029999999999</v>
      </c>
      <c r="V369" s="325">
        <f t="shared" si="75"/>
        <v>0</v>
      </c>
      <c r="W369" s="449" cm="1">
        <f t="array" ref="W369">+IF(U369&lt;0,error,0)</f>
        <v>0</v>
      </c>
    </row>
    <row r="370" spans="1:23" ht="18" customHeight="1" x14ac:dyDescent="0.2">
      <c r="A370" s="402" t="s">
        <v>882</v>
      </c>
      <c r="B370" s="403"/>
      <c r="C370" s="404" t="s">
        <v>872</v>
      </c>
      <c r="D370" s="405">
        <v>42559</v>
      </c>
      <c r="E370" s="406"/>
      <c r="F370" s="325"/>
      <c r="G370" s="324"/>
      <c r="H370" s="324">
        <v>16011.01</v>
      </c>
      <c r="I370" s="325">
        <v>12193.01</v>
      </c>
      <c r="J370" s="325"/>
      <c r="K370" s="325">
        <f t="shared" si="73"/>
        <v>0</v>
      </c>
      <c r="L370" s="325">
        <f t="shared" si="74"/>
        <v>0</v>
      </c>
      <c r="M370" s="407">
        <v>6.67</v>
      </c>
      <c r="N370" s="408" t="s">
        <v>289</v>
      </c>
      <c r="O370" s="325">
        <f t="shared" si="76"/>
        <v>0</v>
      </c>
      <c r="P370" s="325">
        <f t="shared" si="77"/>
        <v>0</v>
      </c>
      <c r="Q370" s="325">
        <f t="shared" si="78"/>
        <v>0</v>
      </c>
      <c r="R370" s="325">
        <f t="shared" si="79"/>
        <v>406</v>
      </c>
      <c r="S370" s="325">
        <f t="shared" si="80"/>
        <v>0</v>
      </c>
      <c r="T370" s="325">
        <f t="shared" si="82"/>
        <v>406</v>
      </c>
      <c r="U370" s="325">
        <f t="shared" si="81"/>
        <v>11787.01</v>
      </c>
      <c r="V370" s="325">
        <f t="shared" si="75"/>
        <v>0</v>
      </c>
      <c r="W370" s="449" cm="1">
        <f t="array" ref="W370">+IF(U370&lt;0,error,0)</f>
        <v>0</v>
      </c>
    </row>
    <row r="371" spans="1:23" ht="18" customHeight="1" x14ac:dyDescent="0.2">
      <c r="A371" s="402" t="s">
        <v>883</v>
      </c>
      <c r="B371" s="403"/>
      <c r="C371" s="404" t="s">
        <v>872</v>
      </c>
      <c r="D371" s="405">
        <v>42559</v>
      </c>
      <c r="E371" s="406"/>
      <c r="F371" s="325"/>
      <c r="G371" s="324"/>
      <c r="H371" s="324">
        <v>16011.01</v>
      </c>
      <c r="I371" s="325">
        <v>12193.01</v>
      </c>
      <c r="J371" s="325"/>
      <c r="K371" s="325">
        <f t="shared" si="73"/>
        <v>0</v>
      </c>
      <c r="L371" s="325">
        <f t="shared" si="74"/>
        <v>0</v>
      </c>
      <c r="M371" s="407">
        <v>6.67</v>
      </c>
      <c r="N371" s="408" t="s">
        <v>289</v>
      </c>
      <c r="O371" s="325">
        <f t="shared" si="76"/>
        <v>0</v>
      </c>
      <c r="P371" s="325">
        <f t="shared" si="77"/>
        <v>0</v>
      </c>
      <c r="Q371" s="325">
        <f t="shared" si="78"/>
        <v>0</v>
      </c>
      <c r="R371" s="325">
        <f t="shared" si="79"/>
        <v>406</v>
      </c>
      <c r="S371" s="325">
        <f t="shared" si="80"/>
        <v>0</v>
      </c>
      <c r="T371" s="325">
        <f t="shared" si="82"/>
        <v>406</v>
      </c>
      <c r="U371" s="325">
        <f t="shared" si="81"/>
        <v>11787.01</v>
      </c>
      <c r="V371" s="325">
        <f t="shared" si="75"/>
        <v>0</v>
      </c>
      <c r="W371" s="449" cm="1">
        <f t="array" ref="W371">+IF(U371&lt;0,error,0)</f>
        <v>0</v>
      </c>
    </row>
    <row r="372" spans="1:23" ht="18" customHeight="1" x14ac:dyDescent="0.2">
      <c r="A372" s="402" t="s">
        <v>884</v>
      </c>
      <c r="B372" s="403"/>
      <c r="C372" s="404" t="s">
        <v>872</v>
      </c>
      <c r="D372" s="405">
        <v>42559</v>
      </c>
      <c r="E372" s="406"/>
      <c r="F372" s="325"/>
      <c r="G372" s="324"/>
      <c r="H372" s="324">
        <v>16011.01</v>
      </c>
      <c r="I372" s="325">
        <v>12193.01</v>
      </c>
      <c r="J372" s="325"/>
      <c r="K372" s="325">
        <f t="shared" si="73"/>
        <v>0</v>
      </c>
      <c r="L372" s="325">
        <f t="shared" si="74"/>
        <v>0</v>
      </c>
      <c r="M372" s="407">
        <v>6.67</v>
      </c>
      <c r="N372" s="408" t="s">
        <v>289</v>
      </c>
      <c r="O372" s="325">
        <f t="shared" si="76"/>
        <v>0</v>
      </c>
      <c r="P372" s="325">
        <f t="shared" si="77"/>
        <v>0</v>
      </c>
      <c r="Q372" s="325">
        <f t="shared" si="78"/>
        <v>0</v>
      </c>
      <c r="R372" s="325">
        <f t="shared" si="79"/>
        <v>406</v>
      </c>
      <c r="S372" s="325">
        <f t="shared" si="80"/>
        <v>0</v>
      </c>
      <c r="T372" s="325">
        <f t="shared" si="82"/>
        <v>406</v>
      </c>
      <c r="U372" s="325">
        <f t="shared" si="81"/>
        <v>11787.01</v>
      </c>
      <c r="V372" s="325">
        <f t="shared" si="75"/>
        <v>0</v>
      </c>
      <c r="W372" s="449" cm="1">
        <f t="array" ref="W372">+IF(U372&lt;0,error,0)</f>
        <v>0</v>
      </c>
    </row>
    <row r="373" spans="1:23" ht="18" customHeight="1" x14ac:dyDescent="0.2">
      <c r="A373" s="402" t="s">
        <v>885</v>
      </c>
      <c r="B373" s="403"/>
      <c r="C373" s="404" t="s">
        <v>872</v>
      </c>
      <c r="D373" s="405">
        <v>42559</v>
      </c>
      <c r="E373" s="406"/>
      <c r="F373" s="325"/>
      <c r="G373" s="324"/>
      <c r="H373" s="324">
        <v>16011.01</v>
      </c>
      <c r="I373" s="325">
        <v>12193.01</v>
      </c>
      <c r="J373" s="325"/>
      <c r="K373" s="325">
        <f t="shared" si="73"/>
        <v>0</v>
      </c>
      <c r="L373" s="325">
        <f t="shared" si="74"/>
        <v>0</v>
      </c>
      <c r="M373" s="407">
        <v>6.67</v>
      </c>
      <c r="N373" s="408" t="s">
        <v>289</v>
      </c>
      <c r="O373" s="325">
        <f t="shared" si="76"/>
        <v>0</v>
      </c>
      <c r="P373" s="325">
        <f t="shared" si="77"/>
        <v>0</v>
      </c>
      <c r="Q373" s="325">
        <f t="shared" si="78"/>
        <v>0</v>
      </c>
      <c r="R373" s="325">
        <f t="shared" si="79"/>
        <v>406</v>
      </c>
      <c r="S373" s="325">
        <f t="shared" si="80"/>
        <v>0</v>
      </c>
      <c r="T373" s="325">
        <f t="shared" si="82"/>
        <v>406</v>
      </c>
      <c r="U373" s="325">
        <f t="shared" si="81"/>
        <v>11787.01</v>
      </c>
      <c r="V373" s="325">
        <f t="shared" si="75"/>
        <v>0</v>
      </c>
      <c r="W373" s="449" cm="1">
        <f t="array" ref="W373">+IF(U373&lt;0,error,0)</f>
        <v>0</v>
      </c>
    </row>
    <row r="374" spans="1:23" ht="18" customHeight="1" x14ac:dyDescent="0.2">
      <c r="A374" s="402" t="s">
        <v>886</v>
      </c>
      <c r="B374" s="403"/>
      <c r="C374" s="404" t="s">
        <v>872</v>
      </c>
      <c r="D374" s="405">
        <v>42559</v>
      </c>
      <c r="E374" s="406"/>
      <c r="F374" s="325"/>
      <c r="G374" s="324"/>
      <c r="H374" s="324">
        <v>16011.01</v>
      </c>
      <c r="I374" s="325">
        <v>12193.01</v>
      </c>
      <c r="J374" s="325"/>
      <c r="K374" s="325">
        <f t="shared" si="73"/>
        <v>0</v>
      </c>
      <c r="L374" s="325">
        <f t="shared" si="74"/>
        <v>0</v>
      </c>
      <c r="M374" s="407">
        <v>6.67</v>
      </c>
      <c r="N374" s="408" t="s">
        <v>289</v>
      </c>
      <c r="O374" s="325">
        <f t="shared" si="76"/>
        <v>0</v>
      </c>
      <c r="P374" s="325">
        <f t="shared" si="77"/>
        <v>0</v>
      </c>
      <c r="Q374" s="325">
        <f t="shared" si="78"/>
        <v>0</v>
      </c>
      <c r="R374" s="325">
        <f t="shared" si="79"/>
        <v>406</v>
      </c>
      <c r="S374" s="325">
        <f t="shared" si="80"/>
        <v>0</v>
      </c>
      <c r="T374" s="325">
        <f t="shared" si="82"/>
        <v>406</v>
      </c>
      <c r="U374" s="325">
        <f t="shared" si="81"/>
        <v>11787.01</v>
      </c>
      <c r="V374" s="325">
        <f t="shared" si="75"/>
        <v>0</v>
      </c>
      <c r="W374" s="449" cm="1">
        <f t="array" ref="W374">+IF(U374&lt;0,error,0)</f>
        <v>0</v>
      </c>
    </row>
    <row r="375" spans="1:23" ht="18" customHeight="1" x14ac:dyDescent="0.2">
      <c r="A375" s="402" t="s">
        <v>887</v>
      </c>
      <c r="B375" s="403"/>
      <c r="C375" s="404" t="s">
        <v>872</v>
      </c>
      <c r="D375" s="405">
        <v>42559</v>
      </c>
      <c r="E375" s="406"/>
      <c r="F375" s="325"/>
      <c r="G375" s="324"/>
      <c r="H375" s="324">
        <v>16011.01</v>
      </c>
      <c r="I375" s="325">
        <v>12193.01</v>
      </c>
      <c r="J375" s="325"/>
      <c r="K375" s="325">
        <f t="shared" si="73"/>
        <v>0</v>
      </c>
      <c r="L375" s="325">
        <f t="shared" si="74"/>
        <v>0</v>
      </c>
      <c r="M375" s="407">
        <v>6.67</v>
      </c>
      <c r="N375" s="408" t="s">
        <v>289</v>
      </c>
      <c r="O375" s="325">
        <f t="shared" si="76"/>
        <v>0</v>
      </c>
      <c r="P375" s="325">
        <f t="shared" si="77"/>
        <v>0</v>
      </c>
      <c r="Q375" s="325">
        <f t="shared" si="78"/>
        <v>0</v>
      </c>
      <c r="R375" s="325">
        <f t="shared" si="79"/>
        <v>406</v>
      </c>
      <c r="S375" s="325">
        <f t="shared" si="80"/>
        <v>0</v>
      </c>
      <c r="T375" s="325">
        <f t="shared" si="82"/>
        <v>406</v>
      </c>
      <c r="U375" s="325">
        <f t="shared" si="81"/>
        <v>11787.01</v>
      </c>
      <c r="V375" s="325">
        <f t="shared" si="75"/>
        <v>0</v>
      </c>
      <c r="W375" s="449" cm="1">
        <f t="array" ref="W375">+IF(U375&lt;0,error,0)</f>
        <v>0</v>
      </c>
    </row>
    <row r="376" spans="1:23" ht="18" customHeight="1" x14ac:dyDescent="0.2">
      <c r="A376" s="402" t="s">
        <v>888</v>
      </c>
      <c r="B376" s="403"/>
      <c r="C376" s="404" t="s">
        <v>872</v>
      </c>
      <c r="D376" s="405">
        <v>42559</v>
      </c>
      <c r="E376" s="406"/>
      <c r="F376" s="325"/>
      <c r="G376" s="324"/>
      <c r="H376" s="324">
        <v>16011.01</v>
      </c>
      <c r="I376" s="325">
        <v>12193.01</v>
      </c>
      <c r="J376" s="325"/>
      <c r="K376" s="325">
        <f t="shared" si="73"/>
        <v>0</v>
      </c>
      <c r="L376" s="325">
        <f t="shared" si="74"/>
        <v>0</v>
      </c>
      <c r="M376" s="407">
        <v>6.67</v>
      </c>
      <c r="N376" s="408" t="s">
        <v>289</v>
      </c>
      <c r="O376" s="325">
        <f t="shared" si="76"/>
        <v>0</v>
      </c>
      <c r="P376" s="325">
        <f t="shared" si="77"/>
        <v>0</v>
      </c>
      <c r="Q376" s="325">
        <f t="shared" si="78"/>
        <v>0</v>
      </c>
      <c r="R376" s="325">
        <f t="shared" si="79"/>
        <v>406</v>
      </c>
      <c r="S376" s="325">
        <f t="shared" si="80"/>
        <v>0</v>
      </c>
      <c r="T376" s="325">
        <f t="shared" si="82"/>
        <v>406</v>
      </c>
      <c r="U376" s="325">
        <f t="shared" si="81"/>
        <v>11787.01</v>
      </c>
      <c r="V376" s="325">
        <f t="shared" si="75"/>
        <v>0</v>
      </c>
      <c r="W376" s="449" cm="1">
        <f t="array" ref="W376">+IF(U376&lt;0,error,0)</f>
        <v>0</v>
      </c>
    </row>
    <row r="377" spans="1:23" ht="18" customHeight="1" x14ac:dyDescent="0.2">
      <c r="A377" s="402" t="s">
        <v>889</v>
      </c>
      <c r="B377" s="403"/>
      <c r="C377" s="404" t="s">
        <v>872</v>
      </c>
      <c r="D377" s="405">
        <v>42559</v>
      </c>
      <c r="E377" s="406"/>
      <c r="F377" s="325"/>
      <c r="G377" s="324"/>
      <c r="H377" s="324">
        <v>16011.01</v>
      </c>
      <c r="I377" s="325">
        <v>12193.01</v>
      </c>
      <c r="J377" s="325"/>
      <c r="K377" s="325">
        <f t="shared" si="73"/>
        <v>0</v>
      </c>
      <c r="L377" s="325">
        <f t="shared" si="74"/>
        <v>0</v>
      </c>
      <c r="M377" s="407">
        <v>6.67</v>
      </c>
      <c r="N377" s="408" t="s">
        <v>289</v>
      </c>
      <c r="O377" s="325">
        <f t="shared" si="76"/>
        <v>0</v>
      </c>
      <c r="P377" s="325">
        <f t="shared" si="77"/>
        <v>0</v>
      </c>
      <c r="Q377" s="325">
        <f t="shared" si="78"/>
        <v>0</v>
      </c>
      <c r="R377" s="325">
        <f t="shared" si="79"/>
        <v>406</v>
      </c>
      <c r="S377" s="325">
        <f t="shared" si="80"/>
        <v>0</v>
      </c>
      <c r="T377" s="325">
        <f t="shared" si="82"/>
        <v>406</v>
      </c>
      <c r="U377" s="325">
        <f t="shared" si="81"/>
        <v>11787.01</v>
      </c>
      <c r="V377" s="325">
        <f t="shared" si="75"/>
        <v>0</v>
      </c>
      <c r="W377" s="449" cm="1">
        <f t="array" ref="W377">+IF(U377&lt;0,error,0)</f>
        <v>0</v>
      </c>
    </row>
    <row r="378" spans="1:23" ht="18" customHeight="1" x14ac:dyDescent="0.2">
      <c r="A378" s="402" t="s">
        <v>890</v>
      </c>
      <c r="B378" s="403"/>
      <c r="C378" s="404" t="s">
        <v>872</v>
      </c>
      <c r="D378" s="405">
        <v>42559</v>
      </c>
      <c r="E378" s="406"/>
      <c r="F378" s="325"/>
      <c r="G378" s="324"/>
      <c r="H378" s="324">
        <v>16011.01</v>
      </c>
      <c r="I378" s="325">
        <v>12193.01</v>
      </c>
      <c r="J378" s="325"/>
      <c r="K378" s="325">
        <f t="shared" si="73"/>
        <v>0</v>
      </c>
      <c r="L378" s="325">
        <f t="shared" si="74"/>
        <v>0</v>
      </c>
      <c r="M378" s="407">
        <v>6.67</v>
      </c>
      <c r="N378" s="408" t="s">
        <v>289</v>
      </c>
      <c r="O378" s="325">
        <f t="shared" si="76"/>
        <v>0</v>
      </c>
      <c r="P378" s="325">
        <f t="shared" si="77"/>
        <v>0</v>
      </c>
      <c r="Q378" s="325">
        <f t="shared" si="78"/>
        <v>0</v>
      </c>
      <c r="R378" s="325">
        <f t="shared" si="79"/>
        <v>406</v>
      </c>
      <c r="S378" s="325">
        <f t="shared" si="80"/>
        <v>0</v>
      </c>
      <c r="T378" s="325">
        <f t="shared" si="82"/>
        <v>406</v>
      </c>
      <c r="U378" s="325">
        <f t="shared" si="81"/>
        <v>11787.01</v>
      </c>
      <c r="V378" s="325">
        <f t="shared" si="75"/>
        <v>0</v>
      </c>
      <c r="W378" s="449" cm="1">
        <f t="array" ref="W378">+IF(U378&lt;0,error,0)</f>
        <v>0</v>
      </c>
    </row>
    <row r="379" spans="1:23" ht="18" customHeight="1" x14ac:dyDescent="0.2">
      <c r="A379" s="402" t="s">
        <v>891</v>
      </c>
      <c r="B379" s="403"/>
      <c r="C379" s="404" t="s">
        <v>872</v>
      </c>
      <c r="D379" s="405">
        <v>42559</v>
      </c>
      <c r="E379" s="406"/>
      <c r="F379" s="325"/>
      <c r="G379" s="324"/>
      <c r="H379" s="324">
        <v>16011.03</v>
      </c>
      <c r="I379" s="325">
        <v>12193.03</v>
      </c>
      <c r="J379" s="325"/>
      <c r="K379" s="325">
        <f t="shared" si="73"/>
        <v>0</v>
      </c>
      <c r="L379" s="325">
        <f t="shared" si="74"/>
        <v>0</v>
      </c>
      <c r="M379" s="407">
        <v>6.67</v>
      </c>
      <c r="N379" s="408" t="s">
        <v>289</v>
      </c>
      <c r="O379" s="325">
        <f t="shared" si="76"/>
        <v>0</v>
      </c>
      <c r="P379" s="325">
        <f t="shared" si="77"/>
        <v>0</v>
      </c>
      <c r="Q379" s="325">
        <f t="shared" si="78"/>
        <v>0</v>
      </c>
      <c r="R379" s="325">
        <f t="shared" si="79"/>
        <v>406</v>
      </c>
      <c r="S379" s="325">
        <f t="shared" si="80"/>
        <v>0</v>
      </c>
      <c r="T379" s="325">
        <f t="shared" si="82"/>
        <v>406</v>
      </c>
      <c r="U379" s="325">
        <f t="shared" si="81"/>
        <v>11787.03</v>
      </c>
      <c r="V379" s="325">
        <f t="shared" si="75"/>
        <v>0</v>
      </c>
      <c r="W379" s="449" cm="1">
        <f t="array" ref="W379">+IF(U379&lt;0,error,0)</f>
        <v>0</v>
      </c>
    </row>
    <row r="380" spans="1:23" ht="18" customHeight="1" x14ac:dyDescent="0.2">
      <c r="A380" s="402" t="s">
        <v>892</v>
      </c>
      <c r="B380" s="403"/>
      <c r="C380" s="404" t="s">
        <v>893</v>
      </c>
      <c r="D380" s="405">
        <v>42559</v>
      </c>
      <c r="E380" s="406"/>
      <c r="F380" s="325"/>
      <c r="G380" s="324"/>
      <c r="H380" s="324">
        <v>14261.01</v>
      </c>
      <c r="I380" s="325">
        <v>10860.01</v>
      </c>
      <c r="J380" s="325"/>
      <c r="K380" s="325">
        <f t="shared" si="73"/>
        <v>0</v>
      </c>
      <c r="L380" s="325">
        <f t="shared" si="74"/>
        <v>0</v>
      </c>
      <c r="M380" s="407">
        <v>6.67</v>
      </c>
      <c r="N380" s="408" t="s">
        <v>289</v>
      </c>
      <c r="O380" s="325">
        <f t="shared" si="76"/>
        <v>0</v>
      </c>
      <c r="P380" s="325">
        <f t="shared" si="77"/>
        <v>0</v>
      </c>
      <c r="Q380" s="325">
        <f t="shared" si="78"/>
        <v>0</v>
      </c>
      <c r="R380" s="325">
        <f t="shared" si="79"/>
        <v>362</v>
      </c>
      <c r="S380" s="325">
        <f t="shared" si="80"/>
        <v>0</v>
      </c>
      <c r="T380" s="325">
        <f t="shared" si="82"/>
        <v>362</v>
      </c>
      <c r="U380" s="325">
        <f t="shared" si="81"/>
        <v>10498.01</v>
      </c>
      <c r="V380" s="325">
        <f t="shared" si="75"/>
        <v>0</v>
      </c>
      <c r="W380" s="449" cm="1">
        <f t="array" ref="W380">+IF(U380&lt;0,error,0)</f>
        <v>0</v>
      </c>
    </row>
    <row r="381" spans="1:23" ht="18" customHeight="1" x14ac:dyDescent="0.2">
      <c r="A381" s="402" t="s">
        <v>894</v>
      </c>
      <c r="B381" s="403"/>
      <c r="C381" s="404" t="s">
        <v>895</v>
      </c>
      <c r="D381" s="405">
        <v>42634</v>
      </c>
      <c r="E381" s="406"/>
      <c r="F381" s="325"/>
      <c r="G381" s="324"/>
      <c r="H381" s="324">
        <v>7161.01</v>
      </c>
      <c r="I381" s="325">
        <v>4223.01</v>
      </c>
      <c r="J381" s="325"/>
      <c r="K381" s="325">
        <f t="shared" ref="K381:K444" si="83">INT(IF($E381&gt;0,IF(+F381-I381+Q381&lt;0,0,+F381-I381+Q381),0))</f>
        <v>0</v>
      </c>
      <c r="L381" s="325">
        <f t="shared" ref="L381:L444" si="84">INT(IF($E381&gt;0,IF(K381=0,-F381+I381-Q381,0),0))</f>
        <v>0</v>
      </c>
      <c r="M381" s="407">
        <v>13.33</v>
      </c>
      <c r="N381" s="408" t="s">
        <v>289</v>
      </c>
      <c r="O381" s="325">
        <f t="shared" si="76"/>
        <v>0</v>
      </c>
      <c r="P381" s="325">
        <f t="shared" si="77"/>
        <v>0</v>
      </c>
      <c r="Q381" s="325">
        <f t="shared" si="78"/>
        <v>0</v>
      </c>
      <c r="R381" s="325">
        <f t="shared" si="79"/>
        <v>281</v>
      </c>
      <c r="S381" s="325">
        <f t="shared" si="80"/>
        <v>0</v>
      </c>
      <c r="T381" s="325">
        <f t="shared" si="82"/>
        <v>281</v>
      </c>
      <c r="U381" s="325">
        <f t="shared" si="81"/>
        <v>3942.01</v>
      </c>
      <c r="V381" s="325">
        <f t="shared" ref="V381:V444" si="85">IF(E381&gt;0,+H381+J381,0)</f>
        <v>0</v>
      </c>
      <c r="W381" s="449" cm="1">
        <f t="array" ref="W381">+IF(U381&lt;0,error,0)</f>
        <v>0</v>
      </c>
    </row>
    <row r="382" spans="1:23" ht="18" customHeight="1" x14ac:dyDescent="0.2">
      <c r="A382" s="402" t="s">
        <v>896</v>
      </c>
      <c r="B382" s="403"/>
      <c r="C382" s="404" t="s">
        <v>897</v>
      </c>
      <c r="D382" s="405">
        <v>42782</v>
      </c>
      <c r="E382" s="406"/>
      <c r="F382" s="325"/>
      <c r="G382" s="324"/>
      <c r="H382" s="324">
        <v>4493.01</v>
      </c>
      <c r="I382" s="325">
        <v>3572.01</v>
      </c>
      <c r="J382" s="325"/>
      <c r="K382" s="325">
        <f t="shared" si="83"/>
        <v>0</v>
      </c>
      <c r="L382" s="325">
        <f t="shared" si="84"/>
        <v>0</v>
      </c>
      <c r="M382" s="407">
        <v>6.67</v>
      </c>
      <c r="N382" s="408" t="s">
        <v>289</v>
      </c>
      <c r="O382" s="325">
        <f t="shared" ref="O382:O445" si="86">IF(E382&gt;0,INT(IF($N382="D",IF($D382&lt;$H$3,$I382*($M382/100)*((E382-$H$3)/365),$J382*($M382/100)*($J$3-$D382)/365),0)),0)</f>
        <v>0</v>
      </c>
      <c r="P382" s="325">
        <f t="shared" ref="P382:P445" si="87">IF(E382&gt;0,INT(IF($N382="P",IF($D382&lt;$H$3,$H382*($M382/100)*(E382-$H$3)/365,$J382*($M382/100)*($J$3-$D382)/365),0)),0)</f>
        <v>0</v>
      </c>
      <c r="Q382" s="325">
        <f t="shared" ref="Q382:Q445" si="88">+O382+P382</f>
        <v>0</v>
      </c>
      <c r="R382" s="325">
        <f t="shared" ref="R382:R445" si="89">INT(IF($E382&gt;0,0,(IF($N382="D",IF($D382&lt;$H$3,$I382*($M382/100)*$U$3/12,$J382*($M382/100)*($J$3-$D382)/365),0))))</f>
        <v>119</v>
      </c>
      <c r="S382" s="325">
        <f t="shared" ref="S382:S445" si="90">INT(IF($E382&gt;0,0,(IF($N382="P",IF($D382&lt;$H$3,$H382*($M382/100)*$U$3/12,$J382*($M382/100)*($J$3-$D382)/365),0))))</f>
        <v>0</v>
      </c>
      <c r="T382" s="325">
        <f t="shared" si="82"/>
        <v>119</v>
      </c>
      <c r="U382" s="325">
        <f t="shared" si="81"/>
        <v>3453.01</v>
      </c>
      <c r="V382" s="325">
        <f t="shared" si="85"/>
        <v>0</v>
      </c>
      <c r="W382" s="449" cm="1">
        <f t="array" ref="W382">+IF(U382&lt;0,error,0)</f>
        <v>0</v>
      </c>
    </row>
    <row r="383" spans="1:23" ht="18" customHeight="1" x14ac:dyDescent="0.2">
      <c r="A383" s="402" t="s">
        <v>898</v>
      </c>
      <c r="B383" s="403"/>
      <c r="C383" s="404" t="s">
        <v>899</v>
      </c>
      <c r="D383" s="405">
        <v>42782</v>
      </c>
      <c r="E383" s="406"/>
      <c r="F383" s="325"/>
      <c r="G383" s="324"/>
      <c r="H383" s="324">
        <v>10161.01</v>
      </c>
      <c r="I383" s="325">
        <v>6352.01</v>
      </c>
      <c r="J383" s="325"/>
      <c r="K383" s="325">
        <f t="shared" si="83"/>
        <v>0</v>
      </c>
      <c r="L383" s="325">
        <f t="shared" si="84"/>
        <v>0</v>
      </c>
      <c r="M383" s="407">
        <v>13.33</v>
      </c>
      <c r="N383" s="408" t="s">
        <v>289</v>
      </c>
      <c r="O383" s="325">
        <f t="shared" si="86"/>
        <v>0</v>
      </c>
      <c r="P383" s="325">
        <f t="shared" si="87"/>
        <v>0</v>
      </c>
      <c r="Q383" s="325">
        <f t="shared" si="88"/>
        <v>0</v>
      </c>
      <c r="R383" s="325">
        <f t="shared" si="89"/>
        <v>423</v>
      </c>
      <c r="S383" s="325">
        <f t="shared" si="90"/>
        <v>0</v>
      </c>
      <c r="T383" s="325">
        <f t="shared" si="82"/>
        <v>423</v>
      </c>
      <c r="U383" s="325">
        <f t="shared" si="81"/>
        <v>5929.01</v>
      </c>
      <c r="V383" s="325">
        <f t="shared" si="85"/>
        <v>0</v>
      </c>
      <c r="W383" s="449" cm="1">
        <f t="array" ref="W383">+IF(U383&lt;0,error,0)</f>
        <v>0</v>
      </c>
    </row>
    <row r="384" spans="1:23" ht="18" customHeight="1" x14ac:dyDescent="0.2">
      <c r="A384" s="402" t="s">
        <v>900</v>
      </c>
      <c r="B384" s="403"/>
      <c r="C384" s="404" t="s">
        <v>899</v>
      </c>
      <c r="D384" s="405">
        <v>42782</v>
      </c>
      <c r="E384" s="406"/>
      <c r="F384" s="325"/>
      <c r="G384" s="324"/>
      <c r="H384" s="324">
        <v>10161.01</v>
      </c>
      <c r="I384" s="325">
        <v>6352.01</v>
      </c>
      <c r="J384" s="325"/>
      <c r="K384" s="325">
        <f t="shared" si="83"/>
        <v>0</v>
      </c>
      <c r="L384" s="325">
        <f t="shared" si="84"/>
        <v>0</v>
      </c>
      <c r="M384" s="407">
        <v>13.33</v>
      </c>
      <c r="N384" s="408" t="s">
        <v>289</v>
      </c>
      <c r="O384" s="325">
        <f t="shared" si="86"/>
        <v>0</v>
      </c>
      <c r="P384" s="325">
        <f t="shared" si="87"/>
        <v>0</v>
      </c>
      <c r="Q384" s="325">
        <f t="shared" si="88"/>
        <v>0</v>
      </c>
      <c r="R384" s="325">
        <f t="shared" si="89"/>
        <v>423</v>
      </c>
      <c r="S384" s="325">
        <f t="shared" si="90"/>
        <v>0</v>
      </c>
      <c r="T384" s="325">
        <f t="shared" si="82"/>
        <v>423</v>
      </c>
      <c r="U384" s="325">
        <f t="shared" ref="U384:U447" si="91">+I384+J384-T384-F384+K384-L384</f>
        <v>5929.01</v>
      </c>
      <c r="V384" s="325">
        <f t="shared" si="85"/>
        <v>0</v>
      </c>
      <c r="W384" s="449" cm="1">
        <f t="array" ref="W384">+IF(U384&lt;0,error,0)</f>
        <v>0</v>
      </c>
    </row>
    <row r="385" spans="1:23" ht="18" customHeight="1" x14ac:dyDescent="0.2">
      <c r="A385" s="402" t="s">
        <v>901</v>
      </c>
      <c r="B385" s="403"/>
      <c r="C385" s="404" t="s">
        <v>899</v>
      </c>
      <c r="D385" s="405">
        <v>42782</v>
      </c>
      <c r="E385" s="406"/>
      <c r="F385" s="325"/>
      <c r="G385" s="324"/>
      <c r="H385" s="324">
        <v>10161.02</v>
      </c>
      <c r="I385" s="325">
        <v>6352.02</v>
      </c>
      <c r="J385" s="325"/>
      <c r="K385" s="325">
        <f t="shared" si="83"/>
        <v>0</v>
      </c>
      <c r="L385" s="325">
        <f t="shared" si="84"/>
        <v>0</v>
      </c>
      <c r="M385" s="407">
        <v>13.33</v>
      </c>
      <c r="N385" s="408" t="s">
        <v>289</v>
      </c>
      <c r="O385" s="325">
        <f t="shared" si="86"/>
        <v>0</v>
      </c>
      <c r="P385" s="325">
        <f t="shared" si="87"/>
        <v>0</v>
      </c>
      <c r="Q385" s="325">
        <f t="shared" si="88"/>
        <v>0</v>
      </c>
      <c r="R385" s="325">
        <f t="shared" si="89"/>
        <v>423</v>
      </c>
      <c r="S385" s="325">
        <f t="shared" si="90"/>
        <v>0</v>
      </c>
      <c r="T385" s="325">
        <f t="shared" si="82"/>
        <v>423</v>
      </c>
      <c r="U385" s="325">
        <f t="shared" si="91"/>
        <v>5929.02</v>
      </c>
      <c r="V385" s="325">
        <f t="shared" si="85"/>
        <v>0</v>
      </c>
      <c r="W385" s="449" cm="1">
        <f t="array" ref="W385">+IF(U385&lt;0,error,0)</f>
        <v>0</v>
      </c>
    </row>
    <row r="386" spans="1:23" ht="18" customHeight="1" x14ac:dyDescent="0.2">
      <c r="A386" s="402" t="s">
        <v>902</v>
      </c>
      <c r="B386" s="403"/>
      <c r="C386" s="404" t="s">
        <v>903</v>
      </c>
      <c r="D386" s="405">
        <v>42879</v>
      </c>
      <c r="E386" s="406"/>
      <c r="F386" s="325"/>
      <c r="G386" s="324"/>
      <c r="H386" s="324">
        <v>103895.25</v>
      </c>
      <c r="I386" s="325">
        <v>75343.25</v>
      </c>
      <c r="J386" s="325"/>
      <c r="K386" s="325">
        <f t="shared" si="83"/>
        <v>0</v>
      </c>
      <c r="L386" s="325">
        <f t="shared" si="84"/>
        <v>0</v>
      </c>
      <c r="M386" s="407">
        <v>10</v>
      </c>
      <c r="N386" s="408" t="s">
        <v>289</v>
      </c>
      <c r="O386" s="325">
        <f t="shared" si="86"/>
        <v>0</v>
      </c>
      <c r="P386" s="325">
        <f t="shared" si="87"/>
        <v>0</v>
      </c>
      <c r="Q386" s="325">
        <f t="shared" si="88"/>
        <v>0</v>
      </c>
      <c r="R386" s="325">
        <f t="shared" si="89"/>
        <v>3767</v>
      </c>
      <c r="S386" s="325">
        <f t="shared" si="90"/>
        <v>0</v>
      </c>
      <c r="T386" s="325">
        <f t="shared" si="82"/>
        <v>3767</v>
      </c>
      <c r="U386" s="325">
        <f t="shared" si="91"/>
        <v>71576.25</v>
      </c>
      <c r="V386" s="325">
        <f t="shared" si="85"/>
        <v>0</v>
      </c>
      <c r="W386" s="449" cm="1">
        <f t="array" ref="W386">+IF(U386&lt;0,error,0)</f>
        <v>0</v>
      </c>
    </row>
    <row r="387" spans="1:23" ht="18" customHeight="1" x14ac:dyDescent="0.2">
      <c r="A387" s="402" t="s">
        <v>904</v>
      </c>
      <c r="B387" s="403"/>
      <c r="C387" s="404" t="s">
        <v>905</v>
      </c>
      <c r="D387" s="405">
        <v>42698</v>
      </c>
      <c r="E387" s="406"/>
      <c r="F387" s="325"/>
      <c r="G387" s="324"/>
      <c r="H387" s="324">
        <v>190864.32</v>
      </c>
      <c r="I387" s="325">
        <v>115431.32</v>
      </c>
      <c r="J387" s="325"/>
      <c r="K387" s="325">
        <f t="shared" si="83"/>
        <v>0</v>
      </c>
      <c r="L387" s="325">
        <f t="shared" si="84"/>
        <v>0</v>
      </c>
      <c r="M387" s="407">
        <v>13.33</v>
      </c>
      <c r="N387" s="408" t="s">
        <v>289</v>
      </c>
      <c r="O387" s="325">
        <f t="shared" si="86"/>
        <v>0</v>
      </c>
      <c r="P387" s="325">
        <f t="shared" si="87"/>
        <v>0</v>
      </c>
      <c r="Q387" s="325">
        <f t="shared" si="88"/>
        <v>0</v>
      </c>
      <c r="R387" s="325">
        <f t="shared" si="89"/>
        <v>7693</v>
      </c>
      <c r="S387" s="325">
        <f t="shared" si="90"/>
        <v>0</v>
      </c>
      <c r="T387" s="325">
        <f t="shared" si="82"/>
        <v>7693</v>
      </c>
      <c r="U387" s="325">
        <f t="shared" si="91"/>
        <v>107738.32</v>
      </c>
      <c r="V387" s="325">
        <f t="shared" si="85"/>
        <v>0</v>
      </c>
      <c r="W387" s="449" cm="1">
        <f t="array" ref="W387">+IF(U387&lt;0,error,0)</f>
        <v>0</v>
      </c>
    </row>
    <row r="388" spans="1:23" ht="18" customHeight="1" x14ac:dyDescent="0.2">
      <c r="A388" s="402" t="s">
        <v>906</v>
      </c>
      <c r="B388" s="403"/>
      <c r="C388" s="404" t="s">
        <v>907</v>
      </c>
      <c r="D388" s="405">
        <v>42611</v>
      </c>
      <c r="E388" s="406"/>
      <c r="F388" s="325"/>
      <c r="G388" s="324"/>
      <c r="H388" s="324">
        <v>24295.25</v>
      </c>
      <c r="I388" s="325">
        <v>14187.25</v>
      </c>
      <c r="J388" s="325"/>
      <c r="K388" s="325">
        <f t="shared" si="83"/>
        <v>0</v>
      </c>
      <c r="L388" s="325">
        <f t="shared" si="84"/>
        <v>0</v>
      </c>
      <c r="M388" s="407">
        <v>13.33</v>
      </c>
      <c r="N388" s="408" t="s">
        <v>289</v>
      </c>
      <c r="O388" s="325">
        <f t="shared" si="86"/>
        <v>0</v>
      </c>
      <c r="P388" s="325">
        <f t="shared" si="87"/>
        <v>0</v>
      </c>
      <c r="Q388" s="325">
        <f t="shared" si="88"/>
        <v>0</v>
      </c>
      <c r="R388" s="325">
        <f t="shared" si="89"/>
        <v>945</v>
      </c>
      <c r="S388" s="325">
        <f t="shared" si="90"/>
        <v>0</v>
      </c>
      <c r="T388" s="325">
        <f t="shared" si="82"/>
        <v>945</v>
      </c>
      <c r="U388" s="325">
        <f t="shared" si="91"/>
        <v>13242.25</v>
      </c>
      <c r="V388" s="325">
        <f t="shared" si="85"/>
        <v>0</v>
      </c>
      <c r="W388" s="449" cm="1">
        <f t="array" ref="W388">+IF(U388&lt;0,error,0)</f>
        <v>0</v>
      </c>
    </row>
    <row r="389" spans="1:23" ht="18" customHeight="1" x14ac:dyDescent="0.2">
      <c r="A389" s="402" t="s">
        <v>908</v>
      </c>
      <c r="B389" s="403"/>
      <c r="C389" s="404" t="s">
        <v>909</v>
      </c>
      <c r="D389" s="405">
        <v>42829</v>
      </c>
      <c r="E389" s="406"/>
      <c r="F389" s="325"/>
      <c r="G389" s="324"/>
      <c r="H389" s="324">
        <v>27978.93</v>
      </c>
      <c r="I389" s="325">
        <v>17802.93</v>
      </c>
      <c r="J389" s="325"/>
      <c r="K389" s="325">
        <f t="shared" si="83"/>
        <v>0</v>
      </c>
      <c r="L389" s="325">
        <f t="shared" si="84"/>
        <v>0</v>
      </c>
      <c r="M389" s="407">
        <v>13.33</v>
      </c>
      <c r="N389" s="408" t="s">
        <v>289</v>
      </c>
      <c r="O389" s="325">
        <f t="shared" si="86"/>
        <v>0</v>
      </c>
      <c r="P389" s="325">
        <f t="shared" si="87"/>
        <v>0</v>
      </c>
      <c r="Q389" s="325">
        <f t="shared" si="88"/>
        <v>0</v>
      </c>
      <c r="R389" s="325">
        <f t="shared" si="89"/>
        <v>1186</v>
      </c>
      <c r="S389" s="325">
        <f t="shared" si="90"/>
        <v>0</v>
      </c>
      <c r="T389" s="325">
        <f t="shared" si="82"/>
        <v>1186</v>
      </c>
      <c r="U389" s="325">
        <f t="shared" si="91"/>
        <v>16616.93</v>
      </c>
      <c r="V389" s="325">
        <f t="shared" si="85"/>
        <v>0</v>
      </c>
      <c r="W389" s="449" cm="1">
        <f t="array" ref="W389">+IF(U389&lt;0,error,0)</f>
        <v>0</v>
      </c>
    </row>
    <row r="390" spans="1:23" ht="18" customHeight="1" x14ac:dyDescent="0.2">
      <c r="A390" s="402" t="s">
        <v>910</v>
      </c>
      <c r="B390" s="403"/>
      <c r="C390" s="412" t="s">
        <v>911</v>
      </c>
      <c r="D390" s="405">
        <v>42735</v>
      </c>
      <c r="E390" s="406"/>
      <c r="F390" s="325"/>
      <c r="G390" s="324"/>
      <c r="H390" s="324">
        <v>26028</v>
      </c>
      <c r="I390" s="325">
        <v>12289</v>
      </c>
      <c r="J390" s="325"/>
      <c r="K390" s="325">
        <f t="shared" si="83"/>
        <v>0</v>
      </c>
      <c r="L390" s="325">
        <f t="shared" si="84"/>
        <v>0</v>
      </c>
      <c r="M390" s="407">
        <v>20</v>
      </c>
      <c r="N390" s="408" t="s">
        <v>289</v>
      </c>
      <c r="O390" s="325">
        <f t="shared" si="86"/>
        <v>0</v>
      </c>
      <c r="P390" s="325">
        <f t="shared" si="87"/>
        <v>0</v>
      </c>
      <c r="Q390" s="325">
        <f t="shared" si="88"/>
        <v>0</v>
      </c>
      <c r="R390" s="325">
        <f t="shared" si="89"/>
        <v>1228</v>
      </c>
      <c r="S390" s="325">
        <f t="shared" si="90"/>
        <v>0</v>
      </c>
      <c r="T390" s="325">
        <f t="shared" si="82"/>
        <v>1228</v>
      </c>
      <c r="U390" s="325">
        <f t="shared" si="91"/>
        <v>11061</v>
      </c>
      <c r="V390" s="325">
        <f t="shared" si="85"/>
        <v>0</v>
      </c>
      <c r="W390" s="449" cm="1">
        <f t="array" ref="W390">+IF(U390&lt;0,error,0)</f>
        <v>0</v>
      </c>
    </row>
    <row r="391" spans="1:23" ht="18" customHeight="1" x14ac:dyDescent="0.2">
      <c r="A391" s="402" t="s">
        <v>912</v>
      </c>
      <c r="B391" s="403"/>
      <c r="C391" s="404" t="s">
        <v>913</v>
      </c>
      <c r="D391" s="405">
        <v>42792</v>
      </c>
      <c r="E391" s="406"/>
      <c r="F391" s="325"/>
      <c r="G391" s="324"/>
      <c r="H391" s="324">
        <v>2180</v>
      </c>
      <c r="I391" s="325">
        <v>1067</v>
      </c>
      <c r="J391" s="325"/>
      <c r="K391" s="325">
        <f t="shared" si="83"/>
        <v>0</v>
      </c>
      <c r="L391" s="325">
        <f t="shared" si="84"/>
        <v>0</v>
      </c>
      <c r="M391" s="407">
        <v>20</v>
      </c>
      <c r="N391" s="408" t="s">
        <v>289</v>
      </c>
      <c r="O391" s="325">
        <f t="shared" si="86"/>
        <v>0</v>
      </c>
      <c r="P391" s="325">
        <f t="shared" si="87"/>
        <v>0</v>
      </c>
      <c r="Q391" s="325">
        <f t="shared" si="88"/>
        <v>0</v>
      </c>
      <c r="R391" s="325">
        <f t="shared" si="89"/>
        <v>106</v>
      </c>
      <c r="S391" s="325">
        <f t="shared" si="90"/>
        <v>0</v>
      </c>
      <c r="T391" s="325">
        <f t="shared" si="82"/>
        <v>106</v>
      </c>
      <c r="U391" s="325">
        <f t="shared" si="91"/>
        <v>961</v>
      </c>
      <c r="V391" s="325">
        <f t="shared" si="85"/>
        <v>0</v>
      </c>
      <c r="W391" s="449" cm="1">
        <f t="array" ref="W391">+IF(U391&lt;0,error,0)</f>
        <v>0</v>
      </c>
    </row>
    <row r="392" spans="1:23" ht="18" customHeight="1" x14ac:dyDescent="0.2">
      <c r="A392" s="402" t="s">
        <v>914</v>
      </c>
      <c r="B392" s="403"/>
      <c r="C392" s="404" t="s">
        <v>915</v>
      </c>
      <c r="D392" s="405">
        <v>42792</v>
      </c>
      <c r="E392" s="406"/>
      <c r="F392" s="325"/>
      <c r="G392" s="324"/>
      <c r="H392" s="324">
        <v>2740</v>
      </c>
      <c r="I392" s="325">
        <v>1340</v>
      </c>
      <c r="J392" s="325"/>
      <c r="K392" s="325">
        <f t="shared" si="83"/>
        <v>0</v>
      </c>
      <c r="L392" s="325">
        <f t="shared" si="84"/>
        <v>0</v>
      </c>
      <c r="M392" s="407">
        <v>20</v>
      </c>
      <c r="N392" s="408" t="s">
        <v>289</v>
      </c>
      <c r="O392" s="325">
        <f t="shared" si="86"/>
        <v>0</v>
      </c>
      <c r="P392" s="325">
        <f t="shared" si="87"/>
        <v>0</v>
      </c>
      <c r="Q392" s="325">
        <f t="shared" si="88"/>
        <v>0</v>
      </c>
      <c r="R392" s="325">
        <f t="shared" si="89"/>
        <v>134</v>
      </c>
      <c r="S392" s="325">
        <f t="shared" si="90"/>
        <v>0</v>
      </c>
      <c r="T392" s="325">
        <f t="shared" si="82"/>
        <v>134</v>
      </c>
      <c r="U392" s="325">
        <f t="shared" si="91"/>
        <v>1206</v>
      </c>
      <c r="V392" s="325">
        <f t="shared" si="85"/>
        <v>0</v>
      </c>
      <c r="W392" s="449" cm="1">
        <f t="array" ref="W392">+IF(U392&lt;0,error,0)</f>
        <v>0</v>
      </c>
    </row>
    <row r="393" spans="1:23" ht="18" customHeight="1" x14ac:dyDescent="0.2">
      <c r="A393" s="402" t="s">
        <v>916</v>
      </c>
      <c r="B393" s="403"/>
      <c r="C393" s="412" t="s">
        <v>917</v>
      </c>
      <c r="D393" s="405">
        <v>42792</v>
      </c>
      <c r="E393" s="406"/>
      <c r="F393" s="325"/>
      <c r="G393" s="324"/>
      <c r="H393" s="324">
        <v>2000</v>
      </c>
      <c r="I393" s="325">
        <v>978</v>
      </c>
      <c r="J393" s="325"/>
      <c r="K393" s="325">
        <f t="shared" si="83"/>
        <v>0</v>
      </c>
      <c r="L393" s="325">
        <f t="shared" si="84"/>
        <v>0</v>
      </c>
      <c r="M393" s="407">
        <v>20</v>
      </c>
      <c r="N393" s="408" t="s">
        <v>289</v>
      </c>
      <c r="O393" s="325">
        <f t="shared" si="86"/>
        <v>0</v>
      </c>
      <c r="P393" s="325">
        <f t="shared" si="87"/>
        <v>0</v>
      </c>
      <c r="Q393" s="325">
        <f t="shared" si="88"/>
        <v>0</v>
      </c>
      <c r="R393" s="325">
        <f t="shared" si="89"/>
        <v>97</v>
      </c>
      <c r="S393" s="325">
        <f t="shared" si="90"/>
        <v>0</v>
      </c>
      <c r="T393" s="325">
        <f t="shared" si="82"/>
        <v>97</v>
      </c>
      <c r="U393" s="325">
        <f t="shared" si="91"/>
        <v>881</v>
      </c>
      <c r="V393" s="325">
        <f t="shared" si="85"/>
        <v>0</v>
      </c>
      <c r="W393" s="449" cm="1">
        <f t="array" ref="W393">+IF(U393&lt;0,error,0)</f>
        <v>0</v>
      </c>
    </row>
    <row r="394" spans="1:23" ht="18" customHeight="1" x14ac:dyDescent="0.2">
      <c r="A394" s="402" t="s">
        <v>918</v>
      </c>
      <c r="B394" s="403"/>
      <c r="C394" s="404" t="s">
        <v>919</v>
      </c>
      <c r="D394" s="405">
        <v>42818</v>
      </c>
      <c r="E394" s="406"/>
      <c r="F394" s="325"/>
      <c r="G394" s="324"/>
      <c r="H394" s="324">
        <v>5512</v>
      </c>
      <c r="I394" s="325">
        <v>2735</v>
      </c>
      <c r="J394" s="325"/>
      <c r="K394" s="325">
        <f t="shared" si="83"/>
        <v>0</v>
      </c>
      <c r="L394" s="325">
        <f t="shared" si="84"/>
        <v>0</v>
      </c>
      <c r="M394" s="407">
        <v>20</v>
      </c>
      <c r="N394" s="408" t="s">
        <v>289</v>
      </c>
      <c r="O394" s="325">
        <f t="shared" si="86"/>
        <v>0</v>
      </c>
      <c r="P394" s="325">
        <f t="shared" si="87"/>
        <v>0</v>
      </c>
      <c r="Q394" s="325">
        <f t="shared" si="88"/>
        <v>0</v>
      </c>
      <c r="R394" s="325">
        <f t="shared" si="89"/>
        <v>273</v>
      </c>
      <c r="S394" s="325">
        <f t="shared" si="90"/>
        <v>0</v>
      </c>
      <c r="T394" s="325">
        <f t="shared" si="82"/>
        <v>273</v>
      </c>
      <c r="U394" s="325">
        <f t="shared" si="91"/>
        <v>2462</v>
      </c>
      <c r="V394" s="325">
        <f t="shared" si="85"/>
        <v>0</v>
      </c>
      <c r="W394" s="449" cm="1">
        <f t="array" ref="W394">+IF(U394&lt;0,error,0)</f>
        <v>0</v>
      </c>
    </row>
    <row r="395" spans="1:23" ht="18" customHeight="1" x14ac:dyDescent="0.2">
      <c r="A395" s="402" t="s">
        <v>920</v>
      </c>
      <c r="B395" s="403"/>
      <c r="C395" s="404" t="s">
        <v>921</v>
      </c>
      <c r="D395" s="405">
        <v>42816</v>
      </c>
      <c r="E395" s="406"/>
      <c r="F395" s="325"/>
      <c r="G395" s="324"/>
      <c r="H395" s="324">
        <v>4772</v>
      </c>
      <c r="I395" s="325">
        <v>1040</v>
      </c>
      <c r="J395" s="325"/>
      <c r="K395" s="325">
        <f t="shared" si="83"/>
        <v>0</v>
      </c>
      <c r="L395" s="325">
        <f t="shared" si="84"/>
        <v>0</v>
      </c>
      <c r="M395" s="407">
        <v>40</v>
      </c>
      <c r="N395" s="408" t="s">
        <v>289</v>
      </c>
      <c r="O395" s="325">
        <f t="shared" si="86"/>
        <v>0</v>
      </c>
      <c r="P395" s="325">
        <f t="shared" si="87"/>
        <v>0</v>
      </c>
      <c r="Q395" s="325">
        <f t="shared" si="88"/>
        <v>0</v>
      </c>
      <c r="R395" s="325">
        <f t="shared" si="89"/>
        <v>208</v>
      </c>
      <c r="S395" s="325">
        <f t="shared" si="90"/>
        <v>0</v>
      </c>
      <c r="T395" s="325">
        <f t="shared" si="82"/>
        <v>208</v>
      </c>
      <c r="U395" s="325">
        <f t="shared" si="91"/>
        <v>832</v>
      </c>
      <c r="V395" s="325">
        <f t="shared" si="85"/>
        <v>0</v>
      </c>
      <c r="W395" s="449" cm="1">
        <f t="array" ref="W395">+IF(U395&lt;0,error,0)</f>
        <v>0</v>
      </c>
    </row>
    <row r="396" spans="1:23" ht="18" customHeight="1" x14ac:dyDescent="0.2">
      <c r="A396" s="402" t="s">
        <v>922</v>
      </c>
      <c r="B396" s="403"/>
      <c r="C396" s="404" t="s">
        <v>923</v>
      </c>
      <c r="D396" s="405">
        <v>42822</v>
      </c>
      <c r="E396" s="406"/>
      <c r="F396" s="325"/>
      <c r="G396" s="324"/>
      <c r="H396" s="324">
        <v>19447.55</v>
      </c>
      <c r="I396" s="325">
        <v>12341.550000000001</v>
      </c>
      <c r="J396" s="325"/>
      <c r="K396" s="325">
        <f t="shared" si="83"/>
        <v>0</v>
      </c>
      <c r="L396" s="325">
        <f t="shared" si="84"/>
        <v>0</v>
      </c>
      <c r="M396" s="407">
        <v>13.33</v>
      </c>
      <c r="N396" s="408" t="s">
        <v>289</v>
      </c>
      <c r="O396" s="325">
        <f t="shared" si="86"/>
        <v>0</v>
      </c>
      <c r="P396" s="325">
        <f t="shared" si="87"/>
        <v>0</v>
      </c>
      <c r="Q396" s="325">
        <f t="shared" si="88"/>
        <v>0</v>
      </c>
      <c r="R396" s="325">
        <f t="shared" si="89"/>
        <v>822</v>
      </c>
      <c r="S396" s="325">
        <f t="shared" si="90"/>
        <v>0</v>
      </c>
      <c r="T396" s="325">
        <f t="shared" ref="T396:T398" si="92">+R396+S396+Q396</f>
        <v>822</v>
      </c>
      <c r="U396" s="325">
        <f t="shared" si="91"/>
        <v>11519.550000000001</v>
      </c>
      <c r="V396" s="325">
        <f t="shared" si="85"/>
        <v>0</v>
      </c>
      <c r="W396" s="449" cm="1">
        <f t="array" ref="W396">+IF(U396&lt;0,error,0)</f>
        <v>0</v>
      </c>
    </row>
    <row r="397" spans="1:23" ht="18" customHeight="1" x14ac:dyDescent="0.2">
      <c r="A397" s="402" t="s">
        <v>924</v>
      </c>
      <c r="B397" s="403"/>
      <c r="C397" s="404" t="s">
        <v>923</v>
      </c>
      <c r="D397" s="405">
        <v>42822</v>
      </c>
      <c r="E397" s="406"/>
      <c r="F397" s="325"/>
      <c r="G397" s="324"/>
      <c r="H397" s="324">
        <v>19447.560000000001</v>
      </c>
      <c r="I397" s="325">
        <v>12341.56</v>
      </c>
      <c r="J397" s="325"/>
      <c r="K397" s="325">
        <f t="shared" si="83"/>
        <v>0</v>
      </c>
      <c r="L397" s="325">
        <f t="shared" si="84"/>
        <v>0</v>
      </c>
      <c r="M397" s="407">
        <v>13.33</v>
      </c>
      <c r="N397" s="408" t="s">
        <v>289</v>
      </c>
      <c r="O397" s="325">
        <f t="shared" si="86"/>
        <v>0</v>
      </c>
      <c r="P397" s="325">
        <f t="shared" si="87"/>
        <v>0</v>
      </c>
      <c r="Q397" s="325">
        <f t="shared" si="88"/>
        <v>0</v>
      </c>
      <c r="R397" s="325">
        <f t="shared" si="89"/>
        <v>822</v>
      </c>
      <c r="S397" s="325">
        <f t="shared" si="90"/>
        <v>0</v>
      </c>
      <c r="T397" s="325">
        <f t="shared" si="92"/>
        <v>822</v>
      </c>
      <c r="U397" s="325">
        <f t="shared" si="91"/>
        <v>11519.56</v>
      </c>
      <c r="V397" s="325">
        <f t="shared" si="85"/>
        <v>0</v>
      </c>
      <c r="W397" s="449" cm="1">
        <f t="array" ref="W397">+IF(U397&lt;0,error,0)</f>
        <v>0</v>
      </c>
    </row>
    <row r="398" spans="1:23" ht="18" customHeight="1" x14ac:dyDescent="0.2">
      <c r="A398" s="402" t="s">
        <v>925</v>
      </c>
      <c r="B398" s="403"/>
      <c r="C398" s="404" t="s">
        <v>926</v>
      </c>
      <c r="D398" s="405">
        <v>42873</v>
      </c>
      <c r="E398" s="406"/>
      <c r="F398" s="325"/>
      <c r="G398" s="324"/>
      <c r="H398" s="324">
        <v>5826.29</v>
      </c>
      <c r="I398" s="325">
        <v>1360.29</v>
      </c>
      <c r="J398" s="325"/>
      <c r="K398" s="325">
        <f t="shared" si="83"/>
        <v>0</v>
      </c>
      <c r="L398" s="325">
        <f t="shared" si="84"/>
        <v>0</v>
      </c>
      <c r="M398" s="407">
        <v>40</v>
      </c>
      <c r="N398" s="408" t="s">
        <v>289</v>
      </c>
      <c r="O398" s="325">
        <f t="shared" si="86"/>
        <v>0</v>
      </c>
      <c r="P398" s="325">
        <f t="shared" si="87"/>
        <v>0</v>
      </c>
      <c r="Q398" s="325">
        <f t="shared" si="88"/>
        <v>0</v>
      </c>
      <c r="R398" s="325">
        <f t="shared" si="89"/>
        <v>272</v>
      </c>
      <c r="S398" s="325">
        <f t="shared" si="90"/>
        <v>0</v>
      </c>
      <c r="T398" s="325">
        <f t="shared" si="92"/>
        <v>272</v>
      </c>
      <c r="U398" s="325">
        <f t="shared" si="91"/>
        <v>1088.29</v>
      </c>
      <c r="V398" s="325">
        <f t="shared" si="85"/>
        <v>0</v>
      </c>
      <c r="W398" s="449" cm="1">
        <f t="array" ref="W398">+IF(U398&lt;0,error,0)</f>
        <v>0</v>
      </c>
    </row>
    <row r="399" spans="1:23" ht="18" customHeight="1" x14ac:dyDescent="0.2">
      <c r="A399" s="402" t="s">
        <v>927</v>
      </c>
      <c r="B399" s="403"/>
      <c r="C399" s="404" t="s">
        <v>928</v>
      </c>
      <c r="D399" s="405">
        <v>42552</v>
      </c>
      <c r="E399" s="406"/>
      <c r="F399" s="325"/>
      <c r="G399" s="324"/>
      <c r="H399" s="324">
        <v>893.86</v>
      </c>
      <c r="I399" s="325">
        <v>0</v>
      </c>
      <c r="J399" s="325"/>
      <c r="K399" s="325">
        <f t="shared" si="83"/>
        <v>0</v>
      </c>
      <c r="L399" s="325">
        <f t="shared" si="84"/>
        <v>0</v>
      </c>
      <c r="M399" s="407">
        <v>66.67</v>
      </c>
      <c r="N399" s="408" t="s">
        <v>289</v>
      </c>
      <c r="O399" s="325">
        <f t="shared" si="86"/>
        <v>0</v>
      </c>
      <c r="P399" s="325">
        <f t="shared" si="87"/>
        <v>0</v>
      </c>
      <c r="Q399" s="325">
        <f t="shared" si="88"/>
        <v>0</v>
      </c>
      <c r="R399" s="325">
        <f t="shared" si="89"/>
        <v>0</v>
      </c>
      <c r="S399" s="325">
        <f t="shared" si="90"/>
        <v>0</v>
      </c>
      <c r="T399" s="325">
        <v>0</v>
      </c>
      <c r="U399" s="325">
        <f t="shared" si="91"/>
        <v>0</v>
      </c>
      <c r="V399" s="325">
        <f t="shared" si="85"/>
        <v>0</v>
      </c>
      <c r="W399" s="449" cm="1">
        <f t="array" ref="W399">+IF(U399&lt;0,error,0)</f>
        <v>0</v>
      </c>
    </row>
    <row r="400" spans="1:23" ht="18" customHeight="1" x14ac:dyDescent="0.2">
      <c r="A400" s="402" t="s">
        <v>929</v>
      </c>
      <c r="B400" s="403"/>
      <c r="C400" s="404" t="s">
        <v>2270</v>
      </c>
      <c r="D400" s="405">
        <v>42590</v>
      </c>
      <c r="E400" s="406"/>
      <c r="F400" s="325"/>
      <c r="G400" s="324"/>
      <c r="H400" s="324">
        <v>30000</v>
      </c>
      <c r="I400" s="325">
        <v>14025</v>
      </c>
      <c r="J400" s="325"/>
      <c r="K400" s="325">
        <f t="shared" si="83"/>
        <v>0</v>
      </c>
      <c r="L400" s="325">
        <f t="shared" si="84"/>
        <v>0</v>
      </c>
      <c r="M400" s="407">
        <v>18.18</v>
      </c>
      <c r="N400" s="408" t="s">
        <v>289</v>
      </c>
      <c r="O400" s="325">
        <f t="shared" si="86"/>
        <v>0</v>
      </c>
      <c r="P400" s="325">
        <f t="shared" si="87"/>
        <v>0</v>
      </c>
      <c r="Q400" s="325">
        <f t="shared" si="88"/>
        <v>0</v>
      </c>
      <c r="R400" s="325">
        <f t="shared" si="89"/>
        <v>1274</v>
      </c>
      <c r="S400" s="325">
        <f t="shared" si="90"/>
        <v>0</v>
      </c>
      <c r="T400" s="325">
        <f t="shared" ref="T400:T463" si="93">+R400+S400+Q400</f>
        <v>1274</v>
      </c>
      <c r="U400" s="325">
        <f t="shared" si="91"/>
        <v>12751</v>
      </c>
      <c r="V400" s="325">
        <f t="shared" si="85"/>
        <v>0</v>
      </c>
      <c r="W400" s="449" cm="1">
        <f t="array" ref="W400">+IF(U400&lt;0,error,0)</f>
        <v>0</v>
      </c>
    </row>
    <row r="401" spans="1:23" ht="18" customHeight="1" x14ac:dyDescent="0.2">
      <c r="A401" s="402" t="s">
        <v>931</v>
      </c>
      <c r="B401" s="403"/>
      <c r="C401" s="412" t="s">
        <v>932</v>
      </c>
      <c r="D401" s="405">
        <v>42641</v>
      </c>
      <c r="E401" s="406"/>
      <c r="F401" s="325"/>
      <c r="G401" s="324"/>
      <c r="H401" s="324">
        <v>6750</v>
      </c>
      <c r="I401" s="325">
        <v>3006</v>
      </c>
      <c r="J401" s="325"/>
      <c r="K401" s="325">
        <f t="shared" si="83"/>
        <v>0</v>
      </c>
      <c r="L401" s="325">
        <f t="shared" si="84"/>
        <v>0</v>
      </c>
      <c r="M401" s="407">
        <v>20</v>
      </c>
      <c r="N401" s="408" t="s">
        <v>289</v>
      </c>
      <c r="O401" s="325">
        <f t="shared" si="86"/>
        <v>0</v>
      </c>
      <c r="P401" s="325">
        <f t="shared" si="87"/>
        <v>0</v>
      </c>
      <c r="Q401" s="325">
        <f t="shared" si="88"/>
        <v>0</v>
      </c>
      <c r="R401" s="325">
        <f t="shared" si="89"/>
        <v>300</v>
      </c>
      <c r="S401" s="325">
        <f t="shared" si="90"/>
        <v>0</v>
      </c>
      <c r="T401" s="325">
        <f t="shared" si="93"/>
        <v>300</v>
      </c>
      <c r="U401" s="325">
        <f t="shared" si="91"/>
        <v>2706</v>
      </c>
      <c r="V401" s="325">
        <f t="shared" si="85"/>
        <v>0</v>
      </c>
      <c r="W401" s="449" cm="1">
        <f t="array" ref="W401">+IF(U401&lt;0,error,0)</f>
        <v>0</v>
      </c>
    </row>
    <row r="402" spans="1:23" ht="18" customHeight="1" x14ac:dyDescent="0.2">
      <c r="A402" s="402" t="s">
        <v>933</v>
      </c>
      <c r="B402" s="403"/>
      <c r="C402" s="404" t="s">
        <v>934</v>
      </c>
      <c r="D402" s="405">
        <v>42648</v>
      </c>
      <c r="E402" s="406"/>
      <c r="F402" s="325"/>
      <c r="G402" s="324"/>
      <c r="H402" s="324">
        <v>4500</v>
      </c>
      <c r="I402" s="325">
        <v>3056</v>
      </c>
      <c r="J402" s="325"/>
      <c r="K402" s="325">
        <f t="shared" si="83"/>
        <v>0</v>
      </c>
      <c r="L402" s="325">
        <f t="shared" si="84"/>
        <v>0</v>
      </c>
      <c r="M402" s="407">
        <v>10</v>
      </c>
      <c r="N402" s="408" t="s">
        <v>289</v>
      </c>
      <c r="O402" s="325">
        <f t="shared" si="86"/>
        <v>0</v>
      </c>
      <c r="P402" s="325">
        <f t="shared" si="87"/>
        <v>0</v>
      </c>
      <c r="Q402" s="325">
        <f t="shared" si="88"/>
        <v>0</v>
      </c>
      <c r="R402" s="325">
        <f t="shared" si="89"/>
        <v>152</v>
      </c>
      <c r="S402" s="325">
        <f t="shared" si="90"/>
        <v>0</v>
      </c>
      <c r="T402" s="325">
        <f t="shared" si="93"/>
        <v>152</v>
      </c>
      <c r="U402" s="325">
        <f t="shared" si="91"/>
        <v>2904</v>
      </c>
      <c r="V402" s="325">
        <f t="shared" si="85"/>
        <v>0</v>
      </c>
      <c r="W402" s="449" cm="1">
        <f t="array" ref="W402">+IF(U402&lt;0,error,0)</f>
        <v>0</v>
      </c>
    </row>
    <row r="403" spans="1:23" ht="18" customHeight="1" x14ac:dyDescent="0.2">
      <c r="A403" s="402" t="s">
        <v>935</v>
      </c>
      <c r="B403" s="403"/>
      <c r="C403" s="404" t="s">
        <v>936</v>
      </c>
      <c r="D403" s="405">
        <v>42664</v>
      </c>
      <c r="E403" s="406"/>
      <c r="F403" s="325"/>
      <c r="G403" s="324"/>
      <c r="H403" s="324">
        <v>817.27</v>
      </c>
      <c r="I403" s="325">
        <v>370.27</v>
      </c>
      <c r="J403" s="325"/>
      <c r="K403" s="325">
        <f t="shared" si="83"/>
        <v>0</v>
      </c>
      <c r="L403" s="325">
        <f t="shared" si="84"/>
        <v>0</v>
      </c>
      <c r="M403" s="407">
        <v>20</v>
      </c>
      <c r="N403" s="408" t="s">
        <v>289</v>
      </c>
      <c r="O403" s="325">
        <f t="shared" si="86"/>
        <v>0</v>
      </c>
      <c r="P403" s="325">
        <f t="shared" si="87"/>
        <v>0</v>
      </c>
      <c r="Q403" s="325">
        <f t="shared" si="88"/>
        <v>0</v>
      </c>
      <c r="R403" s="325">
        <f t="shared" si="89"/>
        <v>37</v>
      </c>
      <c r="S403" s="325">
        <f t="shared" si="90"/>
        <v>0</v>
      </c>
      <c r="T403" s="325">
        <f t="shared" si="93"/>
        <v>37</v>
      </c>
      <c r="U403" s="325">
        <f t="shared" si="91"/>
        <v>333.27</v>
      </c>
      <c r="V403" s="325">
        <f t="shared" si="85"/>
        <v>0</v>
      </c>
      <c r="W403" s="449" cm="1">
        <f t="array" ref="W403">+IF(U403&lt;0,error,0)</f>
        <v>0</v>
      </c>
    </row>
    <row r="404" spans="1:23" ht="18" customHeight="1" x14ac:dyDescent="0.2">
      <c r="A404" s="402" t="s">
        <v>937</v>
      </c>
      <c r="B404" s="403"/>
      <c r="C404" s="404" t="s">
        <v>938</v>
      </c>
      <c r="D404" s="405">
        <v>42677</v>
      </c>
      <c r="E404" s="406"/>
      <c r="F404" s="325"/>
      <c r="G404" s="324"/>
      <c r="H404" s="324">
        <v>754.38</v>
      </c>
      <c r="I404" s="325">
        <v>344.38</v>
      </c>
      <c r="J404" s="325"/>
      <c r="K404" s="325">
        <f t="shared" si="83"/>
        <v>0</v>
      </c>
      <c r="L404" s="325">
        <f t="shared" si="84"/>
        <v>0</v>
      </c>
      <c r="M404" s="407">
        <v>20</v>
      </c>
      <c r="N404" s="408" t="s">
        <v>289</v>
      </c>
      <c r="O404" s="325">
        <f t="shared" si="86"/>
        <v>0</v>
      </c>
      <c r="P404" s="325">
        <f t="shared" si="87"/>
        <v>0</v>
      </c>
      <c r="Q404" s="325">
        <f t="shared" si="88"/>
        <v>0</v>
      </c>
      <c r="R404" s="325">
        <f t="shared" si="89"/>
        <v>34</v>
      </c>
      <c r="S404" s="325">
        <f t="shared" si="90"/>
        <v>0</v>
      </c>
      <c r="T404" s="325">
        <f t="shared" si="93"/>
        <v>34</v>
      </c>
      <c r="U404" s="325">
        <f t="shared" si="91"/>
        <v>310.38</v>
      </c>
      <c r="V404" s="325">
        <f t="shared" si="85"/>
        <v>0</v>
      </c>
      <c r="W404" s="449" cm="1">
        <f t="array" ref="W404">+IF(U404&lt;0,error,0)</f>
        <v>0</v>
      </c>
    </row>
    <row r="405" spans="1:23" ht="18" customHeight="1" x14ac:dyDescent="0.2">
      <c r="A405" s="402" t="s">
        <v>939</v>
      </c>
      <c r="B405" s="403"/>
      <c r="C405" s="404" t="s">
        <v>940</v>
      </c>
      <c r="D405" s="405">
        <v>42744</v>
      </c>
      <c r="E405" s="406"/>
      <c r="F405" s="325"/>
      <c r="G405" s="324"/>
      <c r="H405" s="324">
        <v>4545.45</v>
      </c>
      <c r="I405" s="325">
        <v>903.45</v>
      </c>
      <c r="J405" s="325"/>
      <c r="K405" s="325">
        <f t="shared" si="83"/>
        <v>0</v>
      </c>
      <c r="L405" s="325">
        <f t="shared" si="84"/>
        <v>0</v>
      </c>
      <c r="M405" s="407">
        <v>40</v>
      </c>
      <c r="N405" s="408" t="s">
        <v>289</v>
      </c>
      <c r="O405" s="325">
        <f t="shared" si="86"/>
        <v>0</v>
      </c>
      <c r="P405" s="325">
        <f t="shared" si="87"/>
        <v>0</v>
      </c>
      <c r="Q405" s="325">
        <f t="shared" si="88"/>
        <v>0</v>
      </c>
      <c r="R405" s="325">
        <f t="shared" si="89"/>
        <v>180</v>
      </c>
      <c r="S405" s="325">
        <f t="shared" si="90"/>
        <v>0</v>
      </c>
      <c r="T405" s="325">
        <f t="shared" si="93"/>
        <v>180</v>
      </c>
      <c r="U405" s="325">
        <f t="shared" si="91"/>
        <v>723.45</v>
      </c>
      <c r="V405" s="325">
        <f t="shared" si="85"/>
        <v>0</v>
      </c>
      <c r="W405" s="449" cm="1">
        <f t="array" ref="W405">+IF(U405&lt;0,error,0)</f>
        <v>0</v>
      </c>
    </row>
    <row r="406" spans="1:23" ht="18" customHeight="1" x14ac:dyDescent="0.2">
      <c r="A406" s="402" t="s">
        <v>941</v>
      </c>
      <c r="B406" s="403"/>
      <c r="C406" s="404" t="s">
        <v>942</v>
      </c>
      <c r="D406" s="405">
        <v>42766</v>
      </c>
      <c r="E406" s="406"/>
      <c r="F406" s="325"/>
      <c r="G406" s="324"/>
      <c r="H406" s="324">
        <v>2208.23</v>
      </c>
      <c r="I406" s="325">
        <v>1062.23</v>
      </c>
      <c r="J406" s="325"/>
      <c r="K406" s="325">
        <f t="shared" si="83"/>
        <v>0</v>
      </c>
      <c r="L406" s="325">
        <f t="shared" si="84"/>
        <v>0</v>
      </c>
      <c r="M406" s="407">
        <v>20</v>
      </c>
      <c r="N406" s="408" t="s">
        <v>289</v>
      </c>
      <c r="O406" s="325">
        <f t="shared" si="86"/>
        <v>0</v>
      </c>
      <c r="P406" s="325">
        <f t="shared" si="87"/>
        <v>0</v>
      </c>
      <c r="Q406" s="325">
        <f t="shared" si="88"/>
        <v>0</v>
      </c>
      <c r="R406" s="325">
        <f t="shared" si="89"/>
        <v>106</v>
      </c>
      <c r="S406" s="325">
        <f t="shared" si="90"/>
        <v>0</v>
      </c>
      <c r="T406" s="325">
        <f t="shared" si="93"/>
        <v>106</v>
      </c>
      <c r="U406" s="325">
        <f t="shared" si="91"/>
        <v>956.23</v>
      </c>
      <c r="V406" s="325">
        <f t="shared" si="85"/>
        <v>0</v>
      </c>
      <c r="W406" s="449" cm="1">
        <f t="array" ref="W406">+IF(U406&lt;0,error,0)</f>
        <v>0</v>
      </c>
    </row>
    <row r="407" spans="1:23" ht="18" customHeight="1" x14ac:dyDescent="0.2">
      <c r="A407" s="402" t="s">
        <v>943</v>
      </c>
      <c r="B407" s="403"/>
      <c r="C407" s="404" t="s">
        <v>944</v>
      </c>
      <c r="D407" s="405">
        <v>42775</v>
      </c>
      <c r="E407" s="406"/>
      <c r="F407" s="325"/>
      <c r="G407" s="324"/>
      <c r="H407" s="324">
        <v>14147.26</v>
      </c>
      <c r="I407" s="325">
        <v>9965.26</v>
      </c>
      <c r="J407" s="325"/>
      <c r="K407" s="325">
        <f t="shared" si="83"/>
        <v>0</v>
      </c>
      <c r="L407" s="325">
        <f t="shared" si="84"/>
        <v>0</v>
      </c>
      <c r="M407" s="407">
        <v>10</v>
      </c>
      <c r="N407" s="408" t="s">
        <v>289</v>
      </c>
      <c r="O407" s="325">
        <f t="shared" si="86"/>
        <v>0</v>
      </c>
      <c r="P407" s="325">
        <f t="shared" si="87"/>
        <v>0</v>
      </c>
      <c r="Q407" s="325">
        <f t="shared" si="88"/>
        <v>0</v>
      </c>
      <c r="R407" s="325">
        <f t="shared" si="89"/>
        <v>498</v>
      </c>
      <c r="S407" s="325">
        <f t="shared" si="90"/>
        <v>0</v>
      </c>
      <c r="T407" s="325">
        <f t="shared" si="93"/>
        <v>498</v>
      </c>
      <c r="U407" s="325">
        <f t="shared" si="91"/>
        <v>9467.26</v>
      </c>
      <c r="V407" s="325">
        <f t="shared" si="85"/>
        <v>0</v>
      </c>
      <c r="W407" s="449" cm="1">
        <f t="array" ref="W407">+IF(U407&lt;0,error,0)</f>
        <v>0</v>
      </c>
    </row>
    <row r="408" spans="1:23" ht="18" customHeight="1" x14ac:dyDescent="0.2">
      <c r="A408" s="402" t="s">
        <v>945</v>
      </c>
      <c r="B408" s="403"/>
      <c r="C408" s="404" t="s">
        <v>946</v>
      </c>
      <c r="D408" s="405">
        <v>42837</v>
      </c>
      <c r="E408" s="406"/>
      <c r="F408" s="325"/>
      <c r="G408" s="324"/>
      <c r="H408" s="324">
        <v>5000</v>
      </c>
      <c r="I408" s="325">
        <v>1806</v>
      </c>
      <c r="J408" s="325"/>
      <c r="K408" s="325">
        <f t="shared" si="83"/>
        <v>0</v>
      </c>
      <c r="L408" s="325">
        <f t="shared" si="84"/>
        <v>0</v>
      </c>
      <c r="M408" s="407">
        <v>28.57</v>
      </c>
      <c r="N408" s="408" t="s">
        <v>289</v>
      </c>
      <c r="O408" s="325">
        <f t="shared" si="86"/>
        <v>0</v>
      </c>
      <c r="P408" s="325">
        <f t="shared" si="87"/>
        <v>0</v>
      </c>
      <c r="Q408" s="325">
        <f t="shared" si="88"/>
        <v>0</v>
      </c>
      <c r="R408" s="325">
        <f t="shared" si="89"/>
        <v>257</v>
      </c>
      <c r="S408" s="325">
        <f t="shared" si="90"/>
        <v>0</v>
      </c>
      <c r="T408" s="325">
        <f t="shared" si="93"/>
        <v>257</v>
      </c>
      <c r="U408" s="325">
        <f t="shared" si="91"/>
        <v>1549</v>
      </c>
      <c r="V408" s="325">
        <f t="shared" si="85"/>
        <v>0</v>
      </c>
      <c r="W408" s="449" cm="1">
        <f t="array" ref="W408">+IF(U408&lt;0,error,0)</f>
        <v>0</v>
      </c>
    </row>
    <row r="409" spans="1:23" ht="18" customHeight="1" x14ac:dyDescent="0.2">
      <c r="A409" s="402" t="s">
        <v>947</v>
      </c>
      <c r="B409" s="403"/>
      <c r="C409" s="404" t="s">
        <v>948</v>
      </c>
      <c r="D409" s="405">
        <v>42905</v>
      </c>
      <c r="E409" s="406"/>
      <c r="F409" s="325"/>
      <c r="G409" s="324"/>
      <c r="H409" s="324">
        <v>3505.09</v>
      </c>
      <c r="I409" s="325">
        <v>848.09000000000015</v>
      </c>
      <c r="J409" s="325"/>
      <c r="K409" s="325">
        <f t="shared" si="83"/>
        <v>0</v>
      </c>
      <c r="L409" s="325">
        <f t="shared" si="84"/>
        <v>0</v>
      </c>
      <c r="M409" s="407">
        <v>40</v>
      </c>
      <c r="N409" s="408" t="s">
        <v>289</v>
      </c>
      <c r="O409" s="325">
        <f t="shared" si="86"/>
        <v>0</v>
      </c>
      <c r="P409" s="325">
        <f t="shared" si="87"/>
        <v>0</v>
      </c>
      <c r="Q409" s="325">
        <f t="shared" si="88"/>
        <v>0</v>
      </c>
      <c r="R409" s="325">
        <f t="shared" si="89"/>
        <v>169</v>
      </c>
      <c r="S409" s="325">
        <f t="shared" si="90"/>
        <v>0</v>
      </c>
      <c r="T409" s="325">
        <f t="shared" si="93"/>
        <v>169</v>
      </c>
      <c r="U409" s="325">
        <f t="shared" si="91"/>
        <v>679.09000000000015</v>
      </c>
      <c r="V409" s="325">
        <f t="shared" si="85"/>
        <v>0</v>
      </c>
      <c r="W409" s="449" cm="1">
        <f t="array" ref="W409">+IF(U409&lt;0,error,0)</f>
        <v>0</v>
      </c>
    </row>
    <row r="410" spans="1:23" ht="18" customHeight="1" x14ac:dyDescent="0.2">
      <c r="A410" s="402" t="s">
        <v>949</v>
      </c>
      <c r="B410" s="403"/>
      <c r="C410" s="404" t="s">
        <v>950</v>
      </c>
      <c r="D410" s="405">
        <v>42916</v>
      </c>
      <c r="E410" s="406"/>
      <c r="F410" s="325"/>
      <c r="G410" s="324"/>
      <c r="H410" s="324">
        <v>3906</v>
      </c>
      <c r="I410" s="325">
        <v>2568</v>
      </c>
      <c r="J410" s="325"/>
      <c r="K410" s="325">
        <f t="shared" si="83"/>
        <v>0</v>
      </c>
      <c r="L410" s="325">
        <f t="shared" si="84"/>
        <v>0</v>
      </c>
      <c r="M410" s="407">
        <v>13.33</v>
      </c>
      <c r="N410" s="408" t="s">
        <v>289</v>
      </c>
      <c r="O410" s="325">
        <f t="shared" si="86"/>
        <v>0</v>
      </c>
      <c r="P410" s="325">
        <f t="shared" si="87"/>
        <v>0</v>
      </c>
      <c r="Q410" s="325">
        <f t="shared" si="88"/>
        <v>0</v>
      </c>
      <c r="R410" s="325">
        <f t="shared" si="89"/>
        <v>171</v>
      </c>
      <c r="S410" s="325">
        <f t="shared" si="90"/>
        <v>0</v>
      </c>
      <c r="T410" s="325">
        <f t="shared" si="93"/>
        <v>171</v>
      </c>
      <c r="U410" s="325">
        <f t="shared" si="91"/>
        <v>2397</v>
      </c>
      <c r="V410" s="325">
        <f t="shared" si="85"/>
        <v>0</v>
      </c>
      <c r="W410" s="449" cm="1">
        <f t="array" ref="W410">+IF(U410&lt;0,error,0)</f>
        <v>0</v>
      </c>
    </row>
    <row r="411" spans="1:23" ht="18" customHeight="1" x14ac:dyDescent="0.2">
      <c r="A411" s="402" t="s">
        <v>951</v>
      </c>
      <c r="B411" s="403"/>
      <c r="C411" s="404" t="s">
        <v>952</v>
      </c>
      <c r="D411" s="405">
        <v>42864</v>
      </c>
      <c r="E411" s="406"/>
      <c r="F411" s="325"/>
      <c r="G411" s="324"/>
      <c r="H411" s="324">
        <v>9572.5</v>
      </c>
      <c r="I411" s="325">
        <v>4876.5</v>
      </c>
      <c r="J411" s="325"/>
      <c r="K411" s="325">
        <f t="shared" si="83"/>
        <v>0</v>
      </c>
      <c r="L411" s="325">
        <f t="shared" si="84"/>
        <v>0</v>
      </c>
      <c r="M411" s="407">
        <v>20</v>
      </c>
      <c r="N411" s="408" t="s">
        <v>289</v>
      </c>
      <c r="O411" s="325">
        <f t="shared" si="86"/>
        <v>0</v>
      </c>
      <c r="P411" s="325">
        <f t="shared" si="87"/>
        <v>0</v>
      </c>
      <c r="Q411" s="325">
        <f t="shared" si="88"/>
        <v>0</v>
      </c>
      <c r="R411" s="325">
        <f t="shared" si="89"/>
        <v>487</v>
      </c>
      <c r="S411" s="325">
        <f t="shared" si="90"/>
        <v>0</v>
      </c>
      <c r="T411" s="325">
        <f t="shared" si="93"/>
        <v>487</v>
      </c>
      <c r="U411" s="325">
        <f t="shared" si="91"/>
        <v>4389.5</v>
      </c>
      <c r="V411" s="325">
        <f t="shared" si="85"/>
        <v>0</v>
      </c>
      <c r="W411" s="449" cm="1">
        <f t="array" ref="W411">+IF(U411&lt;0,error,0)</f>
        <v>0</v>
      </c>
    </row>
    <row r="412" spans="1:23" ht="18" customHeight="1" x14ac:dyDescent="0.2">
      <c r="A412" s="402" t="s">
        <v>953</v>
      </c>
      <c r="B412" s="403"/>
      <c r="C412" s="404" t="s">
        <v>954</v>
      </c>
      <c r="D412" s="405">
        <v>42803</v>
      </c>
      <c r="E412" s="406"/>
      <c r="F412" s="325"/>
      <c r="G412" s="324"/>
      <c r="H412" s="324">
        <v>1170</v>
      </c>
      <c r="I412" s="325">
        <v>252</v>
      </c>
      <c r="J412" s="325"/>
      <c r="K412" s="325">
        <f t="shared" si="83"/>
        <v>0</v>
      </c>
      <c r="L412" s="325">
        <f t="shared" si="84"/>
        <v>0</v>
      </c>
      <c r="M412" s="407">
        <v>40</v>
      </c>
      <c r="N412" s="408" t="s">
        <v>289</v>
      </c>
      <c r="O412" s="325">
        <f t="shared" si="86"/>
        <v>0</v>
      </c>
      <c r="P412" s="325">
        <f t="shared" si="87"/>
        <v>0</v>
      </c>
      <c r="Q412" s="325">
        <f t="shared" si="88"/>
        <v>0</v>
      </c>
      <c r="R412" s="325">
        <f t="shared" si="89"/>
        <v>50</v>
      </c>
      <c r="S412" s="325">
        <f t="shared" si="90"/>
        <v>0</v>
      </c>
      <c r="T412" s="325">
        <f t="shared" si="93"/>
        <v>50</v>
      </c>
      <c r="U412" s="325">
        <f t="shared" si="91"/>
        <v>202</v>
      </c>
      <c r="V412" s="325">
        <f t="shared" si="85"/>
        <v>0</v>
      </c>
      <c r="W412" s="449" cm="1">
        <f t="array" ref="W412">+IF(U412&lt;0,error,0)</f>
        <v>0</v>
      </c>
    </row>
    <row r="413" spans="1:23" ht="18" customHeight="1" x14ac:dyDescent="0.2">
      <c r="A413" s="402" t="s">
        <v>955</v>
      </c>
      <c r="B413" s="403"/>
      <c r="C413" s="404" t="s">
        <v>956</v>
      </c>
      <c r="D413" s="405">
        <v>42803</v>
      </c>
      <c r="E413" s="406"/>
      <c r="F413" s="325"/>
      <c r="G413" s="324"/>
      <c r="H413" s="324">
        <v>1320</v>
      </c>
      <c r="I413" s="325">
        <v>284</v>
      </c>
      <c r="J413" s="325"/>
      <c r="K413" s="325">
        <f t="shared" si="83"/>
        <v>0</v>
      </c>
      <c r="L413" s="325">
        <f t="shared" si="84"/>
        <v>0</v>
      </c>
      <c r="M413" s="407">
        <v>40</v>
      </c>
      <c r="N413" s="408" t="s">
        <v>289</v>
      </c>
      <c r="O413" s="325">
        <f t="shared" si="86"/>
        <v>0</v>
      </c>
      <c r="P413" s="325">
        <f t="shared" si="87"/>
        <v>0</v>
      </c>
      <c r="Q413" s="325">
        <f t="shared" si="88"/>
        <v>0</v>
      </c>
      <c r="R413" s="325">
        <f t="shared" si="89"/>
        <v>56</v>
      </c>
      <c r="S413" s="325">
        <f t="shared" si="90"/>
        <v>0</v>
      </c>
      <c r="T413" s="325">
        <f t="shared" si="93"/>
        <v>56</v>
      </c>
      <c r="U413" s="325">
        <f t="shared" si="91"/>
        <v>228</v>
      </c>
      <c r="V413" s="325">
        <f t="shared" si="85"/>
        <v>0</v>
      </c>
      <c r="W413" s="449" cm="1">
        <f t="array" ref="W413">+IF(U413&lt;0,error,0)</f>
        <v>0</v>
      </c>
    </row>
    <row r="414" spans="1:23" ht="18" customHeight="1" x14ac:dyDescent="0.2">
      <c r="A414" s="402" t="s">
        <v>957</v>
      </c>
      <c r="B414" s="403"/>
      <c r="C414" s="404" t="s">
        <v>958</v>
      </c>
      <c r="D414" s="405">
        <v>42803</v>
      </c>
      <c r="E414" s="406"/>
      <c r="F414" s="325"/>
      <c r="G414" s="324"/>
      <c r="H414" s="324">
        <v>1192.5</v>
      </c>
      <c r="I414" s="325">
        <v>256.5</v>
      </c>
      <c r="J414" s="325"/>
      <c r="K414" s="325">
        <f t="shared" si="83"/>
        <v>0</v>
      </c>
      <c r="L414" s="325">
        <f t="shared" si="84"/>
        <v>0</v>
      </c>
      <c r="M414" s="407">
        <v>40</v>
      </c>
      <c r="N414" s="408" t="s">
        <v>289</v>
      </c>
      <c r="O414" s="325">
        <f t="shared" si="86"/>
        <v>0</v>
      </c>
      <c r="P414" s="325">
        <f t="shared" si="87"/>
        <v>0</v>
      </c>
      <c r="Q414" s="325">
        <f t="shared" si="88"/>
        <v>0</v>
      </c>
      <c r="R414" s="325">
        <f t="shared" si="89"/>
        <v>51</v>
      </c>
      <c r="S414" s="325">
        <f t="shared" si="90"/>
        <v>0</v>
      </c>
      <c r="T414" s="325">
        <f t="shared" si="93"/>
        <v>51</v>
      </c>
      <c r="U414" s="325">
        <f t="shared" si="91"/>
        <v>205.5</v>
      </c>
      <c r="V414" s="325">
        <f t="shared" si="85"/>
        <v>0</v>
      </c>
      <c r="W414" s="449" cm="1">
        <f t="array" ref="W414">+IF(U414&lt;0,error,0)</f>
        <v>0</v>
      </c>
    </row>
    <row r="415" spans="1:23" ht="18" customHeight="1" x14ac:dyDescent="0.2">
      <c r="A415" s="402" t="s">
        <v>959</v>
      </c>
      <c r="B415" s="403"/>
      <c r="C415" s="404" t="s">
        <v>960</v>
      </c>
      <c r="D415" s="405">
        <v>42978</v>
      </c>
      <c r="E415" s="406"/>
      <c r="F415" s="325"/>
      <c r="G415" s="324"/>
      <c r="H415" s="324">
        <v>3300</v>
      </c>
      <c r="I415" s="325">
        <v>2227</v>
      </c>
      <c r="J415" s="325"/>
      <c r="K415" s="325">
        <f t="shared" si="83"/>
        <v>0</v>
      </c>
      <c r="L415" s="325">
        <f t="shared" si="84"/>
        <v>0</v>
      </c>
      <c r="M415" s="407">
        <v>13.33</v>
      </c>
      <c r="N415" s="408" t="s">
        <v>289</v>
      </c>
      <c r="O415" s="325">
        <f t="shared" si="86"/>
        <v>0</v>
      </c>
      <c r="P415" s="325">
        <f t="shared" si="87"/>
        <v>0</v>
      </c>
      <c r="Q415" s="325">
        <f t="shared" si="88"/>
        <v>0</v>
      </c>
      <c r="R415" s="325">
        <f t="shared" si="89"/>
        <v>148</v>
      </c>
      <c r="S415" s="325">
        <f t="shared" si="90"/>
        <v>0</v>
      </c>
      <c r="T415" s="325">
        <f t="shared" si="93"/>
        <v>148</v>
      </c>
      <c r="U415" s="325">
        <f t="shared" si="91"/>
        <v>2079</v>
      </c>
      <c r="V415" s="325">
        <f t="shared" si="85"/>
        <v>0</v>
      </c>
      <c r="W415" s="449" cm="1">
        <f t="array" ref="W415">+IF(U415&lt;0,error,0)</f>
        <v>0</v>
      </c>
    </row>
    <row r="416" spans="1:23" ht="18" customHeight="1" x14ac:dyDescent="0.2">
      <c r="A416" s="402" t="s">
        <v>961</v>
      </c>
      <c r="B416" s="403"/>
      <c r="C416" s="404" t="s">
        <v>962</v>
      </c>
      <c r="D416" s="405">
        <v>43057</v>
      </c>
      <c r="E416" s="406"/>
      <c r="F416" s="325"/>
      <c r="G416" s="324"/>
      <c r="H416" s="324">
        <v>7000</v>
      </c>
      <c r="I416" s="325">
        <v>4875</v>
      </c>
      <c r="J416" s="325"/>
      <c r="K416" s="325">
        <f t="shared" si="83"/>
        <v>0</v>
      </c>
      <c r="L416" s="325">
        <f t="shared" si="84"/>
        <v>0</v>
      </c>
      <c r="M416" s="407">
        <v>13.33</v>
      </c>
      <c r="N416" s="408" t="s">
        <v>289</v>
      </c>
      <c r="O416" s="325">
        <f t="shared" si="86"/>
        <v>0</v>
      </c>
      <c r="P416" s="325">
        <f t="shared" si="87"/>
        <v>0</v>
      </c>
      <c r="Q416" s="325">
        <f t="shared" si="88"/>
        <v>0</v>
      </c>
      <c r="R416" s="325">
        <f t="shared" si="89"/>
        <v>324</v>
      </c>
      <c r="S416" s="325">
        <f t="shared" si="90"/>
        <v>0</v>
      </c>
      <c r="T416" s="325">
        <f t="shared" si="93"/>
        <v>324</v>
      </c>
      <c r="U416" s="325">
        <f t="shared" si="91"/>
        <v>4551</v>
      </c>
      <c r="V416" s="325">
        <f t="shared" si="85"/>
        <v>0</v>
      </c>
      <c r="W416" s="449" cm="1">
        <f t="array" ref="W416">+IF(U416&lt;0,error,0)</f>
        <v>0</v>
      </c>
    </row>
    <row r="417" spans="1:23" ht="18" customHeight="1" x14ac:dyDescent="0.2">
      <c r="A417" s="402" t="s">
        <v>963</v>
      </c>
      <c r="B417" s="403"/>
      <c r="C417" s="404" t="s">
        <v>964</v>
      </c>
      <c r="D417" s="405">
        <v>43088</v>
      </c>
      <c r="E417" s="406"/>
      <c r="F417" s="325"/>
      <c r="G417" s="324"/>
      <c r="H417" s="324">
        <v>30000</v>
      </c>
      <c r="I417" s="325">
        <v>21144</v>
      </c>
      <c r="J417" s="325"/>
      <c r="K417" s="325">
        <f t="shared" si="83"/>
        <v>0</v>
      </c>
      <c r="L417" s="325">
        <f t="shared" si="84"/>
        <v>0</v>
      </c>
      <c r="M417" s="407">
        <v>13.33</v>
      </c>
      <c r="N417" s="408" t="s">
        <v>289</v>
      </c>
      <c r="O417" s="325">
        <f t="shared" si="86"/>
        <v>0</v>
      </c>
      <c r="P417" s="325">
        <f t="shared" si="87"/>
        <v>0</v>
      </c>
      <c r="Q417" s="325">
        <f t="shared" si="88"/>
        <v>0</v>
      </c>
      <c r="R417" s="325">
        <f t="shared" si="89"/>
        <v>1409</v>
      </c>
      <c r="S417" s="325">
        <f t="shared" si="90"/>
        <v>0</v>
      </c>
      <c r="T417" s="325">
        <f t="shared" si="93"/>
        <v>1409</v>
      </c>
      <c r="U417" s="325">
        <f t="shared" si="91"/>
        <v>19735</v>
      </c>
      <c r="V417" s="325">
        <f t="shared" si="85"/>
        <v>0</v>
      </c>
      <c r="W417" s="449" cm="1">
        <f t="array" ref="W417">+IF(U417&lt;0,error,0)</f>
        <v>0</v>
      </c>
    </row>
    <row r="418" spans="1:23" ht="18" customHeight="1" x14ac:dyDescent="0.2">
      <c r="A418" s="402" t="s">
        <v>965</v>
      </c>
      <c r="B418" s="403"/>
      <c r="C418" s="404" t="s">
        <v>966</v>
      </c>
      <c r="D418" s="405">
        <v>43147</v>
      </c>
      <c r="E418" s="406"/>
      <c r="F418" s="325"/>
      <c r="G418" s="324"/>
      <c r="H418" s="324">
        <v>10000</v>
      </c>
      <c r="I418" s="325">
        <v>7213</v>
      </c>
      <c r="J418" s="325"/>
      <c r="K418" s="325">
        <f t="shared" si="83"/>
        <v>0</v>
      </c>
      <c r="L418" s="325">
        <f t="shared" si="84"/>
        <v>0</v>
      </c>
      <c r="M418" s="407">
        <v>13.33</v>
      </c>
      <c r="N418" s="408" t="s">
        <v>289</v>
      </c>
      <c r="O418" s="325">
        <f t="shared" si="86"/>
        <v>0</v>
      </c>
      <c r="P418" s="325">
        <f t="shared" si="87"/>
        <v>0</v>
      </c>
      <c r="Q418" s="325">
        <f t="shared" si="88"/>
        <v>0</v>
      </c>
      <c r="R418" s="325">
        <f t="shared" si="89"/>
        <v>480</v>
      </c>
      <c r="S418" s="325">
        <f t="shared" si="90"/>
        <v>0</v>
      </c>
      <c r="T418" s="325">
        <f t="shared" si="93"/>
        <v>480</v>
      </c>
      <c r="U418" s="325">
        <f t="shared" si="91"/>
        <v>6733</v>
      </c>
      <c r="V418" s="325">
        <f t="shared" si="85"/>
        <v>0</v>
      </c>
      <c r="W418" s="449" cm="1">
        <f t="array" ref="W418">+IF(U418&lt;0,error,0)</f>
        <v>0</v>
      </c>
    </row>
    <row r="419" spans="1:23" ht="18" customHeight="1" x14ac:dyDescent="0.2">
      <c r="A419" s="402" t="s">
        <v>967</v>
      </c>
      <c r="B419" s="403"/>
      <c r="C419" s="404" t="s">
        <v>968</v>
      </c>
      <c r="D419" s="405">
        <v>43223</v>
      </c>
      <c r="E419" s="406"/>
      <c r="F419" s="325"/>
      <c r="G419" s="324"/>
      <c r="H419" s="324">
        <v>12717</v>
      </c>
      <c r="I419" s="325">
        <v>9439</v>
      </c>
      <c r="J419" s="325"/>
      <c r="K419" s="325">
        <f t="shared" si="83"/>
        <v>0</v>
      </c>
      <c r="L419" s="325">
        <f t="shared" si="84"/>
        <v>0</v>
      </c>
      <c r="M419" s="407">
        <v>13.33</v>
      </c>
      <c r="N419" s="408" t="s">
        <v>289</v>
      </c>
      <c r="O419" s="325">
        <f t="shared" si="86"/>
        <v>0</v>
      </c>
      <c r="P419" s="325">
        <f t="shared" si="87"/>
        <v>0</v>
      </c>
      <c r="Q419" s="325">
        <f t="shared" si="88"/>
        <v>0</v>
      </c>
      <c r="R419" s="325">
        <f t="shared" si="89"/>
        <v>629</v>
      </c>
      <c r="S419" s="325">
        <f t="shared" si="90"/>
        <v>0</v>
      </c>
      <c r="T419" s="325">
        <f t="shared" si="93"/>
        <v>629</v>
      </c>
      <c r="U419" s="325">
        <f t="shared" si="91"/>
        <v>8810</v>
      </c>
      <c r="V419" s="325">
        <f t="shared" si="85"/>
        <v>0</v>
      </c>
      <c r="W419" s="449" cm="1">
        <f t="array" ref="W419">+IF(U419&lt;0,error,0)</f>
        <v>0</v>
      </c>
    </row>
    <row r="420" spans="1:23" ht="18" customHeight="1" x14ac:dyDescent="0.2">
      <c r="A420" s="402" t="s">
        <v>971</v>
      </c>
      <c r="B420" s="403"/>
      <c r="C420" s="404" t="s">
        <v>972</v>
      </c>
      <c r="D420" s="405">
        <v>42917</v>
      </c>
      <c r="E420" s="406"/>
      <c r="F420" s="325"/>
      <c r="G420" s="324"/>
      <c r="H420" s="324">
        <v>1000</v>
      </c>
      <c r="I420" s="325">
        <v>815</v>
      </c>
      <c r="J420" s="325"/>
      <c r="K420" s="325">
        <f t="shared" si="83"/>
        <v>0</v>
      </c>
      <c r="L420" s="325">
        <f t="shared" si="84"/>
        <v>0</v>
      </c>
      <c r="M420" s="407">
        <v>6.67</v>
      </c>
      <c r="N420" s="408" t="s">
        <v>289</v>
      </c>
      <c r="O420" s="325">
        <f t="shared" si="86"/>
        <v>0</v>
      </c>
      <c r="P420" s="325">
        <f t="shared" si="87"/>
        <v>0</v>
      </c>
      <c r="Q420" s="325">
        <f t="shared" si="88"/>
        <v>0</v>
      </c>
      <c r="R420" s="325">
        <f t="shared" si="89"/>
        <v>27</v>
      </c>
      <c r="S420" s="325">
        <f t="shared" si="90"/>
        <v>0</v>
      </c>
      <c r="T420" s="325">
        <f t="shared" si="93"/>
        <v>27</v>
      </c>
      <c r="U420" s="325">
        <f t="shared" si="91"/>
        <v>788</v>
      </c>
      <c r="V420" s="325">
        <f t="shared" si="85"/>
        <v>0</v>
      </c>
      <c r="W420" s="449" cm="1">
        <f t="array" ref="W420">+IF(U420&lt;0,error,0)</f>
        <v>0</v>
      </c>
    </row>
    <row r="421" spans="1:23" ht="18" customHeight="1" x14ac:dyDescent="0.2">
      <c r="A421" s="402" t="s">
        <v>973</v>
      </c>
      <c r="B421" s="403"/>
      <c r="C421" s="404" t="s">
        <v>974</v>
      </c>
      <c r="D421" s="405">
        <v>42917</v>
      </c>
      <c r="E421" s="406"/>
      <c r="F421" s="325"/>
      <c r="G421" s="324"/>
      <c r="H421" s="324">
        <v>2240</v>
      </c>
      <c r="I421" s="325">
        <v>1827</v>
      </c>
      <c r="J421" s="325"/>
      <c r="K421" s="325">
        <f t="shared" si="83"/>
        <v>0</v>
      </c>
      <c r="L421" s="325">
        <f t="shared" si="84"/>
        <v>0</v>
      </c>
      <c r="M421" s="407">
        <v>6.67</v>
      </c>
      <c r="N421" s="408" t="s">
        <v>289</v>
      </c>
      <c r="O421" s="325">
        <f t="shared" si="86"/>
        <v>0</v>
      </c>
      <c r="P421" s="325">
        <f t="shared" si="87"/>
        <v>0</v>
      </c>
      <c r="Q421" s="325">
        <f t="shared" si="88"/>
        <v>0</v>
      </c>
      <c r="R421" s="325">
        <f t="shared" si="89"/>
        <v>60</v>
      </c>
      <c r="S421" s="325">
        <f t="shared" si="90"/>
        <v>0</v>
      </c>
      <c r="T421" s="325">
        <f t="shared" si="93"/>
        <v>60</v>
      </c>
      <c r="U421" s="325">
        <f t="shared" si="91"/>
        <v>1767</v>
      </c>
      <c r="V421" s="325">
        <f t="shared" si="85"/>
        <v>0</v>
      </c>
      <c r="W421" s="449" cm="1">
        <f t="array" ref="W421">+IF(U421&lt;0,error,0)</f>
        <v>0</v>
      </c>
    </row>
    <row r="422" spans="1:23" ht="18" customHeight="1" x14ac:dyDescent="0.2">
      <c r="A422" s="402" t="s">
        <v>975</v>
      </c>
      <c r="B422" s="403"/>
      <c r="C422" s="404" t="s">
        <v>976</v>
      </c>
      <c r="D422" s="405">
        <v>43008</v>
      </c>
      <c r="E422" s="406"/>
      <c r="F422" s="325"/>
      <c r="G422" s="324"/>
      <c r="H422" s="324">
        <v>1858.5</v>
      </c>
      <c r="I422" s="325">
        <v>1270.5</v>
      </c>
      <c r="J422" s="325"/>
      <c r="K422" s="325">
        <f t="shared" si="83"/>
        <v>0</v>
      </c>
      <c r="L422" s="325">
        <f t="shared" si="84"/>
        <v>0</v>
      </c>
      <c r="M422" s="407">
        <v>13.33</v>
      </c>
      <c r="N422" s="408" t="s">
        <v>289</v>
      </c>
      <c r="O422" s="325">
        <f t="shared" si="86"/>
        <v>0</v>
      </c>
      <c r="P422" s="325">
        <f t="shared" si="87"/>
        <v>0</v>
      </c>
      <c r="Q422" s="325">
        <f t="shared" si="88"/>
        <v>0</v>
      </c>
      <c r="R422" s="325">
        <f t="shared" si="89"/>
        <v>84</v>
      </c>
      <c r="S422" s="325">
        <f t="shared" si="90"/>
        <v>0</v>
      </c>
      <c r="T422" s="325">
        <f t="shared" si="93"/>
        <v>84</v>
      </c>
      <c r="U422" s="325">
        <f t="shared" si="91"/>
        <v>1186.5</v>
      </c>
      <c r="V422" s="325">
        <f t="shared" si="85"/>
        <v>0</v>
      </c>
      <c r="W422" s="449" cm="1">
        <f t="array" ref="W422">+IF(U422&lt;0,error,0)</f>
        <v>0</v>
      </c>
    </row>
    <row r="423" spans="1:23" ht="18" customHeight="1" x14ac:dyDescent="0.2">
      <c r="A423" s="402" t="s">
        <v>977</v>
      </c>
      <c r="B423" s="403"/>
      <c r="C423" s="404" t="s">
        <v>978</v>
      </c>
      <c r="D423" s="405">
        <v>43069</v>
      </c>
      <c r="E423" s="406"/>
      <c r="F423" s="325"/>
      <c r="G423" s="324"/>
      <c r="H423" s="324">
        <v>3843</v>
      </c>
      <c r="I423" s="325">
        <v>2689</v>
      </c>
      <c r="J423" s="325"/>
      <c r="K423" s="325">
        <f t="shared" si="83"/>
        <v>0</v>
      </c>
      <c r="L423" s="325">
        <f t="shared" si="84"/>
        <v>0</v>
      </c>
      <c r="M423" s="407">
        <v>13.33</v>
      </c>
      <c r="N423" s="408" t="s">
        <v>289</v>
      </c>
      <c r="O423" s="325">
        <f t="shared" si="86"/>
        <v>0</v>
      </c>
      <c r="P423" s="325">
        <f t="shared" si="87"/>
        <v>0</v>
      </c>
      <c r="Q423" s="325">
        <f t="shared" si="88"/>
        <v>0</v>
      </c>
      <c r="R423" s="325">
        <f t="shared" si="89"/>
        <v>179</v>
      </c>
      <c r="S423" s="325">
        <f t="shared" si="90"/>
        <v>0</v>
      </c>
      <c r="T423" s="325">
        <f t="shared" si="93"/>
        <v>179</v>
      </c>
      <c r="U423" s="325">
        <f t="shared" si="91"/>
        <v>2510</v>
      </c>
      <c r="V423" s="325">
        <f t="shared" si="85"/>
        <v>0</v>
      </c>
      <c r="W423" s="449" cm="1">
        <f t="array" ref="W423">+IF(U423&lt;0,error,0)</f>
        <v>0</v>
      </c>
    </row>
    <row r="424" spans="1:23" ht="18" customHeight="1" x14ac:dyDescent="0.2">
      <c r="A424" s="402" t="s">
        <v>979</v>
      </c>
      <c r="B424" s="403"/>
      <c r="C424" s="440" t="s">
        <v>980</v>
      </c>
      <c r="D424" s="405">
        <v>43131</v>
      </c>
      <c r="E424" s="406"/>
      <c r="F424" s="325"/>
      <c r="G424" s="439"/>
      <c r="H424" s="324">
        <v>3024</v>
      </c>
      <c r="I424" s="325">
        <v>1819</v>
      </c>
      <c r="J424" s="325"/>
      <c r="K424" s="325">
        <f t="shared" si="83"/>
        <v>0</v>
      </c>
      <c r="L424" s="325">
        <f t="shared" si="84"/>
        <v>0</v>
      </c>
      <c r="M424" s="407">
        <v>20</v>
      </c>
      <c r="N424" s="408" t="s">
        <v>289</v>
      </c>
      <c r="O424" s="325">
        <f t="shared" si="86"/>
        <v>0</v>
      </c>
      <c r="P424" s="325">
        <f t="shared" si="87"/>
        <v>0</v>
      </c>
      <c r="Q424" s="325">
        <f t="shared" si="88"/>
        <v>0</v>
      </c>
      <c r="R424" s="325">
        <f t="shared" si="89"/>
        <v>181</v>
      </c>
      <c r="S424" s="325">
        <f t="shared" si="90"/>
        <v>0</v>
      </c>
      <c r="T424" s="325">
        <f t="shared" si="93"/>
        <v>181</v>
      </c>
      <c r="U424" s="325">
        <f t="shared" si="91"/>
        <v>1638</v>
      </c>
      <c r="V424" s="325">
        <f t="shared" si="85"/>
        <v>0</v>
      </c>
      <c r="W424" s="449" cm="1">
        <f t="array" ref="W424">+IF(U424&lt;0,error,0)</f>
        <v>0</v>
      </c>
    </row>
    <row r="425" spans="1:23" ht="18" customHeight="1" x14ac:dyDescent="0.2">
      <c r="A425" s="402" t="s">
        <v>981</v>
      </c>
      <c r="B425" s="403"/>
      <c r="C425" s="404" t="s">
        <v>982</v>
      </c>
      <c r="D425" s="405">
        <v>43131</v>
      </c>
      <c r="E425" s="406"/>
      <c r="F425" s="325"/>
      <c r="G425" s="324"/>
      <c r="H425" s="324">
        <v>1386</v>
      </c>
      <c r="I425" s="325">
        <v>835</v>
      </c>
      <c r="J425" s="325"/>
      <c r="K425" s="325">
        <f t="shared" si="83"/>
        <v>0</v>
      </c>
      <c r="L425" s="325">
        <f t="shared" si="84"/>
        <v>0</v>
      </c>
      <c r="M425" s="407">
        <v>20</v>
      </c>
      <c r="N425" s="408" t="s">
        <v>289</v>
      </c>
      <c r="O425" s="325">
        <f t="shared" si="86"/>
        <v>0</v>
      </c>
      <c r="P425" s="325">
        <f t="shared" si="87"/>
        <v>0</v>
      </c>
      <c r="Q425" s="325">
        <f t="shared" si="88"/>
        <v>0</v>
      </c>
      <c r="R425" s="325">
        <f t="shared" si="89"/>
        <v>83</v>
      </c>
      <c r="S425" s="325">
        <f t="shared" si="90"/>
        <v>0</v>
      </c>
      <c r="T425" s="325">
        <f t="shared" si="93"/>
        <v>83</v>
      </c>
      <c r="U425" s="325">
        <f t="shared" si="91"/>
        <v>752</v>
      </c>
      <c r="V425" s="325">
        <f t="shared" si="85"/>
        <v>0</v>
      </c>
      <c r="W425" s="449" cm="1">
        <f t="array" ref="W425">+IF(U425&lt;0,error,0)</f>
        <v>0</v>
      </c>
    </row>
    <row r="426" spans="1:23" ht="18" customHeight="1" x14ac:dyDescent="0.2">
      <c r="A426" s="402" t="s">
        <v>983</v>
      </c>
      <c r="B426" s="403"/>
      <c r="C426" s="404" t="s">
        <v>984</v>
      </c>
      <c r="D426" s="405">
        <v>43145</v>
      </c>
      <c r="E426" s="406"/>
      <c r="F426" s="325"/>
      <c r="G426" s="324"/>
      <c r="H426" s="324">
        <v>13800</v>
      </c>
      <c r="I426" s="325">
        <v>9944</v>
      </c>
      <c r="J426" s="325"/>
      <c r="K426" s="325">
        <f t="shared" si="83"/>
        <v>0</v>
      </c>
      <c r="L426" s="325">
        <f t="shared" si="84"/>
        <v>0</v>
      </c>
      <c r="M426" s="407">
        <v>13.33</v>
      </c>
      <c r="N426" s="408" t="s">
        <v>289</v>
      </c>
      <c r="O426" s="325">
        <f t="shared" si="86"/>
        <v>0</v>
      </c>
      <c r="P426" s="325">
        <f t="shared" si="87"/>
        <v>0</v>
      </c>
      <c r="Q426" s="325">
        <f t="shared" si="88"/>
        <v>0</v>
      </c>
      <c r="R426" s="325">
        <f t="shared" si="89"/>
        <v>662</v>
      </c>
      <c r="S426" s="325">
        <f t="shared" si="90"/>
        <v>0</v>
      </c>
      <c r="T426" s="325">
        <f t="shared" si="93"/>
        <v>662</v>
      </c>
      <c r="U426" s="325">
        <f t="shared" si="91"/>
        <v>9282</v>
      </c>
      <c r="V426" s="325">
        <f t="shared" si="85"/>
        <v>0</v>
      </c>
      <c r="W426" s="449" cm="1">
        <f t="array" ref="W426">+IF(U426&lt;0,error,0)</f>
        <v>0</v>
      </c>
    </row>
    <row r="427" spans="1:23" ht="18" customHeight="1" x14ac:dyDescent="0.2">
      <c r="A427" s="402" t="s">
        <v>985</v>
      </c>
      <c r="B427" s="403"/>
      <c r="C427" s="404" t="s">
        <v>986</v>
      </c>
      <c r="D427" s="405">
        <v>43145</v>
      </c>
      <c r="E427" s="406"/>
      <c r="F427" s="325"/>
      <c r="G427" s="324"/>
      <c r="H427" s="324">
        <v>4469.54</v>
      </c>
      <c r="I427" s="325">
        <v>3221.54</v>
      </c>
      <c r="J427" s="325"/>
      <c r="K427" s="325">
        <f t="shared" si="83"/>
        <v>0</v>
      </c>
      <c r="L427" s="325">
        <f t="shared" si="84"/>
        <v>0</v>
      </c>
      <c r="M427" s="407">
        <v>13.33</v>
      </c>
      <c r="N427" s="408" t="s">
        <v>289</v>
      </c>
      <c r="O427" s="325">
        <f t="shared" si="86"/>
        <v>0</v>
      </c>
      <c r="P427" s="325">
        <f t="shared" si="87"/>
        <v>0</v>
      </c>
      <c r="Q427" s="325">
        <f t="shared" si="88"/>
        <v>0</v>
      </c>
      <c r="R427" s="325">
        <f t="shared" si="89"/>
        <v>214</v>
      </c>
      <c r="S427" s="325">
        <f t="shared" si="90"/>
        <v>0</v>
      </c>
      <c r="T427" s="325">
        <f t="shared" si="93"/>
        <v>214</v>
      </c>
      <c r="U427" s="325">
        <f t="shared" si="91"/>
        <v>3007.54</v>
      </c>
      <c r="V427" s="325">
        <f t="shared" si="85"/>
        <v>0</v>
      </c>
      <c r="W427" s="449" cm="1">
        <f t="array" ref="W427">+IF(U427&lt;0,error,0)</f>
        <v>0</v>
      </c>
    </row>
    <row r="428" spans="1:23" ht="18" customHeight="1" x14ac:dyDescent="0.2">
      <c r="A428" s="402" t="s">
        <v>987</v>
      </c>
      <c r="B428" s="403"/>
      <c r="C428" s="404" t="s">
        <v>988</v>
      </c>
      <c r="D428" s="405">
        <v>43145</v>
      </c>
      <c r="E428" s="406"/>
      <c r="F428" s="325"/>
      <c r="G428" s="324"/>
      <c r="H428" s="324">
        <v>7285.6</v>
      </c>
      <c r="I428" s="325">
        <v>5250.6</v>
      </c>
      <c r="J428" s="325"/>
      <c r="K428" s="325">
        <f t="shared" si="83"/>
        <v>0</v>
      </c>
      <c r="L428" s="325">
        <f t="shared" si="84"/>
        <v>0</v>
      </c>
      <c r="M428" s="407">
        <v>13.33</v>
      </c>
      <c r="N428" s="408" t="s">
        <v>289</v>
      </c>
      <c r="O428" s="325">
        <f t="shared" si="86"/>
        <v>0</v>
      </c>
      <c r="P428" s="325">
        <f t="shared" si="87"/>
        <v>0</v>
      </c>
      <c r="Q428" s="325">
        <f t="shared" si="88"/>
        <v>0</v>
      </c>
      <c r="R428" s="325">
        <f t="shared" si="89"/>
        <v>349</v>
      </c>
      <c r="S428" s="325">
        <f t="shared" si="90"/>
        <v>0</v>
      </c>
      <c r="T428" s="325">
        <f t="shared" si="93"/>
        <v>349</v>
      </c>
      <c r="U428" s="325">
        <f t="shared" si="91"/>
        <v>4901.6000000000004</v>
      </c>
      <c r="V428" s="325">
        <f t="shared" si="85"/>
        <v>0</v>
      </c>
      <c r="W428" s="449" cm="1">
        <f t="array" ref="W428">+IF(U428&lt;0,error,0)</f>
        <v>0</v>
      </c>
    </row>
    <row r="429" spans="1:23" ht="18" customHeight="1" x14ac:dyDescent="0.2">
      <c r="A429" s="402" t="s">
        <v>989</v>
      </c>
      <c r="B429" s="403"/>
      <c r="C429" s="404" t="s">
        <v>990</v>
      </c>
      <c r="D429" s="405">
        <v>43158</v>
      </c>
      <c r="E429" s="406"/>
      <c r="F429" s="325"/>
      <c r="G429" s="324"/>
      <c r="H429" s="324">
        <v>2072.7200000000003</v>
      </c>
      <c r="I429" s="325">
        <v>1501.72</v>
      </c>
      <c r="J429" s="325"/>
      <c r="K429" s="325">
        <f t="shared" si="83"/>
        <v>0</v>
      </c>
      <c r="L429" s="325">
        <f t="shared" si="84"/>
        <v>0</v>
      </c>
      <c r="M429" s="407">
        <v>13.33</v>
      </c>
      <c r="N429" s="408" t="s">
        <v>289</v>
      </c>
      <c r="O429" s="325">
        <f t="shared" si="86"/>
        <v>0</v>
      </c>
      <c r="P429" s="325">
        <f t="shared" si="87"/>
        <v>0</v>
      </c>
      <c r="Q429" s="325">
        <f t="shared" si="88"/>
        <v>0</v>
      </c>
      <c r="R429" s="325">
        <f t="shared" si="89"/>
        <v>100</v>
      </c>
      <c r="S429" s="325">
        <f t="shared" si="90"/>
        <v>0</v>
      </c>
      <c r="T429" s="325">
        <f t="shared" si="93"/>
        <v>100</v>
      </c>
      <c r="U429" s="325">
        <f t="shared" si="91"/>
        <v>1401.72</v>
      </c>
      <c r="V429" s="325">
        <f t="shared" si="85"/>
        <v>0</v>
      </c>
      <c r="W429" s="449" cm="1">
        <f t="array" ref="W429">+IF(U429&lt;0,error,0)</f>
        <v>0</v>
      </c>
    </row>
    <row r="430" spans="1:23" ht="18" customHeight="1" x14ac:dyDescent="0.2">
      <c r="A430" s="402" t="s">
        <v>991</v>
      </c>
      <c r="B430" s="403"/>
      <c r="C430" s="412" t="s">
        <v>992</v>
      </c>
      <c r="D430" s="405">
        <v>43159</v>
      </c>
      <c r="E430" s="406"/>
      <c r="F430" s="325"/>
      <c r="G430" s="324"/>
      <c r="H430" s="324">
        <v>2976</v>
      </c>
      <c r="I430" s="325">
        <v>1820</v>
      </c>
      <c r="J430" s="325"/>
      <c r="K430" s="325">
        <f t="shared" si="83"/>
        <v>0</v>
      </c>
      <c r="L430" s="325">
        <f t="shared" si="84"/>
        <v>0</v>
      </c>
      <c r="M430" s="407">
        <v>20</v>
      </c>
      <c r="N430" s="408" t="s">
        <v>289</v>
      </c>
      <c r="O430" s="325">
        <f t="shared" si="86"/>
        <v>0</v>
      </c>
      <c r="P430" s="325">
        <f t="shared" si="87"/>
        <v>0</v>
      </c>
      <c r="Q430" s="325">
        <f t="shared" si="88"/>
        <v>0</v>
      </c>
      <c r="R430" s="325">
        <f t="shared" si="89"/>
        <v>182</v>
      </c>
      <c r="S430" s="325">
        <f t="shared" si="90"/>
        <v>0</v>
      </c>
      <c r="T430" s="325">
        <f t="shared" si="93"/>
        <v>182</v>
      </c>
      <c r="U430" s="325">
        <f t="shared" si="91"/>
        <v>1638</v>
      </c>
      <c r="V430" s="325">
        <f t="shared" si="85"/>
        <v>0</v>
      </c>
      <c r="W430" s="449" cm="1">
        <f t="array" ref="W430">+IF(U430&lt;0,error,0)</f>
        <v>0</v>
      </c>
    </row>
    <row r="431" spans="1:23" ht="18" customHeight="1" x14ac:dyDescent="0.2">
      <c r="A431" s="402" t="s">
        <v>993</v>
      </c>
      <c r="B431" s="403"/>
      <c r="C431" s="412" t="s">
        <v>994</v>
      </c>
      <c r="D431" s="405">
        <v>43159</v>
      </c>
      <c r="E431" s="406"/>
      <c r="F431" s="325"/>
      <c r="G431" s="324"/>
      <c r="H431" s="324">
        <v>1860</v>
      </c>
      <c r="I431" s="325">
        <v>1139</v>
      </c>
      <c r="J431" s="325"/>
      <c r="K431" s="325">
        <f t="shared" si="83"/>
        <v>0</v>
      </c>
      <c r="L431" s="325">
        <f t="shared" si="84"/>
        <v>0</v>
      </c>
      <c r="M431" s="407">
        <v>20</v>
      </c>
      <c r="N431" s="408" t="s">
        <v>289</v>
      </c>
      <c r="O431" s="325">
        <f t="shared" si="86"/>
        <v>0</v>
      </c>
      <c r="P431" s="325">
        <f t="shared" si="87"/>
        <v>0</v>
      </c>
      <c r="Q431" s="325">
        <f t="shared" si="88"/>
        <v>0</v>
      </c>
      <c r="R431" s="325">
        <f t="shared" si="89"/>
        <v>113</v>
      </c>
      <c r="S431" s="325">
        <f t="shared" si="90"/>
        <v>0</v>
      </c>
      <c r="T431" s="325">
        <f t="shared" si="93"/>
        <v>113</v>
      </c>
      <c r="U431" s="325">
        <f t="shared" si="91"/>
        <v>1026</v>
      </c>
      <c r="V431" s="325">
        <f t="shared" si="85"/>
        <v>0</v>
      </c>
      <c r="W431" s="449" cm="1">
        <f t="array" ref="W431">+IF(U431&lt;0,error,0)</f>
        <v>0</v>
      </c>
    </row>
    <row r="432" spans="1:23" ht="18" customHeight="1" x14ac:dyDescent="0.2">
      <c r="A432" s="402" t="s">
        <v>995</v>
      </c>
      <c r="B432" s="403"/>
      <c r="C432" s="412" t="s">
        <v>996</v>
      </c>
      <c r="D432" s="405">
        <v>43159</v>
      </c>
      <c r="E432" s="406"/>
      <c r="F432" s="325"/>
      <c r="G432" s="324"/>
      <c r="H432" s="324">
        <v>5650</v>
      </c>
      <c r="I432" s="325">
        <v>4823</v>
      </c>
      <c r="J432" s="325"/>
      <c r="K432" s="325">
        <f t="shared" si="83"/>
        <v>0</v>
      </c>
      <c r="L432" s="325">
        <f t="shared" si="84"/>
        <v>0</v>
      </c>
      <c r="M432" s="407">
        <v>6.67</v>
      </c>
      <c r="N432" s="408" t="s">
        <v>289</v>
      </c>
      <c r="O432" s="325">
        <f t="shared" si="86"/>
        <v>0</v>
      </c>
      <c r="P432" s="325">
        <f t="shared" si="87"/>
        <v>0</v>
      </c>
      <c r="Q432" s="325">
        <f t="shared" si="88"/>
        <v>0</v>
      </c>
      <c r="R432" s="325">
        <f t="shared" si="89"/>
        <v>160</v>
      </c>
      <c r="S432" s="325">
        <f t="shared" si="90"/>
        <v>0</v>
      </c>
      <c r="T432" s="325">
        <f t="shared" si="93"/>
        <v>160</v>
      </c>
      <c r="U432" s="325">
        <f t="shared" si="91"/>
        <v>4663</v>
      </c>
      <c r="V432" s="325">
        <f t="shared" si="85"/>
        <v>0</v>
      </c>
      <c r="W432" s="449" cm="1">
        <f t="array" ref="W432">+IF(U432&lt;0,error,0)</f>
        <v>0</v>
      </c>
    </row>
    <row r="433" spans="1:23" ht="18" customHeight="1" x14ac:dyDescent="0.2">
      <c r="A433" s="402" t="s">
        <v>997</v>
      </c>
      <c r="B433" s="403"/>
      <c r="C433" s="412" t="s">
        <v>996</v>
      </c>
      <c r="D433" s="405">
        <v>43159</v>
      </c>
      <c r="E433" s="406"/>
      <c r="F433" s="325"/>
      <c r="G433" s="324"/>
      <c r="H433" s="324">
        <v>9300</v>
      </c>
      <c r="I433" s="325">
        <v>7938</v>
      </c>
      <c r="J433" s="325"/>
      <c r="K433" s="325">
        <f t="shared" si="83"/>
        <v>0</v>
      </c>
      <c r="L433" s="325">
        <f t="shared" si="84"/>
        <v>0</v>
      </c>
      <c r="M433" s="407">
        <v>6.67</v>
      </c>
      <c r="N433" s="408" t="s">
        <v>289</v>
      </c>
      <c r="O433" s="325">
        <f t="shared" si="86"/>
        <v>0</v>
      </c>
      <c r="P433" s="325">
        <f t="shared" si="87"/>
        <v>0</v>
      </c>
      <c r="Q433" s="325">
        <f t="shared" si="88"/>
        <v>0</v>
      </c>
      <c r="R433" s="325">
        <f t="shared" si="89"/>
        <v>264</v>
      </c>
      <c r="S433" s="325">
        <f t="shared" si="90"/>
        <v>0</v>
      </c>
      <c r="T433" s="325">
        <f t="shared" si="93"/>
        <v>264</v>
      </c>
      <c r="U433" s="325">
        <f t="shared" si="91"/>
        <v>7674</v>
      </c>
      <c r="V433" s="325">
        <f t="shared" si="85"/>
        <v>0</v>
      </c>
      <c r="W433" s="449" cm="1">
        <f t="array" ref="W433">+IF(U433&lt;0,error,0)</f>
        <v>0</v>
      </c>
    </row>
    <row r="434" spans="1:23" ht="18" customHeight="1" x14ac:dyDescent="0.2">
      <c r="A434" s="402" t="s">
        <v>998</v>
      </c>
      <c r="B434" s="403"/>
      <c r="C434" s="404" t="s">
        <v>999</v>
      </c>
      <c r="D434" s="405">
        <v>43189</v>
      </c>
      <c r="E434" s="406"/>
      <c r="F434" s="325"/>
      <c r="G434" s="324"/>
      <c r="H434" s="324">
        <v>2542</v>
      </c>
      <c r="I434" s="325">
        <v>1583</v>
      </c>
      <c r="J434" s="325"/>
      <c r="K434" s="325">
        <f t="shared" si="83"/>
        <v>0</v>
      </c>
      <c r="L434" s="325">
        <f t="shared" si="84"/>
        <v>0</v>
      </c>
      <c r="M434" s="407">
        <v>20</v>
      </c>
      <c r="N434" s="408" t="s">
        <v>289</v>
      </c>
      <c r="O434" s="325">
        <f t="shared" si="86"/>
        <v>0</v>
      </c>
      <c r="P434" s="325">
        <f t="shared" si="87"/>
        <v>0</v>
      </c>
      <c r="Q434" s="325">
        <f t="shared" si="88"/>
        <v>0</v>
      </c>
      <c r="R434" s="325">
        <f t="shared" si="89"/>
        <v>158</v>
      </c>
      <c r="S434" s="325">
        <f t="shared" si="90"/>
        <v>0</v>
      </c>
      <c r="T434" s="325">
        <f t="shared" si="93"/>
        <v>158</v>
      </c>
      <c r="U434" s="325">
        <f t="shared" si="91"/>
        <v>1425</v>
      </c>
      <c r="V434" s="325">
        <f t="shared" si="85"/>
        <v>0</v>
      </c>
      <c r="W434" s="449" cm="1">
        <f t="array" ref="W434">+IF(U434&lt;0,error,0)</f>
        <v>0</v>
      </c>
    </row>
    <row r="435" spans="1:23" ht="18" customHeight="1" x14ac:dyDescent="0.2">
      <c r="A435" s="402" t="s">
        <v>1000</v>
      </c>
      <c r="B435" s="403"/>
      <c r="C435" s="404" t="s">
        <v>1001</v>
      </c>
      <c r="D435" s="405">
        <v>43258</v>
      </c>
      <c r="E435" s="406"/>
      <c r="F435" s="325"/>
      <c r="G435" s="324"/>
      <c r="H435" s="324">
        <v>158048</v>
      </c>
      <c r="I435" s="325">
        <v>118830</v>
      </c>
      <c r="J435" s="325"/>
      <c r="K435" s="325">
        <f t="shared" si="83"/>
        <v>0</v>
      </c>
      <c r="L435" s="325">
        <f t="shared" si="84"/>
        <v>0</v>
      </c>
      <c r="M435" s="407">
        <v>13.33</v>
      </c>
      <c r="N435" s="408" t="s">
        <v>289</v>
      </c>
      <c r="O435" s="325">
        <f t="shared" si="86"/>
        <v>0</v>
      </c>
      <c r="P435" s="325">
        <f t="shared" si="87"/>
        <v>0</v>
      </c>
      <c r="Q435" s="325">
        <f t="shared" si="88"/>
        <v>0</v>
      </c>
      <c r="R435" s="325">
        <f t="shared" si="89"/>
        <v>7920</v>
      </c>
      <c r="S435" s="325">
        <f t="shared" si="90"/>
        <v>0</v>
      </c>
      <c r="T435" s="325">
        <f t="shared" si="93"/>
        <v>7920</v>
      </c>
      <c r="U435" s="325">
        <f t="shared" si="91"/>
        <v>110910</v>
      </c>
      <c r="V435" s="325">
        <f t="shared" si="85"/>
        <v>0</v>
      </c>
      <c r="W435" s="449" cm="1">
        <f t="array" ref="W435">+IF(U435&lt;0,error,0)</f>
        <v>0</v>
      </c>
    </row>
    <row r="436" spans="1:23" ht="18" customHeight="1" x14ac:dyDescent="0.2">
      <c r="A436" s="402" t="s">
        <v>1002</v>
      </c>
      <c r="B436" s="403"/>
      <c r="C436" s="404" t="s">
        <v>1003</v>
      </c>
      <c r="D436" s="405">
        <v>42924</v>
      </c>
      <c r="E436" s="406"/>
      <c r="F436" s="325"/>
      <c r="G436" s="324"/>
      <c r="H436" s="324">
        <v>1092.0999999999999</v>
      </c>
      <c r="I436" s="325">
        <v>576.1</v>
      </c>
      <c r="J436" s="325"/>
      <c r="K436" s="325">
        <f t="shared" si="83"/>
        <v>0</v>
      </c>
      <c r="L436" s="325">
        <f t="shared" si="84"/>
        <v>0</v>
      </c>
      <c r="M436" s="407">
        <v>20</v>
      </c>
      <c r="N436" s="408" t="s">
        <v>289</v>
      </c>
      <c r="O436" s="325">
        <f t="shared" si="86"/>
        <v>0</v>
      </c>
      <c r="P436" s="325">
        <f t="shared" si="87"/>
        <v>0</v>
      </c>
      <c r="Q436" s="325">
        <f t="shared" si="88"/>
        <v>0</v>
      </c>
      <c r="R436" s="325">
        <f t="shared" si="89"/>
        <v>57</v>
      </c>
      <c r="S436" s="325">
        <f t="shared" si="90"/>
        <v>0</v>
      </c>
      <c r="T436" s="325">
        <f t="shared" si="93"/>
        <v>57</v>
      </c>
      <c r="U436" s="325">
        <f t="shared" si="91"/>
        <v>519.1</v>
      </c>
      <c r="V436" s="325">
        <f t="shared" si="85"/>
        <v>0</v>
      </c>
      <c r="W436" s="449" cm="1">
        <f t="array" ref="W436">+IF(U436&lt;0,error,0)</f>
        <v>0</v>
      </c>
    </row>
    <row r="437" spans="1:23" ht="18" customHeight="1" x14ac:dyDescent="0.2">
      <c r="A437" s="402" t="s">
        <v>1004</v>
      </c>
      <c r="B437" s="403"/>
      <c r="C437" s="404" t="s">
        <v>1005</v>
      </c>
      <c r="D437" s="405">
        <v>42933</v>
      </c>
      <c r="E437" s="406"/>
      <c r="F437" s="325"/>
      <c r="G437" s="324"/>
      <c r="H437" s="324">
        <v>2876.54</v>
      </c>
      <c r="I437" s="325">
        <v>1526.54</v>
      </c>
      <c r="J437" s="325"/>
      <c r="K437" s="325">
        <f t="shared" si="83"/>
        <v>0</v>
      </c>
      <c r="L437" s="325">
        <f t="shared" si="84"/>
        <v>0</v>
      </c>
      <c r="M437" s="407">
        <v>20</v>
      </c>
      <c r="N437" s="408" t="s">
        <v>289</v>
      </c>
      <c r="O437" s="325">
        <f t="shared" si="86"/>
        <v>0</v>
      </c>
      <c r="P437" s="325">
        <f t="shared" si="87"/>
        <v>0</v>
      </c>
      <c r="Q437" s="325">
        <f t="shared" si="88"/>
        <v>0</v>
      </c>
      <c r="R437" s="325">
        <f t="shared" si="89"/>
        <v>152</v>
      </c>
      <c r="S437" s="325">
        <f t="shared" si="90"/>
        <v>0</v>
      </c>
      <c r="T437" s="325">
        <f t="shared" si="93"/>
        <v>152</v>
      </c>
      <c r="U437" s="325">
        <f t="shared" si="91"/>
        <v>1374.54</v>
      </c>
      <c r="V437" s="325">
        <f t="shared" si="85"/>
        <v>0</v>
      </c>
      <c r="W437" s="449" cm="1">
        <f t="array" ref="W437">+IF(U437&lt;0,error,0)</f>
        <v>0</v>
      </c>
    </row>
    <row r="438" spans="1:23" ht="18" customHeight="1" x14ac:dyDescent="0.2">
      <c r="A438" s="402" t="s">
        <v>1006</v>
      </c>
      <c r="B438" s="403"/>
      <c r="C438" s="404" t="s">
        <v>1007</v>
      </c>
      <c r="D438" s="405">
        <v>42961</v>
      </c>
      <c r="E438" s="406"/>
      <c r="F438" s="325"/>
      <c r="G438" s="324"/>
      <c r="H438" s="324">
        <v>4662</v>
      </c>
      <c r="I438" s="325">
        <v>2520</v>
      </c>
      <c r="J438" s="325"/>
      <c r="K438" s="325">
        <f t="shared" si="83"/>
        <v>0</v>
      </c>
      <c r="L438" s="325">
        <f t="shared" si="84"/>
        <v>0</v>
      </c>
      <c r="M438" s="407">
        <v>20</v>
      </c>
      <c r="N438" s="408" t="s">
        <v>289</v>
      </c>
      <c r="O438" s="325">
        <f t="shared" si="86"/>
        <v>0</v>
      </c>
      <c r="P438" s="325">
        <f t="shared" si="87"/>
        <v>0</v>
      </c>
      <c r="Q438" s="325">
        <f t="shared" si="88"/>
        <v>0</v>
      </c>
      <c r="R438" s="325">
        <f t="shared" si="89"/>
        <v>252</v>
      </c>
      <c r="S438" s="325">
        <f t="shared" si="90"/>
        <v>0</v>
      </c>
      <c r="T438" s="325">
        <f t="shared" si="93"/>
        <v>252</v>
      </c>
      <c r="U438" s="325">
        <f t="shared" si="91"/>
        <v>2268</v>
      </c>
      <c r="V438" s="325">
        <f t="shared" si="85"/>
        <v>0</v>
      </c>
      <c r="W438" s="449" cm="1">
        <f t="array" ref="W438">+IF(U438&lt;0,error,0)</f>
        <v>0</v>
      </c>
    </row>
    <row r="439" spans="1:23" ht="18" customHeight="1" x14ac:dyDescent="0.2">
      <c r="A439" s="402" t="s">
        <v>1008</v>
      </c>
      <c r="B439" s="403"/>
      <c r="C439" s="404" t="s">
        <v>1009</v>
      </c>
      <c r="D439" s="405">
        <v>43140</v>
      </c>
      <c r="E439" s="406"/>
      <c r="F439" s="325"/>
      <c r="G439" s="324"/>
      <c r="H439" s="324">
        <v>12750</v>
      </c>
      <c r="I439" s="325">
        <v>9979</v>
      </c>
      <c r="J439" s="325"/>
      <c r="K439" s="325">
        <f t="shared" si="83"/>
        <v>0</v>
      </c>
      <c r="L439" s="325">
        <f t="shared" si="84"/>
        <v>0</v>
      </c>
      <c r="M439" s="407">
        <v>10</v>
      </c>
      <c r="N439" s="408" t="s">
        <v>289</v>
      </c>
      <c r="O439" s="325">
        <f t="shared" si="86"/>
        <v>0</v>
      </c>
      <c r="P439" s="325">
        <f t="shared" si="87"/>
        <v>0</v>
      </c>
      <c r="Q439" s="325">
        <f t="shared" si="88"/>
        <v>0</v>
      </c>
      <c r="R439" s="325">
        <f t="shared" si="89"/>
        <v>498</v>
      </c>
      <c r="S439" s="325">
        <f t="shared" si="90"/>
        <v>0</v>
      </c>
      <c r="T439" s="325">
        <f t="shared" si="93"/>
        <v>498</v>
      </c>
      <c r="U439" s="325">
        <f t="shared" si="91"/>
        <v>9481</v>
      </c>
      <c r="V439" s="325">
        <f t="shared" si="85"/>
        <v>0</v>
      </c>
      <c r="W439" s="449" cm="1">
        <f t="array" ref="W439">+IF(U439&lt;0,error,0)</f>
        <v>0</v>
      </c>
    </row>
    <row r="440" spans="1:23" ht="18" customHeight="1" x14ac:dyDescent="0.2">
      <c r="A440" s="402" t="s">
        <v>1010</v>
      </c>
      <c r="B440" s="403"/>
      <c r="C440" s="404" t="s">
        <v>1011</v>
      </c>
      <c r="D440" s="405">
        <v>42978</v>
      </c>
      <c r="E440" s="406"/>
      <c r="F440" s="325"/>
      <c r="G440" s="324"/>
      <c r="H440" s="324">
        <v>1638</v>
      </c>
      <c r="I440" s="325">
        <v>897</v>
      </c>
      <c r="J440" s="325"/>
      <c r="K440" s="325">
        <f t="shared" si="83"/>
        <v>0</v>
      </c>
      <c r="L440" s="325">
        <f t="shared" si="84"/>
        <v>0</v>
      </c>
      <c r="M440" s="407">
        <v>20</v>
      </c>
      <c r="N440" s="408" t="s">
        <v>289</v>
      </c>
      <c r="O440" s="325">
        <f t="shared" si="86"/>
        <v>0</v>
      </c>
      <c r="P440" s="325">
        <f t="shared" si="87"/>
        <v>0</v>
      </c>
      <c r="Q440" s="325">
        <f t="shared" si="88"/>
        <v>0</v>
      </c>
      <c r="R440" s="325">
        <f t="shared" si="89"/>
        <v>89</v>
      </c>
      <c r="S440" s="325">
        <f t="shared" si="90"/>
        <v>0</v>
      </c>
      <c r="T440" s="325">
        <f t="shared" si="93"/>
        <v>89</v>
      </c>
      <c r="U440" s="325">
        <f t="shared" si="91"/>
        <v>808</v>
      </c>
      <c r="V440" s="325">
        <f t="shared" si="85"/>
        <v>0</v>
      </c>
      <c r="W440" s="449" cm="1">
        <f t="array" ref="W440">+IF(U440&lt;0,error,0)</f>
        <v>0</v>
      </c>
    </row>
    <row r="441" spans="1:23" ht="18" customHeight="1" x14ac:dyDescent="0.2">
      <c r="A441" s="402" t="s">
        <v>1012</v>
      </c>
      <c r="B441" s="403"/>
      <c r="C441" s="404" t="s">
        <v>1013</v>
      </c>
      <c r="D441" s="405">
        <v>42978</v>
      </c>
      <c r="E441" s="406"/>
      <c r="F441" s="325"/>
      <c r="G441" s="324"/>
      <c r="H441" s="324">
        <v>104498.59</v>
      </c>
      <c r="I441" s="325">
        <v>78000.59</v>
      </c>
      <c r="J441" s="325"/>
      <c r="K441" s="325">
        <f t="shared" si="83"/>
        <v>0</v>
      </c>
      <c r="L441" s="325">
        <f t="shared" si="84"/>
        <v>0</v>
      </c>
      <c r="M441" s="407">
        <v>10</v>
      </c>
      <c r="N441" s="408" t="s">
        <v>289</v>
      </c>
      <c r="O441" s="325">
        <f t="shared" si="86"/>
        <v>0</v>
      </c>
      <c r="P441" s="325">
        <f t="shared" si="87"/>
        <v>0</v>
      </c>
      <c r="Q441" s="325">
        <f t="shared" si="88"/>
        <v>0</v>
      </c>
      <c r="R441" s="325">
        <f t="shared" si="89"/>
        <v>3900</v>
      </c>
      <c r="S441" s="325">
        <f t="shared" si="90"/>
        <v>0</v>
      </c>
      <c r="T441" s="325">
        <f t="shared" si="93"/>
        <v>3900</v>
      </c>
      <c r="U441" s="325">
        <f t="shared" si="91"/>
        <v>74100.59</v>
      </c>
      <c r="V441" s="325">
        <f t="shared" si="85"/>
        <v>0</v>
      </c>
      <c r="W441" s="449" cm="1">
        <f t="array" ref="W441">+IF(U441&lt;0,error,0)</f>
        <v>0</v>
      </c>
    </row>
    <row r="442" spans="1:23" ht="18" customHeight="1" x14ac:dyDescent="0.2">
      <c r="A442" s="402" t="s">
        <v>1014</v>
      </c>
      <c r="B442" s="403"/>
      <c r="C442" s="412" t="s">
        <v>1015</v>
      </c>
      <c r="D442" s="405">
        <v>43100</v>
      </c>
      <c r="E442" s="406"/>
      <c r="F442" s="325"/>
      <c r="G442" s="324"/>
      <c r="H442" s="324">
        <v>1953</v>
      </c>
      <c r="I442" s="325">
        <v>1154</v>
      </c>
      <c r="J442" s="325"/>
      <c r="K442" s="325">
        <f t="shared" si="83"/>
        <v>0</v>
      </c>
      <c r="L442" s="325">
        <f t="shared" si="84"/>
        <v>0</v>
      </c>
      <c r="M442" s="407">
        <v>20</v>
      </c>
      <c r="N442" s="408" t="s">
        <v>289</v>
      </c>
      <c r="O442" s="325">
        <f t="shared" si="86"/>
        <v>0</v>
      </c>
      <c r="P442" s="325">
        <f t="shared" si="87"/>
        <v>0</v>
      </c>
      <c r="Q442" s="325">
        <f t="shared" si="88"/>
        <v>0</v>
      </c>
      <c r="R442" s="325">
        <f t="shared" si="89"/>
        <v>115</v>
      </c>
      <c r="S442" s="325">
        <f t="shared" si="90"/>
        <v>0</v>
      </c>
      <c r="T442" s="325">
        <f t="shared" si="93"/>
        <v>115</v>
      </c>
      <c r="U442" s="325">
        <f t="shared" si="91"/>
        <v>1039</v>
      </c>
      <c r="V442" s="325">
        <f t="shared" si="85"/>
        <v>0</v>
      </c>
      <c r="W442" s="449" cm="1">
        <f t="array" ref="W442">+IF(U442&lt;0,error,0)</f>
        <v>0</v>
      </c>
    </row>
    <row r="443" spans="1:23" ht="18" customHeight="1" x14ac:dyDescent="0.2">
      <c r="A443" s="402" t="s">
        <v>1016</v>
      </c>
      <c r="B443" s="403"/>
      <c r="C443" s="404" t="s">
        <v>1017</v>
      </c>
      <c r="D443" s="405">
        <v>43188</v>
      </c>
      <c r="E443" s="406"/>
      <c r="F443" s="325"/>
      <c r="G443" s="324"/>
      <c r="H443" s="324">
        <v>1143.76</v>
      </c>
      <c r="I443" s="325">
        <v>712.76</v>
      </c>
      <c r="J443" s="325"/>
      <c r="K443" s="325">
        <f t="shared" si="83"/>
        <v>0</v>
      </c>
      <c r="L443" s="325">
        <f t="shared" si="84"/>
        <v>0</v>
      </c>
      <c r="M443" s="407">
        <v>20</v>
      </c>
      <c r="N443" s="408" t="s">
        <v>289</v>
      </c>
      <c r="O443" s="325">
        <f t="shared" si="86"/>
        <v>0</v>
      </c>
      <c r="P443" s="325">
        <f t="shared" si="87"/>
        <v>0</v>
      </c>
      <c r="Q443" s="325">
        <f t="shared" si="88"/>
        <v>0</v>
      </c>
      <c r="R443" s="325">
        <f t="shared" si="89"/>
        <v>71</v>
      </c>
      <c r="S443" s="325">
        <f t="shared" si="90"/>
        <v>0</v>
      </c>
      <c r="T443" s="325">
        <f t="shared" si="93"/>
        <v>71</v>
      </c>
      <c r="U443" s="325">
        <f t="shared" si="91"/>
        <v>641.76</v>
      </c>
      <c r="V443" s="325">
        <f t="shared" si="85"/>
        <v>0</v>
      </c>
      <c r="W443" s="449" cm="1">
        <f t="array" ref="W443">+IF(U443&lt;0,error,0)</f>
        <v>0</v>
      </c>
    </row>
    <row r="444" spans="1:23" ht="18" customHeight="1" x14ac:dyDescent="0.2">
      <c r="A444" s="402" t="s">
        <v>1018</v>
      </c>
      <c r="B444" s="403"/>
      <c r="C444" s="404" t="s">
        <v>1019</v>
      </c>
      <c r="D444" s="405">
        <v>43189</v>
      </c>
      <c r="E444" s="406"/>
      <c r="F444" s="325"/>
      <c r="G444" s="324"/>
      <c r="H444" s="324">
        <v>1798</v>
      </c>
      <c r="I444" s="325">
        <v>1119</v>
      </c>
      <c r="J444" s="325"/>
      <c r="K444" s="325">
        <f t="shared" si="83"/>
        <v>0</v>
      </c>
      <c r="L444" s="325">
        <f t="shared" si="84"/>
        <v>0</v>
      </c>
      <c r="M444" s="407">
        <v>20</v>
      </c>
      <c r="N444" s="408" t="s">
        <v>289</v>
      </c>
      <c r="O444" s="325">
        <f t="shared" si="86"/>
        <v>0</v>
      </c>
      <c r="P444" s="325">
        <f t="shared" si="87"/>
        <v>0</v>
      </c>
      <c r="Q444" s="325">
        <f t="shared" si="88"/>
        <v>0</v>
      </c>
      <c r="R444" s="325">
        <f t="shared" si="89"/>
        <v>111</v>
      </c>
      <c r="S444" s="325">
        <f t="shared" si="90"/>
        <v>0</v>
      </c>
      <c r="T444" s="325">
        <f t="shared" si="93"/>
        <v>111</v>
      </c>
      <c r="U444" s="325">
        <f t="shared" si="91"/>
        <v>1008</v>
      </c>
      <c r="V444" s="325">
        <f t="shared" si="85"/>
        <v>0</v>
      </c>
      <c r="W444" s="449" cm="1">
        <f t="array" ref="W444">+IF(U444&lt;0,error,0)</f>
        <v>0</v>
      </c>
    </row>
    <row r="445" spans="1:23" ht="18" customHeight="1" x14ac:dyDescent="0.2">
      <c r="A445" s="402" t="s">
        <v>1020</v>
      </c>
      <c r="B445" s="403"/>
      <c r="C445" s="404" t="s">
        <v>1021</v>
      </c>
      <c r="D445" s="405">
        <v>43281</v>
      </c>
      <c r="E445" s="406"/>
      <c r="F445" s="325"/>
      <c r="G445" s="324"/>
      <c r="H445" s="324">
        <v>1240</v>
      </c>
      <c r="I445" s="325">
        <v>1010</v>
      </c>
      <c r="J445" s="325"/>
      <c r="K445" s="325">
        <f t="shared" ref="K445:K468" si="94">INT(IF($E445&gt;0,IF(+F445-I445+Q445&lt;0,0,+F445-I445+Q445),0))</f>
        <v>0</v>
      </c>
      <c r="L445" s="325">
        <f t="shared" ref="L445:L468" si="95">INT(IF($E445&gt;0,IF(K445=0,-F445+I445-Q445,0),0))</f>
        <v>0</v>
      </c>
      <c r="M445" s="407">
        <v>10</v>
      </c>
      <c r="N445" s="408" t="s">
        <v>289</v>
      </c>
      <c r="O445" s="325">
        <f t="shared" si="86"/>
        <v>0</v>
      </c>
      <c r="P445" s="325">
        <f t="shared" si="87"/>
        <v>0</v>
      </c>
      <c r="Q445" s="325">
        <f t="shared" si="88"/>
        <v>0</v>
      </c>
      <c r="R445" s="325">
        <f t="shared" si="89"/>
        <v>50</v>
      </c>
      <c r="S445" s="325">
        <f t="shared" si="90"/>
        <v>0</v>
      </c>
      <c r="T445" s="325">
        <f t="shared" si="93"/>
        <v>50</v>
      </c>
      <c r="U445" s="325">
        <f t="shared" si="91"/>
        <v>960</v>
      </c>
      <c r="V445" s="325">
        <f t="shared" ref="V445:V508" si="96">IF(E445&gt;0,+H445+J445,0)</f>
        <v>0</v>
      </c>
      <c r="W445" s="449" cm="1">
        <f t="array" ref="W445">+IF(U445&lt;0,error,0)</f>
        <v>0</v>
      </c>
    </row>
    <row r="446" spans="1:23" ht="18" customHeight="1" x14ac:dyDescent="0.2">
      <c r="A446" s="402" t="s">
        <v>1022</v>
      </c>
      <c r="B446" s="403"/>
      <c r="C446" s="412" t="s">
        <v>1023</v>
      </c>
      <c r="D446" s="405">
        <v>43251</v>
      </c>
      <c r="E446" s="406"/>
      <c r="F446" s="325"/>
      <c r="G446" s="324"/>
      <c r="H446" s="324">
        <v>1178</v>
      </c>
      <c r="I446" s="325">
        <v>761</v>
      </c>
      <c r="J446" s="325"/>
      <c r="K446" s="325">
        <f t="shared" si="94"/>
        <v>0</v>
      </c>
      <c r="L446" s="325">
        <f t="shared" si="95"/>
        <v>0</v>
      </c>
      <c r="M446" s="407">
        <v>20</v>
      </c>
      <c r="N446" s="408" t="s">
        <v>289</v>
      </c>
      <c r="O446" s="325">
        <f t="shared" ref="O446:O468" si="97">IF(E446&gt;0,INT(IF($N446="D",IF($D446&lt;$H$3,$I446*($M446/100)*((E446-$H$3)/365),$J446*($M446/100)*($J$3-$D446)/365),0)),0)</f>
        <v>0</v>
      </c>
      <c r="P446" s="325">
        <f t="shared" ref="P446:P468" si="98">IF(E446&gt;0,INT(IF($N446="P",IF($D446&lt;$H$3,$H446*($M446/100)*(E446-$H$3)/365,$J446*($M446/100)*($J$3-$D446)/365),0)),0)</f>
        <v>0</v>
      </c>
      <c r="Q446" s="325">
        <f t="shared" ref="Q446:Q468" si="99">+O446+P446</f>
        <v>0</v>
      </c>
      <c r="R446" s="325">
        <f t="shared" ref="R446:R490" si="100">INT(IF($E446&gt;0,0,(IF($N446="D",IF($D446&lt;$H$3,$I446*($M446/100)*$U$3/12,$J446*($M446/100)*($J$3-$D446)/365),0))))</f>
        <v>76</v>
      </c>
      <c r="S446" s="325">
        <f t="shared" ref="S446:S490" si="101">INT(IF($E446&gt;0,0,(IF($N446="P",IF($D446&lt;$H$3,$H446*($M446/100)*$U$3/12,$J446*($M446/100)*($J$3-$D446)/365),0))))</f>
        <v>0</v>
      </c>
      <c r="T446" s="325">
        <f t="shared" si="93"/>
        <v>76</v>
      </c>
      <c r="U446" s="325">
        <f t="shared" si="91"/>
        <v>685</v>
      </c>
      <c r="V446" s="325">
        <f t="shared" si="96"/>
        <v>0</v>
      </c>
      <c r="W446" s="449" cm="1">
        <f t="array" ref="W446">+IF(U446&lt;0,error,0)</f>
        <v>0</v>
      </c>
    </row>
    <row r="447" spans="1:23" ht="18" customHeight="1" x14ac:dyDescent="0.2">
      <c r="A447" s="402" t="s">
        <v>1024</v>
      </c>
      <c r="B447" s="403"/>
      <c r="C447" s="404" t="s">
        <v>1025</v>
      </c>
      <c r="D447" s="405">
        <v>43014</v>
      </c>
      <c r="E447" s="406"/>
      <c r="F447" s="325"/>
      <c r="G447" s="324"/>
      <c r="H447" s="324">
        <v>7187.29</v>
      </c>
      <c r="I447" s="325">
        <v>4021.29</v>
      </c>
      <c r="J447" s="325"/>
      <c r="K447" s="325">
        <f t="shared" si="94"/>
        <v>0</v>
      </c>
      <c r="L447" s="325">
        <f t="shared" si="95"/>
        <v>0</v>
      </c>
      <c r="M447" s="407">
        <v>20</v>
      </c>
      <c r="N447" s="408" t="s">
        <v>289</v>
      </c>
      <c r="O447" s="325">
        <f t="shared" si="97"/>
        <v>0</v>
      </c>
      <c r="P447" s="325">
        <f t="shared" si="98"/>
        <v>0</v>
      </c>
      <c r="Q447" s="325">
        <f t="shared" si="99"/>
        <v>0</v>
      </c>
      <c r="R447" s="325">
        <f t="shared" si="100"/>
        <v>402</v>
      </c>
      <c r="S447" s="325">
        <f t="shared" si="101"/>
        <v>0</v>
      </c>
      <c r="T447" s="325">
        <f t="shared" si="93"/>
        <v>402</v>
      </c>
      <c r="U447" s="325">
        <f t="shared" si="91"/>
        <v>3619.29</v>
      </c>
      <c r="V447" s="325">
        <f t="shared" si="96"/>
        <v>0</v>
      </c>
      <c r="W447" s="449" cm="1">
        <f t="array" ref="W447">+IF(U447&lt;0,error,0)</f>
        <v>0</v>
      </c>
    </row>
    <row r="448" spans="1:23" ht="18" customHeight="1" x14ac:dyDescent="0.2">
      <c r="A448" s="402" t="s">
        <v>1026</v>
      </c>
      <c r="B448" s="403"/>
      <c r="C448" s="404" t="s">
        <v>1027</v>
      </c>
      <c r="D448" s="405">
        <v>43022</v>
      </c>
      <c r="E448" s="406"/>
      <c r="F448" s="325"/>
      <c r="G448" s="324"/>
      <c r="H448" s="324">
        <v>4195.2</v>
      </c>
      <c r="I448" s="325">
        <v>2358.2000000000003</v>
      </c>
      <c r="J448" s="325"/>
      <c r="K448" s="325">
        <f t="shared" si="94"/>
        <v>0</v>
      </c>
      <c r="L448" s="325">
        <f t="shared" si="95"/>
        <v>0</v>
      </c>
      <c r="M448" s="407">
        <v>20</v>
      </c>
      <c r="N448" s="408" t="s">
        <v>289</v>
      </c>
      <c r="O448" s="325">
        <f t="shared" si="97"/>
        <v>0</v>
      </c>
      <c r="P448" s="325">
        <f t="shared" si="98"/>
        <v>0</v>
      </c>
      <c r="Q448" s="325">
        <f t="shared" si="99"/>
        <v>0</v>
      </c>
      <c r="R448" s="325">
        <f t="shared" si="100"/>
        <v>235</v>
      </c>
      <c r="S448" s="325">
        <f t="shared" si="101"/>
        <v>0</v>
      </c>
      <c r="T448" s="325">
        <f t="shared" si="93"/>
        <v>235</v>
      </c>
      <c r="U448" s="325">
        <f t="shared" ref="U448:U468" si="102">+I448+J448-T448-F448+K448-L448</f>
        <v>2123.2000000000003</v>
      </c>
      <c r="V448" s="325">
        <f t="shared" si="96"/>
        <v>0</v>
      </c>
      <c r="W448" s="449" cm="1">
        <f t="array" ref="W448">+IF(U448&lt;0,error,0)</f>
        <v>0</v>
      </c>
    </row>
    <row r="449" spans="1:23" ht="18" customHeight="1" x14ac:dyDescent="0.2">
      <c r="A449" s="402" t="s">
        <v>1028</v>
      </c>
      <c r="B449" s="403"/>
      <c r="C449" s="404" t="s">
        <v>1029</v>
      </c>
      <c r="D449" s="405">
        <v>43188</v>
      </c>
      <c r="E449" s="406"/>
      <c r="F449" s="325"/>
      <c r="G449" s="324"/>
      <c r="H449" s="324">
        <v>1128</v>
      </c>
      <c r="I449" s="325">
        <v>702</v>
      </c>
      <c r="J449" s="325"/>
      <c r="K449" s="325">
        <f t="shared" si="94"/>
        <v>0</v>
      </c>
      <c r="L449" s="325">
        <f t="shared" si="95"/>
        <v>0</v>
      </c>
      <c r="M449" s="407">
        <v>20</v>
      </c>
      <c r="N449" s="408" t="s">
        <v>289</v>
      </c>
      <c r="O449" s="325">
        <f t="shared" si="97"/>
        <v>0</v>
      </c>
      <c r="P449" s="325">
        <f t="shared" si="98"/>
        <v>0</v>
      </c>
      <c r="Q449" s="325">
        <f t="shared" si="99"/>
        <v>0</v>
      </c>
      <c r="R449" s="325">
        <f t="shared" si="100"/>
        <v>70</v>
      </c>
      <c r="S449" s="325">
        <f t="shared" si="101"/>
        <v>0</v>
      </c>
      <c r="T449" s="325">
        <f t="shared" si="93"/>
        <v>70</v>
      </c>
      <c r="U449" s="325">
        <f t="shared" si="102"/>
        <v>632</v>
      </c>
      <c r="V449" s="325">
        <f t="shared" si="96"/>
        <v>0</v>
      </c>
      <c r="W449" s="449" cm="1">
        <f t="array" ref="W449">+IF(U449&lt;0,error,0)</f>
        <v>0</v>
      </c>
    </row>
    <row r="450" spans="1:23" ht="18" customHeight="1" x14ac:dyDescent="0.2">
      <c r="A450" s="402" t="s">
        <v>1030</v>
      </c>
      <c r="B450" s="403"/>
      <c r="C450" s="404" t="s">
        <v>1031</v>
      </c>
      <c r="D450" s="405">
        <v>43191</v>
      </c>
      <c r="E450" s="406"/>
      <c r="F450" s="325"/>
      <c r="G450" s="324"/>
      <c r="H450" s="324">
        <v>5451</v>
      </c>
      <c r="I450" s="325">
        <v>3396</v>
      </c>
      <c r="J450" s="325"/>
      <c r="K450" s="325">
        <f t="shared" si="94"/>
        <v>0</v>
      </c>
      <c r="L450" s="325">
        <f t="shared" si="95"/>
        <v>0</v>
      </c>
      <c r="M450" s="407">
        <v>20</v>
      </c>
      <c r="N450" s="408" t="s">
        <v>289</v>
      </c>
      <c r="O450" s="325">
        <f t="shared" si="97"/>
        <v>0</v>
      </c>
      <c r="P450" s="325">
        <f t="shared" si="98"/>
        <v>0</v>
      </c>
      <c r="Q450" s="325">
        <f t="shared" si="99"/>
        <v>0</v>
      </c>
      <c r="R450" s="325">
        <f t="shared" si="100"/>
        <v>339</v>
      </c>
      <c r="S450" s="325">
        <f t="shared" si="101"/>
        <v>0</v>
      </c>
      <c r="T450" s="325">
        <f t="shared" si="93"/>
        <v>339</v>
      </c>
      <c r="U450" s="325">
        <f t="shared" si="102"/>
        <v>3057</v>
      </c>
      <c r="V450" s="325">
        <f t="shared" si="96"/>
        <v>0</v>
      </c>
      <c r="W450" s="449" cm="1">
        <f t="array" ref="W450">+IF(U450&lt;0,error,0)</f>
        <v>0</v>
      </c>
    </row>
    <row r="451" spans="1:23" ht="18" customHeight="1" x14ac:dyDescent="0.2">
      <c r="A451" s="402" t="s">
        <v>1032</v>
      </c>
      <c r="B451" s="403"/>
      <c r="C451" s="404" t="s">
        <v>2152</v>
      </c>
      <c r="D451" s="405">
        <v>43108</v>
      </c>
      <c r="E451" s="406"/>
      <c r="F451" s="325"/>
      <c r="G451" s="324"/>
      <c r="H451" s="324">
        <v>7000</v>
      </c>
      <c r="I451" s="325">
        <v>4153.2222222222217</v>
      </c>
      <c r="J451" s="325"/>
      <c r="K451" s="325">
        <f t="shared" si="94"/>
        <v>0</v>
      </c>
      <c r="L451" s="325">
        <f t="shared" si="95"/>
        <v>0</v>
      </c>
      <c r="M451" s="407">
        <v>20</v>
      </c>
      <c r="N451" s="408" t="s">
        <v>289</v>
      </c>
      <c r="O451" s="325">
        <f t="shared" si="97"/>
        <v>0</v>
      </c>
      <c r="P451" s="325">
        <f t="shared" si="98"/>
        <v>0</v>
      </c>
      <c r="Q451" s="325">
        <f t="shared" si="99"/>
        <v>0</v>
      </c>
      <c r="R451" s="325">
        <f t="shared" si="100"/>
        <v>415</v>
      </c>
      <c r="S451" s="325">
        <f t="shared" si="101"/>
        <v>0</v>
      </c>
      <c r="T451" s="325">
        <f t="shared" si="93"/>
        <v>415</v>
      </c>
      <c r="U451" s="325">
        <f t="shared" si="102"/>
        <v>3738.2222222222217</v>
      </c>
      <c r="V451" s="325">
        <f t="shared" si="96"/>
        <v>0</v>
      </c>
      <c r="W451" s="449" cm="1">
        <f t="array" ref="W451">+IF(U451&lt;0,error,0)</f>
        <v>0</v>
      </c>
    </row>
    <row r="452" spans="1:23" ht="18" customHeight="1" x14ac:dyDescent="0.2">
      <c r="A452" s="402" t="s">
        <v>1034</v>
      </c>
      <c r="B452" s="403"/>
      <c r="C452" s="404" t="s">
        <v>1035</v>
      </c>
      <c r="D452" s="405">
        <v>43145</v>
      </c>
      <c r="E452" s="406"/>
      <c r="F452" s="325"/>
      <c r="G452" s="324"/>
      <c r="H452" s="324">
        <v>4000</v>
      </c>
      <c r="I452" s="325">
        <v>2427</v>
      </c>
      <c r="J452" s="325"/>
      <c r="K452" s="325">
        <f t="shared" si="94"/>
        <v>0</v>
      </c>
      <c r="L452" s="325">
        <f t="shared" si="95"/>
        <v>0</v>
      </c>
      <c r="M452" s="407">
        <v>20</v>
      </c>
      <c r="N452" s="408" t="s">
        <v>289</v>
      </c>
      <c r="O452" s="325">
        <f t="shared" si="97"/>
        <v>0</v>
      </c>
      <c r="P452" s="325">
        <f t="shared" si="98"/>
        <v>0</v>
      </c>
      <c r="Q452" s="325">
        <f t="shared" si="99"/>
        <v>0</v>
      </c>
      <c r="R452" s="325">
        <f t="shared" si="100"/>
        <v>242</v>
      </c>
      <c r="S452" s="325">
        <f t="shared" si="101"/>
        <v>0</v>
      </c>
      <c r="T452" s="325">
        <f t="shared" si="93"/>
        <v>242</v>
      </c>
      <c r="U452" s="325">
        <f t="shared" si="102"/>
        <v>2185</v>
      </c>
      <c r="V452" s="325">
        <f t="shared" si="96"/>
        <v>0</v>
      </c>
      <c r="W452" s="449" cm="1">
        <f t="array" ref="W452">+IF(U452&lt;0,error,0)</f>
        <v>0</v>
      </c>
    </row>
    <row r="453" spans="1:23" ht="18" customHeight="1" x14ac:dyDescent="0.2">
      <c r="A453" s="402" t="s">
        <v>1036</v>
      </c>
      <c r="B453" s="403"/>
      <c r="C453" s="404" t="s">
        <v>1037</v>
      </c>
      <c r="D453" s="405">
        <v>43273</v>
      </c>
      <c r="E453" s="406"/>
      <c r="F453" s="325"/>
      <c r="G453" s="324"/>
      <c r="H453" s="324">
        <v>4727.2700000000004</v>
      </c>
      <c r="I453" s="325">
        <v>3086.2700000000004</v>
      </c>
      <c r="J453" s="325"/>
      <c r="K453" s="325">
        <f t="shared" si="94"/>
        <v>0</v>
      </c>
      <c r="L453" s="325">
        <f t="shared" si="95"/>
        <v>0</v>
      </c>
      <c r="M453" s="407">
        <v>20</v>
      </c>
      <c r="N453" s="408" t="s">
        <v>289</v>
      </c>
      <c r="O453" s="325">
        <f t="shared" si="97"/>
        <v>0</v>
      </c>
      <c r="P453" s="325">
        <f t="shared" si="98"/>
        <v>0</v>
      </c>
      <c r="Q453" s="325">
        <f t="shared" si="99"/>
        <v>0</v>
      </c>
      <c r="R453" s="325">
        <f t="shared" si="100"/>
        <v>308</v>
      </c>
      <c r="S453" s="325">
        <f t="shared" si="101"/>
        <v>0</v>
      </c>
      <c r="T453" s="325">
        <f t="shared" si="93"/>
        <v>308</v>
      </c>
      <c r="U453" s="325">
        <f t="shared" si="102"/>
        <v>2778.2700000000004</v>
      </c>
      <c r="V453" s="325">
        <f t="shared" si="96"/>
        <v>0</v>
      </c>
      <c r="W453" s="449" cm="1">
        <f t="array" ref="W453">+IF(U453&lt;0,error,0)</f>
        <v>0</v>
      </c>
    </row>
    <row r="454" spans="1:23" ht="18" customHeight="1" x14ac:dyDescent="0.2">
      <c r="A454" s="402" t="s">
        <v>1038</v>
      </c>
      <c r="B454" s="403"/>
      <c r="C454" s="404" t="s">
        <v>1039</v>
      </c>
      <c r="D454" s="405">
        <v>43213</v>
      </c>
      <c r="E454" s="406"/>
      <c r="F454" s="325"/>
      <c r="G454" s="324"/>
      <c r="H454" s="324">
        <v>1186.04</v>
      </c>
      <c r="I454" s="325">
        <v>749.04</v>
      </c>
      <c r="J454" s="325"/>
      <c r="K454" s="325">
        <f t="shared" si="94"/>
        <v>0</v>
      </c>
      <c r="L454" s="325">
        <f t="shared" si="95"/>
        <v>0</v>
      </c>
      <c r="M454" s="407">
        <v>20</v>
      </c>
      <c r="N454" s="408" t="s">
        <v>289</v>
      </c>
      <c r="O454" s="325">
        <f t="shared" si="97"/>
        <v>0</v>
      </c>
      <c r="P454" s="325">
        <f t="shared" si="98"/>
        <v>0</v>
      </c>
      <c r="Q454" s="325">
        <f t="shared" si="99"/>
        <v>0</v>
      </c>
      <c r="R454" s="325">
        <f t="shared" si="100"/>
        <v>74</v>
      </c>
      <c r="S454" s="325">
        <f t="shared" si="101"/>
        <v>0</v>
      </c>
      <c r="T454" s="325">
        <f t="shared" si="93"/>
        <v>74</v>
      </c>
      <c r="U454" s="325">
        <f t="shared" si="102"/>
        <v>675.04</v>
      </c>
      <c r="V454" s="325">
        <f t="shared" si="96"/>
        <v>0</v>
      </c>
      <c r="W454" s="449" cm="1">
        <f t="array" ref="W454">+IF(U454&lt;0,error,0)</f>
        <v>0</v>
      </c>
    </row>
    <row r="455" spans="1:23" ht="18" customHeight="1" x14ac:dyDescent="0.2">
      <c r="A455" s="402" t="s">
        <v>1040</v>
      </c>
      <c r="B455" s="403"/>
      <c r="C455" s="412" t="s">
        <v>1041</v>
      </c>
      <c r="D455" s="405">
        <v>42956</v>
      </c>
      <c r="E455" s="406"/>
      <c r="F455" s="325"/>
      <c r="G455" s="324"/>
      <c r="H455" s="324">
        <v>5700</v>
      </c>
      <c r="I455" s="325">
        <v>4227</v>
      </c>
      <c r="J455" s="325"/>
      <c r="K455" s="325">
        <f t="shared" si="94"/>
        <v>0</v>
      </c>
      <c r="L455" s="325">
        <f t="shared" si="95"/>
        <v>0</v>
      </c>
      <c r="M455" s="407">
        <v>10</v>
      </c>
      <c r="N455" s="408" t="s">
        <v>289</v>
      </c>
      <c r="O455" s="325">
        <f t="shared" si="97"/>
        <v>0</v>
      </c>
      <c r="P455" s="325">
        <f t="shared" si="98"/>
        <v>0</v>
      </c>
      <c r="Q455" s="325">
        <f t="shared" si="99"/>
        <v>0</v>
      </c>
      <c r="R455" s="325">
        <f t="shared" si="100"/>
        <v>211</v>
      </c>
      <c r="S455" s="325">
        <f t="shared" si="101"/>
        <v>0</v>
      </c>
      <c r="T455" s="325">
        <f t="shared" si="93"/>
        <v>211</v>
      </c>
      <c r="U455" s="325">
        <f t="shared" si="102"/>
        <v>4016</v>
      </c>
      <c r="V455" s="325">
        <f t="shared" si="96"/>
        <v>0</v>
      </c>
      <c r="W455" s="449" cm="1">
        <f t="array" ref="W455">+IF(U455&lt;0,error,0)</f>
        <v>0</v>
      </c>
    </row>
    <row r="456" spans="1:23" ht="18" customHeight="1" x14ac:dyDescent="0.2">
      <c r="A456" s="402" t="s">
        <v>1042</v>
      </c>
      <c r="B456" s="403"/>
      <c r="C456" s="404" t="s">
        <v>1043</v>
      </c>
      <c r="D456" s="405">
        <v>43047</v>
      </c>
      <c r="E456" s="406"/>
      <c r="F456" s="325"/>
      <c r="G456" s="324"/>
      <c r="H456" s="324">
        <v>21755.040000000001</v>
      </c>
      <c r="I456" s="325">
        <v>16574.04</v>
      </c>
      <c r="J456" s="325"/>
      <c r="K456" s="325">
        <f t="shared" si="94"/>
        <v>0</v>
      </c>
      <c r="L456" s="325">
        <f t="shared" si="95"/>
        <v>0</v>
      </c>
      <c r="M456" s="407">
        <v>10</v>
      </c>
      <c r="N456" s="408" t="s">
        <v>289</v>
      </c>
      <c r="O456" s="325">
        <f t="shared" si="97"/>
        <v>0</v>
      </c>
      <c r="P456" s="325">
        <f t="shared" si="98"/>
        <v>0</v>
      </c>
      <c r="Q456" s="325">
        <f t="shared" si="99"/>
        <v>0</v>
      </c>
      <c r="R456" s="325">
        <f t="shared" si="100"/>
        <v>828</v>
      </c>
      <c r="S456" s="325">
        <f t="shared" si="101"/>
        <v>0</v>
      </c>
      <c r="T456" s="325">
        <f t="shared" si="93"/>
        <v>828</v>
      </c>
      <c r="U456" s="325">
        <f t="shared" si="102"/>
        <v>15746.04</v>
      </c>
      <c r="V456" s="325">
        <f t="shared" si="96"/>
        <v>0</v>
      </c>
      <c r="W456" s="449" cm="1">
        <f t="array" ref="W456">+IF(U456&lt;0,error,0)</f>
        <v>0</v>
      </c>
    </row>
    <row r="457" spans="1:23" ht="18" customHeight="1" x14ac:dyDescent="0.2">
      <c r="A457" s="402" t="s">
        <v>1044</v>
      </c>
      <c r="B457" s="403"/>
      <c r="C457" s="404" t="s">
        <v>1045</v>
      </c>
      <c r="D457" s="405">
        <v>43154</v>
      </c>
      <c r="E457" s="406"/>
      <c r="F457" s="325"/>
      <c r="G457" s="324"/>
      <c r="H457" s="324">
        <v>2305</v>
      </c>
      <c r="I457" s="325">
        <v>1812</v>
      </c>
      <c r="J457" s="325"/>
      <c r="K457" s="325">
        <f t="shared" si="94"/>
        <v>0</v>
      </c>
      <c r="L457" s="325">
        <f t="shared" si="95"/>
        <v>0</v>
      </c>
      <c r="M457" s="407">
        <v>10</v>
      </c>
      <c r="N457" s="408" t="s">
        <v>289</v>
      </c>
      <c r="O457" s="325">
        <f t="shared" si="97"/>
        <v>0</v>
      </c>
      <c r="P457" s="325">
        <f t="shared" si="98"/>
        <v>0</v>
      </c>
      <c r="Q457" s="325">
        <f t="shared" si="99"/>
        <v>0</v>
      </c>
      <c r="R457" s="325">
        <f t="shared" si="100"/>
        <v>90</v>
      </c>
      <c r="S457" s="325">
        <f t="shared" si="101"/>
        <v>0</v>
      </c>
      <c r="T457" s="325">
        <f t="shared" si="93"/>
        <v>90</v>
      </c>
      <c r="U457" s="325">
        <f t="shared" si="102"/>
        <v>1722</v>
      </c>
      <c r="V457" s="325">
        <f t="shared" si="96"/>
        <v>0</v>
      </c>
      <c r="W457" s="449" cm="1">
        <f t="array" ref="W457">+IF(U457&lt;0,error,0)</f>
        <v>0</v>
      </c>
    </row>
    <row r="458" spans="1:23" ht="18" customHeight="1" x14ac:dyDescent="0.2">
      <c r="A458" s="402" t="s">
        <v>1046</v>
      </c>
      <c r="B458" s="403"/>
      <c r="C458" s="404" t="s">
        <v>1047</v>
      </c>
      <c r="D458" s="405">
        <v>43159</v>
      </c>
      <c r="E458" s="406"/>
      <c r="F458" s="325"/>
      <c r="G458" s="324"/>
      <c r="H458" s="324">
        <v>1408</v>
      </c>
      <c r="I458" s="325">
        <v>862</v>
      </c>
      <c r="J458" s="325"/>
      <c r="K458" s="325">
        <f t="shared" si="94"/>
        <v>0</v>
      </c>
      <c r="L458" s="325">
        <f t="shared" si="95"/>
        <v>0</v>
      </c>
      <c r="M458" s="407">
        <v>20</v>
      </c>
      <c r="N458" s="408" t="s">
        <v>289</v>
      </c>
      <c r="O458" s="325">
        <f t="shared" si="97"/>
        <v>0</v>
      </c>
      <c r="P458" s="325">
        <f t="shared" si="98"/>
        <v>0</v>
      </c>
      <c r="Q458" s="325">
        <f t="shared" si="99"/>
        <v>0</v>
      </c>
      <c r="R458" s="325">
        <f t="shared" si="100"/>
        <v>86</v>
      </c>
      <c r="S458" s="325">
        <f t="shared" si="101"/>
        <v>0</v>
      </c>
      <c r="T458" s="325">
        <f t="shared" si="93"/>
        <v>86</v>
      </c>
      <c r="U458" s="325">
        <f t="shared" si="102"/>
        <v>776</v>
      </c>
      <c r="V458" s="325">
        <f t="shared" si="96"/>
        <v>0</v>
      </c>
      <c r="W458" s="449" cm="1">
        <f t="array" ref="W458">+IF(U458&lt;0,error,0)</f>
        <v>0</v>
      </c>
    </row>
    <row r="459" spans="1:23" ht="18" customHeight="1" x14ac:dyDescent="0.2">
      <c r="A459" s="402" t="s">
        <v>1048</v>
      </c>
      <c r="B459" s="403"/>
      <c r="C459" s="404" t="s">
        <v>1045</v>
      </c>
      <c r="D459" s="405">
        <v>43173</v>
      </c>
      <c r="E459" s="406"/>
      <c r="F459" s="325"/>
      <c r="G459" s="324"/>
      <c r="H459" s="324">
        <v>2305</v>
      </c>
      <c r="I459" s="325">
        <v>1823</v>
      </c>
      <c r="J459" s="325"/>
      <c r="K459" s="325">
        <f t="shared" si="94"/>
        <v>0</v>
      </c>
      <c r="L459" s="325">
        <f t="shared" si="95"/>
        <v>0</v>
      </c>
      <c r="M459" s="407">
        <v>10</v>
      </c>
      <c r="N459" s="408" t="s">
        <v>289</v>
      </c>
      <c r="O459" s="325">
        <f t="shared" si="97"/>
        <v>0</v>
      </c>
      <c r="P459" s="325">
        <f t="shared" si="98"/>
        <v>0</v>
      </c>
      <c r="Q459" s="325">
        <f t="shared" si="99"/>
        <v>0</v>
      </c>
      <c r="R459" s="325">
        <f t="shared" si="100"/>
        <v>91</v>
      </c>
      <c r="S459" s="325">
        <f t="shared" si="101"/>
        <v>0</v>
      </c>
      <c r="T459" s="325">
        <f t="shared" si="93"/>
        <v>91</v>
      </c>
      <c r="U459" s="325">
        <f t="shared" si="102"/>
        <v>1732</v>
      </c>
      <c r="V459" s="325">
        <f t="shared" si="96"/>
        <v>0</v>
      </c>
      <c r="W459" s="449" cm="1">
        <f t="array" ref="W459">+IF(U459&lt;0,error,0)</f>
        <v>0</v>
      </c>
    </row>
    <row r="460" spans="1:23" ht="18" customHeight="1" x14ac:dyDescent="0.2">
      <c r="A460" s="402" t="s">
        <v>1049</v>
      </c>
      <c r="B460" s="403"/>
      <c r="C460" s="404" t="s">
        <v>1050</v>
      </c>
      <c r="D460" s="405">
        <v>43241</v>
      </c>
      <c r="E460" s="406"/>
      <c r="F460" s="325"/>
      <c r="G460" s="324"/>
      <c r="H460" s="324">
        <v>18636.36</v>
      </c>
      <c r="I460" s="325">
        <v>11943.36</v>
      </c>
      <c r="J460" s="325"/>
      <c r="K460" s="325">
        <f t="shared" si="94"/>
        <v>0</v>
      </c>
      <c r="L460" s="325">
        <f t="shared" si="95"/>
        <v>0</v>
      </c>
      <c r="M460" s="407">
        <v>20</v>
      </c>
      <c r="N460" s="408" t="s">
        <v>289</v>
      </c>
      <c r="O460" s="325">
        <f t="shared" si="97"/>
        <v>0</v>
      </c>
      <c r="P460" s="325">
        <f t="shared" si="98"/>
        <v>0</v>
      </c>
      <c r="Q460" s="325">
        <f t="shared" si="99"/>
        <v>0</v>
      </c>
      <c r="R460" s="325">
        <f t="shared" si="100"/>
        <v>1194</v>
      </c>
      <c r="S460" s="325">
        <f t="shared" si="101"/>
        <v>0</v>
      </c>
      <c r="T460" s="325">
        <f t="shared" si="93"/>
        <v>1194</v>
      </c>
      <c r="U460" s="325">
        <f t="shared" si="102"/>
        <v>10749.36</v>
      </c>
      <c r="V460" s="325">
        <f t="shared" si="96"/>
        <v>0</v>
      </c>
      <c r="W460" s="449" cm="1">
        <f t="array" ref="W460">+IF(U460&lt;0,error,0)</f>
        <v>0</v>
      </c>
    </row>
    <row r="461" spans="1:23" ht="18" customHeight="1" x14ac:dyDescent="0.2">
      <c r="A461" s="402" t="s">
        <v>1051</v>
      </c>
      <c r="B461" s="403"/>
      <c r="C461" s="404" t="s">
        <v>1052</v>
      </c>
      <c r="D461" s="405">
        <v>43264</v>
      </c>
      <c r="E461" s="406"/>
      <c r="F461" s="325"/>
      <c r="G461" s="324"/>
      <c r="H461" s="324">
        <v>50099</v>
      </c>
      <c r="I461" s="325">
        <v>40592</v>
      </c>
      <c r="J461" s="325"/>
      <c r="K461" s="325">
        <f t="shared" si="94"/>
        <v>0</v>
      </c>
      <c r="L461" s="325">
        <f t="shared" si="95"/>
        <v>0</v>
      </c>
      <c r="M461" s="407">
        <v>10</v>
      </c>
      <c r="N461" s="408" t="s">
        <v>289</v>
      </c>
      <c r="O461" s="325">
        <f t="shared" si="97"/>
        <v>0</v>
      </c>
      <c r="P461" s="325">
        <f t="shared" si="98"/>
        <v>0</v>
      </c>
      <c r="Q461" s="325">
        <f t="shared" si="99"/>
        <v>0</v>
      </c>
      <c r="R461" s="325">
        <f t="shared" si="100"/>
        <v>2029</v>
      </c>
      <c r="S461" s="325">
        <f t="shared" si="101"/>
        <v>0</v>
      </c>
      <c r="T461" s="325">
        <f t="shared" si="93"/>
        <v>2029</v>
      </c>
      <c r="U461" s="325">
        <f t="shared" si="102"/>
        <v>38563</v>
      </c>
      <c r="V461" s="325">
        <f t="shared" si="96"/>
        <v>0</v>
      </c>
      <c r="W461" s="449" cm="1">
        <f t="array" ref="W461">+IF(U461&lt;0,error,0)</f>
        <v>0</v>
      </c>
    </row>
    <row r="462" spans="1:23" ht="18" customHeight="1" x14ac:dyDescent="0.2">
      <c r="A462" s="402" t="s">
        <v>1053</v>
      </c>
      <c r="B462" s="403"/>
      <c r="C462" s="404" t="s">
        <v>1054</v>
      </c>
      <c r="D462" s="405">
        <v>43146</v>
      </c>
      <c r="E462" s="406"/>
      <c r="F462" s="325"/>
      <c r="G462" s="324"/>
      <c r="H462" s="324">
        <v>2340</v>
      </c>
      <c r="I462" s="325">
        <v>1421</v>
      </c>
      <c r="J462" s="325"/>
      <c r="K462" s="325">
        <f t="shared" si="94"/>
        <v>0</v>
      </c>
      <c r="L462" s="325">
        <f t="shared" si="95"/>
        <v>0</v>
      </c>
      <c r="M462" s="407">
        <v>20</v>
      </c>
      <c r="N462" s="408" t="s">
        <v>289</v>
      </c>
      <c r="O462" s="325">
        <f t="shared" si="97"/>
        <v>0</v>
      </c>
      <c r="P462" s="325">
        <f t="shared" si="98"/>
        <v>0</v>
      </c>
      <c r="Q462" s="325">
        <f t="shared" si="99"/>
        <v>0</v>
      </c>
      <c r="R462" s="325">
        <f t="shared" si="100"/>
        <v>142</v>
      </c>
      <c r="S462" s="325">
        <f t="shared" si="101"/>
        <v>0</v>
      </c>
      <c r="T462" s="325">
        <f t="shared" si="93"/>
        <v>142</v>
      </c>
      <c r="U462" s="325">
        <f t="shared" si="102"/>
        <v>1279</v>
      </c>
      <c r="V462" s="325">
        <f t="shared" si="96"/>
        <v>0</v>
      </c>
      <c r="W462" s="449" cm="1">
        <f t="array" ref="W462">+IF(U462&lt;0,error,0)</f>
        <v>0</v>
      </c>
    </row>
    <row r="463" spans="1:23" ht="18" customHeight="1" x14ac:dyDescent="0.2">
      <c r="A463" s="402" t="s">
        <v>1055</v>
      </c>
      <c r="B463" s="403"/>
      <c r="C463" s="404" t="s">
        <v>1056</v>
      </c>
      <c r="D463" s="405">
        <v>43146</v>
      </c>
      <c r="E463" s="406"/>
      <c r="F463" s="325"/>
      <c r="G463" s="324"/>
      <c r="H463" s="324">
        <v>3960</v>
      </c>
      <c r="I463" s="325">
        <v>2404</v>
      </c>
      <c r="J463" s="325"/>
      <c r="K463" s="325">
        <f t="shared" si="94"/>
        <v>0</v>
      </c>
      <c r="L463" s="325">
        <f t="shared" si="95"/>
        <v>0</v>
      </c>
      <c r="M463" s="407">
        <v>20</v>
      </c>
      <c r="N463" s="408" t="s">
        <v>289</v>
      </c>
      <c r="O463" s="325">
        <f t="shared" si="97"/>
        <v>0</v>
      </c>
      <c r="P463" s="325">
        <f t="shared" si="98"/>
        <v>0</v>
      </c>
      <c r="Q463" s="325">
        <f t="shared" si="99"/>
        <v>0</v>
      </c>
      <c r="R463" s="325">
        <f t="shared" si="100"/>
        <v>240</v>
      </c>
      <c r="S463" s="325">
        <f t="shared" si="101"/>
        <v>0</v>
      </c>
      <c r="T463" s="325">
        <f t="shared" si="93"/>
        <v>240</v>
      </c>
      <c r="U463" s="325">
        <f t="shared" si="102"/>
        <v>2164</v>
      </c>
      <c r="V463" s="325">
        <f t="shared" si="96"/>
        <v>0</v>
      </c>
      <c r="W463" s="449" cm="1">
        <f t="array" ref="W463">+IF(U463&lt;0,error,0)</f>
        <v>0</v>
      </c>
    </row>
    <row r="464" spans="1:23" ht="18" customHeight="1" x14ac:dyDescent="0.2">
      <c r="A464" s="402" t="s">
        <v>1057</v>
      </c>
      <c r="B464" s="403"/>
      <c r="C464" s="441" t="s">
        <v>1058</v>
      </c>
      <c r="D464" s="405">
        <v>43318</v>
      </c>
      <c r="E464" s="406"/>
      <c r="F464" s="325"/>
      <c r="G464" s="324"/>
      <c r="H464" s="324">
        <v>25000</v>
      </c>
      <c r="I464" s="325">
        <v>19228</v>
      </c>
      <c r="J464" s="325"/>
      <c r="K464" s="325">
        <f t="shared" si="94"/>
        <v>0</v>
      </c>
      <c r="L464" s="325">
        <f t="shared" si="95"/>
        <v>0</v>
      </c>
      <c r="M464" s="407">
        <v>13.33</v>
      </c>
      <c r="N464" s="408" t="s">
        <v>289</v>
      </c>
      <c r="O464" s="325">
        <f t="shared" si="97"/>
        <v>0</v>
      </c>
      <c r="P464" s="325">
        <f t="shared" si="98"/>
        <v>0</v>
      </c>
      <c r="Q464" s="325">
        <f t="shared" si="99"/>
        <v>0</v>
      </c>
      <c r="R464" s="325">
        <f t="shared" si="100"/>
        <v>1281</v>
      </c>
      <c r="S464" s="325">
        <f t="shared" si="101"/>
        <v>0</v>
      </c>
      <c r="T464" s="325">
        <f t="shared" ref="T464:T468" si="103">+R464+S464+Q464</f>
        <v>1281</v>
      </c>
      <c r="U464" s="325">
        <f t="shared" si="102"/>
        <v>17947</v>
      </c>
      <c r="V464" s="325">
        <f t="shared" si="96"/>
        <v>0</v>
      </c>
      <c r="W464" s="449" cm="1">
        <f t="array" ref="W464">+IF(U464&lt;0,error,0)</f>
        <v>0</v>
      </c>
    </row>
    <row r="465" spans="1:23" ht="18" customHeight="1" x14ac:dyDescent="0.2">
      <c r="A465" s="402" t="s">
        <v>1059</v>
      </c>
      <c r="B465" s="403"/>
      <c r="C465" s="442" t="s">
        <v>1060</v>
      </c>
      <c r="D465" s="405">
        <v>43342</v>
      </c>
      <c r="E465" s="406"/>
      <c r="F465" s="325"/>
      <c r="G465" s="324"/>
      <c r="H465" s="324">
        <v>361854</v>
      </c>
      <c r="I465" s="325">
        <v>319444</v>
      </c>
      <c r="J465" s="325"/>
      <c r="K465" s="325">
        <f t="shared" si="94"/>
        <v>0</v>
      </c>
      <c r="L465" s="325">
        <f t="shared" si="95"/>
        <v>0</v>
      </c>
      <c r="M465" s="407">
        <v>6.67</v>
      </c>
      <c r="N465" s="408" t="s">
        <v>289</v>
      </c>
      <c r="O465" s="325">
        <f t="shared" si="97"/>
        <v>0</v>
      </c>
      <c r="P465" s="325">
        <f t="shared" si="98"/>
        <v>0</v>
      </c>
      <c r="Q465" s="325">
        <f t="shared" si="99"/>
        <v>0</v>
      </c>
      <c r="R465" s="325">
        <f t="shared" si="100"/>
        <v>10653</v>
      </c>
      <c r="S465" s="325">
        <f t="shared" si="101"/>
        <v>0</v>
      </c>
      <c r="T465" s="325">
        <f t="shared" si="103"/>
        <v>10653</v>
      </c>
      <c r="U465" s="325">
        <f t="shared" si="102"/>
        <v>308791</v>
      </c>
      <c r="V465" s="325">
        <f t="shared" si="96"/>
        <v>0</v>
      </c>
      <c r="W465" s="449" cm="1">
        <f t="array" ref="W465">+IF(U465&lt;0,error,0)</f>
        <v>0</v>
      </c>
    </row>
    <row r="466" spans="1:23" ht="18" customHeight="1" x14ac:dyDescent="0.2">
      <c r="A466" s="402" t="s">
        <v>1061</v>
      </c>
      <c r="B466" s="403"/>
      <c r="C466" s="404" t="s">
        <v>1062</v>
      </c>
      <c r="D466" s="405">
        <v>43342</v>
      </c>
      <c r="E466" s="406"/>
      <c r="F466" s="325"/>
      <c r="G466" s="324"/>
      <c r="H466" s="324">
        <v>33926</v>
      </c>
      <c r="I466" s="325">
        <v>29951</v>
      </c>
      <c r="J466" s="325"/>
      <c r="K466" s="325">
        <f t="shared" si="94"/>
        <v>0</v>
      </c>
      <c r="L466" s="325">
        <f t="shared" si="95"/>
        <v>0</v>
      </c>
      <c r="M466" s="407">
        <v>6.67</v>
      </c>
      <c r="N466" s="408" t="s">
        <v>289</v>
      </c>
      <c r="O466" s="325">
        <f t="shared" si="97"/>
        <v>0</v>
      </c>
      <c r="P466" s="325">
        <f t="shared" si="98"/>
        <v>0</v>
      </c>
      <c r="Q466" s="325">
        <f t="shared" si="99"/>
        <v>0</v>
      </c>
      <c r="R466" s="325">
        <f t="shared" si="100"/>
        <v>998</v>
      </c>
      <c r="S466" s="325">
        <f t="shared" si="101"/>
        <v>0</v>
      </c>
      <c r="T466" s="325">
        <f t="shared" si="103"/>
        <v>998</v>
      </c>
      <c r="U466" s="325">
        <f t="shared" si="102"/>
        <v>28953</v>
      </c>
      <c r="V466" s="325">
        <f t="shared" si="96"/>
        <v>0</v>
      </c>
      <c r="W466" s="449" cm="1">
        <f t="array" ref="W466">+IF(U466&lt;0,error,0)</f>
        <v>0</v>
      </c>
    </row>
    <row r="467" spans="1:23" ht="18" customHeight="1" x14ac:dyDescent="0.2">
      <c r="A467" s="402" t="s">
        <v>1063</v>
      </c>
      <c r="B467" s="403"/>
      <c r="C467" s="404" t="s">
        <v>1064</v>
      </c>
      <c r="D467" s="405">
        <v>43342</v>
      </c>
      <c r="E467" s="406"/>
      <c r="F467" s="325"/>
      <c r="G467" s="324"/>
      <c r="H467" s="324">
        <v>26846</v>
      </c>
      <c r="I467" s="325">
        <v>23702</v>
      </c>
      <c r="J467" s="325"/>
      <c r="K467" s="325">
        <f t="shared" si="94"/>
        <v>0</v>
      </c>
      <c r="L467" s="325">
        <f t="shared" si="95"/>
        <v>0</v>
      </c>
      <c r="M467" s="407">
        <v>6.67</v>
      </c>
      <c r="N467" s="408" t="s">
        <v>289</v>
      </c>
      <c r="O467" s="325">
        <f t="shared" si="97"/>
        <v>0</v>
      </c>
      <c r="P467" s="325">
        <f t="shared" si="98"/>
        <v>0</v>
      </c>
      <c r="Q467" s="325">
        <f t="shared" si="99"/>
        <v>0</v>
      </c>
      <c r="R467" s="325">
        <f t="shared" si="100"/>
        <v>790</v>
      </c>
      <c r="S467" s="325">
        <f t="shared" si="101"/>
        <v>0</v>
      </c>
      <c r="T467" s="325">
        <f t="shared" si="103"/>
        <v>790</v>
      </c>
      <c r="U467" s="325">
        <f t="shared" si="102"/>
        <v>22912</v>
      </c>
      <c r="V467" s="325">
        <f t="shared" si="96"/>
        <v>0</v>
      </c>
      <c r="W467" s="449" cm="1">
        <f t="array" ref="W467">+IF(U467&lt;0,error,0)</f>
        <v>0</v>
      </c>
    </row>
    <row r="468" spans="1:23" ht="18" customHeight="1" x14ac:dyDescent="0.2">
      <c r="A468" s="402" t="s">
        <v>1065</v>
      </c>
      <c r="B468" s="403"/>
      <c r="C468" s="404" t="s">
        <v>1066</v>
      </c>
      <c r="D468" s="405">
        <v>43342</v>
      </c>
      <c r="E468" s="406"/>
      <c r="F468" s="325"/>
      <c r="G468" s="324"/>
      <c r="H468" s="324">
        <v>53006</v>
      </c>
      <c r="I468" s="325">
        <v>46794</v>
      </c>
      <c r="J468" s="325"/>
      <c r="K468" s="325">
        <f t="shared" si="94"/>
        <v>0</v>
      </c>
      <c r="L468" s="325">
        <f t="shared" si="95"/>
        <v>0</v>
      </c>
      <c r="M468" s="407">
        <v>6.67</v>
      </c>
      <c r="N468" s="408" t="s">
        <v>289</v>
      </c>
      <c r="O468" s="325">
        <f t="shared" si="97"/>
        <v>0</v>
      </c>
      <c r="P468" s="325">
        <f t="shared" si="98"/>
        <v>0</v>
      </c>
      <c r="Q468" s="325">
        <f t="shared" si="99"/>
        <v>0</v>
      </c>
      <c r="R468" s="325">
        <f t="shared" si="100"/>
        <v>1560</v>
      </c>
      <c r="S468" s="325">
        <f t="shared" si="101"/>
        <v>0</v>
      </c>
      <c r="T468" s="325">
        <f t="shared" si="103"/>
        <v>1560</v>
      </c>
      <c r="U468" s="325">
        <f t="shared" si="102"/>
        <v>45234</v>
      </c>
      <c r="V468" s="325">
        <f t="shared" si="96"/>
        <v>0</v>
      </c>
      <c r="W468" s="449" cm="1">
        <f t="array" ref="W468">+IF(U468&lt;0,error,0)</f>
        <v>0</v>
      </c>
    </row>
    <row r="469" spans="1:23" ht="18" customHeight="1" x14ac:dyDescent="0.2">
      <c r="A469" s="402" t="s">
        <v>2046</v>
      </c>
      <c r="B469" s="403"/>
      <c r="C469" s="443" t="s">
        <v>2056</v>
      </c>
      <c r="D469" s="405">
        <v>43497</v>
      </c>
      <c r="E469" s="406"/>
      <c r="F469" s="325"/>
      <c r="G469" s="324"/>
      <c r="H469" s="324">
        <v>17684.939999999999</v>
      </c>
      <c r="I469" s="325">
        <v>16076.939999999999</v>
      </c>
      <c r="J469" s="325"/>
      <c r="K469" s="325">
        <f>INT(IF($E469&gt;0,IF(+F469-I469+Q469&lt;0,0,+F469-I469+Q469),0))</f>
        <v>0</v>
      </c>
      <c r="L469" s="325">
        <f>INT(IF($E469&gt;0,IF(K469=0,-F469+I469-Q469,0),0))</f>
        <v>0</v>
      </c>
      <c r="M469" s="407">
        <v>6.67</v>
      </c>
      <c r="N469" s="408" t="s">
        <v>289</v>
      </c>
      <c r="O469" s="325">
        <f>IF(E469&gt;0,INT(IF($N469="D",IF($D469&lt;$H$3,$I469*($M469/100)*((E469-$H$3)/365),$J469*($M469/100)*($J$3-$D469)/365),0)),0)</f>
        <v>0</v>
      </c>
      <c r="P469" s="325">
        <f>IF(E469&gt;0,INT(IF($N469="P",IF($D469&lt;$H$3,$H469*($M469/100)*(E469-$H$3)/365,$J469*($M469/100)*($J$3-$D469)/365),0)),0)</f>
        <v>0</v>
      </c>
      <c r="Q469" s="325">
        <f>+O469+P469</f>
        <v>0</v>
      </c>
      <c r="R469" s="325">
        <f t="shared" si="100"/>
        <v>536</v>
      </c>
      <c r="S469" s="325">
        <f t="shared" si="101"/>
        <v>0</v>
      </c>
      <c r="T469" s="325">
        <f>+R469+S469+Q469</f>
        <v>536</v>
      </c>
      <c r="U469" s="325">
        <f>+I469+J469-T469-F469+K469-L469</f>
        <v>15540.939999999999</v>
      </c>
      <c r="V469" s="325">
        <f t="shared" si="96"/>
        <v>0</v>
      </c>
      <c r="W469" s="449" cm="1">
        <f t="array" ref="W469">+IF(U469&lt;0,error,0)</f>
        <v>0</v>
      </c>
    </row>
    <row r="470" spans="1:23" ht="18" customHeight="1" x14ac:dyDescent="0.2">
      <c r="A470" s="402" t="s">
        <v>1067</v>
      </c>
      <c r="B470" s="403"/>
      <c r="C470" s="444" t="s">
        <v>1068</v>
      </c>
      <c r="D470" s="405">
        <v>43374</v>
      </c>
      <c r="E470" s="406"/>
      <c r="F470" s="325"/>
      <c r="G470" s="324"/>
      <c r="H470" s="324">
        <v>74600</v>
      </c>
      <c r="I470" s="325">
        <v>58600</v>
      </c>
      <c r="J470" s="325"/>
      <c r="K470" s="325">
        <f t="shared" ref="K470:K471" si="104">INT(IF($E470&gt;0,IF(+F470-I470+Q470&lt;0,0,+F470-I470+Q470),0))</f>
        <v>0</v>
      </c>
      <c r="L470" s="325">
        <f t="shared" ref="L470:L471" si="105">INT(IF($E470&gt;0,IF(K470=0,-F470+I470-Q470,0),0))</f>
        <v>0</v>
      </c>
      <c r="M470" s="407">
        <v>13.33</v>
      </c>
      <c r="N470" s="408" t="s">
        <v>289</v>
      </c>
      <c r="O470" s="325">
        <f t="shared" ref="O470:O471" si="106">IF(E470&gt;0,INT(IF($N470="D",IF($D470&lt;$H$3,$I470*($M470/100)*((E470-$H$3)/365),$J470*($M470/100)*($J$3-$D470)/365),0)),0)</f>
        <v>0</v>
      </c>
      <c r="P470" s="325">
        <f t="shared" ref="P470:P471" si="107">IF(E470&gt;0,INT(IF($N470="P",IF($D470&lt;$H$3,$H470*($M470/100)*(E470-$H$3)/365,$J470*($M470/100)*($J$3-$D470)/365),0)),0)</f>
        <v>0</v>
      </c>
      <c r="Q470" s="325">
        <f t="shared" ref="Q470:Q471" si="108">+O470+P470</f>
        <v>0</v>
      </c>
      <c r="R470" s="325">
        <f t="shared" si="100"/>
        <v>3905</v>
      </c>
      <c r="S470" s="325">
        <f t="shared" si="101"/>
        <v>0</v>
      </c>
      <c r="T470" s="325">
        <f t="shared" ref="T470:T471" si="109">+R470+S470+Q470</f>
        <v>3905</v>
      </c>
      <c r="U470" s="325">
        <f t="shared" ref="U470:U471" si="110">+I470+J470-T470-F470+K470-L470</f>
        <v>54695</v>
      </c>
      <c r="V470" s="325">
        <f t="shared" si="96"/>
        <v>0</v>
      </c>
      <c r="W470" s="449" cm="1">
        <f t="array" ref="W470">+IF(U470&lt;0,error,0)</f>
        <v>0</v>
      </c>
    </row>
    <row r="471" spans="1:23" ht="18" customHeight="1" x14ac:dyDescent="0.2">
      <c r="A471" s="402" t="s">
        <v>1069</v>
      </c>
      <c r="B471" s="403"/>
      <c r="C471" s="404" t="s">
        <v>1070</v>
      </c>
      <c r="D471" s="405">
        <v>43374</v>
      </c>
      <c r="E471" s="406"/>
      <c r="F471" s="325"/>
      <c r="G471" s="324"/>
      <c r="H471" s="324">
        <v>80600</v>
      </c>
      <c r="I471" s="325">
        <v>63313</v>
      </c>
      <c r="J471" s="325"/>
      <c r="K471" s="325">
        <f t="shared" si="104"/>
        <v>0</v>
      </c>
      <c r="L471" s="325">
        <f t="shared" si="105"/>
        <v>0</v>
      </c>
      <c r="M471" s="407">
        <v>13.33</v>
      </c>
      <c r="N471" s="408" t="s">
        <v>289</v>
      </c>
      <c r="O471" s="325">
        <f t="shared" si="106"/>
        <v>0</v>
      </c>
      <c r="P471" s="325">
        <f t="shared" si="107"/>
        <v>0</v>
      </c>
      <c r="Q471" s="325">
        <f t="shared" si="108"/>
        <v>0</v>
      </c>
      <c r="R471" s="325">
        <f t="shared" si="100"/>
        <v>4219</v>
      </c>
      <c r="S471" s="325">
        <f t="shared" si="101"/>
        <v>0</v>
      </c>
      <c r="T471" s="325">
        <f t="shared" si="109"/>
        <v>4219</v>
      </c>
      <c r="U471" s="325">
        <f t="shared" si="110"/>
        <v>59094</v>
      </c>
      <c r="V471" s="325">
        <f t="shared" si="96"/>
        <v>0</v>
      </c>
      <c r="W471" s="449" cm="1">
        <f t="array" ref="W471">+IF(U471&lt;0,error,0)</f>
        <v>0</v>
      </c>
    </row>
    <row r="472" spans="1:23" ht="18" customHeight="1" x14ac:dyDescent="0.2">
      <c r="A472" s="402" t="s">
        <v>2047</v>
      </c>
      <c r="B472" s="403"/>
      <c r="C472" s="404" t="s">
        <v>2057</v>
      </c>
      <c r="D472" s="405">
        <v>43572</v>
      </c>
      <c r="E472" s="406"/>
      <c r="F472" s="325"/>
      <c r="G472" s="324"/>
      <c r="H472" s="324">
        <v>18581.009999999998</v>
      </c>
      <c r="I472" s="325">
        <v>15751.009999999998</v>
      </c>
      <c r="J472" s="325"/>
      <c r="K472" s="325">
        <f>INT(IF($E472&gt;0,IF(+F472-I472+Q472&lt;0,0,+F472-I472+Q472),0))</f>
        <v>0</v>
      </c>
      <c r="L472" s="325">
        <f>INT(IF($E472&gt;0,IF(K472=0,-F472+I472-Q472,0),0))</f>
        <v>0</v>
      </c>
      <c r="M472" s="407">
        <v>13.33</v>
      </c>
      <c r="N472" s="408" t="s">
        <v>289</v>
      </c>
      <c r="O472" s="325">
        <f>IF(E472&gt;0,INT(IF($N472="D",IF($D472&lt;$H$3,$I472*($M472/100)*((E472-$H$3)/365),$J472*($M472/100)*($J$3-$D472)/365),0)),0)</f>
        <v>0</v>
      </c>
      <c r="P472" s="325">
        <f>IF(E472&gt;0,INT(IF($N472="P",IF($D472&lt;$H$3,$H472*($M472/100)*(E472-$H$3)/365,$J472*($M472/100)*($J$3-$D472)/365),0)),0)</f>
        <v>0</v>
      </c>
      <c r="Q472" s="325">
        <f>+O472+P472</f>
        <v>0</v>
      </c>
      <c r="R472" s="325">
        <f t="shared" si="100"/>
        <v>1049</v>
      </c>
      <c r="S472" s="325">
        <f t="shared" si="101"/>
        <v>0</v>
      </c>
      <c r="T472" s="325">
        <f>+R472+S472+Q472</f>
        <v>1049</v>
      </c>
      <c r="U472" s="325">
        <f>+I472+J472-T472-F472+K472-L472</f>
        <v>14702.009999999998</v>
      </c>
      <c r="V472" s="325">
        <f t="shared" si="96"/>
        <v>0</v>
      </c>
      <c r="W472" s="449" cm="1">
        <f t="array" ref="W472">+IF(U472&lt;0,error,0)</f>
        <v>0</v>
      </c>
    </row>
    <row r="473" spans="1:23" ht="18" customHeight="1" x14ac:dyDescent="0.2">
      <c r="A473" s="402" t="s">
        <v>1071</v>
      </c>
      <c r="B473" s="403"/>
      <c r="C473" s="412" t="s">
        <v>1072</v>
      </c>
      <c r="D473" s="405">
        <v>43299</v>
      </c>
      <c r="E473" s="406"/>
      <c r="F473" s="325"/>
      <c r="G473" s="324"/>
      <c r="H473" s="324">
        <v>616</v>
      </c>
      <c r="I473" s="325">
        <v>409</v>
      </c>
      <c r="J473" s="325"/>
      <c r="K473" s="325">
        <f>INT(IF($E473&gt;0,IF(+F473-I473+Q473&lt;0,0,+F473-I473+Q473),0))</f>
        <v>0</v>
      </c>
      <c r="L473" s="325">
        <f>INT(IF($E473&gt;0,IF(K473=0,-F473+I473-Q473,0),0))</f>
        <v>0</v>
      </c>
      <c r="M473" s="407">
        <v>20</v>
      </c>
      <c r="N473" s="408" t="s">
        <v>289</v>
      </c>
      <c r="O473" s="325">
        <f t="shared" ref="O473:O490" si="111">IF(E473&gt;0,INT(IF($N473="D",IF($D473&lt;$H$3,$I473*($M473/100)*((E473-$H$3)/365),$J473*($M473/100)*($J$3-$D473)/365),0)),0)</f>
        <v>0</v>
      </c>
      <c r="P473" s="325">
        <f t="shared" ref="P473:P490" si="112">IF(E473&gt;0,INT(IF($N473="P",IF($D473&lt;$H$3,$H473*($M473/100)*(E473-$H$3)/365,$J473*($M473/100)*($J$3-$D473)/365),0)),0)</f>
        <v>0</v>
      </c>
      <c r="Q473" s="325">
        <f t="shared" ref="Q473:Q490" si="113">+O473+P473</f>
        <v>0</v>
      </c>
      <c r="R473" s="325">
        <f t="shared" si="100"/>
        <v>40</v>
      </c>
      <c r="S473" s="325">
        <f t="shared" si="101"/>
        <v>0</v>
      </c>
      <c r="T473" s="325">
        <f t="shared" ref="T473:T497" si="114">+R473+S473+Q473</f>
        <v>40</v>
      </c>
      <c r="U473" s="325">
        <f t="shared" ref="U473:U497" si="115">+I473+J473-T473-F473+K473-L473</f>
        <v>369</v>
      </c>
      <c r="V473" s="325">
        <f t="shared" si="96"/>
        <v>0</v>
      </c>
      <c r="W473" s="449" cm="1">
        <f t="array" ref="W473">+IF(U473&lt;0,error,0)</f>
        <v>0</v>
      </c>
    </row>
    <row r="474" spans="1:23" ht="18" customHeight="1" x14ac:dyDescent="0.2">
      <c r="A474" s="402" t="s">
        <v>1073</v>
      </c>
      <c r="B474" s="403"/>
      <c r="C474" s="412" t="s">
        <v>1074</v>
      </c>
      <c r="D474" s="405">
        <v>43299</v>
      </c>
      <c r="E474" s="406"/>
      <c r="F474" s="325"/>
      <c r="G474" s="324"/>
      <c r="H474" s="324">
        <v>556</v>
      </c>
      <c r="I474" s="325">
        <v>369</v>
      </c>
      <c r="J474" s="325"/>
      <c r="K474" s="325">
        <f t="shared" ref="K474:K497" si="116">INT(IF($E474&gt;0,IF(+F474-I474+Q474&lt;0,0,+F474-I474+Q474),0))</f>
        <v>0</v>
      </c>
      <c r="L474" s="325">
        <f t="shared" ref="L474:L497" si="117">INT(IF($E474&gt;0,IF(K474=0,-F474+I474-Q474,0),0))</f>
        <v>0</v>
      </c>
      <c r="M474" s="407">
        <v>20</v>
      </c>
      <c r="N474" s="408" t="s">
        <v>289</v>
      </c>
      <c r="O474" s="325">
        <f t="shared" si="111"/>
        <v>0</v>
      </c>
      <c r="P474" s="325">
        <f t="shared" si="112"/>
        <v>0</v>
      </c>
      <c r="Q474" s="325">
        <f t="shared" si="113"/>
        <v>0</v>
      </c>
      <c r="R474" s="325">
        <f t="shared" si="100"/>
        <v>36</v>
      </c>
      <c r="S474" s="325">
        <f t="shared" si="101"/>
        <v>0</v>
      </c>
      <c r="T474" s="325">
        <f t="shared" si="114"/>
        <v>36</v>
      </c>
      <c r="U474" s="325">
        <f t="shared" si="115"/>
        <v>333</v>
      </c>
      <c r="V474" s="325">
        <f t="shared" si="96"/>
        <v>0</v>
      </c>
      <c r="W474" s="449" cm="1">
        <f t="array" ref="W474">+IF(U474&lt;0,error,0)</f>
        <v>0</v>
      </c>
    </row>
    <row r="475" spans="1:23" ht="18" customHeight="1" x14ac:dyDescent="0.2">
      <c r="A475" s="402" t="s">
        <v>1075</v>
      </c>
      <c r="B475" s="403"/>
      <c r="C475" s="404" t="s">
        <v>1076</v>
      </c>
      <c r="D475" s="405">
        <v>43312</v>
      </c>
      <c r="E475" s="406"/>
      <c r="F475" s="325"/>
      <c r="G475" s="324"/>
      <c r="H475" s="324">
        <v>434</v>
      </c>
      <c r="I475" s="325">
        <v>291</v>
      </c>
      <c r="J475" s="325"/>
      <c r="K475" s="325">
        <f t="shared" si="116"/>
        <v>0</v>
      </c>
      <c r="L475" s="325">
        <f t="shared" si="117"/>
        <v>0</v>
      </c>
      <c r="M475" s="407">
        <v>20</v>
      </c>
      <c r="N475" s="408" t="s">
        <v>289</v>
      </c>
      <c r="O475" s="325">
        <f t="shared" si="111"/>
        <v>0</v>
      </c>
      <c r="P475" s="325">
        <f t="shared" si="112"/>
        <v>0</v>
      </c>
      <c r="Q475" s="325">
        <f t="shared" si="113"/>
        <v>0</v>
      </c>
      <c r="R475" s="325">
        <f t="shared" si="100"/>
        <v>29</v>
      </c>
      <c r="S475" s="325">
        <f t="shared" si="101"/>
        <v>0</v>
      </c>
      <c r="T475" s="325">
        <f t="shared" si="114"/>
        <v>29</v>
      </c>
      <c r="U475" s="325">
        <f t="shared" si="115"/>
        <v>262</v>
      </c>
      <c r="V475" s="325">
        <f t="shared" si="96"/>
        <v>0</v>
      </c>
      <c r="W475" s="449" cm="1">
        <f t="array" ref="W475">+IF(U475&lt;0,error,0)</f>
        <v>0</v>
      </c>
    </row>
    <row r="476" spans="1:23" ht="18" customHeight="1" x14ac:dyDescent="0.2">
      <c r="A476" s="402" t="s">
        <v>1077</v>
      </c>
      <c r="B476" s="403"/>
      <c r="C476" s="404" t="s">
        <v>1078</v>
      </c>
      <c r="D476" s="405">
        <v>43313</v>
      </c>
      <c r="E476" s="406"/>
      <c r="F476" s="325"/>
      <c r="G476" s="324"/>
      <c r="H476" s="324">
        <v>367.09000000000003</v>
      </c>
      <c r="I476" s="325">
        <v>283.09000000000003</v>
      </c>
      <c r="J476" s="325"/>
      <c r="K476" s="325">
        <f t="shared" si="116"/>
        <v>0</v>
      </c>
      <c r="L476" s="325">
        <f t="shared" si="117"/>
        <v>0</v>
      </c>
      <c r="M476" s="407">
        <v>13.33</v>
      </c>
      <c r="N476" s="408" t="s">
        <v>289</v>
      </c>
      <c r="O476" s="325">
        <f t="shared" si="111"/>
        <v>0</v>
      </c>
      <c r="P476" s="325">
        <f t="shared" si="112"/>
        <v>0</v>
      </c>
      <c r="Q476" s="325">
        <f t="shared" si="113"/>
        <v>0</v>
      </c>
      <c r="R476" s="325">
        <f t="shared" si="100"/>
        <v>18</v>
      </c>
      <c r="S476" s="325">
        <f t="shared" si="101"/>
        <v>0</v>
      </c>
      <c r="T476" s="325">
        <f t="shared" si="114"/>
        <v>18</v>
      </c>
      <c r="U476" s="325">
        <f t="shared" si="115"/>
        <v>265.09000000000003</v>
      </c>
      <c r="V476" s="325">
        <f t="shared" si="96"/>
        <v>0</v>
      </c>
      <c r="W476" s="449" cm="1">
        <f t="array" ref="W476">+IF(U476&lt;0,error,0)</f>
        <v>0</v>
      </c>
    </row>
    <row r="477" spans="1:23" ht="18" customHeight="1" x14ac:dyDescent="0.2">
      <c r="A477" s="402" t="s">
        <v>1079</v>
      </c>
      <c r="B477" s="403"/>
      <c r="C477" s="404" t="s">
        <v>1080</v>
      </c>
      <c r="D477" s="405">
        <v>43326</v>
      </c>
      <c r="E477" s="406"/>
      <c r="F477" s="325"/>
      <c r="G477" s="324"/>
      <c r="H477" s="324">
        <v>20080.14</v>
      </c>
      <c r="I477" s="325">
        <v>15491.14</v>
      </c>
      <c r="J477" s="325"/>
      <c r="K477" s="325">
        <f t="shared" si="116"/>
        <v>0</v>
      </c>
      <c r="L477" s="325">
        <f t="shared" si="117"/>
        <v>0</v>
      </c>
      <c r="M477" s="407">
        <v>13.33</v>
      </c>
      <c r="N477" s="408" t="s">
        <v>289</v>
      </c>
      <c r="O477" s="325">
        <f t="shared" si="111"/>
        <v>0</v>
      </c>
      <c r="P477" s="325">
        <f t="shared" si="112"/>
        <v>0</v>
      </c>
      <c r="Q477" s="325">
        <f t="shared" si="113"/>
        <v>0</v>
      </c>
      <c r="R477" s="325">
        <f t="shared" si="100"/>
        <v>1032</v>
      </c>
      <c r="S477" s="325">
        <f t="shared" si="101"/>
        <v>0</v>
      </c>
      <c r="T477" s="325">
        <f t="shared" si="114"/>
        <v>1032</v>
      </c>
      <c r="U477" s="325">
        <f t="shared" si="115"/>
        <v>14459.14</v>
      </c>
      <c r="V477" s="325">
        <f t="shared" si="96"/>
        <v>0</v>
      </c>
      <c r="W477" s="449" cm="1">
        <f t="array" ref="W477">+IF(U477&lt;0,error,0)</f>
        <v>0</v>
      </c>
    </row>
    <row r="478" spans="1:23" ht="18" customHeight="1" x14ac:dyDescent="0.2">
      <c r="A478" s="402" t="s">
        <v>1081</v>
      </c>
      <c r="B478" s="403"/>
      <c r="C478" s="404" t="s">
        <v>1082</v>
      </c>
      <c r="D478" s="405">
        <v>43339</v>
      </c>
      <c r="E478" s="406"/>
      <c r="F478" s="325"/>
      <c r="G478" s="324"/>
      <c r="H478" s="324">
        <v>975.30000000000007</v>
      </c>
      <c r="I478" s="325">
        <v>757.30000000000007</v>
      </c>
      <c r="J478" s="325"/>
      <c r="K478" s="325">
        <f t="shared" si="116"/>
        <v>0</v>
      </c>
      <c r="L478" s="325">
        <f t="shared" si="117"/>
        <v>0</v>
      </c>
      <c r="M478" s="407">
        <v>13.33</v>
      </c>
      <c r="N478" s="408" t="s">
        <v>289</v>
      </c>
      <c r="O478" s="325">
        <f t="shared" si="111"/>
        <v>0</v>
      </c>
      <c r="P478" s="325">
        <f t="shared" si="112"/>
        <v>0</v>
      </c>
      <c r="Q478" s="325">
        <f t="shared" si="113"/>
        <v>0</v>
      </c>
      <c r="R478" s="325">
        <f t="shared" si="100"/>
        <v>50</v>
      </c>
      <c r="S478" s="325">
        <f t="shared" si="101"/>
        <v>0</v>
      </c>
      <c r="T478" s="325">
        <f t="shared" si="114"/>
        <v>50</v>
      </c>
      <c r="U478" s="325">
        <f t="shared" si="115"/>
        <v>707.30000000000007</v>
      </c>
      <c r="V478" s="325">
        <f t="shared" si="96"/>
        <v>0</v>
      </c>
      <c r="W478" s="449" cm="1">
        <f t="array" ref="W478">+IF(U478&lt;0,error,0)</f>
        <v>0</v>
      </c>
    </row>
    <row r="479" spans="1:23" ht="18" customHeight="1" x14ac:dyDescent="0.2">
      <c r="A479" s="402" t="s">
        <v>1083</v>
      </c>
      <c r="B479" s="403"/>
      <c r="C479" s="404" t="s">
        <v>1084</v>
      </c>
      <c r="D479" s="405">
        <v>43342</v>
      </c>
      <c r="E479" s="406"/>
      <c r="F479" s="325"/>
      <c r="G479" s="324"/>
      <c r="H479" s="324">
        <v>3844</v>
      </c>
      <c r="I479" s="325">
        <v>2984</v>
      </c>
      <c r="J479" s="325"/>
      <c r="K479" s="325">
        <f t="shared" si="116"/>
        <v>0</v>
      </c>
      <c r="L479" s="325">
        <f t="shared" si="117"/>
        <v>0</v>
      </c>
      <c r="M479" s="407">
        <v>13.33</v>
      </c>
      <c r="N479" s="408" t="s">
        <v>289</v>
      </c>
      <c r="O479" s="325">
        <f t="shared" si="111"/>
        <v>0</v>
      </c>
      <c r="P479" s="325">
        <f t="shared" si="112"/>
        <v>0</v>
      </c>
      <c r="Q479" s="325">
        <f t="shared" si="113"/>
        <v>0</v>
      </c>
      <c r="R479" s="325">
        <f t="shared" si="100"/>
        <v>198</v>
      </c>
      <c r="S479" s="325">
        <f t="shared" si="101"/>
        <v>0</v>
      </c>
      <c r="T479" s="325">
        <f t="shared" si="114"/>
        <v>198</v>
      </c>
      <c r="U479" s="325">
        <f t="shared" si="115"/>
        <v>2786</v>
      </c>
      <c r="V479" s="325">
        <f t="shared" si="96"/>
        <v>0</v>
      </c>
      <c r="W479" s="449" cm="1">
        <f t="array" ref="W479">+IF(U479&lt;0,error,0)</f>
        <v>0</v>
      </c>
    </row>
    <row r="480" spans="1:23" ht="18" customHeight="1" x14ac:dyDescent="0.2">
      <c r="A480" s="402" t="s">
        <v>1085</v>
      </c>
      <c r="B480" s="403"/>
      <c r="C480" s="412" t="s">
        <v>1086</v>
      </c>
      <c r="D480" s="405">
        <v>43331</v>
      </c>
      <c r="E480" s="406"/>
      <c r="F480" s="325"/>
      <c r="G480" s="324"/>
      <c r="H480" s="324">
        <v>960</v>
      </c>
      <c r="I480" s="325">
        <v>744</v>
      </c>
      <c r="J480" s="325"/>
      <c r="K480" s="325">
        <f t="shared" si="116"/>
        <v>0</v>
      </c>
      <c r="L480" s="325">
        <f t="shared" si="117"/>
        <v>0</v>
      </c>
      <c r="M480" s="407">
        <v>13.33</v>
      </c>
      <c r="N480" s="408" t="s">
        <v>289</v>
      </c>
      <c r="O480" s="325">
        <f t="shared" si="111"/>
        <v>0</v>
      </c>
      <c r="P480" s="325">
        <f t="shared" si="112"/>
        <v>0</v>
      </c>
      <c r="Q480" s="325">
        <f t="shared" si="113"/>
        <v>0</v>
      </c>
      <c r="R480" s="325">
        <f t="shared" si="100"/>
        <v>49</v>
      </c>
      <c r="S480" s="325">
        <f t="shared" si="101"/>
        <v>0</v>
      </c>
      <c r="T480" s="325">
        <f t="shared" si="114"/>
        <v>49</v>
      </c>
      <c r="U480" s="325">
        <f t="shared" si="115"/>
        <v>695</v>
      </c>
      <c r="V480" s="325">
        <f t="shared" si="96"/>
        <v>0</v>
      </c>
      <c r="W480" s="449" cm="1">
        <f t="array" ref="W480">+IF(U480&lt;0,error,0)</f>
        <v>0</v>
      </c>
    </row>
    <row r="481" spans="1:23" ht="18" customHeight="1" x14ac:dyDescent="0.2">
      <c r="A481" s="402" t="s">
        <v>1087</v>
      </c>
      <c r="B481" s="403"/>
      <c r="C481" s="404" t="s">
        <v>1088</v>
      </c>
      <c r="D481" s="405">
        <v>43312</v>
      </c>
      <c r="E481" s="406"/>
      <c r="F481" s="325"/>
      <c r="G481" s="324"/>
      <c r="H481" s="324">
        <v>1364</v>
      </c>
      <c r="I481" s="325">
        <v>1121</v>
      </c>
      <c r="J481" s="325"/>
      <c r="K481" s="325">
        <f t="shared" si="116"/>
        <v>0</v>
      </c>
      <c r="L481" s="325">
        <f t="shared" si="117"/>
        <v>0</v>
      </c>
      <c r="M481" s="407">
        <v>10</v>
      </c>
      <c r="N481" s="408" t="s">
        <v>289</v>
      </c>
      <c r="O481" s="325">
        <f t="shared" si="111"/>
        <v>0</v>
      </c>
      <c r="P481" s="325">
        <f t="shared" si="112"/>
        <v>0</v>
      </c>
      <c r="Q481" s="325">
        <f t="shared" si="113"/>
        <v>0</v>
      </c>
      <c r="R481" s="325">
        <f t="shared" si="100"/>
        <v>56</v>
      </c>
      <c r="S481" s="325">
        <f t="shared" si="101"/>
        <v>0</v>
      </c>
      <c r="T481" s="325">
        <f t="shared" si="114"/>
        <v>56</v>
      </c>
      <c r="U481" s="325">
        <f t="shared" si="115"/>
        <v>1065</v>
      </c>
      <c r="V481" s="325">
        <f t="shared" si="96"/>
        <v>0</v>
      </c>
      <c r="W481" s="449" cm="1">
        <f t="array" ref="W481">+IF(U481&lt;0,error,0)</f>
        <v>0</v>
      </c>
    </row>
    <row r="482" spans="1:23" ht="18" customHeight="1" x14ac:dyDescent="0.2">
      <c r="A482" s="402" t="s">
        <v>1089</v>
      </c>
      <c r="B482" s="403"/>
      <c r="C482" s="404" t="s">
        <v>1090</v>
      </c>
      <c r="D482" s="405">
        <v>43343</v>
      </c>
      <c r="E482" s="406"/>
      <c r="F482" s="325"/>
      <c r="G482" s="324"/>
      <c r="H482" s="324">
        <v>4658</v>
      </c>
      <c r="I482" s="325">
        <v>3861</v>
      </c>
      <c r="J482" s="325"/>
      <c r="K482" s="325">
        <f t="shared" si="116"/>
        <v>0</v>
      </c>
      <c r="L482" s="325">
        <f t="shared" si="117"/>
        <v>0</v>
      </c>
      <c r="M482" s="407">
        <v>10</v>
      </c>
      <c r="N482" s="408" t="s">
        <v>289</v>
      </c>
      <c r="O482" s="325">
        <f t="shared" si="111"/>
        <v>0</v>
      </c>
      <c r="P482" s="325">
        <f t="shared" si="112"/>
        <v>0</v>
      </c>
      <c r="Q482" s="325">
        <f t="shared" si="113"/>
        <v>0</v>
      </c>
      <c r="R482" s="325">
        <f t="shared" si="100"/>
        <v>193</v>
      </c>
      <c r="S482" s="325">
        <f t="shared" si="101"/>
        <v>0</v>
      </c>
      <c r="T482" s="325">
        <f t="shared" si="114"/>
        <v>193</v>
      </c>
      <c r="U482" s="325">
        <f t="shared" si="115"/>
        <v>3668</v>
      </c>
      <c r="V482" s="325">
        <f t="shared" si="96"/>
        <v>0</v>
      </c>
      <c r="W482" s="449" cm="1">
        <f t="array" ref="W482">+IF(U482&lt;0,error,0)</f>
        <v>0</v>
      </c>
    </row>
    <row r="483" spans="1:23" ht="18" customHeight="1" x14ac:dyDescent="0.2">
      <c r="A483" s="402" t="s">
        <v>1093</v>
      </c>
      <c r="B483" s="403"/>
      <c r="C483" s="404" t="s">
        <v>1094</v>
      </c>
      <c r="D483" s="405">
        <v>43290</v>
      </c>
      <c r="E483" s="406"/>
      <c r="F483" s="325"/>
      <c r="G483" s="324"/>
      <c r="H483" s="324">
        <v>10454.550000000001</v>
      </c>
      <c r="I483" s="325">
        <v>6886.5500000000011</v>
      </c>
      <c r="J483" s="325"/>
      <c r="K483" s="325">
        <f t="shared" si="116"/>
        <v>0</v>
      </c>
      <c r="L483" s="325">
        <f t="shared" si="117"/>
        <v>0</v>
      </c>
      <c r="M483" s="407">
        <v>20</v>
      </c>
      <c r="N483" s="408" t="s">
        <v>289</v>
      </c>
      <c r="O483" s="325">
        <f t="shared" si="111"/>
        <v>0</v>
      </c>
      <c r="P483" s="325">
        <f t="shared" si="112"/>
        <v>0</v>
      </c>
      <c r="Q483" s="325">
        <f t="shared" si="113"/>
        <v>0</v>
      </c>
      <c r="R483" s="325">
        <f t="shared" si="100"/>
        <v>688</v>
      </c>
      <c r="S483" s="325">
        <f t="shared" si="101"/>
        <v>0</v>
      </c>
      <c r="T483" s="325">
        <f t="shared" si="114"/>
        <v>688</v>
      </c>
      <c r="U483" s="325">
        <f t="shared" si="115"/>
        <v>6198.5500000000011</v>
      </c>
      <c r="V483" s="325">
        <f t="shared" si="96"/>
        <v>0</v>
      </c>
      <c r="W483" s="449" cm="1">
        <f t="array" ref="W483">+IF(U483&lt;0,error,0)</f>
        <v>0</v>
      </c>
    </row>
    <row r="484" spans="1:23" ht="18" customHeight="1" x14ac:dyDescent="0.2">
      <c r="A484" s="402" t="s">
        <v>1095</v>
      </c>
      <c r="B484" s="403"/>
      <c r="C484" s="404" t="s">
        <v>1096</v>
      </c>
      <c r="D484" s="405">
        <v>43298</v>
      </c>
      <c r="E484" s="406"/>
      <c r="F484" s="325"/>
      <c r="G484" s="324"/>
      <c r="H484" s="324">
        <v>1512.73</v>
      </c>
      <c r="I484" s="325">
        <v>1001.73</v>
      </c>
      <c r="J484" s="325"/>
      <c r="K484" s="325">
        <f t="shared" si="116"/>
        <v>0</v>
      </c>
      <c r="L484" s="325">
        <f t="shared" si="117"/>
        <v>0</v>
      </c>
      <c r="M484" s="407">
        <v>20</v>
      </c>
      <c r="N484" s="408" t="s">
        <v>289</v>
      </c>
      <c r="O484" s="325">
        <f t="shared" si="111"/>
        <v>0</v>
      </c>
      <c r="P484" s="325">
        <f t="shared" si="112"/>
        <v>0</v>
      </c>
      <c r="Q484" s="325">
        <f t="shared" si="113"/>
        <v>0</v>
      </c>
      <c r="R484" s="325">
        <f t="shared" si="100"/>
        <v>100</v>
      </c>
      <c r="S484" s="325">
        <f t="shared" si="101"/>
        <v>0</v>
      </c>
      <c r="T484" s="325">
        <f t="shared" si="114"/>
        <v>100</v>
      </c>
      <c r="U484" s="325">
        <f t="shared" si="115"/>
        <v>901.73</v>
      </c>
      <c r="V484" s="325">
        <f t="shared" si="96"/>
        <v>0</v>
      </c>
      <c r="W484" s="449" cm="1">
        <f t="array" ref="W484">+IF(U484&lt;0,error,0)</f>
        <v>0</v>
      </c>
    </row>
    <row r="485" spans="1:23" ht="18" customHeight="1" x14ac:dyDescent="0.2">
      <c r="A485" s="402" t="s">
        <v>1097</v>
      </c>
      <c r="B485" s="403"/>
      <c r="C485" s="404" t="s">
        <v>1098</v>
      </c>
      <c r="D485" s="405">
        <v>43298</v>
      </c>
      <c r="E485" s="406"/>
      <c r="F485" s="325"/>
      <c r="G485" s="324"/>
      <c r="H485" s="324">
        <v>3528.1800000000003</v>
      </c>
      <c r="I485" s="325">
        <v>2336.1800000000003</v>
      </c>
      <c r="J485" s="325"/>
      <c r="K485" s="325">
        <f t="shared" si="116"/>
        <v>0</v>
      </c>
      <c r="L485" s="325">
        <f t="shared" si="117"/>
        <v>0</v>
      </c>
      <c r="M485" s="407">
        <v>20</v>
      </c>
      <c r="N485" s="408" t="s">
        <v>289</v>
      </c>
      <c r="O485" s="325">
        <f t="shared" si="111"/>
        <v>0</v>
      </c>
      <c r="P485" s="325">
        <f t="shared" si="112"/>
        <v>0</v>
      </c>
      <c r="Q485" s="325">
        <f t="shared" si="113"/>
        <v>0</v>
      </c>
      <c r="R485" s="325">
        <f t="shared" si="100"/>
        <v>233</v>
      </c>
      <c r="S485" s="325">
        <f t="shared" si="101"/>
        <v>0</v>
      </c>
      <c r="T485" s="325">
        <f t="shared" si="114"/>
        <v>233</v>
      </c>
      <c r="U485" s="325">
        <f t="shared" si="115"/>
        <v>2103.1800000000003</v>
      </c>
      <c r="V485" s="325">
        <f t="shared" si="96"/>
        <v>0</v>
      </c>
      <c r="W485" s="449" cm="1">
        <f t="array" ref="W485">+IF(U485&lt;0,error,0)</f>
        <v>0</v>
      </c>
    </row>
    <row r="486" spans="1:23" ht="18" customHeight="1" x14ac:dyDescent="0.2">
      <c r="A486" s="402" t="s">
        <v>1099</v>
      </c>
      <c r="B486" s="403"/>
      <c r="C486" s="404" t="s">
        <v>1100</v>
      </c>
      <c r="D486" s="405">
        <v>43319</v>
      </c>
      <c r="E486" s="406"/>
      <c r="F486" s="325"/>
      <c r="G486" s="324"/>
      <c r="H486" s="324">
        <v>1747.32</v>
      </c>
      <c r="I486" s="325">
        <v>1172.32</v>
      </c>
      <c r="J486" s="325"/>
      <c r="K486" s="325">
        <f t="shared" si="116"/>
        <v>0</v>
      </c>
      <c r="L486" s="325">
        <f t="shared" si="117"/>
        <v>0</v>
      </c>
      <c r="M486" s="407">
        <v>20</v>
      </c>
      <c r="N486" s="408" t="s">
        <v>289</v>
      </c>
      <c r="O486" s="325">
        <f t="shared" si="111"/>
        <v>0</v>
      </c>
      <c r="P486" s="325">
        <f t="shared" si="112"/>
        <v>0</v>
      </c>
      <c r="Q486" s="325">
        <f t="shared" si="113"/>
        <v>0</v>
      </c>
      <c r="R486" s="325">
        <f t="shared" si="100"/>
        <v>117</v>
      </c>
      <c r="S486" s="325">
        <f t="shared" si="101"/>
        <v>0</v>
      </c>
      <c r="T486" s="325">
        <f t="shared" si="114"/>
        <v>117</v>
      </c>
      <c r="U486" s="325">
        <f t="shared" si="115"/>
        <v>1055.32</v>
      </c>
      <c r="V486" s="325">
        <f t="shared" si="96"/>
        <v>0</v>
      </c>
      <c r="W486" s="449" cm="1">
        <f t="array" ref="W486">+IF(U486&lt;0,error,0)</f>
        <v>0</v>
      </c>
    </row>
    <row r="487" spans="1:23" ht="18" customHeight="1" x14ac:dyDescent="0.2">
      <c r="A487" s="402" t="s">
        <v>1101</v>
      </c>
      <c r="B487" s="403"/>
      <c r="C487" s="404" t="s">
        <v>1102</v>
      </c>
      <c r="D487" s="405">
        <v>43383</v>
      </c>
      <c r="E487" s="406"/>
      <c r="F487" s="325"/>
      <c r="G487" s="324"/>
      <c r="H487" s="324">
        <v>1715.45</v>
      </c>
      <c r="I487" s="325">
        <v>1193.45</v>
      </c>
      <c r="J487" s="325"/>
      <c r="K487" s="325">
        <f t="shared" si="116"/>
        <v>0</v>
      </c>
      <c r="L487" s="325">
        <f t="shared" si="117"/>
        <v>0</v>
      </c>
      <c r="M487" s="407">
        <v>20</v>
      </c>
      <c r="N487" s="408" t="s">
        <v>289</v>
      </c>
      <c r="O487" s="325">
        <f t="shared" si="111"/>
        <v>0</v>
      </c>
      <c r="P487" s="325">
        <f t="shared" si="112"/>
        <v>0</v>
      </c>
      <c r="Q487" s="325">
        <f t="shared" si="113"/>
        <v>0</v>
      </c>
      <c r="R487" s="325">
        <f t="shared" si="100"/>
        <v>119</v>
      </c>
      <c r="S487" s="325">
        <f t="shared" si="101"/>
        <v>0</v>
      </c>
      <c r="T487" s="325">
        <f t="shared" si="114"/>
        <v>119</v>
      </c>
      <c r="U487" s="325">
        <f t="shared" si="115"/>
        <v>1074.45</v>
      </c>
      <c r="V487" s="325">
        <f t="shared" si="96"/>
        <v>0</v>
      </c>
      <c r="W487" s="449" cm="1">
        <f t="array" ref="W487">+IF(U487&lt;0,error,0)</f>
        <v>0</v>
      </c>
    </row>
    <row r="488" spans="1:23" ht="18" customHeight="1" x14ac:dyDescent="0.2">
      <c r="A488" s="402" t="s">
        <v>1103</v>
      </c>
      <c r="B488" s="403"/>
      <c r="C488" s="411" t="s">
        <v>1104</v>
      </c>
      <c r="D488" s="405">
        <v>43395</v>
      </c>
      <c r="E488" s="406"/>
      <c r="F488" s="325"/>
      <c r="G488" s="439"/>
      <c r="H488" s="324">
        <v>30000</v>
      </c>
      <c r="I488" s="325">
        <v>25217</v>
      </c>
      <c r="J488" s="325"/>
      <c r="K488" s="325">
        <f t="shared" si="116"/>
        <v>0</v>
      </c>
      <c r="L488" s="325">
        <f t="shared" si="117"/>
        <v>0</v>
      </c>
      <c r="M488" s="407">
        <v>10</v>
      </c>
      <c r="N488" s="408" t="s">
        <v>289</v>
      </c>
      <c r="O488" s="325">
        <f t="shared" si="111"/>
        <v>0</v>
      </c>
      <c r="P488" s="325">
        <f t="shared" si="112"/>
        <v>0</v>
      </c>
      <c r="Q488" s="325">
        <f t="shared" si="113"/>
        <v>0</v>
      </c>
      <c r="R488" s="325">
        <f t="shared" si="100"/>
        <v>1260</v>
      </c>
      <c r="S488" s="325">
        <f t="shared" si="101"/>
        <v>0</v>
      </c>
      <c r="T488" s="325">
        <f t="shared" si="114"/>
        <v>1260</v>
      </c>
      <c r="U488" s="325">
        <f t="shared" si="115"/>
        <v>23957</v>
      </c>
      <c r="V488" s="325">
        <f t="shared" si="96"/>
        <v>0</v>
      </c>
      <c r="W488" s="449" cm="1">
        <f t="array" ref="W488">+IF(U488&lt;0,error,0)</f>
        <v>0</v>
      </c>
    </row>
    <row r="489" spans="1:23" ht="18" customHeight="1" x14ac:dyDescent="0.2">
      <c r="A489" s="402" t="s">
        <v>1105</v>
      </c>
      <c r="B489" s="403"/>
      <c r="C489" s="404" t="s">
        <v>1106</v>
      </c>
      <c r="D489" s="405">
        <v>43374</v>
      </c>
      <c r="E489" s="406"/>
      <c r="F489" s="325"/>
      <c r="G489" s="324"/>
      <c r="H489" s="324">
        <v>1060</v>
      </c>
      <c r="I489" s="325">
        <v>735</v>
      </c>
      <c r="J489" s="325"/>
      <c r="K489" s="325">
        <f t="shared" si="116"/>
        <v>0</v>
      </c>
      <c r="L489" s="325">
        <f t="shared" si="117"/>
        <v>0</v>
      </c>
      <c r="M489" s="407">
        <v>20</v>
      </c>
      <c r="N489" s="408" t="s">
        <v>289</v>
      </c>
      <c r="O489" s="325">
        <f t="shared" si="111"/>
        <v>0</v>
      </c>
      <c r="P489" s="325">
        <f t="shared" si="112"/>
        <v>0</v>
      </c>
      <c r="Q489" s="325">
        <f t="shared" si="113"/>
        <v>0</v>
      </c>
      <c r="R489" s="325">
        <f t="shared" si="100"/>
        <v>73</v>
      </c>
      <c r="S489" s="325">
        <f t="shared" si="101"/>
        <v>0</v>
      </c>
      <c r="T489" s="325">
        <f t="shared" si="114"/>
        <v>73</v>
      </c>
      <c r="U489" s="325">
        <f t="shared" si="115"/>
        <v>662</v>
      </c>
      <c r="V489" s="325">
        <f t="shared" si="96"/>
        <v>0</v>
      </c>
      <c r="W489" s="449" cm="1">
        <f t="array" ref="W489">+IF(U489&lt;0,error,0)</f>
        <v>0</v>
      </c>
    </row>
    <row r="490" spans="1:23" ht="18" customHeight="1" x14ac:dyDescent="0.2">
      <c r="A490" s="402" t="s">
        <v>1107</v>
      </c>
      <c r="B490" s="403"/>
      <c r="C490" s="404" t="s">
        <v>1108</v>
      </c>
      <c r="D490" s="405">
        <v>43406</v>
      </c>
      <c r="E490" s="406"/>
      <c r="F490" s="325"/>
      <c r="G490" s="324"/>
      <c r="H490" s="324">
        <v>2036.3600000000001</v>
      </c>
      <c r="I490" s="325">
        <v>1435.3600000000001</v>
      </c>
      <c r="J490" s="325"/>
      <c r="K490" s="325">
        <f t="shared" si="116"/>
        <v>0</v>
      </c>
      <c r="L490" s="325">
        <f t="shared" si="117"/>
        <v>0</v>
      </c>
      <c r="M490" s="407">
        <v>20</v>
      </c>
      <c r="N490" s="408" t="s">
        <v>289</v>
      </c>
      <c r="O490" s="325">
        <f t="shared" si="111"/>
        <v>0</v>
      </c>
      <c r="P490" s="325">
        <f t="shared" si="112"/>
        <v>0</v>
      </c>
      <c r="Q490" s="325">
        <f t="shared" si="113"/>
        <v>0</v>
      </c>
      <c r="R490" s="325">
        <f t="shared" si="100"/>
        <v>143</v>
      </c>
      <c r="S490" s="325">
        <f t="shared" si="101"/>
        <v>0</v>
      </c>
      <c r="T490" s="325">
        <f t="shared" si="114"/>
        <v>143</v>
      </c>
      <c r="U490" s="325">
        <f t="shared" si="115"/>
        <v>1292.3600000000001</v>
      </c>
      <c r="V490" s="325">
        <f t="shared" si="96"/>
        <v>0</v>
      </c>
      <c r="W490" s="449" cm="1">
        <f t="array" ref="W490">+IF(U490&lt;0,error,0)</f>
        <v>0</v>
      </c>
    </row>
    <row r="491" spans="1:23" ht="18" customHeight="1" x14ac:dyDescent="0.2">
      <c r="A491" s="402" t="s">
        <v>1109</v>
      </c>
      <c r="B491" s="403"/>
      <c r="C491" s="404" t="s">
        <v>1110</v>
      </c>
      <c r="D491" s="405">
        <v>43410</v>
      </c>
      <c r="E491" s="406"/>
      <c r="F491" s="325"/>
      <c r="G491" s="324"/>
      <c r="H491" s="324">
        <v>545.45000000000005</v>
      </c>
      <c r="I491" s="325">
        <v>387.45000000000005</v>
      </c>
      <c r="J491" s="325"/>
      <c r="K491" s="325">
        <f t="shared" si="116"/>
        <v>0</v>
      </c>
      <c r="L491" s="325">
        <f t="shared" si="117"/>
        <v>0</v>
      </c>
      <c r="M491" s="407">
        <v>20</v>
      </c>
      <c r="N491" s="408" t="s">
        <v>289</v>
      </c>
      <c r="O491" s="325">
        <f>IF(E491&gt;0,INT(IF($N491="D",IF($D491&lt;$H$3,$I491*($M491/100)*((E491-$H$3)/365),$J491*($M491/100)*($J$3-$D491)/365),0)),0)</f>
        <v>0</v>
      </c>
      <c r="P491" s="325">
        <f>IF(E491&gt;0,INT(IF($N491="P",IF($D491&lt;$H$3,$H491*($M491/100)*(E491-$H$3)/365,$J491*($M491/100)*($J$3-$D491)/365),0)),0)</f>
        <v>0</v>
      </c>
      <c r="Q491" s="325">
        <f>+O491+P491</f>
        <v>0</v>
      </c>
      <c r="R491" s="325">
        <f>INT(IF($E491&gt;0,0,(IF($N491="D",IF($D491&lt;$H$3,$I491*($M491/100)*$U$3/12,$J491*($M491/100)*($J$3-$D491)/365),0))))</f>
        <v>38</v>
      </c>
      <c r="S491" s="325">
        <f>INT(IF($E491&gt;0,0,(IF($N491="P",IF($D491&lt;$H$3,$H491*($M491/100)*$U$3/12,$J491*($M491/100)*($J$3-$D491)/365),0))))</f>
        <v>0</v>
      </c>
      <c r="T491" s="325">
        <f t="shared" si="114"/>
        <v>38</v>
      </c>
      <c r="U491" s="325">
        <f t="shared" si="115"/>
        <v>349.45000000000005</v>
      </c>
      <c r="V491" s="325">
        <f t="shared" si="96"/>
        <v>0</v>
      </c>
      <c r="W491" s="449" cm="1">
        <f t="array" ref="W491">+IF(U491&lt;0,error,0)</f>
        <v>0</v>
      </c>
    </row>
    <row r="492" spans="1:23" ht="18" customHeight="1" x14ac:dyDescent="0.2">
      <c r="A492" s="402" t="s">
        <v>1111</v>
      </c>
      <c r="B492" s="403"/>
      <c r="C492" s="404" t="s">
        <v>1112</v>
      </c>
      <c r="D492" s="405">
        <v>43410</v>
      </c>
      <c r="E492" s="406"/>
      <c r="F492" s="325"/>
      <c r="G492" s="324"/>
      <c r="H492" s="324">
        <v>690.73</v>
      </c>
      <c r="I492" s="325">
        <v>488.73</v>
      </c>
      <c r="J492" s="325"/>
      <c r="K492" s="325">
        <f t="shared" si="116"/>
        <v>0</v>
      </c>
      <c r="L492" s="325">
        <f t="shared" si="117"/>
        <v>0</v>
      </c>
      <c r="M492" s="407">
        <v>20</v>
      </c>
      <c r="N492" s="408" t="s">
        <v>289</v>
      </c>
      <c r="O492" s="325">
        <f>IF(E492&gt;0,INT(IF($N492="D",IF($D492&lt;$H$3,$I492*($M492/100)*((E492-$H$3)/365),$J492*($M492/100)*($J$3-$D492)/365),0)),0)</f>
        <v>0</v>
      </c>
      <c r="P492" s="325">
        <f>IF(E492&gt;0,INT(IF($N492="P",IF($D492&lt;$H$3,$H492*($M492/100)*(E492-$H$3)/365,$J492*($M492/100)*($J$3-$D492)/365),0)),0)</f>
        <v>0</v>
      </c>
      <c r="Q492" s="325">
        <f>+O492+P492</f>
        <v>0</v>
      </c>
      <c r="R492" s="325">
        <f>INT(IF($E492&gt;0,0,(IF($N492="D",IF($D492&lt;$H$3,$I492*($M492/100)*$U$3/12,$J492*($M492/100)*($J$3-$D492)/365),0))))</f>
        <v>48</v>
      </c>
      <c r="S492" s="325">
        <f>INT(IF($E492&gt;0,0,(IF($N492="P",IF($D492&lt;$H$3,$H492*($M492/100)*$U$3/12,$J492*($M492/100)*($J$3-$D492)/365),0))))</f>
        <v>0</v>
      </c>
      <c r="T492" s="325">
        <f t="shared" si="114"/>
        <v>48</v>
      </c>
      <c r="U492" s="325">
        <f t="shared" si="115"/>
        <v>440.73</v>
      </c>
      <c r="V492" s="325">
        <f t="shared" si="96"/>
        <v>0</v>
      </c>
      <c r="W492" s="449" cm="1">
        <f t="array" ref="W492">+IF(U492&lt;0,error,0)</f>
        <v>0</v>
      </c>
    </row>
    <row r="493" spans="1:23" ht="18" customHeight="1" x14ac:dyDescent="0.2">
      <c r="A493" s="402" t="s">
        <v>1113</v>
      </c>
      <c r="B493" s="403"/>
      <c r="C493" s="412" t="s">
        <v>1114</v>
      </c>
      <c r="D493" s="405">
        <v>43427</v>
      </c>
      <c r="E493" s="406"/>
      <c r="F493" s="325"/>
      <c r="G493" s="324"/>
      <c r="H493" s="324">
        <v>11137.12</v>
      </c>
      <c r="I493" s="325">
        <v>7935.1200000000008</v>
      </c>
      <c r="J493" s="325"/>
      <c r="K493" s="325">
        <f t="shared" si="116"/>
        <v>0</v>
      </c>
      <c r="L493" s="325">
        <f t="shared" si="117"/>
        <v>0</v>
      </c>
      <c r="M493" s="407">
        <v>20</v>
      </c>
      <c r="N493" s="408" t="s">
        <v>289</v>
      </c>
      <c r="O493" s="325">
        <f>IF(E493&gt;0,INT(IF($N493="D",IF($D493&lt;$H$3,$I493*($M493/100)*((E493-$H$3)/365),$J493*($M493/100)*($J$3-$D493)/365),0)),0)</f>
        <v>0</v>
      </c>
      <c r="P493" s="325">
        <f>IF(E493&gt;0,INT(IF($N493="P",IF($D493&lt;$H$3,$H493*($M493/100)*(E493-$H$3)/365,$J493*($M493/100)*($J$3-$D493)/365),0)),0)</f>
        <v>0</v>
      </c>
      <c r="Q493" s="325">
        <f>+O493+P493</f>
        <v>0</v>
      </c>
      <c r="R493" s="325">
        <f>INT(IF($E493&gt;0,0,(IF($N493="D",IF($D493&lt;$H$3,$I493*($M493/100)*$U$3/12,$J493*($M493/100)*($J$3-$D493)/365),0))))</f>
        <v>793</v>
      </c>
      <c r="S493" s="325">
        <f>INT(IF($E493&gt;0,0,(IF($N493="P",IF($D493&lt;$H$3,$H493*($M493/100)*$U$3/12,$J493*($M493/100)*($J$3-$D493)/365),0))))</f>
        <v>0</v>
      </c>
      <c r="T493" s="325">
        <f t="shared" si="114"/>
        <v>793</v>
      </c>
      <c r="U493" s="325">
        <f t="shared" si="115"/>
        <v>7142.1200000000008</v>
      </c>
      <c r="V493" s="325">
        <f t="shared" si="96"/>
        <v>0</v>
      </c>
      <c r="W493" s="449" cm="1">
        <f t="array" ref="W493">+IF(U493&lt;0,error,0)</f>
        <v>0</v>
      </c>
    </row>
    <row r="494" spans="1:23" ht="18" customHeight="1" x14ac:dyDescent="0.2">
      <c r="A494" s="402" t="s">
        <v>1115</v>
      </c>
      <c r="B494" s="403"/>
      <c r="C494" s="404" t="s">
        <v>1116</v>
      </c>
      <c r="D494" s="405">
        <v>43432</v>
      </c>
      <c r="E494" s="406"/>
      <c r="F494" s="325"/>
      <c r="G494" s="324"/>
      <c r="H494" s="324">
        <v>7168.75</v>
      </c>
      <c r="I494" s="325">
        <v>5121.75</v>
      </c>
      <c r="J494" s="325"/>
      <c r="K494" s="325">
        <f t="shared" si="116"/>
        <v>0</v>
      </c>
      <c r="L494" s="325">
        <f t="shared" si="117"/>
        <v>0</v>
      </c>
      <c r="M494" s="407">
        <v>20</v>
      </c>
      <c r="N494" s="408" t="s">
        <v>289</v>
      </c>
      <c r="O494" s="325">
        <f>IF(E494&gt;0,INT(IF($N494="D",IF($D494&lt;$H$3,$I494*($M494/100)*((E494-$H$3)/365),$J494*($M494/100)*($J$3-$D494)/365),0)),0)</f>
        <v>0</v>
      </c>
      <c r="P494" s="325">
        <f>IF(E494&gt;0,INT(IF($N494="P",IF($D494&lt;$H$3,$H494*($M494/100)*(E494-$H$3)/365,$J494*($M494/100)*($J$3-$D494)/365),0)),0)</f>
        <v>0</v>
      </c>
      <c r="Q494" s="325">
        <f>+O494+P494</f>
        <v>0</v>
      </c>
      <c r="R494" s="325">
        <f>INT(IF($E494&gt;0,0,(IF($N494="D",IF($D494&lt;$H$3,$I494*($M494/100)*$U$3/12,$J494*($M494/100)*($J$3-$D494)/365),0))))</f>
        <v>512</v>
      </c>
      <c r="S494" s="325">
        <f>INT(IF($E494&gt;0,0,(IF($N494="P",IF($D494&lt;$H$3,$H494*($M494/100)*$U$3/12,$J494*($M494/100)*($J$3-$D494)/365),0))))</f>
        <v>0</v>
      </c>
      <c r="T494" s="325">
        <f t="shared" si="114"/>
        <v>512</v>
      </c>
      <c r="U494" s="325">
        <f t="shared" si="115"/>
        <v>4609.75</v>
      </c>
      <c r="V494" s="325">
        <f t="shared" si="96"/>
        <v>0</v>
      </c>
      <c r="W494" s="449" cm="1">
        <f t="array" ref="W494">+IF(U494&lt;0,error,0)</f>
        <v>0</v>
      </c>
    </row>
    <row r="495" spans="1:23" ht="18" customHeight="1" x14ac:dyDescent="0.2">
      <c r="A495" s="402" t="s">
        <v>2045</v>
      </c>
      <c r="B495" s="403"/>
      <c r="C495" s="404" t="s">
        <v>2055</v>
      </c>
      <c r="D495" s="405">
        <v>43585</v>
      </c>
      <c r="E495" s="406"/>
      <c r="F495" s="325"/>
      <c r="G495" s="324"/>
      <c r="H495" s="324">
        <v>54800</v>
      </c>
      <c r="I495" s="325">
        <v>50637</v>
      </c>
      <c r="J495" s="325"/>
      <c r="K495" s="325">
        <f t="shared" si="116"/>
        <v>0</v>
      </c>
      <c r="L495" s="325">
        <f t="shared" si="117"/>
        <v>0</v>
      </c>
      <c r="M495" s="407">
        <v>6.67</v>
      </c>
      <c r="N495" s="408" t="s">
        <v>289</v>
      </c>
      <c r="O495" s="325">
        <f t="shared" ref="O495:O497" si="118">IF(E495&gt;0,INT(IF($N495="D",IF($D495&lt;$H$3,$I495*($M495/100)*((E495-$H$3)/365),$J495*($M495/100)*($J$3-$D495)/365),0)),0)</f>
        <v>0</v>
      </c>
      <c r="P495" s="325">
        <f t="shared" ref="P495:P497" si="119">IF(E495&gt;0,INT(IF($N495="P",IF($D495&lt;$H$3,$H495*($M495/100)*(E495-$H$3)/365,$J495*($M495/100)*($J$3-$D495)/365),0)),0)</f>
        <v>0</v>
      </c>
      <c r="Q495" s="325">
        <f t="shared" ref="Q495:Q497" si="120">+O495+P495</f>
        <v>0</v>
      </c>
      <c r="R495" s="325">
        <f t="shared" ref="R495:R532" si="121">INT(IF($E495&gt;0,0,(IF($N495="D",IF($D495&lt;$H$3,$I495*($M495/100)*$U$3/12,$J495*($M495/100)*($J$3-$D495)/365),0))))</f>
        <v>1688</v>
      </c>
      <c r="S495" s="325">
        <f t="shared" ref="S495:S532" si="122">INT(IF($E495&gt;0,0,(IF($N495="P",IF($D495&lt;$H$3,$H495*($M495/100)*$U$3/12,$J495*($M495/100)*($J$3-$D495)/365),0))))</f>
        <v>0</v>
      </c>
      <c r="T495" s="325">
        <f t="shared" si="114"/>
        <v>1688</v>
      </c>
      <c r="U495" s="325">
        <f t="shared" si="115"/>
        <v>48949</v>
      </c>
      <c r="V495" s="325">
        <f t="shared" si="96"/>
        <v>0</v>
      </c>
      <c r="W495" s="449" cm="1">
        <f t="array" ref="W495">+IF(U495&lt;0,error,0)</f>
        <v>0</v>
      </c>
    </row>
    <row r="496" spans="1:23" ht="18" customHeight="1" x14ac:dyDescent="0.2">
      <c r="A496" s="402" t="s">
        <v>2048</v>
      </c>
      <c r="B496" s="403"/>
      <c r="C496" s="404" t="s">
        <v>2058</v>
      </c>
      <c r="D496" s="405">
        <v>43538</v>
      </c>
      <c r="E496" s="406"/>
      <c r="F496" s="325"/>
      <c r="G496" s="324"/>
      <c r="H496" s="324">
        <v>14614</v>
      </c>
      <c r="I496" s="325">
        <v>13388</v>
      </c>
      <c r="J496" s="325"/>
      <c r="K496" s="325">
        <f t="shared" si="116"/>
        <v>0</v>
      </c>
      <c r="L496" s="325">
        <f t="shared" si="117"/>
        <v>0</v>
      </c>
      <c r="M496" s="407">
        <v>6.67</v>
      </c>
      <c r="N496" s="408" t="s">
        <v>289</v>
      </c>
      <c r="O496" s="325">
        <f t="shared" si="118"/>
        <v>0</v>
      </c>
      <c r="P496" s="325">
        <f t="shared" si="119"/>
        <v>0</v>
      </c>
      <c r="Q496" s="325">
        <f t="shared" si="120"/>
        <v>0</v>
      </c>
      <c r="R496" s="325">
        <f t="shared" si="121"/>
        <v>446</v>
      </c>
      <c r="S496" s="325">
        <f t="shared" si="122"/>
        <v>0</v>
      </c>
      <c r="T496" s="325">
        <f t="shared" si="114"/>
        <v>446</v>
      </c>
      <c r="U496" s="325">
        <f t="shared" si="115"/>
        <v>12942</v>
      </c>
      <c r="V496" s="325">
        <f t="shared" si="96"/>
        <v>0</v>
      </c>
      <c r="W496" s="449" cm="1">
        <f t="array" ref="W496">+IF(U496&lt;0,error,0)</f>
        <v>0</v>
      </c>
    </row>
    <row r="497" spans="1:23" ht="18" customHeight="1" x14ac:dyDescent="0.2">
      <c r="A497" s="402" t="s">
        <v>2049</v>
      </c>
      <c r="B497" s="403"/>
      <c r="C497" s="404" t="s">
        <v>2059</v>
      </c>
      <c r="D497" s="405">
        <v>43555</v>
      </c>
      <c r="E497" s="406"/>
      <c r="F497" s="325"/>
      <c r="G497" s="324"/>
      <c r="H497" s="324">
        <v>65105</v>
      </c>
      <c r="I497" s="325">
        <v>57293</v>
      </c>
      <c r="J497" s="325"/>
      <c r="K497" s="325">
        <f t="shared" si="116"/>
        <v>0</v>
      </c>
      <c r="L497" s="325">
        <f t="shared" si="117"/>
        <v>0</v>
      </c>
      <c r="M497" s="407">
        <v>10</v>
      </c>
      <c r="N497" s="408" t="s">
        <v>289</v>
      </c>
      <c r="O497" s="325">
        <f t="shared" si="118"/>
        <v>0</v>
      </c>
      <c r="P497" s="325">
        <f t="shared" si="119"/>
        <v>0</v>
      </c>
      <c r="Q497" s="325">
        <f t="shared" si="120"/>
        <v>0</v>
      </c>
      <c r="R497" s="325">
        <f t="shared" si="121"/>
        <v>2864</v>
      </c>
      <c r="S497" s="325">
        <f t="shared" si="122"/>
        <v>0</v>
      </c>
      <c r="T497" s="325">
        <f t="shared" si="114"/>
        <v>2864</v>
      </c>
      <c r="U497" s="325">
        <f t="shared" si="115"/>
        <v>54429</v>
      </c>
      <c r="V497" s="325">
        <f t="shared" si="96"/>
        <v>0</v>
      </c>
      <c r="W497" s="449" cm="1">
        <f t="array" ref="W497">+IF(U497&lt;0,error,0)</f>
        <v>0</v>
      </c>
    </row>
    <row r="498" spans="1:23" ht="18" customHeight="1" x14ac:dyDescent="0.2">
      <c r="A498" s="402" t="s">
        <v>2050</v>
      </c>
      <c r="B498" s="403"/>
      <c r="C498" s="404" t="s">
        <v>2060</v>
      </c>
      <c r="D498" s="405">
        <v>43524</v>
      </c>
      <c r="E498" s="406"/>
      <c r="F498" s="325"/>
      <c r="G498" s="324"/>
      <c r="H498" s="324">
        <v>42780</v>
      </c>
      <c r="I498" s="325">
        <v>37320</v>
      </c>
      <c r="J498" s="325"/>
      <c r="K498" s="325">
        <f>INT(IF($E498&gt;0,IF(+F498-I498+Q498&lt;0,0,+F498-I498+Q498),0))</f>
        <v>0</v>
      </c>
      <c r="L498" s="325">
        <f>INT(IF($E498&gt;0,IF(K498=0,-F498+I498-Q498,0),0))</f>
        <v>0</v>
      </c>
      <c r="M498" s="407">
        <v>10</v>
      </c>
      <c r="N498" s="408" t="s">
        <v>289</v>
      </c>
      <c r="O498" s="325">
        <f>IF(E498&gt;0,INT(IF($N498="D",IF($D498&lt;$H$3,$I498*($M498/100)*((E498-$H$3)/365),$J498*($M498/100)*($J$3-$D498)/365),0)),0)</f>
        <v>0</v>
      </c>
      <c r="P498" s="325">
        <f>IF(E498&gt;0,INT(IF($N498="P",IF($D498&lt;$H$3,$H498*($M498/100)*(E498-$H$3)/365,$J498*($M498/100)*($J$3-$D498)/365),0)),0)</f>
        <v>0</v>
      </c>
      <c r="Q498" s="325">
        <f>+O498+P498</f>
        <v>0</v>
      </c>
      <c r="R498" s="325">
        <f t="shared" si="121"/>
        <v>1866</v>
      </c>
      <c r="S498" s="325">
        <f t="shared" si="122"/>
        <v>0</v>
      </c>
      <c r="T498" s="325">
        <f>+R498+S498+Q498</f>
        <v>1866</v>
      </c>
      <c r="U498" s="325">
        <f>+I498+J498-T498-F498+K498-L498</f>
        <v>35454</v>
      </c>
      <c r="V498" s="325">
        <f t="shared" si="96"/>
        <v>0</v>
      </c>
      <c r="W498" s="449" cm="1">
        <f t="array" ref="W498">+IF(U498&lt;0,error,0)</f>
        <v>0</v>
      </c>
    </row>
    <row r="499" spans="1:23" ht="18" customHeight="1" x14ac:dyDescent="0.2">
      <c r="A499" s="402" t="s">
        <v>2051</v>
      </c>
      <c r="B499" s="403"/>
      <c r="C499" s="404" t="s">
        <v>2037</v>
      </c>
      <c r="D499" s="405">
        <v>43487</v>
      </c>
      <c r="E499" s="406"/>
      <c r="F499" s="325"/>
      <c r="G499" s="324"/>
      <c r="H499" s="324">
        <v>33510</v>
      </c>
      <c r="I499" s="325">
        <v>24779</v>
      </c>
      <c r="J499" s="325"/>
      <c r="K499" s="325">
        <f t="shared" ref="K499:K506" si="123">INT(IF($E499&gt;0,IF(+F499-I499+Q499&lt;0,0,+F499-I499+Q499),0))</f>
        <v>0</v>
      </c>
      <c r="L499" s="325">
        <f t="shared" ref="L499:L506" si="124">INT(IF($E499&gt;0,IF(K499=0,-F499+I499-Q499,0),0))</f>
        <v>0</v>
      </c>
      <c r="M499" s="407">
        <v>20</v>
      </c>
      <c r="N499" s="408" t="s">
        <v>289</v>
      </c>
      <c r="O499" s="325">
        <f t="shared" ref="O499:O506" si="125">IF(E499&gt;0,INT(IF($N499="D",IF($D499&lt;$H$3,$I499*($M499/100)*((E499-$H$3)/365),$J499*($M499/100)*($J$3-$D499)/365),0)),0)</f>
        <v>0</v>
      </c>
      <c r="P499" s="325">
        <f t="shared" ref="P499:P506" si="126">IF(E499&gt;0,INT(IF($N499="P",IF($D499&lt;$H$3,$H499*($M499/100)*(E499-$H$3)/365,$J499*($M499/100)*($J$3-$D499)/365),0)),0)</f>
        <v>0</v>
      </c>
      <c r="Q499" s="325">
        <f t="shared" ref="Q499:Q506" si="127">+O499+P499</f>
        <v>0</v>
      </c>
      <c r="R499" s="325">
        <f t="shared" si="121"/>
        <v>2477</v>
      </c>
      <c r="S499" s="325">
        <f t="shared" si="122"/>
        <v>0</v>
      </c>
      <c r="T499" s="325">
        <f t="shared" ref="T499:T506" si="128">+R499+S499+Q499</f>
        <v>2477</v>
      </c>
      <c r="U499" s="325">
        <f t="shared" ref="U499:U506" si="129">+I499+J499-T499-F499+K499-L499</f>
        <v>22302</v>
      </c>
      <c r="V499" s="325">
        <f t="shared" si="96"/>
        <v>0</v>
      </c>
      <c r="W499" s="449" cm="1">
        <f t="array" ref="W499">+IF(U499&lt;0,error,0)</f>
        <v>0</v>
      </c>
    </row>
    <row r="500" spans="1:23" ht="18" customHeight="1" x14ac:dyDescent="0.2">
      <c r="A500" s="402" t="s">
        <v>2052</v>
      </c>
      <c r="B500" s="403"/>
      <c r="C500" s="404" t="s">
        <v>2062</v>
      </c>
      <c r="D500" s="405">
        <v>43524</v>
      </c>
      <c r="E500" s="406"/>
      <c r="F500" s="325"/>
      <c r="G500" s="324"/>
      <c r="H500" s="324">
        <v>10285.01</v>
      </c>
      <c r="I500" s="325">
        <v>7776.01</v>
      </c>
      <c r="J500" s="325"/>
      <c r="K500" s="325">
        <f t="shared" si="123"/>
        <v>0</v>
      </c>
      <c r="L500" s="325">
        <f t="shared" si="124"/>
        <v>0</v>
      </c>
      <c r="M500" s="407">
        <v>20</v>
      </c>
      <c r="N500" s="408" t="s">
        <v>289</v>
      </c>
      <c r="O500" s="325">
        <f t="shared" si="125"/>
        <v>0</v>
      </c>
      <c r="P500" s="325">
        <f t="shared" si="126"/>
        <v>0</v>
      </c>
      <c r="Q500" s="325">
        <f t="shared" si="127"/>
        <v>0</v>
      </c>
      <c r="R500" s="325">
        <f t="shared" si="121"/>
        <v>777</v>
      </c>
      <c r="S500" s="325">
        <f t="shared" si="122"/>
        <v>0</v>
      </c>
      <c r="T500" s="325">
        <f t="shared" si="128"/>
        <v>777</v>
      </c>
      <c r="U500" s="325">
        <f t="shared" si="129"/>
        <v>6999.01</v>
      </c>
      <c r="V500" s="325">
        <f t="shared" si="96"/>
        <v>0</v>
      </c>
      <c r="W500" s="449" cm="1">
        <f t="array" ref="W500">+IF(U500&lt;0,error,0)</f>
        <v>0</v>
      </c>
    </row>
    <row r="501" spans="1:23" ht="18" customHeight="1" x14ac:dyDescent="0.2">
      <c r="A501" s="402" t="s">
        <v>2053</v>
      </c>
      <c r="B501" s="403"/>
      <c r="C501" s="404" t="s">
        <v>2073</v>
      </c>
      <c r="D501" s="405">
        <v>43461</v>
      </c>
      <c r="E501" s="406"/>
      <c r="F501" s="325"/>
      <c r="G501" s="324"/>
      <c r="H501" s="324">
        <v>2515</v>
      </c>
      <c r="I501" s="325">
        <v>1832</v>
      </c>
      <c r="J501" s="325"/>
      <c r="K501" s="325">
        <f t="shared" si="123"/>
        <v>0</v>
      </c>
      <c r="L501" s="325">
        <f t="shared" si="124"/>
        <v>0</v>
      </c>
      <c r="M501" s="407">
        <v>20</v>
      </c>
      <c r="N501" s="408" t="s">
        <v>289</v>
      </c>
      <c r="O501" s="325">
        <f t="shared" si="125"/>
        <v>0</v>
      </c>
      <c r="P501" s="325">
        <f t="shared" si="126"/>
        <v>0</v>
      </c>
      <c r="Q501" s="325">
        <f t="shared" si="127"/>
        <v>0</v>
      </c>
      <c r="R501" s="325">
        <f t="shared" si="121"/>
        <v>183</v>
      </c>
      <c r="S501" s="325">
        <f t="shared" si="122"/>
        <v>0</v>
      </c>
      <c r="T501" s="325">
        <f t="shared" si="128"/>
        <v>183</v>
      </c>
      <c r="U501" s="325">
        <f t="shared" si="129"/>
        <v>1649</v>
      </c>
      <c r="V501" s="325">
        <f t="shared" si="96"/>
        <v>0</v>
      </c>
      <c r="W501" s="449" cm="1">
        <f t="array" ref="W501">+IF(U501&lt;0,error,0)</f>
        <v>0</v>
      </c>
    </row>
    <row r="502" spans="1:23" ht="18" customHeight="1" x14ac:dyDescent="0.2">
      <c r="A502" s="402" t="s">
        <v>2054</v>
      </c>
      <c r="B502" s="403"/>
      <c r="C502" s="404" t="s">
        <v>2069</v>
      </c>
      <c r="D502" s="405">
        <v>43466</v>
      </c>
      <c r="E502" s="406"/>
      <c r="F502" s="325"/>
      <c r="G502" s="324"/>
      <c r="H502" s="324">
        <v>2487.87</v>
      </c>
      <c r="I502" s="325">
        <v>1817.87</v>
      </c>
      <c r="J502" s="325"/>
      <c r="K502" s="325">
        <f t="shared" si="123"/>
        <v>0</v>
      </c>
      <c r="L502" s="325">
        <f t="shared" si="124"/>
        <v>0</v>
      </c>
      <c r="M502" s="407">
        <v>20</v>
      </c>
      <c r="N502" s="408" t="s">
        <v>289</v>
      </c>
      <c r="O502" s="325">
        <f t="shared" si="125"/>
        <v>0</v>
      </c>
      <c r="P502" s="325">
        <f t="shared" si="126"/>
        <v>0</v>
      </c>
      <c r="Q502" s="325">
        <f t="shared" si="127"/>
        <v>0</v>
      </c>
      <c r="R502" s="325">
        <f t="shared" si="121"/>
        <v>181</v>
      </c>
      <c r="S502" s="325">
        <f t="shared" si="122"/>
        <v>0</v>
      </c>
      <c r="T502" s="325">
        <f t="shared" si="128"/>
        <v>181</v>
      </c>
      <c r="U502" s="325">
        <f t="shared" si="129"/>
        <v>1636.87</v>
      </c>
      <c r="V502" s="325">
        <f t="shared" si="96"/>
        <v>0</v>
      </c>
      <c r="W502" s="449" cm="1">
        <f t="array" ref="W502">+IF(U502&lt;0,error,0)</f>
        <v>0</v>
      </c>
    </row>
    <row r="503" spans="1:23" ht="18" customHeight="1" x14ac:dyDescent="0.2">
      <c r="A503" s="402" t="s">
        <v>2063</v>
      </c>
      <c r="B503" s="403"/>
      <c r="C503" s="404" t="s">
        <v>1932</v>
      </c>
      <c r="D503" s="405">
        <v>43476</v>
      </c>
      <c r="E503" s="406"/>
      <c r="F503" s="325"/>
      <c r="G503" s="324"/>
      <c r="H503" s="324">
        <v>2305</v>
      </c>
      <c r="I503" s="325">
        <v>1694</v>
      </c>
      <c r="J503" s="325"/>
      <c r="K503" s="325">
        <f t="shared" si="123"/>
        <v>0</v>
      </c>
      <c r="L503" s="325">
        <f t="shared" si="124"/>
        <v>0</v>
      </c>
      <c r="M503" s="407">
        <v>20</v>
      </c>
      <c r="N503" s="408" t="s">
        <v>289</v>
      </c>
      <c r="O503" s="325">
        <f t="shared" si="125"/>
        <v>0</v>
      </c>
      <c r="P503" s="325">
        <f t="shared" si="126"/>
        <v>0</v>
      </c>
      <c r="Q503" s="325">
        <f t="shared" si="127"/>
        <v>0</v>
      </c>
      <c r="R503" s="325">
        <f t="shared" si="121"/>
        <v>169</v>
      </c>
      <c r="S503" s="325">
        <f t="shared" si="122"/>
        <v>0</v>
      </c>
      <c r="T503" s="325">
        <f t="shared" si="128"/>
        <v>169</v>
      </c>
      <c r="U503" s="325">
        <f t="shared" si="129"/>
        <v>1525</v>
      </c>
      <c r="V503" s="325">
        <f t="shared" si="96"/>
        <v>0</v>
      </c>
      <c r="W503" s="449" cm="1">
        <f t="array" ref="W503">+IF(U503&lt;0,error,0)</f>
        <v>0</v>
      </c>
    </row>
    <row r="504" spans="1:23" ht="18" customHeight="1" x14ac:dyDescent="0.2">
      <c r="A504" s="402" t="s">
        <v>2064</v>
      </c>
      <c r="B504" s="403"/>
      <c r="C504" s="404" t="s">
        <v>1935</v>
      </c>
      <c r="D504" s="405">
        <v>43497</v>
      </c>
      <c r="E504" s="406"/>
      <c r="F504" s="325"/>
      <c r="G504" s="324"/>
      <c r="H504" s="324">
        <v>1657.5</v>
      </c>
      <c r="I504" s="325">
        <v>1507.5</v>
      </c>
      <c r="J504" s="325"/>
      <c r="K504" s="325">
        <f t="shared" si="123"/>
        <v>0</v>
      </c>
      <c r="L504" s="325">
        <f t="shared" si="124"/>
        <v>0</v>
      </c>
      <c r="M504" s="407">
        <v>6.67</v>
      </c>
      <c r="N504" s="408" t="s">
        <v>289</v>
      </c>
      <c r="O504" s="325">
        <f t="shared" si="125"/>
        <v>0</v>
      </c>
      <c r="P504" s="325">
        <f t="shared" si="126"/>
        <v>0</v>
      </c>
      <c r="Q504" s="325">
        <f t="shared" si="127"/>
        <v>0</v>
      </c>
      <c r="R504" s="325">
        <f t="shared" si="121"/>
        <v>50</v>
      </c>
      <c r="S504" s="325">
        <f t="shared" si="122"/>
        <v>0</v>
      </c>
      <c r="T504" s="325">
        <f t="shared" si="128"/>
        <v>50</v>
      </c>
      <c r="U504" s="325">
        <f t="shared" si="129"/>
        <v>1457.5</v>
      </c>
      <c r="V504" s="325">
        <f t="shared" si="96"/>
        <v>0</v>
      </c>
      <c r="W504" s="449" cm="1">
        <f t="array" ref="W504">+IF(U504&lt;0,error,0)</f>
        <v>0</v>
      </c>
    </row>
    <row r="505" spans="1:23" ht="18" customHeight="1" x14ac:dyDescent="0.2">
      <c r="A505" s="402" t="s">
        <v>2065</v>
      </c>
      <c r="B505" s="403"/>
      <c r="C505" s="404" t="s">
        <v>2068</v>
      </c>
      <c r="D505" s="405">
        <v>43466</v>
      </c>
      <c r="E505" s="406"/>
      <c r="F505" s="325"/>
      <c r="G505" s="324"/>
      <c r="H505" s="324">
        <v>6500</v>
      </c>
      <c r="I505" s="325">
        <v>5876</v>
      </c>
      <c r="J505" s="325"/>
      <c r="K505" s="325">
        <f t="shared" si="123"/>
        <v>0</v>
      </c>
      <c r="L505" s="325">
        <f t="shared" si="124"/>
        <v>0</v>
      </c>
      <c r="M505" s="407">
        <v>6.67</v>
      </c>
      <c r="N505" s="408" t="s">
        <v>289</v>
      </c>
      <c r="O505" s="325">
        <f t="shared" si="125"/>
        <v>0</v>
      </c>
      <c r="P505" s="325">
        <f t="shared" si="126"/>
        <v>0</v>
      </c>
      <c r="Q505" s="325">
        <f t="shared" si="127"/>
        <v>0</v>
      </c>
      <c r="R505" s="325">
        <f t="shared" si="121"/>
        <v>195</v>
      </c>
      <c r="S505" s="325">
        <f t="shared" si="122"/>
        <v>0</v>
      </c>
      <c r="T505" s="325">
        <f t="shared" si="128"/>
        <v>195</v>
      </c>
      <c r="U505" s="325">
        <f t="shared" si="129"/>
        <v>5681</v>
      </c>
      <c r="V505" s="325">
        <f t="shared" si="96"/>
        <v>0</v>
      </c>
      <c r="W505" s="449" cm="1">
        <f t="array" ref="W505">+IF(U505&lt;0,error,0)</f>
        <v>0</v>
      </c>
    </row>
    <row r="506" spans="1:23" ht="18" customHeight="1" x14ac:dyDescent="0.2">
      <c r="A506" s="402" t="s">
        <v>2066</v>
      </c>
      <c r="B506" s="403"/>
      <c r="C506" s="404" t="s">
        <v>2068</v>
      </c>
      <c r="D506" s="405">
        <v>43525</v>
      </c>
      <c r="E506" s="406"/>
      <c r="F506" s="325"/>
      <c r="G506" s="324"/>
      <c r="H506" s="324">
        <v>6500</v>
      </c>
      <c r="I506" s="325">
        <v>5941</v>
      </c>
      <c r="J506" s="325"/>
      <c r="K506" s="325">
        <f t="shared" si="123"/>
        <v>0</v>
      </c>
      <c r="L506" s="325">
        <f t="shared" si="124"/>
        <v>0</v>
      </c>
      <c r="M506" s="407">
        <v>6.67</v>
      </c>
      <c r="N506" s="408" t="s">
        <v>289</v>
      </c>
      <c r="O506" s="325">
        <f t="shared" si="125"/>
        <v>0</v>
      </c>
      <c r="P506" s="325">
        <f t="shared" si="126"/>
        <v>0</v>
      </c>
      <c r="Q506" s="325">
        <f t="shared" si="127"/>
        <v>0</v>
      </c>
      <c r="R506" s="325">
        <f t="shared" si="121"/>
        <v>198</v>
      </c>
      <c r="S506" s="325">
        <f t="shared" si="122"/>
        <v>0</v>
      </c>
      <c r="T506" s="325">
        <f t="shared" si="128"/>
        <v>198</v>
      </c>
      <c r="U506" s="325">
        <f t="shared" si="129"/>
        <v>5743</v>
      </c>
      <c r="V506" s="325">
        <f t="shared" si="96"/>
        <v>0</v>
      </c>
      <c r="W506" s="449" cm="1">
        <f t="array" ref="W506">+IF(U506&lt;0,error,0)</f>
        <v>0</v>
      </c>
    </row>
    <row r="507" spans="1:23" ht="18" customHeight="1" x14ac:dyDescent="0.2">
      <c r="A507" s="402" t="s">
        <v>2067</v>
      </c>
      <c r="B507" s="403"/>
      <c r="C507" s="404" t="s">
        <v>2071</v>
      </c>
      <c r="D507" s="405">
        <v>43487</v>
      </c>
      <c r="E507" s="406"/>
      <c r="F507" s="325"/>
      <c r="G507" s="324"/>
      <c r="H507" s="324">
        <v>1120.5999999999999</v>
      </c>
      <c r="I507" s="325">
        <v>969.59999999999991</v>
      </c>
      <c r="J507" s="325"/>
      <c r="K507" s="325">
        <f>INT(IF($E507&gt;0,IF(+F507-I507+Q507&lt;0,0,+F507-I507+Q507),0))</f>
        <v>0</v>
      </c>
      <c r="L507" s="325">
        <f>INT(IF($E507&gt;0,IF(K507=0,-F507+I507-Q507,0),0))</f>
        <v>0</v>
      </c>
      <c r="M507" s="407">
        <v>10</v>
      </c>
      <c r="N507" s="408" t="s">
        <v>289</v>
      </c>
      <c r="O507" s="325">
        <f>IF(E507&gt;0,INT(IF($N507="D",IF($D507&lt;$H$3,$I507*($M507/100)*((E507-$H$3)/365),$J507*($M507/100)*($J$3-$D507)/365),0)),0)</f>
        <v>0</v>
      </c>
      <c r="P507" s="325">
        <f>IF(E507&gt;0,INT(IF($N507="P",IF($D507&lt;$H$3,$H507*($M507/100)*(E507-$H$3)/365,$J507*($M507/100)*($J$3-$D507)/365),0)),0)</f>
        <v>0</v>
      </c>
      <c r="Q507" s="325">
        <f>+O507+P507</f>
        <v>0</v>
      </c>
      <c r="R507" s="325">
        <f t="shared" si="121"/>
        <v>48</v>
      </c>
      <c r="S507" s="325">
        <f t="shared" si="122"/>
        <v>0</v>
      </c>
      <c r="T507" s="325">
        <f>+R507+S507+Q507</f>
        <v>48</v>
      </c>
      <c r="U507" s="325">
        <f>+I507+J507-T507-F507+K507-L507</f>
        <v>921.59999999999991</v>
      </c>
      <c r="V507" s="325">
        <f t="shared" si="96"/>
        <v>0</v>
      </c>
      <c r="W507" s="449" cm="1">
        <f t="array" ref="W507">+IF(U507&lt;0,error,0)</f>
        <v>0</v>
      </c>
    </row>
    <row r="508" spans="1:23" ht="18" customHeight="1" x14ac:dyDescent="0.2">
      <c r="A508" s="402" t="s">
        <v>2070</v>
      </c>
      <c r="B508" s="403"/>
      <c r="C508" s="404" t="s">
        <v>2072</v>
      </c>
      <c r="D508" s="405">
        <v>43509</v>
      </c>
      <c r="E508" s="406"/>
      <c r="F508" s="325"/>
      <c r="G508" s="324"/>
      <c r="H508" s="324">
        <v>4820</v>
      </c>
      <c r="I508" s="325">
        <v>3613</v>
      </c>
      <c r="J508" s="325"/>
      <c r="K508" s="325">
        <f>INT(IF($E508&gt;0,IF(+F508-I508+Q508&lt;0,0,+F508-I508+Q508),0))</f>
        <v>0</v>
      </c>
      <c r="L508" s="325">
        <f>INT(IF($E508&gt;0,IF(K508=0,-F508+I508-Q508,0),0))</f>
        <v>0</v>
      </c>
      <c r="M508" s="407">
        <v>20</v>
      </c>
      <c r="N508" s="408" t="s">
        <v>289</v>
      </c>
      <c r="O508" s="325">
        <f>IF(E508&gt;0,INT(IF($N508="D",IF($D508&lt;$H$3,$I508*($M508/100)*((E508-$H$3)/365),$J508*($M508/100)*($J$3-$D508)/365),0)),0)</f>
        <v>0</v>
      </c>
      <c r="P508" s="325">
        <f>IF(E508&gt;0,INT(IF($N508="P",IF($D508&lt;$H$3,$H508*($M508/100)*(E508-$H$3)/365,$J508*($M508/100)*($J$3-$D508)/365),0)),0)</f>
        <v>0</v>
      </c>
      <c r="Q508" s="325">
        <f>+O508+P508</f>
        <v>0</v>
      </c>
      <c r="R508" s="325">
        <f t="shared" si="121"/>
        <v>361</v>
      </c>
      <c r="S508" s="325">
        <f t="shared" si="122"/>
        <v>0</v>
      </c>
      <c r="T508" s="325">
        <f>+R508+S508+Q508</f>
        <v>361</v>
      </c>
      <c r="U508" s="325">
        <f>+I508+J508-T508-F508+K508-L508</f>
        <v>3252</v>
      </c>
      <c r="V508" s="325">
        <f t="shared" si="96"/>
        <v>0</v>
      </c>
      <c r="W508" s="449" cm="1">
        <f t="array" ref="W508">+IF(U508&lt;0,error,0)</f>
        <v>0</v>
      </c>
    </row>
    <row r="509" spans="1:23" ht="18" customHeight="1" x14ac:dyDescent="0.2">
      <c r="A509" s="402" t="s">
        <v>2113</v>
      </c>
      <c r="B509" s="403"/>
      <c r="C509" s="404" t="s">
        <v>2121</v>
      </c>
      <c r="D509" s="405">
        <v>43650</v>
      </c>
      <c r="E509" s="406"/>
      <c r="F509" s="325"/>
      <c r="G509" s="324"/>
      <c r="H509" s="324">
        <v>2322.12</v>
      </c>
      <c r="I509" s="325">
        <v>2026.12</v>
      </c>
      <c r="J509" s="325"/>
      <c r="K509" s="325">
        <f t="shared" ref="K509:K532" si="130">INT(IF($E509&gt;0,IF(+F509-I509+Q509&lt;0,0,+F509-I509+Q509),0))</f>
        <v>0</v>
      </c>
      <c r="L509" s="325">
        <f t="shared" ref="L509:L532" si="131">INT(IF($E509&gt;0,IF(K509=0,-F509+I509-Q509,0),0))</f>
        <v>0</v>
      </c>
      <c r="M509" s="407">
        <v>13.33</v>
      </c>
      <c r="N509" s="408" t="s">
        <v>289</v>
      </c>
      <c r="O509" s="325">
        <f t="shared" ref="O509:O532" si="132">IF(E509&gt;0,INT(IF($N509="D",IF($D509&lt;$H$3,$I509*($M509/100)*((E509-$H$3)/365),$J509*($M509/100)*($J$3-$D509)/365),0)),0)</f>
        <v>0</v>
      </c>
      <c r="P509" s="325">
        <f t="shared" ref="P509:P532" si="133">IF(E509&gt;0,INT(IF($N509="P",IF($D509&lt;$H$3,$H509*($M509/100)*(E509-$H$3)/365,$J509*($M509/100)*($J$3-$D509)/365),0)),0)</f>
        <v>0</v>
      </c>
      <c r="Q509" s="325">
        <f t="shared" ref="Q509:Q532" si="134">+O509+P509</f>
        <v>0</v>
      </c>
      <c r="R509" s="325">
        <f t="shared" si="121"/>
        <v>135</v>
      </c>
      <c r="S509" s="325">
        <f t="shared" si="122"/>
        <v>0</v>
      </c>
      <c r="T509" s="325">
        <f t="shared" ref="T509" si="135">+R509+S509+Q509</f>
        <v>135</v>
      </c>
      <c r="U509" s="325">
        <f t="shared" ref="U509:U532" si="136">+I509+J509-T509-F509+K509-L509</f>
        <v>1891.12</v>
      </c>
      <c r="V509" s="325">
        <f t="shared" ref="V509:V532" si="137">IF(E509&gt;0,+H509+J509,0)</f>
        <v>0</v>
      </c>
      <c r="W509" s="449" cm="1">
        <f t="array" ref="W509">+IF(U509&lt;0,error,0)</f>
        <v>0</v>
      </c>
    </row>
    <row r="510" spans="1:23" ht="18" customHeight="1" x14ac:dyDescent="0.2">
      <c r="A510" s="402" t="s">
        <v>2115</v>
      </c>
      <c r="B510" s="403"/>
      <c r="C510" s="404" t="s">
        <v>2123</v>
      </c>
      <c r="D510" s="405">
        <v>43650</v>
      </c>
      <c r="E510" s="406"/>
      <c r="F510" s="325"/>
      <c r="G510" s="324"/>
      <c r="H510" s="324">
        <v>3317.32</v>
      </c>
      <c r="I510" s="325">
        <v>2893.32</v>
      </c>
      <c r="J510" s="325"/>
      <c r="K510" s="325">
        <f t="shared" si="130"/>
        <v>0</v>
      </c>
      <c r="L510" s="325">
        <f t="shared" si="131"/>
        <v>0</v>
      </c>
      <c r="M510" s="407">
        <v>13.33</v>
      </c>
      <c r="N510" s="408" t="s">
        <v>289</v>
      </c>
      <c r="O510" s="325">
        <f t="shared" si="132"/>
        <v>0</v>
      </c>
      <c r="P510" s="325">
        <f t="shared" si="133"/>
        <v>0</v>
      </c>
      <c r="Q510" s="325">
        <f t="shared" si="134"/>
        <v>0</v>
      </c>
      <c r="R510" s="325">
        <f t="shared" si="121"/>
        <v>192</v>
      </c>
      <c r="S510" s="325">
        <f t="shared" si="122"/>
        <v>0</v>
      </c>
      <c r="T510" s="325">
        <f t="shared" ref="T510:T513" si="138">+R510+S510+Q510</f>
        <v>192</v>
      </c>
      <c r="U510" s="325">
        <f t="shared" si="136"/>
        <v>2701.32</v>
      </c>
      <c r="V510" s="325">
        <f t="shared" si="137"/>
        <v>0</v>
      </c>
      <c r="W510" s="449" cm="1">
        <f t="array" ref="W510">+IF(U510&lt;0,error,0)</f>
        <v>0</v>
      </c>
    </row>
    <row r="511" spans="1:23" ht="18" customHeight="1" x14ac:dyDescent="0.2">
      <c r="A511" s="402" t="s">
        <v>2116</v>
      </c>
      <c r="B511" s="403"/>
      <c r="C511" s="404" t="s">
        <v>2124</v>
      </c>
      <c r="D511" s="405">
        <v>43650</v>
      </c>
      <c r="E511" s="406"/>
      <c r="F511" s="325"/>
      <c r="G511" s="324"/>
      <c r="H511" s="324">
        <v>2543.2800000000002</v>
      </c>
      <c r="I511" s="325">
        <v>2218.2800000000002</v>
      </c>
      <c r="J511" s="325"/>
      <c r="K511" s="325">
        <f t="shared" si="130"/>
        <v>0</v>
      </c>
      <c r="L511" s="325">
        <f t="shared" si="131"/>
        <v>0</v>
      </c>
      <c r="M511" s="407">
        <v>13.33</v>
      </c>
      <c r="N511" s="408" t="s">
        <v>289</v>
      </c>
      <c r="O511" s="325">
        <f t="shared" si="132"/>
        <v>0</v>
      </c>
      <c r="P511" s="325">
        <f t="shared" si="133"/>
        <v>0</v>
      </c>
      <c r="Q511" s="325">
        <f t="shared" si="134"/>
        <v>0</v>
      </c>
      <c r="R511" s="325">
        <f t="shared" si="121"/>
        <v>147</v>
      </c>
      <c r="S511" s="325">
        <f t="shared" si="122"/>
        <v>0</v>
      </c>
      <c r="T511" s="325">
        <f t="shared" si="138"/>
        <v>147</v>
      </c>
      <c r="U511" s="325">
        <f t="shared" si="136"/>
        <v>2071.2800000000002</v>
      </c>
      <c r="V511" s="325">
        <f t="shared" si="137"/>
        <v>0</v>
      </c>
      <c r="W511" s="449" cm="1">
        <f t="array" ref="W511">+IF(U511&lt;0,error,0)</f>
        <v>0</v>
      </c>
    </row>
    <row r="512" spans="1:23" ht="18" customHeight="1" x14ac:dyDescent="0.2">
      <c r="A512" s="402" t="s">
        <v>2117</v>
      </c>
      <c r="B512" s="403"/>
      <c r="C512" s="404" t="s">
        <v>2133</v>
      </c>
      <c r="D512" s="405">
        <v>43650</v>
      </c>
      <c r="E512" s="406"/>
      <c r="F512" s="325"/>
      <c r="G512" s="324"/>
      <c r="H512" s="324">
        <v>97582.25</v>
      </c>
      <c r="I512" s="325">
        <v>85092.25</v>
      </c>
      <c r="J512" s="325"/>
      <c r="K512" s="325">
        <f t="shared" si="130"/>
        <v>0</v>
      </c>
      <c r="L512" s="325">
        <f t="shared" si="131"/>
        <v>0</v>
      </c>
      <c r="M512" s="407">
        <v>13.33</v>
      </c>
      <c r="N512" s="408" t="s">
        <v>289</v>
      </c>
      <c r="O512" s="325">
        <f t="shared" si="132"/>
        <v>0</v>
      </c>
      <c r="P512" s="325">
        <f t="shared" si="133"/>
        <v>0</v>
      </c>
      <c r="Q512" s="325">
        <f t="shared" si="134"/>
        <v>0</v>
      </c>
      <c r="R512" s="325">
        <f t="shared" si="121"/>
        <v>5671</v>
      </c>
      <c r="S512" s="325">
        <f t="shared" si="122"/>
        <v>0</v>
      </c>
      <c r="T512" s="325">
        <f t="shared" si="138"/>
        <v>5671</v>
      </c>
      <c r="U512" s="325">
        <f t="shared" si="136"/>
        <v>79421.25</v>
      </c>
      <c r="V512" s="325">
        <f t="shared" si="137"/>
        <v>0</v>
      </c>
      <c r="W512" s="449" cm="1">
        <f t="array" ref="W512">+IF(U512&lt;0,error,0)</f>
        <v>0</v>
      </c>
    </row>
    <row r="513" spans="1:23" ht="18" customHeight="1" x14ac:dyDescent="0.2">
      <c r="A513" s="402" t="s">
        <v>2118</v>
      </c>
      <c r="B513" s="403"/>
      <c r="C513" s="404" t="s">
        <v>2134</v>
      </c>
      <c r="D513" s="405">
        <v>43704</v>
      </c>
      <c r="E513" s="406"/>
      <c r="F513" s="325"/>
      <c r="G513" s="324"/>
      <c r="H513" s="324">
        <v>102040.73</v>
      </c>
      <c r="I513" s="325">
        <v>90857.73</v>
      </c>
      <c r="J513" s="325"/>
      <c r="K513" s="325">
        <f t="shared" si="130"/>
        <v>0</v>
      </c>
      <c r="L513" s="325">
        <f t="shared" si="131"/>
        <v>0</v>
      </c>
      <c r="M513" s="407">
        <v>13.33</v>
      </c>
      <c r="N513" s="408" t="s">
        <v>289</v>
      </c>
      <c r="O513" s="325">
        <f t="shared" si="132"/>
        <v>0</v>
      </c>
      <c r="P513" s="325">
        <f t="shared" si="133"/>
        <v>0</v>
      </c>
      <c r="Q513" s="325">
        <f t="shared" si="134"/>
        <v>0</v>
      </c>
      <c r="R513" s="325">
        <f t="shared" si="121"/>
        <v>6055</v>
      </c>
      <c r="S513" s="325">
        <f t="shared" si="122"/>
        <v>0</v>
      </c>
      <c r="T513" s="325">
        <f t="shared" si="138"/>
        <v>6055</v>
      </c>
      <c r="U513" s="325">
        <f t="shared" si="136"/>
        <v>84802.73</v>
      </c>
      <c r="V513" s="325">
        <f t="shared" si="137"/>
        <v>0</v>
      </c>
      <c r="W513" s="449" cm="1">
        <f t="array" ref="W513">+IF(U513&lt;0,error,0)</f>
        <v>0</v>
      </c>
    </row>
    <row r="514" spans="1:23" ht="18" customHeight="1" x14ac:dyDescent="0.2">
      <c r="A514" s="402" t="s">
        <v>2120</v>
      </c>
      <c r="B514" s="403"/>
      <c r="C514" s="404" t="s">
        <v>2138</v>
      </c>
      <c r="D514" s="405">
        <v>43677</v>
      </c>
      <c r="E514" s="406"/>
      <c r="F514" s="325"/>
      <c r="G514" s="324"/>
      <c r="H514" s="324">
        <v>487.5</v>
      </c>
      <c r="I514" s="325">
        <v>430.5</v>
      </c>
      <c r="J514" s="325"/>
      <c r="K514" s="325">
        <f t="shared" si="130"/>
        <v>0</v>
      </c>
      <c r="L514" s="325">
        <f t="shared" si="131"/>
        <v>0</v>
      </c>
      <c r="M514" s="407">
        <v>13.33</v>
      </c>
      <c r="N514" s="408" t="s">
        <v>289</v>
      </c>
      <c r="O514" s="325">
        <f t="shared" si="132"/>
        <v>0</v>
      </c>
      <c r="P514" s="325">
        <f t="shared" si="133"/>
        <v>0</v>
      </c>
      <c r="Q514" s="325">
        <f t="shared" si="134"/>
        <v>0</v>
      </c>
      <c r="R514" s="325">
        <f t="shared" si="121"/>
        <v>28</v>
      </c>
      <c r="S514" s="325">
        <f t="shared" si="122"/>
        <v>0</v>
      </c>
      <c r="T514" s="325">
        <f t="shared" ref="T514:T532" si="139">+R514+S514+Q514</f>
        <v>28</v>
      </c>
      <c r="U514" s="325">
        <f t="shared" si="136"/>
        <v>402.5</v>
      </c>
      <c r="V514" s="325">
        <f t="shared" si="137"/>
        <v>0</v>
      </c>
      <c r="W514" s="449" cm="1">
        <f t="array" ref="W514">+IF(U514&lt;0,error,0)</f>
        <v>0</v>
      </c>
    </row>
    <row r="515" spans="1:23" ht="18" customHeight="1" x14ac:dyDescent="0.2">
      <c r="A515" s="402" t="s">
        <v>2125</v>
      </c>
      <c r="B515" s="403"/>
      <c r="C515" s="404" t="s">
        <v>2139</v>
      </c>
      <c r="D515" s="405">
        <v>43677</v>
      </c>
      <c r="E515" s="406"/>
      <c r="F515" s="325"/>
      <c r="G515" s="324"/>
      <c r="H515" s="324">
        <v>2307.5</v>
      </c>
      <c r="I515" s="325">
        <v>2034.5</v>
      </c>
      <c r="J515" s="325"/>
      <c r="K515" s="325">
        <f t="shared" si="130"/>
        <v>0</v>
      </c>
      <c r="L515" s="325">
        <f t="shared" si="131"/>
        <v>0</v>
      </c>
      <c r="M515" s="407">
        <v>13.33</v>
      </c>
      <c r="N515" s="408" t="s">
        <v>289</v>
      </c>
      <c r="O515" s="325">
        <f t="shared" si="132"/>
        <v>0</v>
      </c>
      <c r="P515" s="325">
        <f t="shared" si="133"/>
        <v>0</v>
      </c>
      <c r="Q515" s="325">
        <f t="shared" si="134"/>
        <v>0</v>
      </c>
      <c r="R515" s="325">
        <f t="shared" si="121"/>
        <v>135</v>
      </c>
      <c r="S515" s="325">
        <f t="shared" si="122"/>
        <v>0</v>
      </c>
      <c r="T515" s="325">
        <f t="shared" si="139"/>
        <v>135</v>
      </c>
      <c r="U515" s="325">
        <f t="shared" si="136"/>
        <v>1899.5</v>
      </c>
      <c r="V515" s="325">
        <f t="shared" si="137"/>
        <v>0</v>
      </c>
      <c r="W515" s="449" cm="1">
        <f t="array" ref="W515">+IF(U515&lt;0,error,0)</f>
        <v>0</v>
      </c>
    </row>
    <row r="516" spans="1:23" ht="18" customHeight="1" x14ac:dyDescent="0.2">
      <c r="A516" s="402" t="s">
        <v>2126</v>
      </c>
      <c r="B516" s="403"/>
      <c r="C516" s="404" t="s">
        <v>2135</v>
      </c>
      <c r="D516" s="405">
        <v>43704</v>
      </c>
      <c r="E516" s="406"/>
      <c r="F516" s="325"/>
      <c r="G516" s="324"/>
      <c r="H516" s="324">
        <v>9000</v>
      </c>
      <c r="I516" s="325">
        <v>8014</v>
      </c>
      <c r="J516" s="325"/>
      <c r="K516" s="325">
        <f t="shared" si="130"/>
        <v>0</v>
      </c>
      <c r="L516" s="325">
        <f t="shared" si="131"/>
        <v>0</v>
      </c>
      <c r="M516" s="407">
        <v>13.33</v>
      </c>
      <c r="N516" s="408" t="s">
        <v>289</v>
      </c>
      <c r="O516" s="325">
        <f t="shared" si="132"/>
        <v>0</v>
      </c>
      <c r="P516" s="325">
        <f t="shared" si="133"/>
        <v>0</v>
      </c>
      <c r="Q516" s="325">
        <f t="shared" si="134"/>
        <v>0</v>
      </c>
      <c r="R516" s="325">
        <f t="shared" si="121"/>
        <v>534</v>
      </c>
      <c r="S516" s="325">
        <f t="shared" si="122"/>
        <v>0</v>
      </c>
      <c r="T516" s="325">
        <f t="shared" si="139"/>
        <v>534</v>
      </c>
      <c r="U516" s="325">
        <f t="shared" si="136"/>
        <v>7480</v>
      </c>
      <c r="V516" s="325">
        <f t="shared" si="137"/>
        <v>0</v>
      </c>
      <c r="W516" s="449" cm="1">
        <f t="array" ref="W516">+IF(U516&lt;0,error,0)</f>
        <v>0</v>
      </c>
    </row>
    <row r="517" spans="1:23" ht="18" customHeight="1" x14ac:dyDescent="0.2">
      <c r="A517" s="402" t="s">
        <v>2127</v>
      </c>
      <c r="B517" s="403"/>
      <c r="C517" s="404" t="s">
        <v>2136</v>
      </c>
      <c r="D517" s="405">
        <v>43704</v>
      </c>
      <c r="E517" s="406"/>
      <c r="F517" s="325"/>
      <c r="G517" s="324"/>
      <c r="H517" s="324">
        <v>1000</v>
      </c>
      <c r="I517" s="325">
        <v>891</v>
      </c>
      <c r="J517" s="325"/>
      <c r="K517" s="325">
        <f t="shared" si="130"/>
        <v>0</v>
      </c>
      <c r="L517" s="325">
        <f t="shared" si="131"/>
        <v>0</v>
      </c>
      <c r="M517" s="407">
        <v>13.33</v>
      </c>
      <c r="N517" s="408" t="s">
        <v>289</v>
      </c>
      <c r="O517" s="325">
        <f t="shared" si="132"/>
        <v>0</v>
      </c>
      <c r="P517" s="325">
        <f t="shared" si="133"/>
        <v>0</v>
      </c>
      <c r="Q517" s="325">
        <f t="shared" si="134"/>
        <v>0</v>
      </c>
      <c r="R517" s="325">
        <f t="shared" si="121"/>
        <v>59</v>
      </c>
      <c r="S517" s="325">
        <f t="shared" si="122"/>
        <v>0</v>
      </c>
      <c r="T517" s="325">
        <f t="shared" si="139"/>
        <v>59</v>
      </c>
      <c r="U517" s="325">
        <f t="shared" si="136"/>
        <v>832</v>
      </c>
      <c r="V517" s="325">
        <f t="shared" si="137"/>
        <v>0</v>
      </c>
      <c r="W517" s="449" cm="1">
        <f t="array" ref="W517">+IF(U517&lt;0,error,0)</f>
        <v>0</v>
      </c>
    </row>
    <row r="518" spans="1:23" ht="18" customHeight="1" x14ac:dyDescent="0.2">
      <c r="A518" s="402" t="s">
        <v>2128</v>
      </c>
      <c r="B518" s="403"/>
      <c r="C518" s="404" t="s">
        <v>2140</v>
      </c>
      <c r="D518" s="405">
        <v>43689</v>
      </c>
      <c r="E518" s="406"/>
      <c r="F518" s="325"/>
      <c r="G518" s="324"/>
      <c r="H518" s="324">
        <v>3820</v>
      </c>
      <c r="I518" s="325">
        <v>3383</v>
      </c>
      <c r="J518" s="325"/>
      <c r="K518" s="325">
        <f t="shared" si="130"/>
        <v>0</v>
      </c>
      <c r="L518" s="325">
        <f t="shared" si="131"/>
        <v>0</v>
      </c>
      <c r="M518" s="407">
        <v>13.33</v>
      </c>
      <c r="N518" s="408" t="s">
        <v>289</v>
      </c>
      <c r="O518" s="325">
        <f t="shared" si="132"/>
        <v>0</v>
      </c>
      <c r="P518" s="325">
        <f t="shared" si="133"/>
        <v>0</v>
      </c>
      <c r="Q518" s="325">
        <f t="shared" si="134"/>
        <v>0</v>
      </c>
      <c r="R518" s="325">
        <f t="shared" si="121"/>
        <v>225</v>
      </c>
      <c r="S518" s="325">
        <f t="shared" si="122"/>
        <v>0</v>
      </c>
      <c r="T518" s="325">
        <f t="shared" si="139"/>
        <v>225</v>
      </c>
      <c r="U518" s="325">
        <f t="shared" si="136"/>
        <v>3158</v>
      </c>
      <c r="V518" s="325">
        <f t="shared" si="137"/>
        <v>0</v>
      </c>
      <c r="W518" s="449" cm="1">
        <f t="array" ref="W518">+IF(U518&lt;0,error,0)</f>
        <v>0</v>
      </c>
    </row>
    <row r="519" spans="1:23" ht="18" customHeight="1" x14ac:dyDescent="0.2">
      <c r="A519" s="402" t="s">
        <v>2129</v>
      </c>
      <c r="B519" s="403"/>
      <c r="C519" s="404" t="s">
        <v>2141</v>
      </c>
      <c r="D519" s="405">
        <v>43698</v>
      </c>
      <c r="E519" s="406"/>
      <c r="F519" s="325"/>
      <c r="G519" s="324"/>
      <c r="H519" s="324">
        <v>1800</v>
      </c>
      <c r="I519" s="325">
        <v>1600</v>
      </c>
      <c r="J519" s="325"/>
      <c r="K519" s="325">
        <f t="shared" si="130"/>
        <v>0</v>
      </c>
      <c r="L519" s="325">
        <f t="shared" si="131"/>
        <v>0</v>
      </c>
      <c r="M519" s="407">
        <v>13.33</v>
      </c>
      <c r="N519" s="408" t="s">
        <v>289</v>
      </c>
      <c r="O519" s="325">
        <f t="shared" si="132"/>
        <v>0</v>
      </c>
      <c r="P519" s="325">
        <f t="shared" si="133"/>
        <v>0</v>
      </c>
      <c r="Q519" s="325">
        <f t="shared" si="134"/>
        <v>0</v>
      </c>
      <c r="R519" s="325">
        <f t="shared" si="121"/>
        <v>106</v>
      </c>
      <c r="S519" s="325">
        <f t="shared" si="122"/>
        <v>0</v>
      </c>
      <c r="T519" s="325">
        <f t="shared" si="139"/>
        <v>106</v>
      </c>
      <c r="U519" s="325">
        <f t="shared" si="136"/>
        <v>1494</v>
      </c>
      <c r="V519" s="325">
        <f t="shared" si="137"/>
        <v>0</v>
      </c>
      <c r="W519" s="449" cm="1">
        <f t="array" ref="W519">+IF(U519&lt;0,error,0)</f>
        <v>0</v>
      </c>
    </row>
    <row r="520" spans="1:23" ht="18" customHeight="1" x14ac:dyDescent="0.2">
      <c r="A520" s="402" t="s">
        <v>2130</v>
      </c>
      <c r="B520" s="403"/>
      <c r="C520" s="404" t="s">
        <v>2142</v>
      </c>
      <c r="D520" s="405">
        <v>43709</v>
      </c>
      <c r="E520" s="406"/>
      <c r="F520" s="325"/>
      <c r="G520" s="324"/>
      <c r="H520" s="324">
        <v>4136.5</v>
      </c>
      <c r="I520" s="325">
        <v>3691.5</v>
      </c>
      <c r="J520" s="325"/>
      <c r="K520" s="325">
        <f t="shared" si="130"/>
        <v>0</v>
      </c>
      <c r="L520" s="325">
        <f t="shared" si="131"/>
        <v>0</v>
      </c>
      <c r="M520" s="407">
        <v>13.33</v>
      </c>
      <c r="N520" s="408" t="s">
        <v>289</v>
      </c>
      <c r="O520" s="325">
        <f t="shared" si="132"/>
        <v>0</v>
      </c>
      <c r="P520" s="325">
        <f t="shared" si="133"/>
        <v>0</v>
      </c>
      <c r="Q520" s="325">
        <f t="shared" si="134"/>
        <v>0</v>
      </c>
      <c r="R520" s="325">
        <f t="shared" si="121"/>
        <v>246</v>
      </c>
      <c r="S520" s="325">
        <f t="shared" si="122"/>
        <v>0</v>
      </c>
      <c r="T520" s="325">
        <f t="shared" si="139"/>
        <v>246</v>
      </c>
      <c r="U520" s="325">
        <f t="shared" si="136"/>
        <v>3445.5</v>
      </c>
      <c r="V520" s="325">
        <f t="shared" si="137"/>
        <v>0</v>
      </c>
      <c r="W520" s="449" cm="1">
        <f t="array" ref="W520">+IF(U520&lt;0,error,0)</f>
        <v>0</v>
      </c>
    </row>
    <row r="521" spans="1:23" ht="18" customHeight="1" x14ac:dyDescent="0.2">
      <c r="A521" s="402" t="s">
        <v>2131</v>
      </c>
      <c r="B521" s="403"/>
      <c r="C521" s="404" t="s">
        <v>2143</v>
      </c>
      <c r="D521" s="405">
        <v>43731</v>
      </c>
      <c r="E521" s="406"/>
      <c r="F521" s="325"/>
      <c r="G521" s="324"/>
      <c r="H521" s="324">
        <v>5500</v>
      </c>
      <c r="I521" s="325">
        <v>4949</v>
      </c>
      <c r="J521" s="325"/>
      <c r="K521" s="325">
        <f t="shared" si="130"/>
        <v>0</v>
      </c>
      <c r="L521" s="325">
        <f t="shared" si="131"/>
        <v>0</v>
      </c>
      <c r="M521" s="407">
        <v>13.33</v>
      </c>
      <c r="N521" s="408" t="s">
        <v>289</v>
      </c>
      <c r="O521" s="325">
        <f t="shared" si="132"/>
        <v>0</v>
      </c>
      <c r="P521" s="325">
        <f t="shared" si="133"/>
        <v>0</v>
      </c>
      <c r="Q521" s="325">
        <f t="shared" si="134"/>
        <v>0</v>
      </c>
      <c r="R521" s="325">
        <f t="shared" si="121"/>
        <v>329</v>
      </c>
      <c r="S521" s="325">
        <f t="shared" si="122"/>
        <v>0</v>
      </c>
      <c r="T521" s="325">
        <f t="shared" si="139"/>
        <v>329</v>
      </c>
      <c r="U521" s="325">
        <f t="shared" si="136"/>
        <v>4620</v>
      </c>
      <c r="V521" s="325">
        <f t="shared" si="137"/>
        <v>0</v>
      </c>
      <c r="W521" s="449" cm="1">
        <f t="array" ref="W521">+IF(U521&lt;0,error,0)</f>
        <v>0</v>
      </c>
    </row>
    <row r="522" spans="1:23" ht="18" customHeight="1" x14ac:dyDescent="0.2">
      <c r="A522" s="402" t="s">
        <v>2132</v>
      </c>
      <c r="B522" s="403"/>
      <c r="C522" s="404" t="s">
        <v>2144</v>
      </c>
      <c r="D522" s="405">
        <v>43738</v>
      </c>
      <c r="E522" s="406"/>
      <c r="F522" s="325"/>
      <c r="G522" s="324"/>
      <c r="H522" s="324">
        <v>455</v>
      </c>
      <c r="I522" s="325">
        <v>411</v>
      </c>
      <c r="J522" s="325"/>
      <c r="K522" s="325">
        <f t="shared" si="130"/>
        <v>0</v>
      </c>
      <c r="L522" s="325">
        <f t="shared" si="131"/>
        <v>0</v>
      </c>
      <c r="M522" s="407">
        <v>13.33</v>
      </c>
      <c r="N522" s="408" t="s">
        <v>289</v>
      </c>
      <c r="O522" s="325">
        <f t="shared" si="132"/>
        <v>0</v>
      </c>
      <c r="P522" s="325">
        <f t="shared" si="133"/>
        <v>0</v>
      </c>
      <c r="Q522" s="325">
        <f t="shared" si="134"/>
        <v>0</v>
      </c>
      <c r="R522" s="325">
        <f t="shared" si="121"/>
        <v>27</v>
      </c>
      <c r="S522" s="325">
        <f t="shared" si="122"/>
        <v>0</v>
      </c>
      <c r="T522" s="325">
        <f t="shared" si="139"/>
        <v>27</v>
      </c>
      <c r="U522" s="325">
        <f t="shared" si="136"/>
        <v>384</v>
      </c>
      <c r="V522" s="325">
        <f t="shared" si="137"/>
        <v>0</v>
      </c>
      <c r="W522" s="449" cm="1">
        <f t="array" ref="W522">+IF(U522&lt;0,error,0)</f>
        <v>0</v>
      </c>
    </row>
    <row r="523" spans="1:23" ht="18" customHeight="1" x14ac:dyDescent="0.2">
      <c r="A523" s="402" t="s">
        <v>2146</v>
      </c>
      <c r="B523" s="403"/>
      <c r="C523" s="404" t="s">
        <v>2145</v>
      </c>
      <c r="D523" s="405">
        <v>43799</v>
      </c>
      <c r="E523" s="406"/>
      <c r="F523" s="325"/>
      <c r="G523" s="324"/>
      <c r="H523" s="324">
        <v>845</v>
      </c>
      <c r="I523" s="325">
        <v>781</v>
      </c>
      <c r="J523" s="325"/>
      <c r="K523" s="325">
        <f t="shared" si="130"/>
        <v>0</v>
      </c>
      <c r="L523" s="325">
        <f t="shared" si="131"/>
        <v>0</v>
      </c>
      <c r="M523" s="407">
        <v>13.33</v>
      </c>
      <c r="N523" s="408" t="s">
        <v>289</v>
      </c>
      <c r="O523" s="325">
        <f t="shared" si="132"/>
        <v>0</v>
      </c>
      <c r="P523" s="325">
        <f t="shared" si="133"/>
        <v>0</v>
      </c>
      <c r="Q523" s="325">
        <f t="shared" si="134"/>
        <v>0</v>
      </c>
      <c r="R523" s="325">
        <f t="shared" si="121"/>
        <v>52</v>
      </c>
      <c r="S523" s="325">
        <f t="shared" si="122"/>
        <v>0</v>
      </c>
      <c r="T523" s="325">
        <f t="shared" si="139"/>
        <v>52</v>
      </c>
      <c r="U523" s="325">
        <f t="shared" si="136"/>
        <v>729</v>
      </c>
      <c r="V523" s="325">
        <f t="shared" si="137"/>
        <v>0</v>
      </c>
      <c r="W523" s="449" cm="1">
        <f t="array" ref="W523">+IF(U523&lt;0,error,0)</f>
        <v>0</v>
      </c>
    </row>
    <row r="524" spans="1:23" ht="18" customHeight="1" x14ac:dyDescent="0.2">
      <c r="A524" s="402" t="s">
        <v>2352</v>
      </c>
      <c r="B524" s="403"/>
      <c r="C524" s="404" t="s">
        <v>2361</v>
      </c>
      <c r="D524" s="405">
        <v>43861</v>
      </c>
      <c r="E524" s="406"/>
      <c r="F524" s="325"/>
      <c r="G524" s="324"/>
      <c r="H524" s="324">
        <v>17030</v>
      </c>
      <c r="I524" s="325">
        <v>16091</v>
      </c>
      <c r="J524" s="325"/>
      <c r="K524" s="325">
        <f t="shared" si="130"/>
        <v>0</v>
      </c>
      <c r="L524" s="325">
        <f t="shared" si="131"/>
        <v>0</v>
      </c>
      <c r="M524" s="407">
        <v>13.33</v>
      </c>
      <c r="N524" s="408" t="s">
        <v>289</v>
      </c>
      <c r="O524" s="325">
        <f t="shared" si="132"/>
        <v>0</v>
      </c>
      <c r="P524" s="325">
        <f t="shared" si="133"/>
        <v>0</v>
      </c>
      <c r="Q524" s="325">
        <f t="shared" si="134"/>
        <v>0</v>
      </c>
      <c r="R524" s="325">
        <f t="shared" si="121"/>
        <v>1072</v>
      </c>
      <c r="S524" s="325">
        <f t="shared" si="122"/>
        <v>0</v>
      </c>
      <c r="T524" s="325">
        <f t="shared" si="139"/>
        <v>1072</v>
      </c>
      <c r="U524" s="325">
        <f t="shared" si="136"/>
        <v>15019</v>
      </c>
      <c r="V524" s="325">
        <f t="shared" si="137"/>
        <v>0</v>
      </c>
      <c r="W524" s="449" cm="1">
        <f t="array" ref="W524">+IF(U524&lt;0,error,0)</f>
        <v>0</v>
      </c>
    </row>
    <row r="525" spans="1:23" ht="18" customHeight="1" x14ac:dyDescent="0.2">
      <c r="A525" s="402" t="s">
        <v>2353</v>
      </c>
      <c r="B525" s="403"/>
      <c r="C525" s="404" t="s">
        <v>2362</v>
      </c>
      <c r="D525" s="405">
        <v>43861</v>
      </c>
      <c r="E525" s="406"/>
      <c r="F525" s="325"/>
      <c r="G525" s="324"/>
      <c r="H525" s="324">
        <v>17650</v>
      </c>
      <c r="I525" s="325">
        <v>16677</v>
      </c>
      <c r="J525" s="325"/>
      <c r="K525" s="325">
        <f t="shared" si="130"/>
        <v>0</v>
      </c>
      <c r="L525" s="325">
        <f t="shared" si="131"/>
        <v>0</v>
      </c>
      <c r="M525" s="407">
        <v>13.33</v>
      </c>
      <c r="N525" s="408" t="s">
        <v>289</v>
      </c>
      <c r="O525" s="325">
        <f t="shared" si="132"/>
        <v>0</v>
      </c>
      <c r="P525" s="325">
        <f t="shared" si="133"/>
        <v>0</v>
      </c>
      <c r="Q525" s="325">
        <f t="shared" si="134"/>
        <v>0</v>
      </c>
      <c r="R525" s="325">
        <f t="shared" si="121"/>
        <v>1111</v>
      </c>
      <c r="S525" s="325">
        <f t="shared" si="122"/>
        <v>0</v>
      </c>
      <c r="T525" s="325">
        <f t="shared" si="139"/>
        <v>1111</v>
      </c>
      <c r="U525" s="325">
        <f t="shared" si="136"/>
        <v>15566</v>
      </c>
      <c r="V525" s="325">
        <f t="shared" si="137"/>
        <v>0</v>
      </c>
      <c r="W525" s="449" cm="1">
        <f t="array" ref="W525">+IF(U525&lt;0,error,0)</f>
        <v>0</v>
      </c>
    </row>
    <row r="526" spans="1:23" ht="18" customHeight="1" x14ac:dyDescent="0.2">
      <c r="A526" s="402" t="s">
        <v>2354</v>
      </c>
      <c r="B526" s="403"/>
      <c r="C526" s="404" t="s">
        <v>2363</v>
      </c>
      <c r="D526" s="405">
        <v>43861</v>
      </c>
      <c r="E526" s="406"/>
      <c r="F526" s="325"/>
      <c r="G526" s="324"/>
      <c r="H526" s="324">
        <v>34963</v>
      </c>
      <c r="I526" s="325">
        <v>33035</v>
      </c>
      <c r="J526" s="325"/>
      <c r="K526" s="325">
        <f t="shared" si="130"/>
        <v>0</v>
      </c>
      <c r="L526" s="325">
        <f t="shared" si="131"/>
        <v>0</v>
      </c>
      <c r="M526" s="407">
        <v>13.33</v>
      </c>
      <c r="N526" s="408" t="s">
        <v>289</v>
      </c>
      <c r="O526" s="325">
        <f t="shared" si="132"/>
        <v>0</v>
      </c>
      <c r="P526" s="325">
        <f t="shared" si="133"/>
        <v>0</v>
      </c>
      <c r="Q526" s="325">
        <f t="shared" si="134"/>
        <v>0</v>
      </c>
      <c r="R526" s="325">
        <f t="shared" si="121"/>
        <v>2201</v>
      </c>
      <c r="S526" s="325">
        <f t="shared" si="122"/>
        <v>0</v>
      </c>
      <c r="T526" s="325">
        <f t="shared" si="139"/>
        <v>2201</v>
      </c>
      <c r="U526" s="325">
        <f t="shared" si="136"/>
        <v>30834</v>
      </c>
      <c r="V526" s="325">
        <f t="shared" si="137"/>
        <v>0</v>
      </c>
      <c r="W526" s="449" cm="1">
        <f t="array" ref="W526">+IF(U526&lt;0,error,0)</f>
        <v>0</v>
      </c>
    </row>
    <row r="527" spans="1:23" ht="18" customHeight="1" x14ac:dyDescent="0.2">
      <c r="A527" s="402" t="s">
        <v>2355</v>
      </c>
      <c r="B527" s="403"/>
      <c r="C527" s="404" t="s">
        <v>2364</v>
      </c>
      <c r="D527" s="405">
        <v>43861</v>
      </c>
      <c r="E527" s="406"/>
      <c r="F527" s="325"/>
      <c r="G527" s="324"/>
      <c r="H527" s="324">
        <v>6736.5</v>
      </c>
      <c r="I527" s="325">
        <v>6365.5</v>
      </c>
      <c r="J527" s="325"/>
      <c r="K527" s="325">
        <f t="shared" si="130"/>
        <v>0</v>
      </c>
      <c r="L527" s="325">
        <f t="shared" si="131"/>
        <v>0</v>
      </c>
      <c r="M527" s="407">
        <v>13.33</v>
      </c>
      <c r="N527" s="408" t="s">
        <v>289</v>
      </c>
      <c r="O527" s="325">
        <f t="shared" si="132"/>
        <v>0</v>
      </c>
      <c r="P527" s="325">
        <f t="shared" si="133"/>
        <v>0</v>
      </c>
      <c r="Q527" s="325">
        <f t="shared" si="134"/>
        <v>0</v>
      </c>
      <c r="R527" s="325">
        <f t="shared" si="121"/>
        <v>424</v>
      </c>
      <c r="S527" s="325">
        <f t="shared" si="122"/>
        <v>0</v>
      </c>
      <c r="T527" s="325">
        <f t="shared" si="139"/>
        <v>424</v>
      </c>
      <c r="U527" s="325">
        <f t="shared" si="136"/>
        <v>5941.5</v>
      </c>
      <c r="V527" s="325">
        <f t="shared" si="137"/>
        <v>0</v>
      </c>
      <c r="W527" s="449" cm="1">
        <f t="array" ref="W527">+IF(U527&lt;0,error,0)</f>
        <v>0</v>
      </c>
    </row>
    <row r="528" spans="1:23" ht="18" customHeight="1" x14ac:dyDescent="0.2">
      <c r="A528" s="402" t="s">
        <v>2356</v>
      </c>
      <c r="B528" s="403"/>
      <c r="C528" s="404" t="s">
        <v>2365</v>
      </c>
      <c r="D528" s="405">
        <v>43843</v>
      </c>
      <c r="E528" s="406"/>
      <c r="F528" s="325"/>
      <c r="G528" s="324"/>
      <c r="H528" s="324">
        <v>1983.22</v>
      </c>
      <c r="I528" s="325">
        <v>1861.22</v>
      </c>
      <c r="J528" s="325"/>
      <c r="K528" s="325">
        <f t="shared" si="130"/>
        <v>0</v>
      </c>
      <c r="L528" s="325">
        <f t="shared" si="131"/>
        <v>0</v>
      </c>
      <c r="M528" s="407">
        <v>13.33</v>
      </c>
      <c r="N528" s="408" t="s">
        <v>289</v>
      </c>
      <c r="O528" s="325">
        <f t="shared" si="132"/>
        <v>0</v>
      </c>
      <c r="P528" s="325">
        <f t="shared" si="133"/>
        <v>0</v>
      </c>
      <c r="Q528" s="325">
        <f t="shared" si="134"/>
        <v>0</v>
      </c>
      <c r="R528" s="325">
        <f t="shared" si="121"/>
        <v>124</v>
      </c>
      <c r="S528" s="325">
        <f t="shared" si="122"/>
        <v>0</v>
      </c>
      <c r="T528" s="325">
        <f t="shared" si="139"/>
        <v>124</v>
      </c>
      <c r="U528" s="325">
        <f t="shared" si="136"/>
        <v>1737.22</v>
      </c>
      <c r="V528" s="325">
        <f t="shared" si="137"/>
        <v>0</v>
      </c>
      <c r="W528" s="449" cm="1">
        <f t="array" ref="W528">+IF(U528&lt;0,error,0)</f>
        <v>0</v>
      </c>
    </row>
    <row r="529" spans="1:26" ht="18" customHeight="1" x14ac:dyDescent="0.2">
      <c r="A529" s="402" t="s">
        <v>2357</v>
      </c>
      <c r="B529" s="403"/>
      <c r="C529" s="404" t="s">
        <v>2366</v>
      </c>
      <c r="D529" s="405">
        <v>43843</v>
      </c>
      <c r="E529" s="406"/>
      <c r="F529" s="325"/>
      <c r="G529" s="324"/>
      <c r="H529" s="324">
        <v>1061</v>
      </c>
      <c r="I529" s="325">
        <v>1061</v>
      </c>
      <c r="J529" s="325"/>
      <c r="K529" s="325">
        <f t="shared" si="130"/>
        <v>0</v>
      </c>
      <c r="L529" s="325">
        <f t="shared" si="131"/>
        <v>0</v>
      </c>
      <c r="M529" s="407">
        <v>13.33</v>
      </c>
      <c r="N529" s="408" t="s">
        <v>289</v>
      </c>
      <c r="O529" s="325">
        <f t="shared" si="132"/>
        <v>0</v>
      </c>
      <c r="P529" s="325">
        <f t="shared" si="133"/>
        <v>0</v>
      </c>
      <c r="Q529" s="325">
        <f t="shared" si="134"/>
        <v>0</v>
      </c>
      <c r="R529" s="325">
        <f t="shared" si="121"/>
        <v>70</v>
      </c>
      <c r="S529" s="325">
        <f t="shared" si="122"/>
        <v>0</v>
      </c>
      <c r="T529" s="325">
        <f t="shared" si="139"/>
        <v>70</v>
      </c>
      <c r="U529" s="325">
        <f t="shared" si="136"/>
        <v>991</v>
      </c>
      <c r="V529" s="325">
        <f t="shared" si="137"/>
        <v>0</v>
      </c>
      <c r="W529" s="449" cm="1">
        <f t="array" ref="W529">+IF(U529&lt;0,error,0)</f>
        <v>0</v>
      </c>
    </row>
    <row r="530" spans="1:26" ht="18" customHeight="1" x14ac:dyDescent="0.2">
      <c r="A530" s="402" t="s">
        <v>2358</v>
      </c>
      <c r="B530" s="403"/>
      <c r="C530" s="404" t="s">
        <v>2367</v>
      </c>
      <c r="D530" s="405">
        <v>43861</v>
      </c>
      <c r="E530" s="406"/>
      <c r="F530" s="325"/>
      <c r="G530" s="324"/>
      <c r="H530" s="324">
        <v>780</v>
      </c>
      <c r="I530" s="325">
        <v>737</v>
      </c>
      <c r="J530" s="325"/>
      <c r="K530" s="325">
        <f t="shared" si="130"/>
        <v>0</v>
      </c>
      <c r="L530" s="325">
        <f t="shared" si="131"/>
        <v>0</v>
      </c>
      <c r="M530" s="407">
        <v>13.33</v>
      </c>
      <c r="N530" s="408" t="s">
        <v>289</v>
      </c>
      <c r="O530" s="325">
        <f t="shared" si="132"/>
        <v>0</v>
      </c>
      <c r="P530" s="325">
        <f t="shared" si="133"/>
        <v>0</v>
      </c>
      <c r="Q530" s="325">
        <f t="shared" si="134"/>
        <v>0</v>
      </c>
      <c r="R530" s="325">
        <f t="shared" si="121"/>
        <v>49</v>
      </c>
      <c r="S530" s="325">
        <f t="shared" si="122"/>
        <v>0</v>
      </c>
      <c r="T530" s="325">
        <f t="shared" si="139"/>
        <v>49</v>
      </c>
      <c r="U530" s="325">
        <f t="shared" si="136"/>
        <v>688</v>
      </c>
      <c r="V530" s="325">
        <f t="shared" si="137"/>
        <v>0</v>
      </c>
      <c r="W530" s="449" cm="1">
        <f t="array" ref="W530">+IF(U530&lt;0,error,0)</f>
        <v>0</v>
      </c>
    </row>
    <row r="531" spans="1:26" ht="18" customHeight="1" x14ac:dyDescent="0.2">
      <c r="A531" s="402" t="s">
        <v>2359</v>
      </c>
      <c r="B531" s="403"/>
      <c r="C531" s="404" t="s">
        <v>2368</v>
      </c>
      <c r="D531" s="405">
        <v>43867</v>
      </c>
      <c r="E531" s="406"/>
      <c r="F531" s="325"/>
      <c r="G531" s="324"/>
      <c r="H531" s="324">
        <v>12150</v>
      </c>
      <c r="I531" s="325">
        <v>11507</v>
      </c>
      <c r="J531" s="325"/>
      <c r="K531" s="325">
        <f t="shared" si="130"/>
        <v>0</v>
      </c>
      <c r="L531" s="325">
        <f t="shared" si="131"/>
        <v>0</v>
      </c>
      <c r="M531" s="407">
        <v>13.33</v>
      </c>
      <c r="N531" s="408" t="s">
        <v>289</v>
      </c>
      <c r="O531" s="325">
        <f t="shared" si="132"/>
        <v>0</v>
      </c>
      <c r="P531" s="325">
        <f t="shared" si="133"/>
        <v>0</v>
      </c>
      <c r="Q531" s="325">
        <f t="shared" si="134"/>
        <v>0</v>
      </c>
      <c r="R531" s="325">
        <f t="shared" si="121"/>
        <v>766</v>
      </c>
      <c r="S531" s="325">
        <f t="shared" si="122"/>
        <v>0</v>
      </c>
      <c r="T531" s="325">
        <f t="shared" si="139"/>
        <v>766</v>
      </c>
      <c r="U531" s="325">
        <f t="shared" si="136"/>
        <v>10741</v>
      </c>
      <c r="V531" s="325">
        <f t="shared" si="137"/>
        <v>0</v>
      </c>
      <c r="W531" s="449" cm="1">
        <f t="array" ref="W531">+IF(U531&lt;0,error,0)</f>
        <v>0</v>
      </c>
    </row>
    <row r="532" spans="1:26" ht="18" customHeight="1" x14ac:dyDescent="0.2">
      <c r="A532" s="402" t="s">
        <v>2360</v>
      </c>
      <c r="B532" s="403"/>
      <c r="C532" s="404" t="s">
        <v>2369</v>
      </c>
      <c r="D532" s="405">
        <v>43878</v>
      </c>
      <c r="E532" s="406"/>
      <c r="F532" s="325"/>
      <c r="G532" s="324"/>
      <c r="H532" s="324">
        <v>4300</v>
      </c>
      <c r="I532" s="325">
        <f>4090+0.014111110009</f>
        <v>4090.0141111100088</v>
      </c>
      <c r="J532" s="325"/>
      <c r="K532" s="325">
        <f t="shared" si="130"/>
        <v>0</v>
      </c>
      <c r="L532" s="325">
        <f t="shared" si="131"/>
        <v>0</v>
      </c>
      <c r="M532" s="407">
        <v>13.33</v>
      </c>
      <c r="N532" s="408" t="s">
        <v>289</v>
      </c>
      <c r="O532" s="325">
        <f t="shared" si="132"/>
        <v>0</v>
      </c>
      <c r="P532" s="325">
        <f t="shared" si="133"/>
        <v>0</v>
      </c>
      <c r="Q532" s="325">
        <f t="shared" si="134"/>
        <v>0</v>
      </c>
      <c r="R532" s="325">
        <f t="shared" si="121"/>
        <v>272</v>
      </c>
      <c r="S532" s="325">
        <f t="shared" si="122"/>
        <v>0</v>
      </c>
      <c r="T532" s="325">
        <f t="shared" si="139"/>
        <v>272</v>
      </c>
      <c r="U532" s="325">
        <f t="shared" si="136"/>
        <v>3818.0141111100088</v>
      </c>
      <c r="V532" s="325">
        <f t="shared" si="137"/>
        <v>0</v>
      </c>
      <c r="W532" s="449" cm="1">
        <f t="array" ref="W532">+IF(U532&lt;0,error,0)</f>
        <v>0</v>
      </c>
    </row>
    <row r="533" spans="1:26" ht="18" customHeight="1" x14ac:dyDescent="0.2">
      <c r="A533" s="402"/>
      <c r="B533" s="403"/>
      <c r="C533" s="404"/>
      <c r="D533" s="405"/>
      <c r="E533" s="406"/>
      <c r="F533" s="325"/>
      <c r="G533" s="324"/>
      <c r="H533" s="324"/>
      <c r="I533" s="325"/>
      <c r="J533" s="325"/>
      <c r="K533" s="325"/>
      <c r="L533" s="325"/>
      <c r="M533" s="407"/>
      <c r="N533" s="408"/>
      <c r="O533" s="325"/>
      <c r="P533" s="325"/>
      <c r="Q533" s="325"/>
      <c r="R533" s="325"/>
      <c r="S533" s="325"/>
      <c r="T533" s="325"/>
      <c r="U533" s="325"/>
      <c r="V533" s="325"/>
      <c r="W533" s="449" cm="1">
        <f t="array" ref="W533">+IF(U533&lt;0,error,0)</f>
        <v>0</v>
      </c>
    </row>
    <row r="534" spans="1:26" ht="18" customHeight="1" x14ac:dyDescent="0.2">
      <c r="A534" s="413"/>
      <c r="B534" s="414"/>
      <c r="C534" s="416"/>
      <c r="D534" s="416"/>
      <c r="E534" s="406"/>
      <c r="F534" s="325"/>
      <c r="G534" s="324"/>
      <c r="H534" s="324"/>
      <c r="I534" s="333"/>
      <c r="J534" s="333"/>
      <c r="K534" s="333"/>
      <c r="L534" s="333"/>
      <c r="M534" s="418"/>
      <c r="N534" s="408"/>
      <c r="O534" s="408"/>
      <c r="P534" s="333"/>
      <c r="Q534" s="333"/>
      <c r="R534" s="408"/>
      <c r="S534" s="333"/>
      <c r="T534" s="333"/>
      <c r="U534" s="333"/>
      <c r="V534" s="333"/>
      <c r="W534" s="449" cm="1">
        <f t="array" ref="W534">+IF(U534&lt;0,error,0)</f>
        <v>0</v>
      </c>
    </row>
    <row r="535" spans="1:26" ht="18" customHeight="1" x14ac:dyDescent="0.2">
      <c r="A535" s="413"/>
      <c r="B535" s="414"/>
      <c r="C535" s="415" t="s">
        <v>2043</v>
      </c>
      <c r="D535" s="416"/>
      <c r="E535" s="406"/>
      <c r="F535" s="325"/>
      <c r="G535" s="324"/>
      <c r="H535" s="417">
        <f>+J536-V536</f>
        <v>-381.8184</v>
      </c>
      <c r="I535" s="333"/>
      <c r="J535" s="333"/>
      <c r="K535" s="333"/>
      <c r="L535" s="333"/>
      <c r="M535" s="418"/>
      <c r="N535" s="408"/>
      <c r="O535" s="408"/>
      <c r="P535" s="333"/>
      <c r="Q535" s="333"/>
      <c r="R535" s="408"/>
      <c r="S535" s="333"/>
      <c r="T535" s="333"/>
      <c r="U535" s="333"/>
      <c r="V535" s="333"/>
      <c r="W535" s="449" cm="1">
        <f t="array" ref="W535">+IF(U535&lt;0,error,0)</f>
        <v>0</v>
      </c>
    </row>
    <row r="536" spans="1:26" s="347" customFormat="1" ht="18" customHeight="1" x14ac:dyDescent="0.2">
      <c r="A536" s="420"/>
      <c r="B536" s="421"/>
      <c r="C536" s="422" t="s">
        <v>1654</v>
      </c>
      <c r="D536" s="415"/>
      <c r="E536" s="429"/>
      <c r="F536" s="334">
        <f>SUM(F176:F534)</f>
        <v>1800</v>
      </c>
      <c r="G536" s="417">
        <f>SUM(G176:G534)</f>
        <v>381.82</v>
      </c>
      <c r="H536" s="417">
        <f>SUM(H176:H535)</f>
        <v>4760844.721599997</v>
      </c>
      <c r="I536" s="417">
        <f>SUM(I176:I534)</f>
        <v>2981142.25</v>
      </c>
      <c r="J536" s="334">
        <f>SUM(J176:J534)</f>
        <v>0</v>
      </c>
      <c r="K536" s="334">
        <f>SUM(K176:K534)</f>
        <v>1800</v>
      </c>
      <c r="L536" s="334">
        <f>SUM(L176:L534)</f>
        <v>0</v>
      </c>
      <c r="M536" s="415"/>
      <c r="N536" s="426"/>
      <c r="O536" s="334">
        <f>SUM(O176:O494)</f>
        <v>0</v>
      </c>
      <c r="P536" s="334">
        <f>SUM(P176:P494)</f>
        <v>0</v>
      </c>
      <c r="Q536" s="334">
        <f>SUM(Q176:Q494)</f>
        <v>0</v>
      </c>
      <c r="R536" s="334">
        <f>SUM(R176:R494)</f>
        <v>133784</v>
      </c>
      <c r="S536" s="334">
        <f>SUM(S176:S494)</f>
        <v>404</v>
      </c>
      <c r="T536" s="417">
        <f>SUM(T176:T534)</f>
        <v>165721</v>
      </c>
      <c r="U536" s="334">
        <f>SUM(U176:U534)</f>
        <v>2815421.25</v>
      </c>
      <c r="V536" s="417">
        <f>SUM(V176:V534)</f>
        <v>381.8184</v>
      </c>
      <c r="W536" s="449" cm="1">
        <f t="array" ref="W536">+IF(U536&lt;0,error,0)</f>
        <v>0</v>
      </c>
      <c r="Y536" s="347">
        <f>4760844.72-1945423.47</f>
        <v>2815421.25</v>
      </c>
      <c r="Z536" s="505">
        <f>+U536-Y536</f>
        <v>0</v>
      </c>
    </row>
    <row r="537" spans="1:26" ht="18" customHeight="1" x14ac:dyDescent="0.2">
      <c r="A537" s="402"/>
      <c r="B537" s="403"/>
      <c r="C537" s="416"/>
      <c r="D537" s="416"/>
      <c r="E537" s="406"/>
      <c r="F537" s="325"/>
      <c r="G537" s="324"/>
      <c r="H537" s="324"/>
      <c r="I537" s="325"/>
      <c r="J537" s="325"/>
      <c r="K537" s="325"/>
      <c r="L537" s="325"/>
      <c r="M537" s="416"/>
      <c r="N537" s="416"/>
      <c r="O537" s="416"/>
      <c r="P537" s="325"/>
      <c r="Q537" s="325"/>
      <c r="R537" s="416"/>
      <c r="S537" s="325"/>
      <c r="T537" s="325"/>
      <c r="U537" s="325"/>
      <c r="V537" s="325"/>
      <c r="W537" s="449" cm="1">
        <f t="array" ref="W537">+IF(U537&lt;0,error,0)</f>
        <v>0</v>
      </c>
    </row>
    <row r="538" spans="1:26" ht="18" customHeight="1" x14ac:dyDescent="0.2">
      <c r="A538" s="432" t="s">
        <v>1118</v>
      </c>
      <c r="B538" s="433"/>
      <c r="C538" s="416"/>
      <c r="D538" s="428"/>
      <c r="E538" s="434"/>
      <c r="F538" s="336"/>
      <c r="G538" s="435"/>
      <c r="H538" s="435"/>
      <c r="I538" s="336"/>
      <c r="J538" s="336"/>
      <c r="K538" s="336"/>
      <c r="L538" s="336"/>
      <c r="M538" s="428"/>
      <c r="N538" s="436"/>
      <c r="O538" s="436"/>
      <c r="P538" s="336"/>
      <c r="Q538" s="336"/>
      <c r="R538" s="436"/>
      <c r="S538" s="336"/>
      <c r="T538" s="336"/>
      <c r="U538" s="333"/>
      <c r="V538" s="333"/>
      <c r="W538" s="449" cm="1">
        <f t="array" ref="W538">+IF(U538&lt;0,error,0)</f>
        <v>0</v>
      </c>
    </row>
    <row r="539" spans="1:26" ht="18" customHeight="1" x14ac:dyDescent="0.2">
      <c r="A539" s="437" t="s">
        <v>1119</v>
      </c>
      <c r="B539" s="414"/>
      <c r="C539" s="416"/>
      <c r="D539" s="416"/>
      <c r="E539" s="406"/>
      <c r="F539" s="325"/>
      <c r="G539" s="324"/>
      <c r="H539" s="324"/>
      <c r="I539" s="333"/>
      <c r="J539" s="333"/>
      <c r="K539" s="333"/>
      <c r="L539" s="333"/>
      <c r="M539" s="418"/>
      <c r="N539" s="408"/>
      <c r="O539" s="408"/>
      <c r="P539" s="333"/>
      <c r="Q539" s="333"/>
      <c r="R539" s="408"/>
      <c r="S539" s="333"/>
      <c r="T539" s="333"/>
      <c r="U539" s="333"/>
      <c r="V539" s="333"/>
      <c r="W539" s="449" cm="1">
        <f t="array" ref="W539">+IF(U539&lt;0,error,0)</f>
        <v>0</v>
      </c>
    </row>
    <row r="540" spans="1:26" ht="18" customHeight="1" x14ac:dyDescent="0.2">
      <c r="A540" s="402" t="s">
        <v>1120</v>
      </c>
      <c r="B540" s="403"/>
      <c r="C540" s="404" t="s">
        <v>2269</v>
      </c>
      <c r="D540" s="405">
        <v>39973</v>
      </c>
      <c r="E540" s="406"/>
      <c r="F540" s="325"/>
      <c r="G540" s="324"/>
      <c r="H540" s="324">
        <v>17499</v>
      </c>
      <c r="I540" s="325">
        <v>1940</v>
      </c>
      <c r="J540" s="325"/>
      <c r="K540" s="325">
        <f t="shared" ref="K540:K550" si="140">INT(IF($E540&gt;0,IF(+F540-I540+Q540&lt;0,0,+F540-I540+Q540),0))</f>
        <v>0</v>
      </c>
      <c r="L540" s="325">
        <f t="shared" ref="L540:L550" si="141">INT(IF($E540&gt;0,IF(K540=0,-F540+I540-Q540,0),0))</f>
        <v>0</v>
      </c>
      <c r="M540" s="407">
        <v>18.18</v>
      </c>
      <c r="N540" s="408" t="s">
        <v>289</v>
      </c>
      <c r="O540" s="325">
        <f t="shared" ref="O540:O550" si="142">IF(E540&gt;0,INT(IF($N540="D",IF($D540&lt;$H$3,$I540*($M540/100)*((E540-$H$3)/365),$J540*($M540/100)*($J$3-$D540)/365),0)),0)</f>
        <v>0</v>
      </c>
      <c r="P540" s="325">
        <f t="shared" ref="P540:P550" si="143">IF(E540&gt;0,INT(IF($N540="P",IF($D540&lt;$H$3,$H540*($M540/100)*(E540-$H$3)/365,$J540*($M540/100)*($J$3-$D540)/365),0)),0)</f>
        <v>0</v>
      </c>
      <c r="Q540" s="325">
        <f t="shared" ref="Q540:Q550" si="144">+O540+P540</f>
        <v>0</v>
      </c>
      <c r="R540" s="325">
        <f t="shared" ref="R540:R550" si="145">INT(IF($E540&gt;0,0,(IF($N540="D",IF($D540&lt;$H$3,$I540*($M540/100)*$U$3/12,$J540*($M540/100)*($J$3-$D540)/365),0))))</f>
        <v>176</v>
      </c>
      <c r="S540" s="325">
        <f t="shared" ref="S540:S550" si="146">INT(IF($E540&gt;0,0,(IF($N540="P",IF($D540&lt;$H$3,$H540*($M540/100)*$U$3/12,$J540*($M540/100)*($J$3-$D540)/365),0))))</f>
        <v>0</v>
      </c>
      <c r="T540" s="325">
        <f t="shared" ref="T540:T550" si="147">+R540+S540+Q540</f>
        <v>176</v>
      </c>
      <c r="U540" s="325">
        <f>+I540+J540-T540-F540+K540-L540</f>
        <v>1764</v>
      </c>
      <c r="V540" s="325">
        <f t="shared" ref="V540:V550" si="148">IF(E540&gt;0,+H540+J540,0)</f>
        <v>0</v>
      </c>
      <c r="W540" s="449" cm="1">
        <f t="array" ref="W540">+IF(U540&lt;0,error,0)</f>
        <v>0</v>
      </c>
    </row>
    <row r="541" spans="1:26" ht="18" customHeight="1" x14ac:dyDescent="0.2">
      <c r="A541" s="402" t="s">
        <v>1121</v>
      </c>
      <c r="B541" s="403"/>
      <c r="C541" s="411" t="s">
        <v>1122</v>
      </c>
      <c r="D541" s="405">
        <v>40268</v>
      </c>
      <c r="E541" s="406"/>
      <c r="F541" s="325"/>
      <c r="G541" s="324"/>
      <c r="H541" s="324">
        <v>13034.44</v>
      </c>
      <c r="I541" s="325">
        <v>1704.2600000000002</v>
      </c>
      <c r="J541" s="325"/>
      <c r="K541" s="325">
        <f t="shared" si="140"/>
        <v>0</v>
      </c>
      <c r="L541" s="325">
        <f t="shared" si="141"/>
        <v>0</v>
      </c>
      <c r="M541" s="407">
        <v>18.18</v>
      </c>
      <c r="N541" s="408" t="s">
        <v>289</v>
      </c>
      <c r="O541" s="325">
        <f t="shared" si="142"/>
        <v>0</v>
      </c>
      <c r="P541" s="325">
        <f t="shared" si="143"/>
        <v>0</v>
      </c>
      <c r="Q541" s="325">
        <f t="shared" si="144"/>
        <v>0</v>
      </c>
      <c r="R541" s="325">
        <f t="shared" si="145"/>
        <v>154</v>
      </c>
      <c r="S541" s="325">
        <f t="shared" si="146"/>
        <v>0</v>
      </c>
      <c r="T541" s="325">
        <f t="shared" si="147"/>
        <v>154</v>
      </c>
      <c r="U541" s="325">
        <f>+I541+J541-T541-F541+K541-L541</f>
        <v>1550.2600000000002</v>
      </c>
      <c r="V541" s="325">
        <f t="shared" si="148"/>
        <v>0</v>
      </c>
      <c r="W541" s="449" cm="1">
        <f t="array" ref="W541">+IF(U541&lt;0,error,0)</f>
        <v>0</v>
      </c>
    </row>
    <row r="542" spans="1:26" ht="18" customHeight="1" x14ac:dyDescent="0.2">
      <c r="A542" s="402" t="s">
        <v>1123</v>
      </c>
      <c r="B542" s="403"/>
      <c r="C542" s="440" t="s">
        <v>1124</v>
      </c>
      <c r="D542" s="405">
        <v>41611</v>
      </c>
      <c r="E542" s="406"/>
      <c r="F542" s="325"/>
      <c r="G542" s="324"/>
      <c r="H542" s="324">
        <v>37380.36</v>
      </c>
      <c r="I542" s="325">
        <v>11500.36</v>
      </c>
      <c r="J542" s="325"/>
      <c r="K542" s="325">
        <f t="shared" si="140"/>
        <v>0</v>
      </c>
      <c r="L542" s="325">
        <f t="shared" si="141"/>
        <v>0</v>
      </c>
      <c r="M542" s="407">
        <v>16.66</v>
      </c>
      <c r="N542" s="408" t="s">
        <v>289</v>
      </c>
      <c r="O542" s="325">
        <f t="shared" si="142"/>
        <v>0</v>
      </c>
      <c r="P542" s="325">
        <f t="shared" si="143"/>
        <v>0</v>
      </c>
      <c r="Q542" s="325">
        <f t="shared" si="144"/>
        <v>0</v>
      </c>
      <c r="R542" s="325">
        <f t="shared" si="145"/>
        <v>957</v>
      </c>
      <c r="S542" s="325">
        <f t="shared" si="146"/>
        <v>0</v>
      </c>
      <c r="T542" s="325">
        <f t="shared" si="147"/>
        <v>957</v>
      </c>
      <c r="U542" s="325">
        <f>+I542+J542-T542-F542+K542-L542</f>
        <v>10543.36</v>
      </c>
      <c r="V542" s="325">
        <f t="shared" si="148"/>
        <v>0</v>
      </c>
      <c r="W542" s="449" cm="1">
        <f t="array" ref="W542">+IF(U542&lt;0,error,0)</f>
        <v>0</v>
      </c>
    </row>
    <row r="543" spans="1:26" ht="18" customHeight="1" x14ac:dyDescent="0.2">
      <c r="A543" s="402" t="s">
        <v>1127</v>
      </c>
      <c r="B543" s="403"/>
      <c r="C543" s="411" t="s">
        <v>1128</v>
      </c>
      <c r="D543" s="405">
        <v>42125</v>
      </c>
      <c r="E543" s="406"/>
      <c r="F543" s="325"/>
      <c r="G543" s="324"/>
      <c r="H543" s="324">
        <v>19272</v>
      </c>
      <c r="I543" s="325">
        <v>4557</v>
      </c>
      <c r="J543" s="325"/>
      <c r="K543" s="325">
        <f t="shared" si="140"/>
        <v>0</v>
      </c>
      <c r="L543" s="325">
        <f t="shared" si="141"/>
        <v>0</v>
      </c>
      <c r="M543" s="407">
        <v>25</v>
      </c>
      <c r="N543" s="408" t="s">
        <v>289</v>
      </c>
      <c r="O543" s="325">
        <f t="shared" si="142"/>
        <v>0</v>
      </c>
      <c r="P543" s="325">
        <f t="shared" si="143"/>
        <v>0</v>
      </c>
      <c r="Q543" s="325">
        <f t="shared" si="144"/>
        <v>0</v>
      </c>
      <c r="R543" s="325">
        <f t="shared" si="145"/>
        <v>569</v>
      </c>
      <c r="S543" s="325">
        <f t="shared" si="146"/>
        <v>0</v>
      </c>
      <c r="T543" s="325">
        <f t="shared" si="147"/>
        <v>569</v>
      </c>
      <c r="U543" s="325">
        <f>+I543+J543-T543-F543+K543-L543</f>
        <v>3988</v>
      </c>
      <c r="V543" s="325">
        <f t="shared" si="148"/>
        <v>0</v>
      </c>
      <c r="W543" s="449" cm="1">
        <f t="array" ref="W543">+IF(U543&lt;0,error,0)</f>
        <v>0</v>
      </c>
    </row>
    <row r="544" spans="1:26" ht="18" customHeight="1" x14ac:dyDescent="0.2">
      <c r="A544" s="402" t="s">
        <v>1131</v>
      </c>
      <c r="B544" s="403"/>
      <c r="C544" s="411" t="s">
        <v>1132</v>
      </c>
      <c r="D544" s="405">
        <v>42360</v>
      </c>
      <c r="E544" s="406"/>
      <c r="F544" s="325"/>
      <c r="G544" s="324"/>
      <c r="H544" s="324">
        <v>37434</v>
      </c>
      <c r="I544" s="325">
        <v>11149</v>
      </c>
      <c r="J544" s="325"/>
      <c r="K544" s="325">
        <f t="shared" si="140"/>
        <v>0</v>
      </c>
      <c r="L544" s="325">
        <f t="shared" si="141"/>
        <v>0</v>
      </c>
      <c r="M544" s="407">
        <v>25</v>
      </c>
      <c r="N544" s="408" t="s">
        <v>289</v>
      </c>
      <c r="O544" s="325">
        <f t="shared" si="142"/>
        <v>0</v>
      </c>
      <c r="P544" s="325">
        <f t="shared" si="143"/>
        <v>0</v>
      </c>
      <c r="Q544" s="325">
        <f t="shared" si="144"/>
        <v>0</v>
      </c>
      <c r="R544" s="325">
        <f t="shared" si="145"/>
        <v>1393</v>
      </c>
      <c r="S544" s="325">
        <f t="shared" si="146"/>
        <v>0</v>
      </c>
      <c r="T544" s="325">
        <f t="shared" si="147"/>
        <v>1393</v>
      </c>
      <c r="U544" s="325">
        <f t="shared" ref="U544:U548" si="149">+I544+J544-T544-F544+K544-L544</f>
        <v>9756</v>
      </c>
      <c r="V544" s="325">
        <f t="shared" si="148"/>
        <v>0</v>
      </c>
      <c r="W544" s="449" cm="1">
        <f t="array" ref="W544">+IF(U544&lt;0,error,0)</f>
        <v>0</v>
      </c>
    </row>
    <row r="545" spans="1:26" ht="18" customHeight="1" x14ac:dyDescent="0.2">
      <c r="A545" s="402" t="s">
        <v>1133</v>
      </c>
      <c r="B545" s="403"/>
      <c r="C545" s="411" t="s">
        <v>1134</v>
      </c>
      <c r="D545" s="405">
        <v>42387</v>
      </c>
      <c r="E545" s="406"/>
      <c r="F545" s="325"/>
      <c r="G545" s="324"/>
      <c r="H545" s="324">
        <v>2100</v>
      </c>
      <c r="I545" s="325">
        <v>636</v>
      </c>
      <c r="J545" s="325"/>
      <c r="K545" s="325">
        <f t="shared" si="140"/>
        <v>0</v>
      </c>
      <c r="L545" s="325">
        <f t="shared" si="141"/>
        <v>0</v>
      </c>
      <c r="M545" s="407">
        <v>25</v>
      </c>
      <c r="N545" s="408" t="s">
        <v>289</v>
      </c>
      <c r="O545" s="325">
        <f t="shared" si="142"/>
        <v>0</v>
      </c>
      <c r="P545" s="325">
        <f t="shared" si="143"/>
        <v>0</v>
      </c>
      <c r="Q545" s="325">
        <f t="shared" si="144"/>
        <v>0</v>
      </c>
      <c r="R545" s="325">
        <f t="shared" si="145"/>
        <v>79</v>
      </c>
      <c r="S545" s="325">
        <f t="shared" si="146"/>
        <v>0</v>
      </c>
      <c r="T545" s="325">
        <f t="shared" si="147"/>
        <v>79</v>
      </c>
      <c r="U545" s="325">
        <f t="shared" si="149"/>
        <v>557</v>
      </c>
      <c r="V545" s="325">
        <f t="shared" si="148"/>
        <v>0</v>
      </c>
      <c r="W545" s="449" cm="1">
        <f t="array" ref="W545">+IF(U545&lt;0,error,0)</f>
        <v>0</v>
      </c>
    </row>
    <row r="546" spans="1:26" ht="18" customHeight="1" x14ac:dyDescent="0.2">
      <c r="A546" s="402" t="s">
        <v>1137</v>
      </c>
      <c r="B546" s="403"/>
      <c r="C546" s="411" t="s">
        <v>1138</v>
      </c>
      <c r="D546" s="405">
        <v>42829</v>
      </c>
      <c r="E546" s="406"/>
      <c r="F546" s="325"/>
      <c r="G546" s="324"/>
      <c r="H546" s="324">
        <v>51566.81</v>
      </c>
      <c r="I546" s="325">
        <v>21278.81</v>
      </c>
      <c r="J546" s="325"/>
      <c r="K546" s="325">
        <f t="shared" si="140"/>
        <v>0</v>
      </c>
      <c r="L546" s="325">
        <f t="shared" si="141"/>
        <v>0</v>
      </c>
      <c r="M546" s="407">
        <v>25</v>
      </c>
      <c r="N546" s="408" t="s">
        <v>289</v>
      </c>
      <c r="O546" s="325">
        <f t="shared" si="142"/>
        <v>0</v>
      </c>
      <c r="P546" s="325">
        <f t="shared" si="143"/>
        <v>0</v>
      </c>
      <c r="Q546" s="325">
        <f t="shared" si="144"/>
        <v>0</v>
      </c>
      <c r="R546" s="325">
        <f t="shared" si="145"/>
        <v>2659</v>
      </c>
      <c r="S546" s="325">
        <f t="shared" si="146"/>
        <v>0</v>
      </c>
      <c r="T546" s="325">
        <f t="shared" si="147"/>
        <v>2659</v>
      </c>
      <c r="U546" s="325">
        <f t="shared" si="149"/>
        <v>18619.810000000001</v>
      </c>
      <c r="V546" s="325">
        <f t="shared" si="148"/>
        <v>0</v>
      </c>
      <c r="W546" s="449" cm="1">
        <f t="array" ref="W546">+IF(U546&lt;0,error,0)</f>
        <v>0</v>
      </c>
    </row>
    <row r="547" spans="1:26" ht="18" customHeight="1" x14ac:dyDescent="0.2">
      <c r="A547" s="402" t="s">
        <v>1139</v>
      </c>
      <c r="B547" s="403"/>
      <c r="C547" s="404" t="s">
        <v>1140</v>
      </c>
      <c r="D547" s="405">
        <v>43159</v>
      </c>
      <c r="E547" s="406"/>
      <c r="F547" s="325"/>
      <c r="G547" s="324"/>
      <c r="H547" s="324">
        <v>98531.82</v>
      </c>
      <c r="I547" s="325">
        <v>52825.820000000007</v>
      </c>
      <c r="J547" s="325"/>
      <c r="K547" s="325">
        <f t="shared" si="140"/>
        <v>0</v>
      </c>
      <c r="L547" s="325">
        <f t="shared" si="141"/>
        <v>0</v>
      </c>
      <c r="M547" s="407">
        <v>25</v>
      </c>
      <c r="N547" s="408" t="s">
        <v>289</v>
      </c>
      <c r="O547" s="325">
        <f t="shared" si="142"/>
        <v>0</v>
      </c>
      <c r="P547" s="325">
        <f t="shared" si="143"/>
        <v>0</v>
      </c>
      <c r="Q547" s="325">
        <f t="shared" si="144"/>
        <v>0</v>
      </c>
      <c r="R547" s="325">
        <f t="shared" si="145"/>
        <v>6603</v>
      </c>
      <c r="S547" s="325">
        <f t="shared" si="146"/>
        <v>0</v>
      </c>
      <c r="T547" s="325">
        <f t="shared" si="147"/>
        <v>6603</v>
      </c>
      <c r="U547" s="325">
        <f t="shared" si="149"/>
        <v>46222.820000000007</v>
      </c>
      <c r="V547" s="325">
        <f t="shared" si="148"/>
        <v>0</v>
      </c>
      <c r="W547" s="449" cm="1">
        <f t="array" ref="W547">+IF(U547&lt;0,error,0)</f>
        <v>0</v>
      </c>
    </row>
    <row r="548" spans="1:26" ht="18" customHeight="1" x14ac:dyDescent="0.2">
      <c r="A548" s="402" t="s">
        <v>2074</v>
      </c>
      <c r="B548" s="403"/>
      <c r="C548" s="404" t="s">
        <v>1922</v>
      </c>
      <c r="D548" s="405">
        <v>43437</v>
      </c>
      <c r="E548" s="406"/>
      <c r="F548" s="325"/>
      <c r="G548" s="324"/>
      <c r="H548" s="324">
        <f>37034+0.08</f>
        <v>37034.080000000002</v>
      </c>
      <c r="I548" s="325">
        <v>26563</v>
      </c>
      <c r="J548" s="325"/>
      <c r="K548" s="325">
        <f t="shared" si="140"/>
        <v>0</v>
      </c>
      <c r="L548" s="325">
        <f t="shared" si="141"/>
        <v>0</v>
      </c>
      <c r="M548" s="407">
        <v>20</v>
      </c>
      <c r="N548" s="408" t="s">
        <v>289</v>
      </c>
      <c r="O548" s="325">
        <f t="shared" si="142"/>
        <v>0</v>
      </c>
      <c r="P548" s="325">
        <f t="shared" si="143"/>
        <v>0</v>
      </c>
      <c r="Q548" s="325">
        <f t="shared" si="144"/>
        <v>0</v>
      </c>
      <c r="R548" s="325">
        <f t="shared" si="145"/>
        <v>2656</v>
      </c>
      <c r="S548" s="325">
        <f t="shared" si="146"/>
        <v>0</v>
      </c>
      <c r="T548" s="325">
        <f t="shared" si="147"/>
        <v>2656</v>
      </c>
      <c r="U548" s="325">
        <f t="shared" si="149"/>
        <v>23907</v>
      </c>
      <c r="V548" s="325">
        <f t="shared" si="148"/>
        <v>0</v>
      </c>
      <c r="W548" s="449" cm="1">
        <f t="array" ref="W548">+IF(U548&lt;0,error,0)</f>
        <v>0</v>
      </c>
    </row>
    <row r="549" spans="1:26" ht="18" customHeight="1" x14ac:dyDescent="0.2">
      <c r="A549" s="402">
        <f>+A548+1</f>
        <v>744018</v>
      </c>
      <c r="B549" s="403"/>
      <c r="C549" s="404" t="s">
        <v>2273</v>
      </c>
      <c r="D549" s="405">
        <v>43867</v>
      </c>
      <c r="E549" s="406"/>
      <c r="F549" s="325"/>
      <c r="G549" s="324"/>
      <c r="H549" s="324">
        <v>164505.33000000002</v>
      </c>
      <c r="I549" s="325">
        <f>148168.33+0.44</f>
        <v>148168.76999999999</v>
      </c>
      <c r="J549" s="325"/>
      <c r="K549" s="325">
        <f t="shared" si="140"/>
        <v>0</v>
      </c>
      <c r="L549" s="325">
        <f t="shared" si="141"/>
        <v>0</v>
      </c>
      <c r="M549" s="407">
        <v>25</v>
      </c>
      <c r="N549" s="408" t="s">
        <v>289</v>
      </c>
      <c r="O549" s="325">
        <f t="shared" si="142"/>
        <v>0</v>
      </c>
      <c r="P549" s="325">
        <f t="shared" si="143"/>
        <v>0</v>
      </c>
      <c r="Q549" s="325">
        <f t="shared" si="144"/>
        <v>0</v>
      </c>
      <c r="R549" s="325">
        <f t="shared" si="145"/>
        <v>18521</v>
      </c>
      <c r="S549" s="325">
        <f t="shared" si="146"/>
        <v>0</v>
      </c>
      <c r="T549" s="325">
        <f t="shared" si="147"/>
        <v>18521</v>
      </c>
      <c r="U549" s="325">
        <f>+I549+J549-T549-F549+K549-L549</f>
        <v>129647.76999999999</v>
      </c>
      <c r="V549" s="325">
        <f t="shared" si="148"/>
        <v>0</v>
      </c>
      <c r="W549" s="449" cm="1">
        <f t="array" ref="W549">+IF(U549&lt;0,error,0)</f>
        <v>0</v>
      </c>
    </row>
    <row r="550" spans="1:26" ht="18" customHeight="1" x14ac:dyDescent="0.2">
      <c r="A550" s="402">
        <f>+A549+1</f>
        <v>744019</v>
      </c>
      <c r="B550" s="403"/>
      <c r="C550" s="404" t="s">
        <v>2395</v>
      </c>
      <c r="D550" s="405">
        <v>44138</v>
      </c>
      <c r="E550" s="406"/>
      <c r="F550" s="325"/>
      <c r="G550" s="324"/>
      <c r="H550" s="324"/>
      <c r="I550" s="325"/>
      <c r="J550" s="325">
        <v>66040.639999999999</v>
      </c>
      <c r="K550" s="325">
        <f t="shared" si="140"/>
        <v>0</v>
      </c>
      <c r="L550" s="325">
        <f t="shared" si="141"/>
        <v>0</v>
      </c>
      <c r="M550" s="407">
        <v>25</v>
      </c>
      <c r="N550" s="408" t="s">
        <v>289</v>
      </c>
      <c r="O550" s="325">
        <f t="shared" si="142"/>
        <v>0</v>
      </c>
      <c r="P550" s="325">
        <f t="shared" si="143"/>
        <v>0</v>
      </c>
      <c r="Q550" s="325">
        <f t="shared" si="144"/>
        <v>0</v>
      </c>
      <c r="R550" s="325">
        <f t="shared" si="145"/>
        <v>2623</v>
      </c>
      <c r="S550" s="325">
        <f t="shared" si="146"/>
        <v>0</v>
      </c>
      <c r="T550" s="325">
        <f t="shared" si="147"/>
        <v>2623</v>
      </c>
      <c r="U550" s="324">
        <f>+I550+J550-T550-F550+K550-L550</f>
        <v>63417.64</v>
      </c>
      <c r="V550" s="325">
        <f t="shared" si="148"/>
        <v>0</v>
      </c>
      <c r="W550" s="449" cm="1">
        <f t="array" ref="W550">+IF(U550&lt;0,error,0)</f>
        <v>0</v>
      </c>
    </row>
    <row r="551" spans="1:26" ht="18" customHeight="1" x14ac:dyDescent="0.2">
      <c r="A551" s="402"/>
      <c r="B551" s="403"/>
      <c r="C551" s="404"/>
      <c r="D551" s="405"/>
      <c r="E551" s="406"/>
      <c r="F551" s="325"/>
      <c r="G551" s="324"/>
      <c r="H551" s="324"/>
      <c r="I551" s="325"/>
      <c r="J551" s="325"/>
      <c r="K551" s="325"/>
      <c r="L551" s="325"/>
      <c r="M551" s="407"/>
      <c r="N551" s="408"/>
      <c r="O551" s="325"/>
      <c r="P551" s="325"/>
      <c r="Q551" s="325"/>
      <c r="R551" s="325"/>
      <c r="S551" s="325"/>
      <c r="T551" s="325"/>
      <c r="U551" s="325"/>
      <c r="V551" s="325"/>
      <c r="W551" s="449" cm="1">
        <f t="array" ref="W551">+IF(U551&lt;0,error,0)</f>
        <v>0</v>
      </c>
    </row>
    <row r="552" spans="1:26" ht="18" customHeight="1" x14ac:dyDescent="0.2">
      <c r="A552" s="413"/>
      <c r="B552" s="414"/>
      <c r="C552" s="415" t="s">
        <v>2043</v>
      </c>
      <c r="D552" s="416"/>
      <c r="E552" s="406"/>
      <c r="F552" s="325"/>
      <c r="G552" s="324"/>
      <c r="H552" s="417">
        <f>+J553-V553</f>
        <v>66040.639999999999</v>
      </c>
      <c r="I552" s="333"/>
      <c r="J552" s="333"/>
      <c r="K552" s="333"/>
      <c r="L552" s="333"/>
      <c r="M552" s="418"/>
      <c r="N552" s="408"/>
      <c r="O552" s="408"/>
      <c r="P552" s="333"/>
      <c r="Q552" s="333"/>
      <c r="R552" s="408"/>
      <c r="S552" s="333"/>
      <c r="T552" s="333"/>
      <c r="U552" s="333"/>
      <c r="V552" s="333"/>
      <c r="W552" s="449" cm="1">
        <f t="array" ref="W552">+IF(U552&lt;0,error,0)</f>
        <v>0</v>
      </c>
    </row>
    <row r="553" spans="1:26" s="347" customFormat="1" ht="18" customHeight="1" x14ac:dyDescent="0.2">
      <c r="A553" s="420"/>
      <c r="B553" s="421"/>
      <c r="C553" s="422" t="s">
        <v>1655</v>
      </c>
      <c r="D553" s="415"/>
      <c r="E553" s="429"/>
      <c r="F553" s="417">
        <f t="shared" ref="F553:L553" si="150">SUM(F540:F552)</f>
        <v>0</v>
      </c>
      <c r="G553" s="417">
        <f t="shared" si="150"/>
        <v>0</v>
      </c>
      <c r="H553" s="417">
        <f t="shared" si="150"/>
        <v>544398.48</v>
      </c>
      <c r="I553" s="417">
        <f t="shared" si="150"/>
        <v>280323.02</v>
      </c>
      <c r="J553" s="334">
        <f t="shared" si="150"/>
        <v>66040.639999999999</v>
      </c>
      <c r="K553" s="417">
        <f t="shared" si="150"/>
        <v>0</v>
      </c>
      <c r="L553" s="334">
        <f t="shared" si="150"/>
        <v>0</v>
      </c>
      <c r="M553" s="423"/>
      <c r="N553" s="446"/>
      <c r="O553" s="334">
        <f>SUM(O540:O552)</f>
        <v>0</v>
      </c>
      <c r="P553" s="334">
        <f>SUM(P540:P552)</f>
        <v>0</v>
      </c>
      <c r="Q553" s="334"/>
      <c r="R553" s="334">
        <f>SUM(R540:R552)</f>
        <v>36390</v>
      </c>
      <c r="S553" s="334">
        <f>SUM(S540:S552)</f>
        <v>0</v>
      </c>
      <c r="T553" s="334">
        <f>SUM(T540:T552)</f>
        <v>36390</v>
      </c>
      <c r="U553" s="334">
        <f>SUM(U540:U552)</f>
        <v>309973.66000000003</v>
      </c>
      <c r="V553" s="417">
        <f>SUM(V540:V552)</f>
        <v>0</v>
      </c>
      <c r="W553" s="449" cm="1">
        <f t="array" ref="W553">+IF(U553&lt;0,error,0)</f>
        <v>0</v>
      </c>
      <c r="X553" s="427"/>
      <c r="Y553" s="347">
        <f>544398.48-234424.82</f>
        <v>309973.65999999997</v>
      </c>
      <c r="Z553" s="505">
        <f>+U553-Y553</f>
        <v>0</v>
      </c>
    </row>
    <row r="554" spans="1:26" ht="18" customHeight="1" x14ac:dyDescent="0.2">
      <c r="A554" s="402"/>
      <c r="B554" s="403"/>
      <c r="C554" s="416"/>
      <c r="D554" s="416"/>
      <c r="E554" s="406"/>
      <c r="F554" s="325"/>
      <c r="G554" s="324"/>
      <c r="H554" s="324"/>
      <c r="I554" s="325"/>
      <c r="J554" s="325"/>
      <c r="K554" s="325"/>
      <c r="L554" s="325"/>
      <c r="M554" s="418"/>
      <c r="N554" s="408"/>
      <c r="O554" s="408">
        <v>277</v>
      </c>
      <c r="P554" s="325">
        <v>0</v>
      </c>
      <c r="Q554" s="325"/>
      <c r="R554" s="408">
        <v>25880</v>
      </c>
      <c r="S554" s="325">
        <v>0</v>
      </c>
      <c r="T554" s="325"/>
      <c r="U554" s="325"/>
      <c r="V554" s="325"/>
      <c r="W554" s="449" cm="1">
        <f t="array" ref="W554">+IF(U554&lt;0,error,0)</f>
        <v>0</v>
      </c>
    </row>
    <row r="555" spans="1:26" ht="18" customHeight="1" x14ac:dyDescent="0.2">
      <c r="A555" s="432" t="s">
        <v>1141</v>
      </c>
      <c r="B555" s="433"/>
      <c r="C555" s="418"/>
      <c r="D555" s="415"/>
      <c r="E555" s="429"/>
      <c r="F555" s="334"/>
      <c r="G555" s="417"/>
      <c r="H555" s="417"/>
      <c r="I555" s="334"/>
      <c r="J555" s="334"/>
      <c r="K555" s="334"/>
      <c r="L555" s="334"/>
      <c r="M555" s="415"/>
      <c r="N555" s="446"/>
      <c r="O555" s="446"/>
      <c r="P555" s="334"/>
      <c r="Q555" s="334"/>
      <c r="R555" s="446"/>
      <c r="S555" s="334"/>
      <c r="T555" s="334"/>
      <c r="U555" s="333"/>
      <c r="V555" s="333"/>
      <c r="W555" s="449" cm="1">
        <f t="array" ref="W555">+IF(U555&lt;0,error,0)</f>
        <v>0</v>
      </c>
    </row>
    <row r="556" spans="1:26" ht="18" customHeight="1" x14ac:dyDescent="0.2">
      <c r="A556" s="437" t="s">
        <v>1142</v>
      </c>
      <c r="B556" s="414"/>
      <c r="C556" s="416"/>
      <c r="D556" s="416"/>
      <c r="E556" s="406"/>
      <c r="F556" s="325"/>
      <c r="G556" s="324"/>
      <c r="H556" s="324"/>
      <c r="I556" s="333"/>
      <c r="J556" s="333"/>
      <c r="K556" s="333"/>
      <c r="L556" s="333"/>
      <c r="M556" s="418"/>
      <c r="N556" s="408"/>
      <c r="O556" s="408"/>
      <c r="P556" s="333"/>
      <c r="Q556" s="333"/>
      <c r="R556" s="408"/>
      <c r="S556" s="333"/>
      <c r="T556" s="333"/>
      <c r="U556" s="333"/>
      <c r="V556" s="333"/>
      <c r="W556" s="449" cm="1">
        <f t="array" ref="W556">+IF(U556&lt;0,error,0)</f>
        <v>0</v>
      </c>
    </row>
    <row r="557" spans="1:26" ht="18" customHeight="1" x14ac:dyDescent="0.2">
      <c r="A557" s="402" t="s">
        <v>1143</v>
      </c>
      <c r="B557" s="403"/>
      <c r="C557" s="404" t="s">
        <v>1144</v>
      </c>
      <c r="D557" s="405">
        <v>42453</v>
      </c>
      <c r="E557" s="406"/>
      <c r="F557" s="325"/>
      <c r="G557" s="324"/>
      <c r="H557" s="324">
        <v>8580</v>
      </c>
      <c r="I557" s="325">
        <v>585</v>
      </c>
      <c r="J557" s="325"/>
      <c r="K557" s="325">
        <f t="shared" ref="K557:K572" si="151">INT(IF($E557&gt;0,IF(+F557-I557+Q557&lt;0,0,+F557-I557+Q557),0))</f>
        <v>0</v>
      </c>
      <c r="L557" s="325">
        <f t="shared" ref="L557:L605" si="152">INT(IF($E557&gt;0,IF(K557=0,-F557+I557-Q557,0),0))</f>
        <v>0</v>
      </c>
      <c r="M557" s="407">
        <v>50</v>
      </c>
      <c r="N557" s="408" t="s">
        <v>289</v>
      </c>
      <c r="O557" s="325">
        <f t="shared" ref="O557:O605" si="153">IF(E557&gt;0,INT(IF($N557="D",IF($D557&lt;$H$3,$I557*($M557/100)*((E557-$H$3)/365),$J557*($M557/100)*($J$3-$D557)/365),0)),0)</f>
        <v>0</v>
      </c>
      <c r="P557" s="325">
        <f t="shared" ref="P557:P605" si="154">IF(E557&gt;0,INT(IF($N557="P",IF($D557&lt;$H$3,$H557*($M557/100)*(E557-$H$3)/365,$J557*($M557/100)*($J$3-$D557)/365),0)),0)</f>
        <v>0</v>
      </c>
      <c r="Q557" s="325">
        <f t="shared" ref="Q557:Q605" si="155">+O557+P557</f>
        <v>0</v>
      </c>
      <c r="R557" s="325">
        <f t="shared" ref="R557:R605" si="156">INT(IF($E557&gt;0,0,(IF($N557="D",IF($D557&lt;$H$3,$I557*($M557/100)*$U$3/12,$J557*($M557/100)*($J$3-$D557)/365),0))))</f>
        <v>146</v>
      </c>
      <c r="S557" s="325">
        <f t="shared" ref="S557:S605" si="157">INT(IF($E557&gt;0,0,(IF($N557="P",IF($D557&lt;$H$3,$H557*($M557/100)*$U$3/12,$J557*($M557/100)*($J$3-$D557)/365),0))))</f>
        <v>0</v>
      </c>
      <c r="T557" s="325">
        <f t="shared" ref="T557:T566" si="158">+R557+S557+Q557</f>
        <v>146</v>
      </c>
      <c r="U557" s="325">
        <f t="shared" ref="U557:U605" si="159">+I557+J557-T557-F557+K557-L557</f>
        <v>439</v>
      </c>
      <c r="V557" s="325">
        <f t="shared" ref="V557:V605" si="160">IF(E557&gt;0,+H557+J557,0)</f>
        <v>0</v>
      </c>
      <c r="W557" s="449" cm="1">
        <f t="array" ref="W557">+IF(U557&lt;0,error,0)</f>
        <v>0</v>
      </c>
    </row>
    <row r="558" spans="1:26" ht="18" customHeight="1" x14ac:dyDescent="0.2">
      <c r="A558" s="402" t="s">
        <v>1145</v>
      </c>
      <c r="B558" s="403"/>
      <c r="C558" s="404" t="s">
        <v>1146</v>
      </c>
      <c r="D558" s="405">
        <v>42452</v>
      </c>
      <c r="E558" s="406"/>
      <c r="F558" s="325"/>
      <c r="G558" s="324"/>
      <c r="H558" s="324">
        <v>10536</v>
      </c>
      <c r="I558" s="325">
        <v>717</v>
      </c>
      <c r="J558" s="325"/>
      <c r="K558" s="325">
        <f t="shared" si="151"/>
        <v>0</v>
      </c>
      <c r="L558" s="325">
        <f t="shared" si="152"/>
        <v>0</v>
      </c>
      <c r="M558" s="407">
        <v>50</v>
      </c>
      <c r="N558" s="408" t="s">
        <v>289</v>
      </c>
      <c r="O558" s="325">
        <f t="shared" si="153"/>
        <v>0</v>
      </c>
      <c r="P558" s="325">
        <f t="shared" si="154"/>
        <v>0</v>
      </c>
      <c r="Q558" s="325">
        <f t="shared" si="155"/>
        <v>0</v>
      </c>
      <c r="R558" s="325">
        <f t="shared" si="156"/>
        <v>179</v>
      </c>
      <c r="S558" s="325">
        <f t="shared" si="157"/>
        <v>0</v>
      </c>
      <c r="T558" s="325">
        <f t="shared" si="158"/>
        <v>179</v>
      </c>
      <c r="U558" s="325">
        <f t="shared" si="159"/>
        <v>538</v>
      </c>
      <c r="V558" s="325">
        <f t="shared" si="160"/>
        <v>0</v>
      </c>
      <c r="W558" s="449" cm="1">
        <f t="array" ref="W558">+IF(U558&lt;0,error,0)</f>
        <v>0</v>
      </c>
    </row>
    <row r="559" spans="1:26" ht="18" customHeight="1" x14ac:dyDescent="0.2">
      <c r="A559" s="402" t="s">
        <v>1171</v>
      </c>
      <c r="B559" s="403"/>
      <c r="C559" s="404" t="s">
        <v>1172</v>
      </c>
      <c r="D559" s="405">
        <v>39983</v>
      </c>
      <c r="E559" s="406"/>
      <c r="F559" s="325"/>
      <c r="G559" s="324"/>
      <c r="H559" s="324">
        <v>2350</v>
      </c>
      <c r="I559" s="325">
        <v>0</v>
      </c>
      <c r="J559" s="325"/>
      <c r="K559" s="325">
        <f t="shared" si="151"/>
        <v>0</v>
      </c>
      <c r="L559" s="325">
        <f t="shared" si="152"/>
        <v>0</v>
      </c>
      <c r="M559" s="407">
        <v>66.66</v>
      </c>
      <c r="N559" s="408" t="s">
        <v>289</v>
      </c>
      <c r="O559" s="325">
        <f t="shared" si="153"/>
        <v>0</v>
      </c>
      <c r="P559" s="325">
        <f t="shared" si="154"/>
        <v>0</v>
      </c>
      <c r="Q559" s="325">
        <f t="shared" si="155"/>
        <v>0</v>
      </c>
      <c r="R559" s="325">
        <f t="shared" si="156"/>
        <v>0</v>
      </c>
      <c r="S559" s="325">
        <f t="shared" si="157"/>
        <v>0</v>
      </c>
      <c r="T559" s="325">
        <f t="shared" si="158"/>
        <v>0</v>
      </c>
      <c r="U559" s="325">
        <f t="shared" si="159"/>
        <v>0</v>
      </c>
      <c r="V559" s="325">
        <f t="shared" si="160"/>
        <v>0</v>
      </c>
      <c r="W559" s="449" cm="1">
        <f t="array" ref="W559">+IF(U559&lt;0,error,0)</f>
        <v>0</v>
      </c>
    </row>
    <row r="560" spans="1:26" ht="18" customHeight="1" x14ac:dyDescent="0.2">
      <c r="A560" s="402" t="s">
        <v>1178</v>
      </c>
      <c r="B560" s="403"/>
      <c r="C560" s="404" t="s">
        <v>1179</v>
      </c>
      <c r="D560" s="405">
        <v>40232</v>
      </c>
      <c r="E560" s="406"/>
      <c r="F560" s="325"/>
      <c r="G560" s="324"/>
      <c r="H560" s="324">
        <v>950</v>
      </c>
      <c r="I560" s="325">
        <v>0</v>
      </c>
      <c r="J560" s="325"/>
      <c r="K560" s="325">
        <f t="shared" si="151"/>
        <v>0</v>
      </c>
      <c r="L560" s="325">
        <f t="shared" si="152"/>
        <v>0</v>
      </c>
      <c r="M560" s="407">
        <v>50</v>
      </c>
      <c r="N560" s="408" t="s">
        <v>289</v>
      </c>
      <c r="O560" s="325">
        <f t="shared" si="153"/>
        <v>0</v>
      </c>
      <c r="P560" s="325">
        <f t="shared" si="154"/>
        <v>0</v>
      </c>
      <c r="Q560" s="325">
        <f t="shared" si="155"/>
        <v>0</v>
      </c>
      <c r="R560" s="325">
        <f t="shared" si="156"/>
        <v>0</v>
      </c>
      <c r="S560" s="325">
        <f t="shared" si="157"/>
        <v>0</v>
      </c>
      <c r="T560" s="325">
        <f t="shared" si="158"/>
        <v>0</v>
      </c>
      <c r="U560" s="325">
        <f t="shared" si="159"/>
        <v>0</v>
      </c>
      <c r="V560" s="325">
        <f t="shared" si="160"/>
        <v>0</v>
      </c>
      <c r="W560" s="449" cm="1">
        <f t="array" ref="W560">+IF(U560&lt;0,error,0)</f>
        <v>0</v>
      </c>
    </row>
    <row r="561" spans="1:23" ht="18" customHeight="1" x14ac:dyDescent="0.2">
      <c r="A561" s="402" t="s">
        <v>1180</v>
      </c>
      <c r="B561" s="403"/>
      <c r="C561" s="404" t="s">
        <v>1181</v>
      </c>
      <c r="D561" s="405">
        <v>40232</v>
      </c>
      <c r="E561" s="406"/>
      <c r="F561" s="325"/>
      <c r="G561" s="324"/>
      <c r="H561" s="324">
        <v>1480</v>
      </c>
      <c r="I561" s="325">
        <v>0</v>
      </c>
      <c r="J561" s="325"/>
      <c r="K561" s="325">
        <f t="shared" si="151"/>
        <v>0</v>
      </c>
      <c r="L561" s="325">
        <f t="shared" si="152"/>
        <v>0</v>
      </c>
      <c r="M561" s="407">
        <v>50</v>
      </c>
      <c r="N561" s="408" t="s">
        <v>289</v>
      </c>
      <c r="O561" s="325">
        <f t="shared" si="153"/>
        <v>0</v>
      </c>
      <c r="P561" s="325">
        <f t="shared" si="154"/>
        <v>0</v>
      </c>
      <c r="Q561" s="325">
        <f t="shared" si="155"/>
        <v>0</v>
      </c>
      <c r="R561" s="325">
        <f t="shared" si="156"/>
        <v>0</v>
      </c>
      <c r="S561" s="325">
        <f t="shared" si="157"/>
        <v>0</v>
      </c>
      <c r="T561" s="325">
        <f t="shared" si="158"/>
        <v>0</v>
      </c>
      <c r="U561" s="325">
        <f t="shared" si="159"/>
        <v>0</v>
      </c>
      <c r="V561" s="325">
        <f t="shared" si="160"/>
        <v>0</v>
      </c>
      <c r="W561" s="449" cm="1">
        <f t="array" ref="W561">+IF(U561&lt;0,error,0)</f>
        <v>0</v>
      </c>
    </row>
    <row r="562" spans="1:23" ht="18" customHeight="1" x14ac:dyDescent="0.2">
      <c r="A562" s="402" t="s">
        <v>1192</v>
      </c>
      <c r="B562" s="403"/>
      <c r="C562" s="404" t="s">
        <v>1193</v>
      </c>
      <c r="D562" s="405">
        <v>40625</v>
      </c>
      <c r="E562" s="406"/>
      <c r="F562" s="325"/>
      <c r="G562" s="324"/>
      <c r="H562" s="324">
        <v>3618.2400000000002</v>
      </c>
      <c r="I562" s="325">
        <v>0</v>
      </c>
      <c r="J562" s="325"/>
      <c r="K562" s="325">
        <f t="shared" si="151"/>
        <v>0</v>
      </c>
      <c r="L562" s="325">
        <f t="shared" si="152"/>
        <v>0</v>
      </c>
      <c r="M562" s="407">
        <v>66.66</v>
      </c>
      <c r="N562" s="408" t="s">
        <v>289</v>
      </c>
      <c r="O562" s="325">
        <f t="shared" si="153"/>
        <v>0</v>
      </c>
      <c r="P562" s="325">
        <f t="shared" si="154"/>
        <v>0</v>
      </c>
      <c r="Q562" s="325">
        <f t="shared" si="155"/>
        <v>0</v>
      </c>
      <c r="R562" s="325">
        <f t="shared" si="156"/>
        <v>0</v>
      </c>
      <c r="S562" s="325">
        <f t="shared" si="157"/>
        <v>0</v>
      </c>
      <c r="T562" s="325">
        <f t="shared" si="158"/>
        <v>0</v>
      </c>
      <c r="U562" s="325">
        <f t="shared" si="159"/>
        <v>0</v>
      </c>
      <c r="V562" s="325">
        <f t="shared" si="160"/>
        <v>0</v>
      </c>
      <c r="W562" s="449" cm="1">
        <f t="array" ref="W562">+IF(U562&lt;0,error,0)</f>
        <v>0</v>
      </c>
    </row>
    <row r="563" spans="1:23" ht="18" customHeight="1" x14ac:dyDescent="0.2">
      <c r="A563" s="402" t="s">
        <v>1194</v>
      </c>
      <c r="B563" s="403"/>
      <c r="C563" s="404" t="s">
        <v>1195</v>
      </c>
      <c r="D563" s="405">
        <v>40644</v>
      </c>
      <c r="E563" s="406"/>
      <c r="F563" s="325"/>
      <c r="G563" s="324"/>
      <c r="H563" s="324">
        <v>3200</v>
      </c>
      <c r="I563" s="325">
        <v>0</v>
      </c>
      <c r="J563" s="325"/>
      <c r="K563" s="325">
        <f t="shared" si="151"/>
        <v>0</v>
      </c>
      <c r="L563" s="325">
        <f t="shared" si="152"/>
        <v>0</v>
      </c>
      <c r="M563" s="407">
        <v>66.66</v>
      </c>
      <c r="N563" s="408" t="s">
        <v>289</v>
      </c>
      <c r="O563" s="325">
        <f t="shared" si="153"/>
        <v>0</v>
      </c>
      <c r="P563" s="325">
        <f t="shared" si="154"/>
        <v>0</v>
      </c>
      <c r="Q563" s="325">
        <f t="shared" si="155"/>
        <v>0</v>
      </c>
      <c r="R563" s="325">
        <f t="shared" si="156"/>
        <v>0</v>
      </c>
      <c r="S563" s="325">
        <f t="shared" si="157"/>
        <v>0</v>
      </c>
      <c r="T563" s="325">
        <f t="shared" si="158"/>
        <v>0</v>
      </c>
      <c r="U563" s="325">
        <f t="shared" si="159"/>
        <v>0</v>
      </c>
      <c r="V563" s="325">
        <f t="shared" si="160"/>
        <v>0</v>
      </c>
      <c r="W563" s="449" cm="1">
        <f t="array" ref="W563">+IF(U563&lt;0,error,0)</f>
        <v>0</v>
      </c>
    </row>
    <row r="564" spans="1:23" ht="18" customHeight="1" x14ac:dyDescent="0.2">
      <c r="A564" s="402" t="s">
        <v>1196</v>
      </c>
      <c r="B564" s="403"/>
      <c r="C564" s="412" t="s">
        <v>1197</v>
      </c>
      <c r="D564" s="405">
        <v>40653</v>
      </c>
      <c r="E564" s="406"/>
      <c r="F564" s="325"/>
      <c r="G564" s="324"/>
      <c r="H564" s="324">
        <v>2520</v>
      </c>
      <c r="I564" s="325">
        <v>0</v>
      </c>
      <c r="J564" s="325"/>
      <c r="K564" s="325">
        <f t="shared" si="151"/>
        <v>0</v>
      </c>
      <c r="L564" s="325">
        <f t="shared" si="152"/>
        <v>0</v>
      </c>
      <c r="M564" s="407">
        <v>66.66</v>
      </c>
      <c r="N564" s="408" t="s">
        <v>289</v>
      </c>
      <c r="O564" s="325">
        <f t="shared" si="153"/>
        <v>0</v>
      </c>
      <c r="P564" s="325">
        <f t="shared" si="154"/>
        <v>0</v>
      </c>
      <c r="Q564" s="325">
        <f t="shared" si="155"/>
        <v>0</v>
      </c>
      <c r="R564" s="325">
        <f t="shared" si="156"/>
        <v>0</v>
      </c>
      <c r="S564" s="325">
        <f t="shared" si="157"/>
        <v>0</v>
      </c>
      <c r="T564" s="325">
        <f t="shared" si="158"/>
        <v>0</v>
      </c>
      <c r="U564" s="325">
        <f t="shared" si="159"/>
        <v>0</v>
      </c>
      <c r="V564" s="325">
        <f t="shared" si="160"/>
        <v>0</v>
      </c>
      <c r="W564" s="449" cm="1">
        <f t="array" ref="W564">+IF(U564&lt;0,error,0)</f>
        <v>0</v>
      </c>
    </row>
    <row r="565" spans="1:23" ht="18" customHeight="1" x14ac:dyDescent="0.2">
      <c r="A565" s="402" t="s">
        <v>1238</v>
      </c>
      <c r="B565" s="403"/>
      <c r="C565" s="404" t="s">
        <v>1239</v>
      </c>
      <c r="D565" s="405">
        <v>40728</v>
      </c>
      <c r="E565" s="406"/>
      <c r="F565" s="325"/>
      <c r="G565" s="324"/>
      <c r="H565" s="324">
        <f>1090.91-0.32</f>
        <v>1090.5900000000001</v>
      </c>
      <c r="I565" s="325">
        <v>0</v>
      </c>
      <c r="J565" s="325"/>
      <c r="K565" s="325">
        <f t="shared" si="151"/>
        <v>0</v>
      </c>
      <c r="L565" s="325">
        <f t="shared" si="152"/>
        <v>0</v>
      </c>
      <c r="M565" s="407">
        <v>66.66</v>
      </c>
      <c r="N565" s="408" t="s">
        <v>289</v>
      </c>
      <c r="O565" s="325">
        <f t="shared" si="153"/>
        <v>0</v>
      </c>
      <c r="P565" s="325">
        <f t="shared" si="154"/>
        <v>0</v>
      </c>
      <c r="Q565" s="325">
        <f t="shared" si="155"/>
        <v>0</v>
      </c>
      <c r="R565" s="325">
        <f t="shared" si="156"/>
        <v>0</v>
      </c>
      <c r="S565" s="325">
        <f t="shared" si="157"/>
        <v>0</v>
      </c>
      <c r="T565" s="325">
        <f t="shared" si="158"/>
        <v>0</v>
      </c>
      <c r="U565" s="325">
        <f t="shared" si="159"/>
        <v>0</v>
      </c>
      <c r="V565" s="325">
        <f t="shared" si="160"/>
        <v>0</v>
      </c>
      <c r="W565" s="449" cm="1">
        <f t="array" ref="W565">+IF(U565&lt;0,error,0)</f>
        <v>0</v>
      </c>
    </row>
    <row r="566" spans="1:23" ht="18" customHeight="1" x14ac:dyDescent="0.2">
      <c r="A566" s="402" t="s">
        <v>1242</v>
      </c>
      <c r="B566" s="403"/>
      <c r="C566" s="404" t="s">
        <v>1243</v>
      </c>
      <c r="D566" s="405">
        <v>40829</v>
      </c>
      <c r="E566" s="406"/>
      <c r="F566" s="325"/>
      <c r="G566" s="324"/>
      <c r="H566" s="324">
        <v>400</v>
      </c>
      <c r="I566" s="325">
        <v>0</v>
      </c>
      <c r="J566" s="325"/>
      <c r="K566" s="325">
        <f t="shared" si="151"/>
        <v>0</v>
      </c>
      <c r="L566" s="325">
        <f t="shared" si="152"/>
        <v>0</v>
      </c>
      <c r="M566" s="407">
        <v>66.66</v>
      </c>
      <c r="N566" s="408" t="s">
        <v>289</v>
      </c>
      <c r="O566" s="325">
        <f t="shared" si="153"/>
        <v>0</v>
      </c>
      <c r="P566" s="325">
        <f t="shared" si="154"/>
        <v>0</v>
      </c>
      <c r="Q566" s="325">
        <f t="shared" si="155"/>
        <v>0</v>
      </c>
      <c r="R566" s="325">
        <f t="shared" si="156"/>
        <v>0</v>
      </c>
      <c r="S566" s="325">
        <f t="shared" si="157"/>
        <v>0</v>
      </c>
      <c r="T566" s="325">
        <f t="shared" si="158"/>
        <v>0</v>
      </c>
      <c r="U566" s="325">
        <f t="shared" si="159"/>
        <v>0</v>
      </c>
      <c r="V566" s="325">
        <f t="shared" si="160"/>
        <v>0</v>
      </c>
      <c r="W566" s="449" cm="1">
        <f t="array" ref="W566">+IF(U566&lt;0,error,0)</f>
        <v>0</v>
      </c>
    </row>
    <row r="567" spans="1:23" ht="18" customHeight="1" x14ac:dyDescent="0.2">
      <c r="A567" s="402" t="s">
        <v>1252</v>
      </c>
      <c r="B567" s="403"/>
      <c r="C567" s="412" t="s">
        <v>1253</v>
      </c>
      <c r="D567" s="405">
        <v>40952</v>
      </c>
      <c r="E567" s="406"/>
      <c r="F567" s="325"/>
      <c r="G567" s="324"/>
      <c r="H567" s="324">
        <v>2190</v>
      </c>
      <c r="I567" s="325">
        <v>0</v>
      </c>
      <c r="J567" s="325"/>
      <c r="K567" s="325">
        <f t="shared" si="151"/>
        <v>0</v>
      </c>
      <c r="L567" s="325">
        <f t="shared" si="152"/>
        <v>0</v>
      </c>
      <c r="M567" s="407">
        <v>66.66</v>
      </c>
      <c r="N567" s="408" t="s">
        <v>289</v>
      </c>
      <c r="O567" s="325">
        <f t="shared" si="153"/>
        <v>0</v>
      </c>
      <c r="P567" s="325">
        <f t="shared" si="154"/>
        <v>0</v>
      </c>
      <c r="Q567" s="325">
        <f t="shared" si="155"/>
        <v>0</v>
      </c>
      <c r="R567" s="325">
        <f t="shared" si="156"/>
        <v>0</v>
      </c>
      <c r="S567" s="325">
        <f t="shared" si="157"/>
        <v>0</v>
      </c>
      <c r="T567" s="325">
        <v>0</v>
      </c>
      <c r="U567" s="325">
        <f t="shared" si="159"/>
        <v>0</v>
      </c>
      <c r="V567" s="325">
        <f t="shared" si="160"/>
        <v>0</v>
      </c>
      <c r="W567" s="449" cm="1">
        <f t="array" ref="W567">+IF(U567&lt;0,error,0)</f>
        <v>0</v>
      </c>
    </row>
    <row r="568" spans="1:23" ht="18" customHeight="1" x14ac:dyDescent="0.2">
      <c r="A568" s="402" t="s">
        <v>1265</v>
      </c>
      <c r="B568" s="403"/>
      <c r="C568" s="412" t="s">
        <v>1266</v>
      </c>
      <c r="D568" s="405">
        <v>40972</v>
      </c>
      <c r="E568" s="406"/>
      <c r="F568" s="325"/>
      <c r="G568" s="324"/>
      <c r="H568" s="324">
        <v>22953.94</v>
      </c>
      <c r="I568" s="504">
        <v>0</v>
      </c>
      <c r="J568" s="325"/>
      <c r="K568" s="325">
        <f t="shared" si="151"/>
        <v>0</v>
      </c>
      <c r="L568" s="325">
        <f t="shared" si="152"/>
        <v>0</v>
      </c>
      <c r="M568" s="407">
        <v>66.66</v>
      </c>
      <c r="N568" s="408" t="s">
        <v>289</v>
      </c>
      <c r="O568" s="325">
        <f t="shared" si="153"/>
        <v>0</v>
      </c>
      <c r="P568" s="325">
        <f t="shared" si="154"/>
        <v>0</v>
      </c>
      <c r="Q568" s="325">
        <f t="shared" si="155"/>
        <v>0</v>
      </c>
      <c r="R568" s="325">
        <f t="shared" si="156"/>
        <v>0</v>
      </c>
      <c r="S568" s="325">
        <f t="shared" si="157"/>
        <v>0</v>
      </c>
      <c r="T568" s="325">
        <v>0</v>
      </c>
      <c r="U568" s="325">
        <f t="shared" si="159"/>
        <v>0</v>
      </c>
      <c r="V568" s="325">
        <f t="shared" si="160"/>
        <v>0</v>
      </c>
      <c r="W568" s="449" cm="1">
        <f t="array" ref="W568">+IF(U568&lt;0,error,0)</f>
        <v>0</v>
      </c>
    </row>
    <row r="569" spans="1:23" ht="18" customHeight="1" x14ac:dyDescent="0.2">
      <c r="A569" s="402" t="s">
        <v>1267</v>
      </c>
      <c r="B569" s="403"/>
      <c r="C569" s="412" t="s">
        <v>1268</v>
      </c>
      <c r="D569" s="405">
        <v>40975</v>
      </c>
      <c r="E569" s="406">
        <v>44046</v>
      </c>
      <c r="F569" s="325">
        <f>6*50</f>
        <v>300</v>
      </c>
      <c r="G569" s="324">
        <v>8629</v>
      </c>
      <c r="H569" s="324">
        <v>8629</v>
      </c>
      <c r="I569" s="325">
        <v>0</v>
      </c>
      <c r="J569" s="325"/>
      <c r="K569" s="325">
        <f t="shared" si="151"/>
        <v>300</v>
      </c>
      <c r="L569" s="325">
        <f t="shared" si="152"/>
        <v>0</v>
      </c>
      <c r="M569" s="407">
        <v>66.66</v>
      </c>
      <c r="N569" s="408" t="s">
        <v>289</v>
      </c>
      <c r="O569" s="325">
        <f t="shared" si="153"/>
        <v>0</v>
      </c>
      <c r="P569" s="325">
        <f t="shared" si="154"/>
        <v>0</v>
      </c>
      <c r="Q569" s="325">
        <f t="shared" si="155"/>
        <v>0</v>
      </c>
      <c r="R569" s="325">
        <f t="shared" si="156"/>
        <v>0</v>
      </c>
      <c r="S569" s="325">
        <f t="shared" si="157"/>
        <v>0</v>
      </c>
      <c r="T569" s="325">
        <v>0</v>
      </c>
      <c r="U569" s="325">
        <f t="shared" si="159"/>
        <v>0</v>
      </c>
      <c r="V569" s="325">
        <f t="shared" si="160"/>
        <v>8629</v>
      </c>
      <c r="W569" s="449" cm="1">
        <f t="array" ref="W569">+IF(U569&lt;0,error,0)</f>
        <v>0</v>
      </c>
    </row>
    <row r="570" spans="1:23" ht="18" customHeight="1" x14ac:dyDescent="0.2">
      <c r="A570" s="402" t="s">
        <v>1269</v>
      </c>
      <c r="B570" s="403"/>
      <c r="C570" s="412" t="s">
        <v>1270</v>
      </c>
      <c r="D570" s="405">
        <v>40975</v>
      </c>
      <c r="E570" s="406">
        <v>44046</v>
      </c>
      <c r="F570" s="325">
        <f>10*50</f>
        <v>500</v>
      </c>
      <c r="G570" s="324">
        <v>10930</v>
      </c>
      <c r="H570" s="324">
        <v>10930</v>
      </c>
      <c r="I570" s="325">
        <v>0</v>
      </c>
      <c r="J570" s="325"/>
      <c r="K570" s="325">
        <f t="shared" si="151"/>
        <v>500</v>
      </c>
      <c r="L570" s="325">
        <f t="shared" si="152"/>
        <v>0</v>
      </c>
      <c r="M570" s="407">
        <v>66.66</v>
      </c>
      <c r="N570" s="408" t="s">
        <v>289</v>
      </c>
      <c r="O570" s="325">
        <f t="shared" si="153"/>
        <v>0</v>
      </c>
      <c r="P570" s="325">
        <f t="shared" si="154"/>
        <v>0</v>
      </c>
      <c r="Q570" s="325">
        <f t="shared" si="155"/>
        <v>0</v>
      </c>
      <c r="R570" s="325">
        <f t="shared" si="156"/>
        <v>0</v>
      </c>
      <c r="S570" s="325">
        <f t="shared" si="157"/>
        <v>0</v>
      </c>
      <c r="T570" s="325">
        <v>0</v>
      </c>
      <c r="U570" s="325">
        <f t="shared" si="159"/>
        <v>0</v>
      </c>
      <c r="V570" s="325">
        <f t="shared" si="160"/>
        <v>10930</v>
      </c>
      <c r="W570" s="449" cm="1">
        <f t="array" ref="W570">+IF(U570&lt;0,error,0)</f>
        <v>0</v>
      </c>
    </row>
    <row r="571" spans="1:23" ht="18" customHeight="1" x14ac:dyDescent="0.2">
      <c r="A571" s="402" t="s">
        <v>1271</v>
      </c>
      <c r="B571" s="403"/>
      <c r="C571" s="412" t="s">
        <v>1272</v>
      </c>
      <c r="D571" s="405">
        <v>40981</v>
      </c>
      <c r="E571" s="406"/>
      <c r="F571" s="325"/>
      <c r="G571" s="324"/>
      <c r="H571" s="324">
        <v>13238</v>
      </c>
      <c r="I571" s="325">
        <v>0</v>
      </c>
      <c r="J571" s="325"/>
      <c r="K571" s="325">
        <f t="shared" si="151"/>
        <v>0</v>
      </c>
      <c r="L571" s="325">
        <f t="shared" si="152"/>
        <v>0</v>
      </c>
      <c r="M571" s="407">
        <v>66.66</v>
      </c>
      <c r="N571" s="408" t="s">
        <v>289</v>
      </c>
      <c r="O571" s="325">
        <f t="shared" si="153"/>
        <v>0</v>
      </c>
      <c r="P571" s="325">
        <f t="shared" si="154"/>
        <v>0</v>
      </c>
      <c r="Q571" s="325">
        <f t="shared" si="155"/>
        <v>0</v>
      </c>
      <c r="R571" s="325">
        <f t="shared" si="156"/>
        <v>0</v>
      </c>
      <c r="S571" s="325">
        <f t="shared" si="157"/>
        <v>0</v>
      </c>
      <c r="T571" s="325">
        <v>0</v>
      </c>
      <c r="U571" s="325">
        <f t="shared" si="159"/>
        <v>0</v>
      </c>
      <c r="V571" s="325">
        <f t="shared" si="160"/>
        <v>0</v>
      </c>
      <c r="W571" s="449" cm="1">
        <f t="array" ref="W571">+IF(U571&lt;0,error,0)</f>
        <v>0</v>
      </c>
    </row>
    <row r="572" spans="1:23" ht="18" customHeight="1" x14ac:dyDescent="0.2">
      <c r="A572" s="402" t="s">
        <v>1273</v>
      </c>
      <c r="B572" s="403"/>
      <c r="C572" s="412" t="s">
        <v>1274</v>
      </c>
      <c r="D572" s="405">
        <v>40989</v>
      </c>
      <c r="E572" s="406"/>
      <c r="F572" s="325"/>
      <c r="G572" s="324"/>
      <c r="H572" s="324">
        <v>18131.400000000001</v>
      </c>
      <c r="I572" s="325">
        <v>0.40000000000000036</v>
      </c>
      <c r="J572" s="325"/>
      <c r="K572" s="325">
        <f t="shared" si="151"/>
        <v>0</v>
      </c>
      <c r="L572" s="325">
        <f t="shared" si="152"/>
        <v>0</v>
      </c>
      <c r="M572" s="407">
        <v>66.66</v>
      </c>
      <c r="N572" s="408" t="s">
        <v>289</v>
      </c>
      <c r="O572" s="325">
        <f t="shared" si="153"/>
        <v>0</v>
      </c>
      <c r="P572" s="325">
        <f t="shared" si="154"/>
        <v>0</v>
      </c>
      <c r="Q572" s="325">
        <f t="shared" si="155"/>
        <v>0</v>
      </c>
      <c r="R572" s="325">
        <f t="shared" si="156"/>
        <v>0</v>
      </c>
      <c r="S572" s="325">
        <f t="shared" si="157"/>
        <v>0</v>
      </c>
      <c r="T572" s="325">
        <v>0.40000000000000036</v>
      </c>
      <c r="U572" s="325">
        <f t="shared" si="159"/>
        <v>0</v>
      </c>
      <c r="V572" s="325">
        <f t="shared" si="160"/>
        <v>0</v>
      </c>
      <c r="W572" s="449" cm="1">
        <f t="array" ref="W572">+IF(U572&lt;0,error,0)</f>
        <v>0</v>
      </c>
    </row>
    <row r="573" spans="1:23" ht="18" customHeight="1" x14ac:dyDescent="0.2">
      <c r="A573" s="402" t="s">
        <v>1302</v>
      </c>
      <c r="B573" s="403"/>
      <c r="C573" s="404" t="s">
        <v>1303</v>
      </c>
      <c r="D573" s="405">
        <v>41234</v>
      </c>
      <c r="E573" s="406"/>
      <c r="F573" s="325"/>
      <c r="G573" s="324"/>
      <c r="H573" s="324">
        <v>7450</v>
      </c>
      <c r="I573" s="325">
        <f>18.86+1.77635683940025E-15</f>
        <v>18.86</v>
      </c>
      <c r="J573" s="325"/>
      <c r="K573" s="325">
        <f t="shared" ref="K573:K603" si="161">INT(IF($E573&gt;0,IF(+F573-I573+Q573&lt;0,0,+F573-I573+Q573),0))</f>
        <v>0</v>
      </c>
      <c r="L573" s="325">
        <f t="shared" si="152"/>
        <v>0</v>
      </c>
      <c r="M573" s="407">
        <v>50</v>
      </c>
      <c r="N573" s="408" t="s">
        <v>289</v>
      </c>
      <c r="O573" s="325">
        <f t="shared" si="153"/>
        <v>0</v>
      </c>
      <c r="P573" s="325">
        <f t="shared" si="154"/>
        <v>0</v>
      </c>
      <c r="Q573" s="325">
        <f t="shared" si="155"/>
        <v>0</v>
      </c>
      <c r="R573" s="325">
        <f t="shared" si="156"/>
        <v>4</v>
      </c>
      <c r="S573" s="325">
        <f t="shared" si="157"/>
        <v>0</v>
      </c>
      <c r="T573" s="325">
        <f t="shared" ref="T573:T618" si="162">+R573+S573+Q573</f>
        <v>4</v>
      </c>
      <c r="U573" s="325">
        <f t="shared" si="159"/>
        <v>14.86</v>
      </c>
      <c r="V573" s="325">
        <f t="shared" si="160"/>
        <v>0</v>
      </c>
      <c r="W573" s="449" cm="1">
        <f t="array" ref="W573">+IF(U573&lt;0,error,0)</f>
        <v>0</v>
      </c>
    </row>
    <row r="574" spans="1:23" ht="18" customHeight="1" x14ac:dyDescent="0.2">
      <c r="A574" s="402" t="s">
        <v>1304</v>
      </c>
      <c r="B574" s="403"/>
      <c r="C574" s="404" t="s">
        <v>1305</v>
      </c>
      <c r="D574" s="405">
        <v>41318</v>
      </c>
      <c r="E574" s="406">
        <v>44046</v>
      </c>
      <c r="F574" s="325">
        <f>4*50</f>
        <v>200</v>
      </c>
      <c r="G574" s="324">
        <v>4926.17</v>
      </c>
      <c r="H574" s="324">
        <v>4926.17</v>
      </c>
      <c r="I574" s="325">
        <v>40.17</v>
      </c>
      <c r="J574" s="325"/>
      <c r="K574" s="325">
        <f t="shared" si="161"/>
        <v>160</v>
      </c>
      <c r="L574" s="325">
        <f t="shared" si="152"/>
        <v>0</v>
      </c>
      <c r="M574" s="407">
        <v>50</v>
      </c>
      <c r="N574" s="408" t="s">
        <v>289</v>
      </c>
      <c r="O574" s="325">
        <f t="shared" si="153"/>
        <v>1</v>
      </c>
      <c r="P574" s="325">
        <f t="shared" si="154"/>
        <v>0</v>
      </c>
      <c r="Q574" s="325">
        <f t="shared" si="155"/>
        <v>1</v>
      </c>
      <c r="R574" s="325">
        <f t="shared" si="156"/>
        <v>0</v>
      </c>
      <c r="S574" s="325">
        <f t="shared" si="157"/>
        <v>0</v>
      </c>
      <c r="T574" s="325">
        <v>0</v>
      </c>
      <c r="U574" s="325">
        <f t="shared" si="159"/>
        <v>0.17000000000001592</v>
      </c>
      <c r="V574" s="325">
        <f t="shared" si="160"/>
        <v>4926.17</v>
      </c>
      <c r="W574" s="449" cm="1">
        <f t="array" ref="W574">+IF(U574&lt;0,error,0)</f>
        <v>0</v>
      </c>
    </row>
    <row r="575" spans="1:23" ht="18" customHeight="1" x14ac:dyDescent="0.2">
      <c r="A575" s="402" t="s">
        <v>1306</v>
      </c>
      <c r="B575" s="403"/>
      <c r="C575" s="404" t="s">
        <v>1307</v>
      </c>
      <c r="D575" s="405">
        <v>41322</v>
      </c>
      <c r="E575" s="406"/>
      <c r="F575" s="325"/>
      <c r="G575" s="324"/>
      <c r="H575" s="324">
        <v>23975.08</v>
      </c>
      <c r="I575" s="325">
        <v>194.07999999999998</v>
      </c>
      <c r="J575" s="325"/>
      <c r="K575" s="325">
        <f t="shared" si="161"/>
        <v>0</v>
      </c>
      <c r="L575" s="325">
        <f t="shared" si="152"/>
        <v>0</v>
      </c>
      <c r="M575" s="407">
        <v>50</v>
      </c>
      <c r="N575" s="408" t="s">
        <v>289</v>
      </c>
      <c r="O575" s="325">
        <f t="shared" si="153"/>
        <v>0</v>
      </c>
      <c r="P575" s="325">
        <f t="shared" si="154"/>
        <v>0</v>
      </c>
      <c r="Q575" s="325">
        <f t="shared" si="155"/>
        <v>0</v>
      </c>
      <c r="R575" s="325">
        <f t="shared" si="156"/>
        <v>48</v>
      </c>
      <c r="S575" s="325">
        <f t="shared" si="157"/>
        <v>0</v>
      </c>
      <c r="T575" s="325">
        <f t="shared" si="162"/>
        <v>48</v>
      </c>
      <c r="U575" s="325">
        <f t="shared" si="159"/>
        <v>146.07999999999998</v>
      </c>
      <c r="V575" s="325">
        <f t="shared" si="160"/>
        <v>0</v>
      </c>
      <c r="W575" s="449" cm="1">
        <f t="array" ref="W575">+IF(U575&lt;0,error,0)</f>
        <v>0</v>
      </c>
    </row>
    <row r="576" spans="1:23" ht="18" customHeight="1" x14ac:dyDescent="0.2">
      <c r="A576" s="402" t="s">
        <v>1308</v>
      </c>
      <c r="B576" s="403"/>
      <c r="C576" s="404" t="s">
        <v>1309</v>
      </c>
      <c r="D576" s="405">
        <v>41351</v>
      </c>
      <c r="E576" s="406"/>
      <c r="F576" s="325"/>
      <c r="G576" s="324"/>
      <c r="H576" s="324">
        <v>6859.2</v>
      </c>
      <c r="I576" s="325">
        <v>59.200000000000017</v>
      </c>
      <c r="J576" s="325"/>
      <c r="K576" s="325">
        <f t="shared" si="161"/>
        <v>0</v>
      </c>
      <c r="L576" s="325">
        <f t="shared" si="152"/>
        <v>0</v>
      </c>
      <c r="M576" s="407">
        <v>50</v>
      </c>
      <c r="N576" s="408" t="s">
        <v>289</v>
      </c>
      <c r="O576" s="325">
        <f t="shared" si="153"/>
        <v>0</v>
      </c>
      <c r="P576" s="325">
        <f t="shared" si="154"/>
        <v>0</v>
      </c>
      <c r="Q576" s="325">
        <f t="shared" si="155"/>
        <v>0</v>
      </c>
      <c r="R576" s="325">
        <f t="shared" si="156"/>
        <v>14</v>
      </c>
      <c r="S576" s="325">
        <f t="shared" si="157"/>
        <v>0</v>
      </c>
      <c r="T576" s="325">
        <f t="shared" si="162"/>
        <v>14</v>
      </c>
      <c r="U576" s="325">
        <f t="shared" si="159"/>
        <v>45.200000000000017</v>
      </c>
      <c r="V576" s="325">
        <f t="shared" si="160"/>
        <v>0</v>
      </c>
      <c r="W576" s="449" cm="1">
        <f t="array" ref="W576">+IF(U576&lt;0,error,0)</f>
        <v>0</v>
      </c>
    </row>
    <row r="577" spans="1:23" ht="18" customHeight="1" x14ac:dyDescent="0.2">
      <c r="A577" s="402" t="s">
        <v>1310</v>
      </c>
      <c r="B577" s="403"/>
      <c r="C577" s="411" t="s">
        <v>1311</v>
      </c>
      <c r="D577" s="405">
        <v>41351</v>
      </c>
      <c r="E577" s="406"/>
      <c r="F577" s="325"/>
      <c r="G577" s="324"/>
      <c r="H577" s="324">
        <v>5115.9000000000005</v>
      </c>
      <c r="I577" s="325">
        <v>43.900000000000006</v>
      </c>
      <c r="J577" s="325"/>
      <c r="K577" s="325">
        <f t="shared" si="161"/>
        <v>0</v>
      </c>
      <c r="L577" s="325">
        <f t="shared" si="152"/>
        <v>0</v>
      </c>
      <c r="M577" s="407">
        <v>50</v>
      </c>
      <c r="N577" s="408" t="s">
        <v>289</v>
      </c>
      <c r="O577" s="325">
        <f t="shared" si="153"/>
        <v>0</v>
      </c>
      <c r="P577" s="325">
        <f t="shared" si="154"/>
        <v>0</v>
      </c>
      <c r="Q577" s="325">
        <f t="shared" si="155"/>
        <v>0</v>
      </c>
      <c r="R577" s="325">
        <f t="shared" si="156"/>
        <v>10</v>
      </c>
      <c r="S577" s="325">
        <f t="shared" si="157"/>
        <v>0</v>
      </c>
      <c r="T577" s="325">
        <f t="shared" si="162"/>
        <v>10</v>
      </c>
      <c r="U577" s="325">
        <f t="shared" si="159"/>
        <v>33.900000000000006</v>
      </c>
      <c r="V577" s="325">
        <f t="shared" si="160"/>
        <v>0</v>
      </c>
      <c r="W577" s="449" cm="1">
        <f t="array" ref="W577">+IF(U577&lt;0,error,0)</f>
        <v>0</v>
      </c>
    </row>
    <row r="578" spans="1:23" ht="18" customHeight="1" x14ac:dyDescent="0.2">
      <c r="A578" s="402" t="s">
        <v>1312</v>
      </c>
      <c r="B578" s="403"/>
      <c r="C578" s="404" t="s">
        <v>1313</v>
      </c>
      <c r="D578" s="405">
        <v>41375</v>
      </c>
      <c r="E578" s="406"/>
      <c r="F578" s="325"/>
      <c r="G578" s="324"/>
      <c r="H578" s="324">
        <v>1590</v>
      </c>
      <c r="I578" s="325">
        <v>15</v>
      </c>
      <c r="J578" s="325"/>
      <c r="K578" s="325">
        <f t="shared" si="161"/>
        <v>0</v>
      </c>
      <c r="L578" s="325">
        <f t="shared" si="152"/>
        <v>0</v>
      </c>
      <c r="M578" s="407">
        <v>50</v>
      </c>
      <c r="N578" s="408" t="s">
        <v>289</v>
      </c>
      <c r="O578" s="325">
        <f t="shared" si="153"/>
        <v>0</v>
      </c>
      <c r="P578" s="325">
        <f t="shared" si="154"/>
        <v>0</v>
      </c>
      <c r="Q578" s="325">
        <f t="shared" si="155"/>
        <v>0</v>
      </c>
      <c r="R578" s="325">
        <f t="shared" si="156"/>
        <v>3</v>
      </c>
      <c r="S578" s="325">
        <f t="shared" si="157"/>
        <v>0</v>
      </c>
      <c r="T578" s="325">
        <f t="shared" si="162"/>
        <v>3</v>
      </c>
      <c r="U578" s="325">
        <f t="shared" si="159"/>
        <v>12</v>
      </c>
      <c r="V578" s="325">
        <f t="shared" si="160"/>
        <v>0</v>
      </c>
      <c r="W578" s="449" cm="1">
        <f t="array" ref="W578">+IF(U578&lt;0,error,0)</f>
        <v>0</v>
      </c>
    </row>
    <row r="579" spans="1:23" ht="18" customHeight="1" x14ac:dyDescent="0.2">
      <c r="A579" s="402" t="s">
        <v>1314</v>
      </c>
      <c r="B579" s="403"/>
      <c r="C579" s="404" t="s">
        <v>1315</v>
      </c>
      <c r="D579" s="405">
        <v>41436</v>
      </c>
      <c r="E579" s="406"/>
      <c r="F579" s="325"/>
      <c r="G579" s="324"/>
      <c r="H579" s="324">
        <v>7724.46</v>
      </c>
      <c r="I579" s="325">
        <v>75.460000000000008</v>
      </c>
      <c r="J579" s="325"/>
      <c r="K579" s="325">
        <f t="shared" si="161"/>
        <v>0</v>
      </c>
      <c r="L579" s="325">
        <f t="shared" si="152"/>
        <v>0</v>
      </c>
      <c r="M579" s="407">
        <v>50</v>
      </c>
      <c r="N579" s="408" t="s">
        <v>289</v>
      </c>
      <c r="O579" s="325">
        <f t="shared" si="153"/>
        <v>0</v>
      </c>
      <c r="P579" s="325">
        <f t="shared" si="154"/>
        <v>0</v>
      </c>
      <c r="Q579" s="325">
        <f t="shared" si="155"/>
        <v>0</v>
      </c>
      <c r="R579" s="325">
        <f t="shared" si="156"/>
        <v>18</v>
      </c>
      <c r="S579" s="325">
        <f t="shared" si="157"/>
        <v>0</v>
      </c>
      <c r="T579" s="325">
        <f t="shared" si="162"/>
        <v>18</v>
      </c>
      <c r="U579" s="325">
        <f t="shared" si="159"/>
        <v>57.460000000000008</v>
      </c>
      <c r="V579" s="325">
        <f t="shared" si="160"/>
        <v>0</v>
      </c>
      <c r="W579" s="449" cm="1">
        <f t="array" ref="W579">+IF(U579&lt;0,error,0)</f>
        <v>0</v>
      </c>
    </row>
    <row r="580" spans="1:23" ht="18" customHeight="1" x14ac:dyDescent="0.2">
      <c r="A580" s="402" t="s">
        <v>1320</v>
      </c>
      <c r="B580" s="403"/>
      <c r="C580" s="412" t="s">
        <v>1321</v>
      </c>
      <c r="D580" s="405">
        <v>41654</v>
      </c>
      <c r="E580" s="406"/>
      <c r="F580" s="325"/>
      <c r="G580" s="324"/>
      <c r="H580" s="324">
        <v>1331.94</v>
      </c>
      <c r="I580" s="325">
        <v>21.939999999999998</v>
      </c>
      <c r="J580" s="325"/>
      <c r="K580" s="325">
        <f t="shared" si="161"/>
        <v>0</v>
      </c>
      <c r="L580" s="325">
        <f t="shared" si="152"/>
        <v>0</v>
      </c>
      <c r="M580" s="407">
        <v>50</v>
      </c>
      <c r="N580" s="408" t="s">
        <v>289</v>
      </c>
      <c r="O580" s="325">
        <f t="shared" si="153"/>
        <v>0</v>
      </c>
      <c r="P580" s="325">
        <f t="shared" si="154"/>
        <v>0</v>
      </c>
      <c r="Q580" s="325">
        <f t="shared" si="155"/>
        <v>0</v>
      </c>
      <c r="R580" s="325">
        <f t="shared" si="156"/>
        <v>5</v>
      </c>
      <c r="S580" s="325">
        <f t="shared" si="157"/>
        <v>0</v>
      </c>
      <c r="T580" s="325">
        <f t="shared" si="162"/>
        <v>5</v>
      </c>
      <c r="U580" s="325">
        <f t="shared" si="159"/>
        <v>16.939999999999998</v>
      </c>
      <c r="V580" s="325">
        <f t="shared" si="160"/>
        <v>0</v>
      </c>
      <c r="W580" s="449" cm="1">
        <f t="array" ref="W580">+IF(U580&lt;0,error,0)</f>
        <v>0</v>
      </c>
    </row>
    <row r="581" spans="1:23" ht="18" customHeight="1" x14ac:dyDescent="0.2">
      <c r="A581" s="402" t="s">
        <v>1322</v>
      </c>
      <c r="B581" s="403"/>
      <c r="C581" s="412" t="s">
        <v>1323</v>
      </c>
      <c r="D581" s="405">
        <v>41670</v>
      </c>
      <c r="E581" s="406"/>
      <c r="F581" s="325"/>
      <c r="G581" s="324"/>
      <c r="H581" s="324">
        <v>1245.1000000000001</v>
      </c>
      <c r="I581" s="325">
        <v>20.100000000000001</v>
      </c>
      <c r="J581" s="325"/>
      <c r="K581" s="325">
        <f t="shared" si="161"/>
        <v>0</v>
      </c>
      <c r="L581" s="325">
        <f t="shared" si="152"/>
        <v>0</v>
      </c>
      <c r="M581" s="407">
        <v>50</v>
      </c>
      <c r="N581" s="408" t="s">
        <v>289</v>
      </c>
      <c r="O581" s="325">
        <f t="shared" si="153"/>
        <v>0</v>
      </c>
      <c r="P581" s="325">
        <f t="shared" si="154"/>
        <v>0</v>
      </c>
      <c r="Q581" s="325">
        <f t="shared" si="155"/>
        <v>0</v>
      </c>
      <c r="R581" s="325">
        <f t="shared" si="156"/>
        <v>5</v>
      </c>
      <c r="S581" s="325">
        <f t="shared" si="157"/>
        <v>0</v>
      </c>
      <c r="T581" s="325">
        <f t="shared" si="162"/>
        <v>5</v>
      </c>
      <c r="U581" s="325">
        <f t="shared" si="159"/>
        <v>15.100000000000001</v>
      </c>
      <c r="V581" s="325">
        <f t="shared" si="160"/>
        <v>0</v>
      </c>
      <c r="W581" s="449" cm="1">
        <f t="array" ref="W581">+IF(U581&lt;0,error,0)</f>
        <v>0</v>
      </c>
    </row>
    <row r="582" spans="1:23" ht="18" customHeight="1" x14ac:dyDescent="0.2">
      <c r="A582" s="402" t="s">
        <v>1324</v>
      </c>
      <c r="B582" s="403"/>
      <c r="C582" s="412" t="s">
        <v>1325</v>
      </c>
      <c r="D582" s="405">
        <v>41670</v>
      </c>
      <c r="E582" s="406"/>
      <c r="F582" s="325"/>
      <c r="G582" s="324"/>
      <c r="H582" s="324">
        <v>3261</v>
      </c>
      <c r="I582" s="325">
        <v>51</v>
      </c>
      <c r="J582" s="325"/>
      <c r="K582" s="325">
        <f t="shared" si="161"/>
        <v>0</v>
      </c>
      <c r="L582" s="325">
        <f t="shared" si="152"/>
        <v>0</v>
      </c>
      <c r="M582" s="407">
        <v>50</v>
      </c>
      <c r="N582" s="408" t="s">
        <v>289</v>
      </c>
      <c r="O582" s="325">
        <f t="shared" si="153"/>
        <v>0</v>
      </c>
      <c r="P582" s="325">
        <f t="shared" si="154"/>
        <v>0</v>
      </c>
      <c r="Q582" s="325">
        <f t="shared" si="155"/>
        <v>0</v>
      </c>
      <c r="R582" s="325">
        <f t="shared" si="156"/>
        <v>12</v>
      </c>
      <c r="S582" s="325">
        <f t="shared" si="157"/>
        <v>0</v>
      </c>
      <c r="T582" s="325">
        <f t="shared" si="162"/>
        <v>12</v>
      </c>
      <c r="U582" s="325">
        <f t="shared" si="159"/>
        <v>39</v>
      </c>
      <c r="V582" s="325">
        <f t="shared" si="160"/>
        <v>0</v>
      </c>
      <c r="W582" s="449" cm="1">
        <f t="array" ref="W582">+IF(U582&lt;0,error,0)</f>
        <v>0</v>
      </c>
    </row>
    <row r="583" spans="1:23" ht="18" customHeight="1" x14ac:dyDescent="0.2">
      <c r="A583" s="402" t="s">
        <v>1326</v>
      </c>
      <c r="B583" s="403"/>
      <c r="C583" s="404" t="s">
        <v>1327</v>
      </c>
      <c r="D583" s="405">
        <v>41675</v>
      </c>
      <c r="E583" s="406"/>
      <c r="F583" s="325"/>
      <c r="G583" s="324"/>
      <c r="H583" s="324">
        <v>5390</v>
      </c>
      <c r="I583" s="325">
        <v>86</v>
      </c>
      <c r="J583" s="325"/>
      <c r="K583" s="325">
        <f t="shared" si="161"/>
        <v>0</v>
      </c>
      <c r="L583" s="325">
        <f t="shared" si="152"/>
        <v>0</v>
      </c>
      <c r="M583" s="407">
        <v>50</v>
      </c>
      <c r="N583" s="408" t="s">
        <v>289</v>
      </c>
      <c r="O583" s="325">
        <f t="shared" si="153"/>
        <v>0</v>
      </c>
      <c r="P583" s="325">
        <f t="shared" si="154"/>
        <v>0</v>
      </c>
      <c r="Q583" s="325">
        <f t="shared" si="155"/>
        <v>0</v>
      </c>
      <c r="R583" s="325">
        <f t="shared" si="156"/>
        <v>21</v>
      </c>
      <c r="S583" s="325">
        <f t="shared" si="157"/>
        <v>0</v>
      </c>
      <c r="T583" s="325">
        <f t="shared" si="162"/>
        <v>21</v>
      </c>
      <c r="U583" s="325">
        <f t="shared" si="159"/>
        <v>65</v>
      </c>
      <c r="V583" s="325">
        <f t="shared" si="160"/>
        <v>0</v>
      </c>
      <c r="W583" s="449" cm="1">
        <f t="array" ref="W583">+IF(U583&lt;0,error,0)</f>
        <v>0</v>
      </c>
    </row>
    <row r="584" spans="1:23" ht="18" customHeight="1" x14ac:dyDescent="0.2">
      <c r="A584" s="402" t="s">
        <v>1328</v>
      </c>
      <c r="B584" s="403"/>
      <c r="C584" s="404" t="s">
        <v>1329</v>
      </c>
      <c r="D584" s="405">
        <v>41676</v>
      </c>
      <c r="E584" s="406"/>
      <c r="F584" s="325"/>
      <c r="G584" s="324"/>
      <c r="H584" s="324">
        <v>9835</v>
      </c>
      <c r="I584" s="325">
        <v>156</v>
      </c>
      <c r="J584" s="325"/>
      <c r="K584" s="325">
        <f t="shared" si="161"/>
        <v>0</v>
      </c>
      <c r="L584" s="325">
        <f t="shared" si="152"/>
        <v>0</v>
      </c>
      <c r="M584" s="407">
        <v>50</v>
      </c>
      <c r="N584" s="408" t="s">
        <v>289</v>
      </c>
      <c r="O584" s="325">
        <f t="shared" si="153"/>
        <v>0</v>
      </c>
      <c r="P584" s="325">
        <f t="shared" si="154"/>
        <v>0</v>
      </c>
      <c r="Q584" s="325">
        <f t="shared" si="155"/>
        <v>0</v>
      </c>
      <c r="R584" s="325">
        <f t="shared" si="156"/>
        <v>39</v>
      </c>
      <c r="S584" s="325">
        <f t="shared" si="157"/>
        <v>0</v>
      </c>
      <c r="T584" s="325">
        <f t="shared" si="162"/>
        <v>39</v>
      </c>
      <c r="U584" s="325">
        <f t="shared" si="159"/>
        <v>117</v>
      </c>
      <c r="V584" s="325">
        <f t="shared" si="160"/>
        <v>0</v>
      </c>
      <c r="W584" s="449" cm="1">
        <f t="array" ref="W584">+IF(U584&lt;0,error,0)</f>
        <v>0</v>
      </c>
    </row>
    <row r="585" spans="1:23" ht="18" customHeight="1" x14ac:dyDescent="0.2">
      <c r="A585" s="402" t="s">
        <v>1330</v>
      </c>
      <c r="B585" s="403"/>
      <c r="C585" s="404" t="s">
        <v>1331</v>
      </c>
      <c r="D585" s="405">
        <v>41676</v>
      </c>
      <c r="E585" s="406"/>
      <c r="F585" s="325"/>
      <c r="G585" s="324"/>
      <c r="H585" s="324">
        <v>4238</v>
      </c>
      <c r="I585" s="325">
        <v>68</v>
      </c>
      <c r="J585" s="325"/>
      <c r="K585" s="325">
        <f t="shared" si="161"/>
        <v>0</v>
      </c>
      <c r="L585" s="325">
        <f t="shared" si="152"/>
        <v>0</v>
      </c>
      <c r="M585" s="407">
        <v>50</v>
      </c>
      <c r="N585" s="408" t="s">
        <v>289</v>
      </c>
      <c r="O585" s="325">
        <f t="shared" si="153"/>
        <v>0</v>
      </c>
      <c r="P585" s="325">
        <f t="shared" si="154"/>
        <v>0</v>
      </c>
      <c r="Q585" s="325">
        <f t="shared" si="155"/>
        <v>0</v>
      </c>
      <c r="R585" s="325">
        <f t="shared" si="156"/>
        <v>17</v>
      </c>
      <c r="S585" s="325">
        <f t="shared" si="157"/>
        <v>0</v>
      </c>
      <c r="T585" s="325">
        <f t="shared" si="162"/>
        <v>17</v>
      </c>
      <c r="U585" s="325">
        <f t="shared" si="159"/>
        <v>51</v>
      </c>
      <c r="V585" s="325">
        <f t="shared" si="160"/>
        <v>0</v>
      </c>
      <c r="W585" s="449" cm="1">
        <f t="array" ref="W585">+IF(U585&lt;0,error,0)</f>
        <v>0</v>
      </c>
    </row>
    <row r="586" spans="1:23" ht="18" customHeight="1" x14ac:dyDescent="0.2">
      <c r="A586" s="402" t="s">
        <v>1332</v>
      </c>
      <c r="B586" s="403"/>
      <c r="C586" s="412" t="s">
        <v>1333</v>
      </c>
      <c r="D586" s="405">
        <v>41684</v>
      </c>
      <c r="E586" s="406"/>
      <c r="F586" s="325"/>
      <c r="G586" s="324"/>
      <c r="H586" s="324">
        <v>4365</v>
      </c>
      <c r="I586" s="325">
        <v>70</v>
      </c>
      <c r="J586" s="325"/>
      <c r="K586" s="325">
        <f t="shared" si="161"/>
        <v>0</v>
      </c>
      <c r="L586" s="325">
        <f t="shared" si="152"/>
        <v>0</v>
      </c>
      <c r="M586" s="407">
        <v>50</v>
      </c>
      <c r="N586" s="408" t="s">
        <v>289</v>
      </c>
      <c r="O586" s="325">
        <f t="shared" si="153"/>
        <v>0</v>
      </c>
      <c r="P586" s="325">
        <f t="shared" si="154"/>
        <v>0</v>
      </c>
      <c r="Q586" s="325">
        <f t="shared" si="155"/>
        <v>0</v>
      </c>
      <c r="R586" s="325">
        <f t="shared" si="156"/>
        <v>17</v>
      </c>
      <c r="S586" s="325">
        <f t="shared" si="157"/>
        <v>0</v>
      </c>
      <c r="T586" s="325">
        <f t="shared" si="162"/>
        <v>17</v>
      </c>
      <c r="U586" s="325">
        <f t="shared" si="159"/>
        <v>53</v>
      </c>
      <c r="V586" s="325">
        <f t="shared" si="160"/>
        <v>0</v>
      </c>
      <c r="W586" s="449" cm="1">
        <f t="array" ref="W586">+IF(U586&lt;0,error,0)</f>
        <v>0</v>
      </c>
    </row>
    <row r="587" spans="1:23" ht="18" customHeight="1" x14ac:dyDescent="0.2">
      <c r="A587" s="402" t="s">
        <v>1334</v>
      </c>
      <c r="B587" s="403"/>
      <c r="C587" s="412" t="s">
        <v>1335</v>
      </c>
      <c r="D587" s="405">
        <v>41689</v>
      </c>
      <c r="E587" s="406"/>
      <c r="F587" s="325"/>
      <c r="G587" s="324"/>
      <c r="H587" s="324">
        <v>3747</v>
      </c>
      <c r="I587" s="325">
        <v>61</v>
      </c>
      <c r="J587" s="325"/>
      <c r="K587" s="325">
        <f t="shared" si="161"/>
        <v>0</v>
      </c>
      <c r="L587" s="325">
        <f t="shared" si="152"/>
        <v>0</v>
      </c>
      <c r="M587" s="407">
        <v>50</v>
      </c>
      <c r="N587" s="408" t="s">
        <v>289</v>
      </c>
      <c r="O587" s="325">
        <f t="shared" si="153"/>
        <v>0</v>
      </c>
      <c r="P587" s="325">
        <f t="shared" si="154"/>
        <v>0</v>
      </c>
      <c r="Q587" s="325">
        <f t="shared" si="155"/>
        <v>0</v>
      </c>
      <c r="R587" s="325">
        <f t="shared" si="156"/>
        <v>15</v>
      </c>
      <c r="S587" s="325">
        <f t="shared" si="157"/>
        <v>0</v>
      </c>
      <c r="T587" s="325">
        <f t="shared" si="162"/>
        <v>15</v>
      </c>
      <c r="U587" s="325">
        <f t="shared" si="159"/>
        <v>46</v>
      </c>
      <c r="V587" s="325">
        <f t="shared" si="160"/>
        <v>0</v>
      </c>
      <c r="W587" s="449" cm="1">
        <f t="array" ref="W587">+IF(U587&lt;0,error,0)</f>
        <v>0</v>
      </c>
    </row>
    <row r="588" spans="1:23" ht="18" customHeight="1" x14ac:dyDescent="0.2">
      <c r="A588" s="402" t="s">
        <v>1336</v>
      </c>
      <c r="B588" s="403"/>
      <c r="C588" s="404" t="s">
        <v>1337</v>
      </c>
      <c r="D588" s="405">
        <v>41717</v>
      </c>
      <c r="E588" s="406"/>
      <c r="F588" s="325"/>
      <c r="G588" s="324"/>
      <c r="H588" s="324">
        <v>3075.92</v>
      </c>
      <c r="I588" s="325">
        <v>52.920000000000016</v>
      </c>
      <c r="J588" s="325"/>
      <c r="K588" s="325">
        <f t="shared" si="161"/>
        <v>0</v>
      </c>
      <c r="L588" s="325">
        <f t="shared" si="152"/>
        <v>0</v>
      </c>
      <c r="M588" s="407">
        <v>50</v>
      </c>
      <c r="N588" s="408" t="s">
        <v>289</v>
      </c>
      <c r="O588" s="325">
        <f t="shared" si="153"/>
        <v>0</v>
      </c>
      <c r="P588" s="325">
        <f t="shared" si="154"/>
        <v>0</v>
      </c>
      <c r="Q588" s="325">
        <f t="shared" si="155"/>
        <v>0</v>
      </c>
      <c r="R588" s="325">
        <f t="shared" si="156"/>
        <v>13</v>
      </c>
      <c r="S588" s="325">
        <f t="shared" si="157"/>
        <v>0</v>
      </c>
      <c r="T588" s="325">
        <f t="shared" si="162"/>
        <v>13</v>
      </c>
      <c r="U588" s="325">
        <f t="shared" si="159"/>
        <v>39.920000000000016</v>
      </c>
      <c r="V588" s="325">
        <f t="shared" si="160"/>
        <v>0</v>
      </c>
      <c r="W588" s="449" cm="1">
        <f t="array" ref="W588">+IF(U588&lt;0,error,0)</f>
        <v>0</v>
      </c>
    </row>
    <row r="589" spans="1:23" ht="18" customHeight="1" x14ac:dyDescent="0.2">
      <c r="A589" s="402" t="s">
        <v>1338</v>
      </c>
      <c r="B589" s="403"/>
      <c r="C589" s="404" t="s">
        <v>1339</v>
      </c>
      <c r="D589" s="405">
        <v>41717</v>
      </c>
      <c r="E589" s="406"/>
      <c r="F589" s="325"/>
      <c r="G589" s="324"/>
      <c r="H589" s="324">
        <v>1537.96</v>
      </c>
      <c r="I589" s="325">
        <v>27.960000000000008</v>
      </c>
      <c r="J589" s="325"/>
      <c r="K589" s="325">
        <f t="shared" si="161"/>
        <v>0</v>
      </c>
      <c r="L589" s="325">
        <f t="shared" si="152"/>
        <v>0</v>
      </c>
      <c r="M589" s="407">
        <v>50</v>
      </c>
      <c r="N589" s="408" t="s">
        <v>289</v>
      </c>
      <c r="O589" s="325">
        <f t="shared" si="153"/>
        <v>0</v>
      </c>
      <c r="P589" s="325">
        <f t="shared" si="154"/>
        <v>0</v>
      </c>
      <c r="Q589" s="325">
        <f t="shared" si="155"/>
        <v>0</v>
      </c>
      <c r="R589" s="325">
        <f t="shared" si="156"/>
        <v>6</v>
      </c>
      <c r="S589" s="325">
        <f t="shared" si="157"/>
        <v>0</v>
      </c>
      <c r="T589" s="325">
        <f t="shared" si="162"/>
        <v>6</v>
      </c>
      <c r="U589" s="325">
        <f t="shared" si="159"/>
        <v>21.960000000000008</v>
      </c>
      <c r="V589" s="325">
        <f t="shared" si="160"/>
        <v>0</v>
      </c>
      <c r="W589" s="449" cm="1">
        <f t="array" ref="W589">+IF(U589&lt;0,error,0)</f>
        <v>0</v>
      </c>
    </row>
    <row r="590" spans="1:23" ht="18" customHeight="1" x14ac:dyDescent="0.2">
      <c r="A590" s="402" t="s">
        <v>1340</v>
      </c>
      <c r="B590" s="403"/>
      <c r="C590" s="404" t="s">
        <v>1341</v>
      </c>
      <c r="D590" s="405">
        <v>41717</v>
      </c>
      <c r="E590" s="406"/>
      <c r="F590" s="325"/>
      <c r="G590" s="324"/>
      <c r="H590" s="324">
        <v>1537.96</v>
      </c>
      <c r="I590" s="325">
        <v>27.960000000000008</v>
      </c>
      <c r="J590" s="325"/>
      <c r="K590" s="325">
        <f t="shared" si="161"/>
        <v>0</v>
      </c>
      <c r="L590" s="325">
        <f t="shared" si="152"/>
        <v>0</v>
      </c>
      <c r="M590" s="407">
        <v>50</v>
      </c>
      <c r="N590" s="408" t="s">
        <v>289</v>
      </c>
      <c r="O590" s="325">
        <f t="shared" si="153"/>
        <v>0</v>
      </c>
      <c r="P590" s="325">
        <f t="shared" si="154"/>
        <v>0</v>
      </c>
      <c r="Q590" s="325">
        <f t="shared" si="155"/>
        <v>0</v>
      </c>
      <c r="R590" s="325">
        <f t="shared" si="156"/>
        <v>6</v>
      </c>
      <c r="S590" s="325">
        <f t="shared" si="157"/>
        <v>0</v>
      </c>
      <c r="T590" s="325">
        <f t="shared" si="162"/>
        <v>6</v>
      </c>
      <c r="U590" s="325">
        <f t="shared" si="159"/>
        <v>21.960000000000008</v>
      </c>
      <c r="V590" s="325">
        <f t="shared" si="160"/>
        <v>0</v>
      </c>
      <c r="W590" s="449" cm="1">
        <f t="array" ref="W590">+IF(U590&lt;0,error,0)</f>
        <v>0</v>
      </c>
    </row>
    <row r="591" spans="1:23" ht="18" customHeight="1" x14ac:dyDescent="0.2">
      <c r="A591" s="402" t="s">
        <v>1342</v>
      </c>
      <c r="B591" s="403"/>
      <c r="C591" s="404" t="s">
        <v>1343</v>
      </c>
      <c r="D591" s="405">
        <v>41717</v>
      </c>
      <c r="E591" s="406"/>
      <c r="F591" s="325"/>
      <c r="G591" s="324"/>
      <c r="H591" s="324">
        <v>2128.86</v>
      </c>
      <c r="I591" s="325">
        <v>36.86</v>
      </c>
      <c r="J591" s="325"/>
      <c r="K591" s="325">
        <f t="shared" si="161"/>
        <v>0</v>
      </c>
      <c r="L591" s="325">
        <f t="shared" si="152"/>
        <v>0</v>
      </c>
      <c r="M591" s="407">
        <v>50</v>
      </c>
      <c r="N591" s="408" t="s">
        <v>289</v>
      </c>
      <c r="O591" s="325">
        <f t="shared" si="153"/>
        <v>0</v>
      </c>
      <c r="P591" s="325">
        <f t="shared" si="154"/>
        <v>0</v>
      </c>
      <c r="Q591" s="325">
        <f t="shared" si="155"/>
        <v>0</v>
      </c>
      <c r="R591" s="325">
        <f t="shared" si="156"/>
        <v>9</v>
      </c>
      <c r="S591" s="325">
        <f t="shared" si="157"/>
        <v>0</v>
      </c>
      <c r="T591" s="325">
        <f t="shared" si="162"/>
        <v>9</v>
      </c>
      <c r="U591" s="325">
        <f t="shared" si="159"/>
        <v>27.86</v>
      </c>
      <c r="V591" s="325">
        <f t="shared" si="160"/>
        <v>0</v>
      </c>
      <c r="W591" s="449" cm="1">
        <f t="array" ref="W591">+IF(U591&lt;0,error,0)</f>
        <v>0</v>
      </c>
    </row>
    <row r="592" spans="1:23" ht="18" customHeight="1" x14ac:dyDescent="0.2">
      <c r="A592" s="402" t="s">
        <v>1344</v>
      </c>
      <c r="B592" s="403"/>
      <c r="C592" s="404" t="s">
        <v>1345</v>
      </c>
      <c r="D592" s="405">
        <v>41717</v>
      </c>
      <c r="E592" s="406"/>
      <c r="F592" s="325"/>
      <c r="G592" s="324"/>
      <c r="H592" s="324">
        <v>6386.58</v>
      </c>
      <c r="I592" s="325">
        <v>108.57999999999998</v>
      </c>
      <c r="J592" s="325"/>
      <c r="K592" s="325">
        <f t="shared" si="161"/>
        <v>0</v>
      </c>
      <c r="L592" s="325">
        <f t="shared" si="152"/>
        <v>0</v>
      </c>
      <c r="M592" s="407">
        <v>50</v>
      </c>
      <c r="N592" s="408" t="s">
        <v>289</v>
      </c>
      <c r="O592" s="325">
        <f t="shared" si="153"/>
        <v>0</v>
      </c>
      <c r="P592" s="325">
        <f t="shared" si="154"/>
        <v>0</v>
      </c>
      <c r="Q592" s="325">
        <f t="shared" si="155"/>
        <v>0</v>
      </c>
      <c r="R592" s="325">
        <f t="shared" si="156"/>
        <v>27</v>
      </c>
      <c r="S592" s="325">
        <f t="shared" si="157"/>
        <v>0</v>
      </c>
      <c r="T592" s="325">
        <f t="shared" si="162"/>
        <v>27</v>
      </c>
      <c r="U592" s="325">
        <f t="shared" si="159"/>
        <v>81.579999999999984</v>
      </c>
      <c r="V592" s="325">
        <f t="shared" si="160"/>
        <v>0</v>
      </c>
      <c r="W592" s="449" cm="1">
        <f t="array" ref="W592">+IF(U592&lt;0,error,0)</f>
        <v>0</v>
      </c>
    </row>
    <row r="593" spans="1:23" ht="18" customHeight="1" x14ac:dyDescent="0.2">
      <c r="A593" s="402" t="s">
        <v>1346</v>
      </c>
      <c r="B593" s="403"/>
      <c r="C593" s="404" t="s">
        <v>1347</v>
      </c>
      <c r="D593" s="405">
        <v>41717</v>
      </c>
      <c r="E593" s="406"/>
      <c r="F593" s="325"/>
      <c r="G593" s="324"/>
      <c r="H593" s="324">
        <v>2128.86</v>
      </c>
      <c r="I593" s="325">
        <v>36.86</v>
      </c>
      <c r="J593" s="325"/>
      <c r="K593" s="325">
        <f t="shared" si="161"/>
        <v>0</v>
      </c>
      <c r="L593" s="325">
        <f t="shared" si="152"/>
        <v>0</v>
      </c>
      <c r="M593" s="407">
        <v>50</v>
      </c>
      <c r="N593" s="408" t="s">
        <v>289</v>
      </c>
      <c r="O593" s="325">
        <f t="shared" si="153"/>
        <v>0</v>
      </c>
      <c r="P593" s="325">
        <f t="shared" si="154"/>
        <v>0</v>
      </c>
      <c r="Q593" s="325">
        <f t="shared" si="155"/>
        <v>0</v>
      </c>
      <c r="R593" s="325">
        <f t="shared" si="156"/>
        <v>9</v>
      </c>
      <c r="S593" s="325">
        <f t="shared" si="157"/>
        <v>0</v>
      </c>
      <c r="T593" s="325">
        <f t="shared" si="162"/>
        <v>9</v>
      </c>
      <c r="U593" s="325">
        <f t="shared" si="159"/>
        <v>27.86</v>
      </c>
      <c r="V593" s="325">
        <f t="shared" si="160"/>
        <v>0</v>
      </c>
      <c r="W593" s="449" cm="1">
        <f t="array" ref="W593">+IF(U593&lt;0,error,0)</f>
        <v>0</v>
      </c>
    </row>
    <row r="594" spans="1:23" ht="18" customHeight="1" x14ac:dyDescent="0.2">
      <c r="A594" s="402" t="s">
        <v>1348</v>
      </c>
      <c r="B594" s="403"/>
      <c r="C594" s="404" t="s">
        <v>1349</v>
      </c>
      <c r="D594" s="405">
        <v>41717</v>
      </c>
      <c r="E594" s="406"/>
      <c r="F594" s="325"/>
      <c r="G594" s="324"/>
      <c r="H594" s="324">
        <v>6489.8</v>
      </c>
      <c r="I594" s="325">
        <v>110.80000000000001</v>
      </c>
      <c r="J594" s="325"/>
      <c r="K594" s="325">
        <f t="shared" si="161"/>
        <v>0</v>
      </c>
      <c r="L594" s="325">
        <f t="shared" si="152"/>
        <v>0</v>
      </c>
      <c r="M594" s="407">
        <v>50</v>
      </c>
      <c r="N594" s="408" t="s">
        <v>289</v>
      </c>
      <c r="O594" s="325">
        <f t="shared" si="153"/>
        <v>0</v>
      </c>
      <c r="P594" s="325">
        <f t="shared" si="154"/>
        <v>0</v>
      </c>
      <c r="Q594" s="325">
        <f t="shared" si="155"/>
        <v>0</v>
      </c>
      <c r="R594" s="325">
        <f t="shared" si="156"/>
        <v>27</v>
      </c>
      <c r="S594" s="325">
        <f t="shared" si="157"/>
        <v>0</v>
      </c>
      <c r="T594" s="325">
        <f t="shared" si="162"/>
        <v>27</v>
      </c>
      <c r="U594" s="325">
        <f t="shared" si="159"/>
        <v>83.800000000000011</v>
      </c>
      <c r="V594" s="325">
        <f t="shared" si="160"/>
        <v>0</v>
      </c>
      <c r="W594" s="449" cm="1">
        <f t="array" ref="W594">+IF(U594&lt;0,error,0)</f>
        <v>0</v>
      </c>
    </row>
    <row r="595" spans="1:23" ht="18" customHeight="1" x14ac:dyDescent="0.2">
      <c r="A595" s="402" t="s">
        <v>1350</v>
      </c>
      <c r="B595" s="403"/>
      <c r="C595" s="404" t="s">
        <v>1351</v>
      </c>
      <c r="D595" s="405">
        <v>41726</v>
      </c>
      <c r="E595" s="406"/>
      <c r="F595" s="325"/>
      <c r="G595" s="324"/>
      <c r="H595" s="324">
        <v>4380</v>
      </c>
      <c r="I595" s="325">
        <v>76</v>
      </c>
      <c r="J595" s="325"/>
      <c r="K595" s="325">
        <f t="shared" si="161"/>
        <v>0</v>
      </c>
      <c r="L595" s="325">
        <f t="shared" si="152"/>
        <v>0</v>
      </c>
      <c r="M595" s="407">
        <v>50</v>
      </c>
      <c r="N595" s="408" t="s">
        <v>289</v>
      </c>
      <c r="O595" s="325">
        <f t="shared" si="153"/>
        <v>0</v>
      </c>
      <c r="P595" s="325">
        <f t="shared" si="154"/>
        <v>0</v>
      </c>
      <c r="Q595" s="325">
        <f t="shared" si="155"/>
        <v>0</v>
      </c>
      <c r="R595" s="325">
        <f t="shared" si="156"/>
        <v>19</v>
      </c>
      <c r="S595" s="325">
        <f t="shared" si="157"/>
        <v>0</v>
      </c>
      <c r="T595" s="325">
        <f t="shared" si="162"/>
        <v>19</v>
      </c>
      <c r="U595" s="325">
        <f t="shared" si="159"/>
        <v>57</v>
      </c>
      <c r="V595" s="325">
        <f t="shared" si="160"/>
        <v>0</v>
      </c>
      <c r="W595" s="449" cm="1">
        <f t="array" ref="W595">+IF(U595&lt;0,error,0)</f>
        <v>0</v>
      </c>
    </row>
    <row r="596" spans="1:23" ht="18" customHeight="1" x14ac:dyDescent="0.2">
      <c r="A596" s="402" t="s">
        <v>1352</v>
      </c>
      <c r="B596" s="403"/>
      <c r="C596" s="404" t="s">
        <v>1353</v>
      </c>
      <c r="D596" s="405">
        <v>41730</v>
      </c>
      <c r="E596" s="406"/>
      <c r="F596" s="325"/>
      <c r="G596" s="324"/>
      <c r="H596" s="324">
        <v>1400</v>
      </c>
      <c r="I596" s="325">
        <v>25</v>
      </c>
      <c r="J596" s="325"/>
      <c r="K596" s="325">
        <f t="shared" si="161"/>
        <v>0</v>
      </c>
      <c r="L596" s="325">
        <f t="shared" si="152"/>
        <v>0</v>
      </c>
      <c r="M596" s="407">
        <v>50</v>
      </c>
      <c r="N596" s="408" t="s">
        <v>289</v>
      </c>
      <c r="O596" s="325">
        <f t="shared" si="153"/>
        <v>0</v>
      </c>
      <c r="P596" s="325">
        <f t="shared" si="154"/>
        <v>0</v>
      </c>
      <c r="Q596" s="325">
        <f t="shared" si="155"/>
        <v>0</v>
      </c>
      <c r="R596" s="325">
        <f t="shared" si="156"/>
        <v>6</v>
      </c>
      <c r="S596" s="325">
        <f t="shared" si="157"/>
        <v>0</v>
      </c>
      <c r="T596" s="325">
        <f t="shared" si="162"/>
        <v>6</v>
      </c>
      <c r="U596" s="325">
        <f t="shared" si="159"/>
        <v>19</v>
      </c>
      <c r="V596" s="325">
        <f t="shared" si="160"/>
        <v>0</v>
      </c>
      <c r="W596" s="449" cm="1">
        <f t="array" ref="W596">+IF(U596&lt;0,error,0)</f>
        <v>0</v>
      </c>
    </row>
    <row r="597" spans="1:23" ht="18" customHeight="1" x14ac:dyDescent="0.2">
      <c r="A597" s="402" t="s">
        <v>1354</v>
      </c>
      <c r="B597" s="403"/>
      <c r="C597" s="404" t="s">
        <v>1355</v>
      </c>
      <c r="D597" s="405">
        <v>41730</v>
      </c>
      <c r="E597" s="406"/>
      <c r="F597" s="325"/>
      <c r="G597" s="324"/>
      <c r="H597" s="324">
        <v>700</v>
      </c>
      <c r="I597" s="325">
        <v>13</v>
      </c>
      <c r="J597" s="325"/>
      <c r="K597" s="325">
        <f t="shared" si="161"/>
        <v>0</v>
      </c>
      <c r="L597" s="325">
        <f t="shared" si="152"/>
        <v>0</v>
      </c>
      <c r="M597" s="407">
        <v>50</v>
      </c>
      <c r="N597" s="408" t="s">
        <v>289</v>
      </c>
      <c r="O597" s="325">
        <f t="shared" si="153"/>
        <v>0</v>
      </c>
      <c r="P597" s="325">
        <f t="shared" si="154"/>
        <v>0</v>
      </c>
      <c r="Q597" s="325">
        <f t="shared" si="155"/>
        <v>0</v>
      </c>
      <c r="R597" s="325">
        <f t="shared" si="156"/>
        <v>3</v>
      </c>
      <c r="S597" s="325">
        <f t="shared" si="157"/>
        <v>0</v>
      </c>
      <c r="T597" s="325">
        <f t="shared" si="162"/>
        <v>3</v>
      </c>
      <c r="U597" s="325">
        <f t="shared" si="159"/>
        <v>10</v>
      </c>
      <c r="V597" s="325">
        <f t="shared" si="160"/>
        <v>0</v>
      </c>
      <c r="W597" s="449" cm="1">
        <f t="array" ref="W597">+IF(U597&lt;0,error,0)</f>
        <v>0</v>
      </c>
    </row>
    <row r="598" spans="1:23" ht="18" customHeight="1" x14ac:dyDescent="0.2">
      <c r="A598" s="402" t="s">
        <v>1356</v>
      </c>
      <c r="B598" s="403"/>
      <c r="C598" s="412" t="s">
        <v>1357</v>
      </c>
      <c r="D598" s="405">
        <v>41731</v>
      </c>
      <c r="E598" s="406"/>
      <c r="F598" s="325"/>
      <c r="G598" s="324"/>
      <c r="H598" s="324">
        <v>6347.26</v>
      </c>
      <c r="I598" s="325">
        <v>111.25999999999999</v>
      </c>
      <c r="J598" s="325"/>
      <c r="K598" s="325">
        <f t="shared" si="161"/>
        <v>0</v>
      </c>
      <c r="L598" s="325">
        <f t="shared" si="152"/>
        <v>0</v>
      </c>
      <c r="M598" s="407">
        <v>50</v>
      </c>
      <c r="N598" s="408" t="s">
        <v>289</v>
      </c>
      <c r="O598" s="325">
        <f t="shared" si="153"/>
        <v>0</v>
      </c>
      <c r="P598" s="325">
        <f t="shared" si="154"/>
        <v>0</v>
      </c>
      <c r="Q598" s="325">
        <f t="shared" si="155"/>
        <v>0</v>
      </c>
      <c r="R598" s="325">
        <f t="shared" si="156"/>
        <v>27</v>
      </c>
      <c r="S598" s="325">
        <f t="shared" si="157"/>
        <v>0</v>
      </c>
      <c r="T598" s="325">
        <f t="shared" si="162"/>
        <v>27</v>
      </c>
      <c r="U598" s="325">
        <f t="shared" si="159"/>
        <v>84.259999999999991</v>
      </c>
      <c r="V598" s="325">
        <f t="shared" si="160"/>
        <v>0</v>
      </c>
      <c r="W598" s="449" cm="1">
        <f t="array" ref="W598">+IF(U598&lt;0,error,0)</f>
        <v>0</v>
      </c>
    </row>
    <row r="599" spans="1:23" ht="18" customHeight="1" x14ac:dyDescent="0.2">
      <c r="A599" s="402" t="s">
        <v>1358</v>
      </c>
      <c r="B599" s="403"/>
      <c r="C599" s="404" t="s">
        <v>1359</v>
      </c>
      <c r="D599" s="405">
        <v>41742</v>
      </c>
      <c r="E599" s="406"/>
      <c r="F599" s="325"/>
      <c r="G599" s="324"/>
      <c r="H599" s="324">
        <v>2100</v>
      </c>
      <c r="I599" s="325">
        <v>38</v>
      </c>
      <c r="J599" s="325"/>
      <c r="K599" s="325">
        <f t="shared" si="161"/>
        <v>0</v>
      </c>
      <c r="L599" s="325">
        <f t="shared" si="152"/>
        <v>0</v>
      </c>
      <c r="M599" s="407">
        <v>50</v>
      </c>
      <c r="N599" s="408" t="s">
        <v>289</v>
      </c>
      <c r="O599" s="325">
        <f t="shared" si="153"/>
        <v>0</v>
      </c>
      <c r="P599" s="325">
        <f t="shared" si="154"/>
        <v>0</v>
      </c>
      <c r="Q599" s="325">
        <f t="shared" si="155"/>
        <v>0</v>
      </c>
      <c r="R599" s="325">
        <f t="shared" si="156"/>
        <v>9</v>
      </c>
      <c r="S599" s="325">
        <f t="shared" si="157"/>
        <v>0</v>
      </c>
      <c r="T599" s="325">
        <f t="shared" si="162"/>
        <v>9</v>
      </c>
      <c r="U599" s="325">
        <f t="shared" si="159"/>
        <v>29</v>
      </c>
      <c r="V599" s="325">
        <f t="shared" si="160"/>
        <v>0</v>
      </c>
      <c r="W599" s="449" cm="1">
        <f t="array" ref="W599">+IF(U599&lt;0,error,0)</f>
        <v>0</v>
      </c>
    </row>
    <row r="600" spans="1:23" ht="18" customHeight="1" x14ac:dyDescent="0.2">
      <c r="A600" s="402" t="s">
        <v>1360</v>
      </c>
      <c r="B600" s="403"/>
      <c r="C600" s="404" t="s">
        <v>1361</v>
      </c>
      <c r="D600" s="405">
        <v>41742</v>
      </c>
      <c r="E600" s="406"/>
      <c r="F600" s="325"/>
      <c r="G600" s="324"/>
      <c r="H600" s="324">
        <v>2640</v>
      </c>
      <c r="I600" s="325">
        <v>48</v>
      </c>
      <c r="J600" s="325"/>
      <c r="K600" s="325">
        <f t="shared" si="161"/>
        <v>0</v>
      </c>
      <c r="L600" s="325">
        <f t="shared" si="152"/>
        <v>0</v>
      </c>
      <c r="M600" s="407">
        <v>50</v>
      </c>
      <c r="N600" s="408" t="s">
        <v>289</v>
      </c>
      <c r="O600" s="325">
        <f t="shared" si="153"/>
        <v>0</v>
      </c>
      <c r="P600" s="325">
        <f t="shared" si="154"/>
        <v>0</v>
      </c>
      <c r="Q600" s="325">
        <f t="shared" si="155"/>
        <v>0</v>
      </c>
      <c r="R600" s="325">
        <f t="shared" si="156"/>
        <v>12</v>
      </c>
      <c r="S600" s="325">
        <f t="shared" si="157"/>
        <v>0</v>
      </c>
      <c r="T600" s="325">
        <f t="shared" si="162"/>
        <v>12</v>
      </c>
      <c r="U600" s="325">
        <f t="shared" si="159"/>
        <v>36</v>
      </c>
      <c r="V600" s="325">
        <f t="shared" si="160"/>
        <v>0</v>
      </c>
      <c r="W600" s="449" cm="1">
        <f t="array" ref="W600">+IF(U600&lt;0,error,0)</f>
        <v>0</v>
      </c>
    </row>
    <row r="601" spans="1:23" ht="18" customHeight="1" x14ac:dyDescent="0.2">
      <c r="A601" s="402" t="s">
        <v>1362</v>
      </c>
      <c r="B601" s="403"/>
      <c r="C601" s="404" t="s">
        <v>1309</v>
      </c>
      <c r="D601" s="405">
        <v>41744</v>
      </c>
      <c r="E601" s="406"/>
      <c r="F601" s="325"/>
      <c r="G601" s="324"/>
      <c r="H601" s="324">
        <v>8142</v>
      </c>
      <c r="I601" s="325">
        <v>144</v>
      </c>
      <c r="J601" s="325"/>
      <c r="K601" s="325">
        <f t="shared" si="161"/>
        <v>0</v>
      </c>
      <c r="L601" s="325">
        <f t="shared" si="152"/>
        <v>0</v>
      </c>
      <c r="M601" s="407">
        <v>50</v>
      </c>
      <c r="N601" s="408" t="s">
        <v>289</v>
      </c>
      <c r="O601" s="325">
        <f t="shared" si="153"/>
        <v>0</v>
      </c>
      <c r="P601" s="325">
        <f t="shared" si="154"/>
        <v>0</v>
      </c>
      <c r="Q601" s="325">
        <f t="shared" si="155"/>
        <v>0</v>
      </c>
      <c r="R601" s="325">
        <f t="shared" si="156"/>
        <v>36</v>
      </c>
      <c r="S601" s="325">
        <f t="shared" si="157"/>
        <v>0</v>
      </c>
      <c r="T601" s="325">
        <f t="shared" si="162"/>
        <v>36</v>
      </c>
      <c r="U601" s="325">
        <f t="shared" si="159"/>
        <v>108</v>
      </c>
      <c r="V601" s="325">
        <f t="shared" si="160"/>
        <v>0</v>
      </c>
      <c r="W601" s="449" cm="1">
        <f t="array" ref="W601">+IF(U601&lt;0,error,0)</f>
        <v>0</v>
      </c>
    </row>
    <row r="602" spans="1:23" ht="18" customHeight="1" x14ac:dyDescent="0.2">
      <c r="A602" s="402" t="s">
        <v>1363</v>
      </c>
      <c r="B602" s="403"/>
      <c r="C602" s="404" t="s">
        <v>1364</v>
      </c>
      <c r="D602" s="405">
        <v>41820</v>
      </c>
      <c r="E602" s="406"/>
      <c r="F602" s="325"/>
      <c r="G602" s="324"/>
      <c r="H602" s="324">
        <v>10635.17</v>
      </c>
      <c r="I602" s="325">
        <v>210.16999999999996</v>
      </c>
      <c r="J602" s="325"/>
      <c r="K602" s="325">
        <f t="shared" si="161"/>
        <v>0</v>
      </c>
      <c r="L602" s="325">
        <f t="shared" si="152"/>
        <v>0</v>
      </c>
      <c r="M602" s="407">
        <v>50</v>
      </c>
      <c r="N602" s="408" t="s">
        <v>289</v>
      </c>
      <c r="O602" s="325">
        <f t="shared" si="153"/>
        <v>0</v>
      </c>
      <c r="P602" s="325">
        <f t="shared" si="154"/>
        <v>0</v>
      </c>
      <c r="Q602" s="325">
        <f t="shared" si="155"/>
        <v>0</v>
      </c>
      <c r="R602" s="325">
        <f t="shared" si="156"/>
        <v>52</v>
      </c>
      <c r="S602" s="325">
        <f t="shared" si="157"/>
        <v>0</v>
      </c>
      <c r="T602" s="325">
        <f t="shared" si="162"/>
        <v>52</v>
      </c>
      <c r="U602" s="325">
        <f t="shared" si="159"/>
        <v>158.16999999999996</v>
      </c>
      <c r="V602" s="325">
        <f t="shared" si="160"/>
        <v>0</v>
      </c>
      <c r="W602" s="449" cm="1">
        <f t="array" ref="W602">+IF(U602&lt;0,error,0)</f>
        <v>0</v>
      </c>
    </row>
    <row r="603" spans="1:23" ht="18" customHeight="1" x14ac:dyDescent="0.2">
      <c r="A603" s="402" t="s">
        <v>1365</v>
      </c>
      <c r="B603" s="403"/>
      <c r="C603" s="404" t="s">
        <v>1366</v>
      </c>
      <c r="D603" s="405">
        <v>41731</v>
      </c>
      <c r="E603" s="406"/>
      <c r="F603" s="325"/>
      <c r="G603" s="324"/>
      <c r="H603" s="324">
        <v>7526.52</v>
      </c>
      <c r="I603" s="325">
        <v>131.51999999999998</v>
      </c>
      <c r="J603" s="325"/>
      <c r="K603" s="325">
        <f t="shared" si="161"/>
        <v>0</v>
      </c>
      <c r="L603" s="325">
        <f t="shared" si="152"/>
        <v>0</v>
      </c>
      <c r="M603" s="407">
        <v>50</v>
      </c>
      <c r="N603" s="408" t="s">
        <v>289</v>
      </c>
      <c r="O603" s="325">
        <f t="shared" si="153"/>
        <v>0</v>
      </c>
      <c r="P603" s="325">
        <f t="shared" si="154"/>
        <v>0</v>
      </c>
      <c r="Q603" s="325">
        <f t="shared" si="155"/>
        <v>0</v>
      </c>
      <c r="R603" s="325">
        <f t="shared" si="156"/>
        <v>32</v>
      </c>
      <c r="S603" s="325">
        <f t="shared" si="157"/>
        <v>0</v>
      </c>
      <c r="T603" s="325">
        <f t="shared" si="162"/>
        <v>32</v>
      </c>
      <c r="U603" s="325">
        <f t="shared" si="159"/>
        <v>99.519999999999982</v>
      </c>
      <c r="V603" s="325">
        <f t="shared" si="160"/>
        <v>0</v>
      </c>
      <c r="W603" s="449" cm="1">
        <f t="array" ref="W603">+IF(U603&lt;0,error,0)</f>
        <v>0</v>
      </c>
    </row>
    <row r="604" spans="1:23" ht="18" customHeight="1" x14ac:dyDescent="0.2">
      <c r="A604" s="402" t="s">
        <v>1369</v>
      </c>
      <c r="B604" s="403"/>
      <c r="C604" s="404" t="s">
        <v>1370</v>
      </c>
      <c r="D604" s="405">
        <v>41942</v>
      </c>
      <c r="E604" s="406"/>
      <c r="F604" s="325"/>
      <c r="G604" s="324"/>
      <c r="H604" s="324">
        <v>5250</v>
      </c>
      <c r="I604" s="325">
        <v>138</v>
      </c>
      <c r="J604" s="325"/>
      <c r="K604" s="325">
        <f t="shared" ref="K604:K665" si="163">INT(IF($E604&gt;0,IF(+F604-I604+Q604&lt;0,0,+F604-I604+Q604),0))</f>
        <v>0</v>
      </c>
      <c r="L604" s="325">
        <f t="shared" si="152"/>
        <v>0</v>
      </c>
      <c r="M604" s="407">
        <v>50</v>
      </c>
      <c r="N604" s="408" t="s">
        <v>289</v>
      </c>
      <c r="O604" s="325">
        <f t="shared" si="153"/>
        <v>0</v>
      </c>
      <c r="P604" s="325">
        <f t="shared" si="154"/>
        <v>0</v>
      </c>
      <c r="Q604" s="325">
        <f t="shared" si="155"/>
        <v>0</v>
      </c>
      <c r="R604" s="325">
        <f t="shared" si="156"/>
        <v>34</v>
      </c>
      <c r="S604" s="325">
        <f t="shared" si="157"/>
        <v>0</v>
      </c>
      <c r="T604" s="325">
        <f t="shared" si="162"/>
        <v>34</v>
      </c>
      <c r="U604" s="325">
        <f t="shared" si="159"/>
        <v>104</v>
      </c>
      <c r="V604" s="325">
        <f t="shared" si="160"/>
        <v>0</v>
      </c>
      <c r="W604" s="449" cm="1">
        <f t="array" ref="W604">+IF(U604&lt;0,error,0)</f>
        <v>0</v>
      </c>
    </row>
    <row r="605" spans="1:23" ht="18" customHeight="1" x14ac:dyDescent="0.2">
      <c r="A605" s="402" t="s">
        <v>1371</v>
      </c>
      <c r="B605" s="403"/>
      <c r="C605" s="404" t="s">
        <v>1372</v>
      </c>
      <c r="D605" s="405">
        <v>41961</v>
      </c>
      <c r="E605" s="406"/>
      <c r="F605" s="325"/>
      <c r="G605" s="324"/>
      <c r="H605" s="324">
        <v>3600</v>
      </c>
      <c r="I605" s="325">
        <v>99</v>
      </c>
      <c r="J605" s="325"/>
      <c r="K605" s="325">
        <f t="shared" si="163"/>
        <v>0</v>
      </c>
      <c r="L605" s="325">
        <f t="shared" si="152"/>
        <v>0</v>
      </c>
      <c r="M605" s="407">
        <v>50</v>
      </c>
      <c r="N605" s="408" t="s">
        <v>289</v>
      </c>
      <c r="O605" s="325">
        <f t="shared" si="153"/>
        <v>0</v>
      </c>
      <c r="P605" s="325">
        <f t="shared" si="154"/>
        <v>0</v>
      </c>
      <c r="Q605" s="325">
        <f t="shared" si="155"/>
        <v>0</v>
      </c>
      <c r="R605" s="325">
        <f t="shared" si="156"/>
        <v>24</v>
      </c>
      <c r="S605" s="325">
        <f t="shared" si="157"/>
        <v>0</v>
      </c>
      <c r="T605" s="325">
        <f t="shared" si="162"/>
        <v>24</v>
      </c>
      <c r="U605" s="325">
        <f t="shared" si="159"/>
        <v>75</v>
      </c>
      <c r="V605" s="325">
        <f t="shared" si="160"/>
        <v>0</v>
      </c>
      <c r="W605" s="449" cm="1">
        <f t="array" ref="W605">+IF(U605&lt;0,error,0)</f>
        <v>0</v>
      </c>
    </row>
    <row r="606" spans="1:23" ht="18" customHeight="1" x14ac:dyDescent="0.2">
      <c r="A606" s="402" t="s">
        <v>1373</v>
      </c>
      <c r="B606" s="403"/>
      <c r="C606" s="404" t="s">
        <v>1374</v>
      </c>
      <c r="D606" s="405">
        <v>41961</v>
      </c>
      <c r="E606" s="406"/>
      <c r="F606" s="325"/>
      <c r="G606" s="324"/>
      <c r="H606" s="324">
        <v>3200</v>
      </c>
      <c r="I606" s="325">
        <v>88</v>
      </c>
      <c r="J606" s="325"/>
      <c r="K606" s="325">
        <f t="shared" si="163"/>
        <v>0</v>
      </c>
      <c r="L606" s="325">
        <f t="shared" ref="L606:L667" si="164">INT(IF($E606&gt;0,IF(K606=0,-F606+I606-Q606,0),0))</f>
        <v>0</v>
      </c>
      <c r="M606" s="407">
        <v>50</v>
      </c>
      <c r="N606" s="408" t="s">
        <v>289</v>
      </c>
      <c r="O606" s="325">
        <f t="shared" ref="O606:O667" si="165">IF(E606&gt;0,INT(IF($N606="D",IF($D606&lt;$H$3,$I606*($M606/100)*((E606-$H$3)/365),$J606*($M606/100)*($J$3-$D606)/365),0)),0)</f>
        <v>0</v>
      </c>
      <c r="P606" s="325">
        <f t="shared" ref="P606:P667" si="166">IF(E606&gt;0,INT(IF($N606="P",IF($D606&lt;$H$3,$H606*($M606/100)*(E606-$H$3)/365,$J606*($M606/100)*($J$3-$D606)/365),0)),0)</f>
        <v>0</v>
      </c>
      <c r="Q606" s="325">
        <f t="shared" ref="Q606:Q667" si="167">+O606+P606</f>
        <v>0</v>
      </c>
      <c r="R606" s="325">
        <f t="shared" ref="R606:R667" si="168">INT(IF($E606&gt;0,0,(IF($N606="D",IF($D606&lt;$H$3,$I606*($M606/100)*$U$3/12,$J606*($M606/100)*($J$3-$D606)/365),0))))</f>
        <v>22</v>
      </c>
      <c r="S606" s="325">
        <f t="shared" ref="S606:S667" si="169">INT(IF($E606&gt;0,0,(IF($N606="P",IF($D606&lt;$H$3,$H606*($M606/100)*$U$3/12,$J606*($M606/100)*($J$3-$D606)/365),0))))</f>
        <v>0</v>
      </c>
      <c r="T606" s="325">
        <f t="shared" si="162"/>
        <v>22</v>
      </c>
      <c r="U606" s="325">
        <f t="shared" ref="U606:U667" si="170">+I606+J606-T606-F606+K606-L606</f>
        <v>66</v>
      </c>
      <c r="V606" s="325">
        <f t="shared" ref="V606:V667" si="171">IF(E606&gt;0,+H606+J606,0)</f>
        <v>0</v>
      </c>
      <c r="W606" s="449" cm="1">
        <f t="array" ref="W606">+IF(U606&lt;0,error,0)</f>
        <v>0</v>
      </c>
    </row>
    <row r="607" spans="1:23" ht="18" customHeight="1" x14ac:dyDescent="0.2">
      <c r="A607" s="402" t="s">
        <v>1375</v>
      </c>
      <c r="B607" s="403"/>
      <c r="C607" s="404" t="s">
        <v>1376</v>
      </c>
      <c r="D607" s="405">
        <v>41961</v>
      </c>
      <c r="E607" s="406"/>
      <c r="F607" s="325"/>
      <c r="G607" s="324"/>
      <c r="H607" s="324">
        <v>3600</v>
      </c>
      <c r="I607" s="325">
        <v>99</v>
      </c>
      <c r="J607" s="325"/>
      <c r="K607" s="325">
        <f t="shared" si="163"/>
        <v>0</v>
      </c>
      <c r="L607" s="325">
        <f t="shared" si="164"/>
        <v>0</v>
      </c>
      <c r="M607" s="407">
        <v>50</v>
      </c>
      <c r="N607" s="408" t="s">
        <v>289</v>
      </c>
      <c r="O607" s="325">
        <f t="shared" si="165"/>
        <v>0</v>
      </c>
      <c r="P607" s="325">
        <f t="shared" si="166"/>
        <v>0</v>
      </c>
      <c r="Q607" s="325">
        <f t="shared" si="167"/>
        <v>0</v>
      </c>
      <c r="R607" s="325">
        <f t="shared" si="168"/>
        <v>24</v>
      </c>
      <c r="S607" s="325">
        <f t="shared" si="169"/>
        <v>0</v>
      </c>
      <c r="T607" s="325">
        <f t="shared" si="162"/>
        <v>24</v>
      </c>
      <c r="U607" s="325">
        <f t="shared" si="170"/>
        <v>75</v>
      </c>
      <c r="V607" s="325">
        <f t="shared" si="171"/>
        <v>0</v>
      </c>
      <c r="W607" s="449" cm="1">
        <f t="array" ref="W607">+IF(U607&lt;0,error,0)</f>
        <v>0</v>
      </c>
    </row>
    <row r="608" spans="1:23" ht="18" customHeight="1" x14ac:dyDescent="0.2">
      <c r="A608" s="402" t="s">
        <v>1377</v>
      </c>
      <c r="B608" s="403"/>
      <c r="C608" s="404" t="s">
        <v>1378</v>
      </c>
      <c r="D608" s="405">
        <v>41971</v>
      </c>
      <c r="E608" s="406"/>
      <c r="F608" s="325"/>
      <c r="G608" s="324"/>
      <c r="H608" s="324">
        <v>2728</v>
      </c>
      <c r="I608" s="325">
        <v>77</v>
      </c>
      <c r="J608" s="325"/>
      <c r="K608" s="325">
        <f t="shared" si="163"/>
        <v>0</v>
      </c>
      <c r="L608" s="325">
        <f t="shared" si="164"/>
        <v>0</v>
      </c>
      <c r="M608" s="407">
        <v>50</v>
      </c>
      <c r="N608" s="408" t="s">
        <v>289</v>
      </c>
      <c r="O608" s="325">
        <f t="shared" si="165"/>
        <v>0</v>
      </c>
      <c r="P608" s="325">
        <f t="shared" si="166"/>
        <v>0</v>
      </c>
      <c r="Q608" s="325">
        <f t="shared" si="167"/>
        <v>0</v>
      </c>
      <c r="R608" s="325">
        <f t="shared" si="168"/>
        <v>19</v>
      </c>
      <c r="S608" s="325">
        <f t="shared" si="169"/>
        <v>0</v>
      </c>
      <c r="T608" s="325">
        <f t="shared" si="162"/>
        <v>19</v>
      </c>
      <c r="U608" s="325">
        <f t="shared" si="170"/>
        <v>58</v>
      </c>
      <c r="V608" s="325">
        <f t="shared" si="171"/>
        <v>0</v>
      </c>
      <c r="W608" s="449" cm="1">
        <f t="array" ref="W608">+IF(U608&lt;0,error,0)</f>
        <v>0</v>
      </c>
    </row>
    <row r="609" spans="1:23" ht="18" customHeight="1" x14ac:dyDescent="0.2">
      <c r="A609" s="402" t="s">
        <v>1379</v>
      </c>
      <c r="B609" s="403"/>
      <c r="C609" s="404" t="s">
        <v>1380</v>
      </c>
      <c r="D609" s="405">
        <v>42072</v>
      </c>
      <c r="E609" s="406"/>
      <c r="F609" s="325"/>
      <c r="G609" s="324"/>
      <c r="H609" s="324">
        <v>5320</v>
      </c>
      <c r="I609" s="325">
        <v>177</v>
      </c>
      <c r="J609" s="325"/>
      <c r="K609" s="325">
        <f t="shared" si="163"/>
        <v>0</v>
      </c>
      <c r="L609" s="325">
        <f t="shared" si="164"/>
        <v>0</v>
      </c>
      <c r="M609" s="407">
        <v>50</v>
      </c>
      <c r="N609" s="408" t="s">
        <v>289</v>
      </c>
      <c r="O609" s="325">
        <f t="shared" si="165"/>
        <v>0</v>
      </c>
      <c r="P609" s="325">
        <f t="shared" si="166"/>
        <v>0</v>
      </c>
      <c r="Q609" s="325">
        <f t="shared" si="167"/>
        <v>0</v>
      </c>
      <c r="R609" s="325">
        <f t="shared" si="168"/>
        <v>44</v>
      </c>
      <c r="S609" s="325">
        <f t="shared" si="169"/>
        <v>0</v>
      </c>
      <c r="T609" s="325">
        <f t="shared" si="162"/>
        <v>44</v>
      </c>
      <c r="U609" s="325">
        <f t="shared" si="170"/>
        <v>133</v>
      </c>
      <c r="V609" s="325">
        <f t="shared" si="171"/>
        <v>0</v>
      </c>
      <c r="W609" s="449" cm="1">
        <f t="array" ref="W609">+IF(U609&lt;0,error,0)</f>
        <v>0</v>
      </c>
    </row>
    <row r="610" spans="1:23" ht="18" customHeight="1" x14ac:dyDescent="0.2">
      <c r="A610" s="402" t="s">
        <v>1381</v>
      </c>
      <c r="B610" s="403"/>
      <c r="C610" s="404" t="s">
        <v>1382</v>
      </c>
      <c r="D610" s="405">
        <v>42075</v>
      </c>
      <c r="E610" s="406"/>
      <c r="F610" s="325"/>
      <c r="G610" s="324"/>
      <c r="H610" s="324">
        <v>12312</v>
      </c>
      <c r="I610" s="325">
        <v>412</v>
      </c>
      <c r="J610" s="325"/>
      <c r="K610" s="325">
        <f t="shared" si="163"/>
        <v>0</v>
      </c>
      <c r="L610" s="325">
        <f t="shared" si="164"/>
        <v>0</v>
      </c>
      <c r="M610" s="407">
        <v>50</v>
      </c>
      <c r="N610" s="408" t="s">
        <v>289</v>
      </c>
      <c r="O610" s="325">
        <f t="shared" si="165"/>
        <v>0</v>
      </c>
      <c r="P610" s="325">
        <f t="shared" si="166"/>
        <v>0</v>
      </c>
      <c r="Q610" s="325">
        <f t="shared" si="167"/>
        <v>0</v>
      </c>
      <c r="R610" s="325">
        <f t="shared" si="168"/>
        <v>103</v>
      </c>
      <c r="S610" s="325">
        <f t="shared" si="169"/>
        <v>0</v>
      </c>
      <c r="T610" s="325">
        <f t="shared" si="162"/>
        <v>103</v>
      </c>
      <c r="U610" s="325">
        <f t="shared" si="170"/>
        <v>309</v>
      </c>
      <c r="V610" s="325">
        <f t="shared" si="171"/>
        <v>0</v>
      </c>
      <c r="W610" s="449" cm="1">
        <f t="array" ref="W610">+IF(U610&lt;0,error,0)</f>
        <v>0</v>
      </c>
    </row>
    <row r="611" spans="1:23" ht="18" customHeight="1" x14ac:dyDescent="0.2">
      <c r="A611" s="402" t="s">
        <v>1383</v>
      </c>
      <c r="B611" s="403"/>
      <c r="C611" s="404" t="s">
        <v>1384</v>
      </c>
      <c r="D611" s="405">
        <v>42095</v>
      </c>
      <c r="E611" s="406"/>
      <c r="F611" s="325"/>
      <c r="G611" s="324"/>
      <c r="H611" s="324">
        <v>30322.720000000001</v>
      </c>
      <c r="I611" s="325">
        <v>1046.7200000000003</v>
      </c>
      <c r="J611" s="325"/>
      <c r="K611" s="325">
        <f t="shared" si="163"/>
        <v>0</v>
      </c>
      <c r="L611" s="325">
        <f t="shared" si="164"/>
        <v>0</v>
      </c>
      <c r="M611" s="407">
        <v>50</v>
      </c>
      <c r="N611" s="408" t="s">
        <v>289</v>
      </c>
      <c r="O611" s="325">
        <f t="shared" si="165"/>
        <v>0</v>
      </c>
      <c r="P611" s="325">
        <f t="shared" si="166"/>
        <v>0</v>
      </c>
      <c r="Q611" s="325">
        <f t="shared" si="167"/>
        <v>0</v>
      </c>
      <c r="R611" s="325">
        <f t="shared" si="168"/>
        <v>261</v>
      </c>
      <c r="S611" s="325">
        <f t="shared" si="169"/>
        <v>0</v>
      </c>
      <c r="T611" s="325">
        <f t="shared" si="162"/>
        <v>261</v>
      </c>
      <c r="U611" s="325">
        <f t="shared" si="170"/>
        <v>785.72000000000025</v>
      </c>
      <c r="V611" s="325">
        <f t="shared" si="171"/>
        <v>0</v>
      </c>
      <c r="W611" s="449" cm="1">
        <f t="array" ref="W611">+IF(U611&lt;0,error,0)</f>
        <v>0</v>
      </c>
    </row>
    <row r="612" spans="1:23" ht="18" customHeight="1" x14ac:dyDescent="0.2">
      <c r="A612" s="402" t="s">
        <v>1385</v>
      </c>
      <c r="B612" s="403"/>
      <c r="C612" s="404" t="s">
        <v>1386</v>
      </c>
      <c r="D612" s="405">
        <v>42095</v>
      </c>
      <c r="E612" s="406"/>
      <c r="F612" s="325"/>
      <c r="G612" s="324"/>
      <c r="H612" s="324">
        <v>5836.36</v>
      </c>
      <c r="I612" s="325">
        <v>201.36</v>
      </c>
      <c r="J612" s="325"/>
      <c r="K612" s="325">
        <f t="shared" si="163"/>
        <v>0</v>
      </c>
      <c r="L612" s="325">
        <f t="shared" si="164"/>
        <v>0</v>
      </c>
      <c r="M612" s="407">
        <v>50</v>
      </c>
      <c r="N612" s="408" t="s">
        <v>289</v>
      </c>
      <c r="O612" s="325">
        <f t="shared" si="165"/>
        <v>0</v>
      </c>
      <c r="P612" s="325">
        <f t="shared" si="166"/>
        <v>0</v>
      </c>
      <c r="Q612" s="325">
        <f t="shared" si="167"/>
        <v>0</v>
      </c>
      <c r="R612" s="325">
        <f t="shared" si="168"/>
        <v>50</v>
      </c>
      <c r="S612" s="325">
        <f t="shared" si="169"/>
        <v>0</v>
      </c>
      <c r="T612" s="325">
        <f t="shared" si="162"/>
        <v>50</v>
      </c>
      <c r="U612" s="325">
        <f t="shared" si="170"/>
        <v>151.36000000000001</v>
      </c>
      <c r="V612" s="325">
        <f t="shared" si="171"/>
        <v>0</v>
      </c>
      <c r="W612" s="449" cm="1">
        <f t="array" ref="W612">+IF(U612&lt;0,error,0)</f>
        <v>0</v>
      </c>
    </row>
    <row r="613" spans="1:23" ht="18" customHeight="1" x14ac:dyDescent="0.2">
      <c r="A613" s="402" t="s">
        <v>1387</v>
      </c>
      <c r="B613" s="403"/>
      <c r="C613" s="404" t="s">
        <v>1388</v>
      </c>
      <c r="D613" s="405">
        <v>42095</v>
      </c>
      <c r="E613" s="406"/>
      <c r="F613" s="325"/>
      <c r="G613" s="324"/>
      <c r="H613" s="324">
        <v>10239</v>
      </c>
      <c r="I613" s="325">
        <v>354</v>
      </c>
      <c r="J613" s="325"/>
      <c r="K613" s="325">
        <f t="shared" si="163"/>
        <v>0</v>
      </c>
      <c r="L613" s="325">
        <f t="shared" si="164"/>
        <v>0</v>
      </c>
      <c r="M613" s="407">
        <v>50</v>
      </c>
      <c r="N613" s="408" t="s">
        <v>289</v>
      </c>
      <c r="O613" s="325">
        <f t="shared" si="165"/>
        <v>0</v>
      </c>
      <c r="P613" s="325">
        <f t="shared" si="166"/>
        <v>0</v>
      </c>
      <c r="Q613" s="325">
        <f t="shared" si="167"/>
        <v>0</v>
      </c>
      <c r="R613" s="325">
        <f t="shared" si="168"/>
        <v>88</v>
      </c>
      <c r="S613" s="325">
        <f t="shared" si="169"/>
        <v>0</v>
      </c>
      <c r="T613" s="325">
        <f t="shared" si="162"/>
        <v>88</v>
      </c>
      <c r="U613" s="325">
        <f t="shared" si="170"/>
        <v>266</v>
      </c>
      <c r="V613" s="325">
        <f t="shared" si="171"/>
        <v>0</v>
      </c>
      <c r="W613" s="449" cm="1">
        <f t="array" ref="W613">+IF(U613&lt;0,error,0)</f>
        <v>0</v>
      </c>
    </row>
    <row r="614" spans="1:23" ht="18" customHeight="1" x14ac:dyDescent="0.2">
      <c r="A614" s="402" t="s">
        <v>1389</v>
      </c>
      <c r="B614" s="403"/>
      <c r="C614" s="404" t="s">
        <v>1390</v>
      </c>
      <c r="D614" s="405">
        <v>42095</v>
      </c>
      <c r="E614" s="406"/>
      <c r="F614" s="325"/>
      <c r="G614" s="324"/>
      <c r="H614" s="324">
        <v>19292</v>
      </c>
      <c r="I614" s="325">
        <v>666</v>
      </c>
      <c r="J614" s="325"/>
      <c r="K614" s="325">
        <f t="shared" si="163"/>
        <v>0</v>
      </c>
      <c r="L614" s="325">
        <f t="shared" si="164"/>
        <v>0</v>
      </c>
      <c r="M614" s="407">
        <v>50</v>
      </c>
      <c r="N614" s="408" t="s">
        <v>289</v>
      </c>
      <c r="O614" s="325">
        <f t="shared" si="165"/>
        <v>0</v>
      </c>
      <c r="P614" s="325">
        <f t="shared" si="166"/>
        <v>0</v>
      </c>
      <c r="Q614" s="325">
        <f t="shared" si="167"/>
        <v>0</v>
      </c>
      <c r="R614" s="325">
        <f t="shared" si="168"/>
        <v>166</v>
      </c>
      <c r="S614" s="325">
        <f t="shared" si="169"/>
        <v>0</v>
      </c>
      <c r="T614" s="325">
        <f t="shared" si="162"/>
        <v>166</v>
      </c>
      <c r="U614" s="325">
        <f t="shared" si="170"/>
        <v>500</v>
      </c>
      <c r="V614" s="325">
        <f t="shared" si="171"/>
        <v>0</v>
      </c>
      <c r="W614" s="449" cm="1">
        <f t="array" ref="W614">+IF(U614&lt;0,error,0)</f>
        <v>0</v>
      </c>
    </row>
    <row r="615" spans="1:23" ht="18" customHeight="1" x14ac:dyDescent="0.2">
      <c r="A615" s="402" t="s">
        <v>1391</v>
      </c>
      <c r="B615" s="403"/>
      <c r="C615" s="404" t="s">
        <v>1392</v>
      </c>
      <c r="D615" s="405">
        <v>42095</v>
      </c>
      <c r="E615" s="406"/>
      <c r="F615" s="325"/>
      <c r="G615" s="324"/>
      <c r="H615" s="324">
        <v>8140</v>
      </c>
      <c r="I615" s="325">
        <v>281</v>
      </c>
      <c r="J615" s="325"/>
      <c r="K615" s="325">
        <f t="shared" si="163"/>
        <v>0</v>
      </c>
      <c r="L615" s="325">
        <f t="shared" si="164"/>
        <v>0</v>
      </c>
      <c r="M615" s="407">
        <v>50</v>
      </c>
      <c r="N615" s="408" t="s">
        <v>289</v>
      </c>
      <c r="O615" s="325">
        <f t="shared" si="165"/>
        <v>0</v>
      </c>
      <c r="P615" s="325">
        <f t="shared" si="166"/>
        <v>0</v>
      </c>
      <c r="Q615" s="325">
        <f t="shared" si="167"/>
        <v>0</v>
      </c>
      <c r="R615" s="325">
        <f t="shared" si="168"/>
        <v>70</v>
      </c>
      <c r="S615" s="325">
        <f t="shared" si="169"/>
        <v>0</v>
      </c>
      <c r="T615" s="325">
        <f t="shared" si="162"/>
        <v>70</v>
      </c>
      <c r="U615" s="325">
        <f t="shared" si="170"/>
        <v>211</v>
      </c>
      <c r="V615" s="325">
        <f t="shared" si="171"/>
        <v>0</v>
      </c>
      <c r="W615" s="449" cm="1">
        <f t="array" ref="W615">+IF(U615&lt;0,error,0)</f>
        <v>0</v>
      </c>
    </row>
    <row r="616" spans="1:23" ht="18" customHeight="1" x14ac:dyDescent="0.2">
      <c r="A616" s="402" t="s">
        <v>1393</v>
      </c>
      <c r="B616" s="403"/>
      <c r="C616" s="404" t="s">
        <v>1394</v>
      </c>
      <c r="D616" s="405">
        <v>42095</v>
      </c>
      <c r="E616" s="406"/>
      <c r="F616" s="325"/>
      <c r="G616" s="324"/>
      <c r="H616" s="324">
        <v>6503.01</v>
      </c>
      <c r="I616" s="325">
        <v>225.01</v>
      </c>
      <c r="J616" s="325"/>
      <c r="K616" s="325">
        <f t="shared" si="163"/>
        <v>0</v>
      </c>
      <c r="L616" s="325">
        <f t="shared" si="164"/>
        <v>0</v>
      </c>
      <c r="M616" s="407">
        <v>50</v>
      </c>
      <c r="N616" s="408" t="s">
        <v>289</v>
      </c>
      <c r="O616" s="325">
        <f t="shared" si="165"/>
        <v>0</v>
      </c>
      <c r="P616" s="325">
        <f t="shared" si="166"/>
        <v>0</v>
      </c>
      <c r="Q616" s="325">
        <f t="shared" si="167"/>
        <v>0</v>
      </c>
      <c r="R616" s="325">
        <f t="shared" si="168"/>
        <v>56</v>
      </c>
      <c r="S616" s="325">
        <f t="shared" si="169"/>
        <v>0</v>
      </c>
      <c r="T616" s="325">
        <f t="shared" si="162"/>
        <v>56</v>
      </c>
      <c r="U616" s="325">
        <f t="shared" si="170"/>
        <v>169.01</v>
      </c>
      <c r="V616" s="325">
        <f t="shared" si="171"/>
        <v>0</v>
      </c>
      <c r="W616" s="449" cm="1">
        <f t="array" ref="W616">+IF(U616&lt;0,error,0)</f>
        <v>0</v>
      </c>
    </row>
    <row r="617" spans="1:23" ht="18" customHeight="1" x14ac:dyDescent="0.2">
      <c r="A617" s="402" t="s">
        <v>1395</v>
      </c>
      <c r="B617" s="403"/>
      <c r="C617" s="404" t="s">
        <v>1396</v>
      </c>
      <c r="D617" s="405">
        <v>42095</v>
      </c>
      <c r="E617" s="406"/>
      <c r="F617" s="325"/>
      <c r="G617" s="324"/>
      <c r="H617" s="324">
        <v>5383.99</v>
      </c>
      <c r="I617" s="325">
        <v>186.99</v>
      </c>
      <c r="J617" s="325"/>
      <c r="K617" s="325">
        <f t="shared" si="163"/>
        <v>0</v>
      </c>
      <c r="L617" s="325">
        <f t="shared" si="164"/>
        <v>0</v>
      </c>
      <c r="M617" s="407">
        <v>50</v>
      </c>
      <c r="N617" s="408" t="s">
        <v>289</v>
      </c>
      <c r="O617" s="325">
        <f t="shared" si="165"/>
        <v>0</v>
      </c>
      <c r="P617" s="325">
        <f t="shared" si="166"/>
        <v>0</v>
      </c>
      <c r="Q617" s="325">
        <f t="shared" si="167"/>
        <v>0</v>
      </c>
      <c r="R617" s="325">
        <f t="shared" si="168"/>
        <v>46</v>
      </c>
      <c r="S617" s="325">
        <f t="shared" si="169"/>
        <v>0</v>
      </c>
      <c r="T617" s="325">
        <f t="shared" si="162"/>
        <v>46</v>
      </c>
      <c r="U617" s="325">
        <f t="shared" si="170"/>
        <v>140.99</v>
      </c>
      <c r="V617" s="325">
        <f t="shared" si="171"/>
        <v>0</v>
      </c>
      <c r="W617" s="449" cm="1">
        <f t="array" ref="W617">+IF(U617&lt;0,error,0)</f>
        <v>0</v>
      </c>
    </row>
    <row r="618" spans="1:23" ht="18" customHeight="1" x14ac:dyDescent="0.2">
      <c r="A618" s="402" t="s">
        <v>1397</v>
      </c>
      <c r="B618" s="403"/>
      <c r="C618" s="404" t="s">
        <v>1398</v>
      </c>
      <c r="D618" s="405">
        <v>42095</v>
      </c>
      <c r="E618" s="406"/>
      <c r="F618" s="325"/>
      <c r="G618" s="324"/>
      <c r="H618" s="324">
        <v>16471.439999999999</v>
      </c>
      <c r="I618" s="325">
        <f>568.44+0.0399999999999636</f>
        <v>568.48</v>
      </c>
      <c r="J618" s="325"/>
      <c r="K618" s="325">
        <f t="shared" si="163"/>
        <v>0</v>
      </c>
      <c r="L618" s="325">
        <f t="shared" si="164"/>
        <v>0</v>
      </c>
      <c r="M618" s="407">
        <v>50</v>
      </c>
      <c r="N618" s="408" t="s">
        <v>289</v>
      </c>
      <c r="O618" s="325">
        <f t="shared" si="165"/>
        <v>0</v>
      </c>
      <c r="P618" s="325">
        <f t="shared" si="166"/>
        <v>0</v>
      </c>
      <c r="Q618" s="325">
        <f t="shared" si="167"/>
        <v>0</v>
      </c>
      <c r="R618" s="325">
        <f t="shared" si="168"/>
        <v>142</v>
      </c>
      <c r="S618" s="325">
        <f t="shared" si="169"/>
        <v>0</v>
      </c>
      <c r="T618" s="325">
        <f t="shared" si="162"/>
        <v>142</v>
      </c>
      <c r="U618" s="325">
        <f t="shared" si="170"/>
        <v>426.48</v>
      </c>
      <c r="V618" s="325">
        <f t="shared" si="171"/>
        <v>0</v>
      </c>
      <c r="W618" s="449" cm="1">
        <f t="array" ref="W618">+IF(U618&lt;0,error,0)</f>
        <v>0</v>
      </c>
    </row>
    <row r="619" spans="1:23" ht="18" customHeight="1" x14ac:dyDescent="0.2">
      <c r="A619" s="402" t="s">
        <v>1403</v>
      </c>
      <c r="B619" s="403"/>
      <c r="C619" s="404" t="s">
        <v>1404</v>
      </c>
      <c r="D619" s="405">
        <v>42321</v>
      </c>
      <c r="E619" s="406"/>
      <c r="F619" s="325"/>
      <c r="G619" s="324"/>
      <c r="H619" s="324">
        <v>5700</v>
      </c>
      <c r="I619" s="325">
        <v>308</v>
      </c>
      <c r="J619" s="325"/>
      <c r="K619" s="325">
        <f t="shared" si="163"/>
        <v>0</v>
      </c>
      <c r="L619" s="325">
        <f t="shared" si="164"/>
        <v>0</v>
      </c>
      <c r="M619" s="407">
        <v>50</v>
      </c>
      <c r="N619" s="408" t="s">
        <v>289</v>
      </c>
      <c r="O619" s="325">
        <f t="shared" si="165"/>
        <v>0</v>
      </c>
      <c r="P619" s="325">
        <f t="shared" si="166"/>
        <v>0</v>
      </c>
      <c r="Q619" s="325">
        <f t="shared" si="167"/>
        <v>0</v>
      </c>
      <c r="R619" s="325">
        <f t="shared" si="168"/>
        <v>77</v>
      </c>
      <c r="S619" s="325">
        <f t="shared" si="169"/>
        <v>0</v>
      </c>
      <c r="T619" s="325">
        <f t="shared" ref="T619:T681" si="172">+R619+S619+Q619</f>
        <v>77</v>
      </c>
      <c r="U619" s="325">
        <f t="shared" si="170"/>
        <v>231</v>
      </c>
      <c r="V619" s="325">
        <f t="shared" si="171"/>
        <v>0</v>
      </c>
      <c r="W619" s="449" cm="1">
        <f t="array" ref="W619">+IF(U619&lt;0,error,0)</f>
        <v>0</v>
      </c>
    </row>
    <row r="620" spans="1:23" ht="18" customHeight="1" x14ac:dyDescent="0.2">
      <c r="A620" s="402" t="s">
        <v>1405</v>
      </c>
      <c r="B620" s="403"/>
      <c r="C620" s="412" t="s">
        <v>1406</v>
      </c>
      <c r="D620" s="405">
        <v>42332</v>
      </c>
      <c r="E620" s="406"/>
      <c r="F620" s="325"/>
      <c r="G620" s="324"/>
      <c r="H620" s="324">
        <v>1145</v>
      </c>
      <c r="I620" s="325">
        <v>63</v>
      </c>
      <c r="J620" s="325"/>
      <c r="K620" s="325">
        <f t="shared" si="163"/>
        <v>0</v>
      </c>
      <c r="L620" s="325">
        <f t="shared" si="164"/>
        <v>0</v>
      </c>
      <c r="M620" s="407">
        <v>50</v>
      </c>
      <c r="N620" s="408" t="s">
        <v>289</v>
      </c>
      <c r="O620" s="325">
        <f t="shared" si="165"/>
        <v>0</v>
      </c>
      <c r="P620" s="325">
        <f t="shared" si="166"/>
        <v>0</v>
      </c>
      <c r="Q620" s="325">
        <f t="shared" si="167"/>
        <v>0</v>
      </c>
      <c r="R620" s="325">
        <f t="shared" si="168"/>
        <v>15</v>
      </c>
      <c r="S620" s="325">
        <f t="shared" si="169"/>
        <v>0</v>
      </c>
      <c r="T620" s="325">
        <f t="shared" si="172"/>
        <v>15</v>
      </c>
      <c r="U620" s="325">
        <f t="shared" si="170"/>
        <v>48</v>
      </c>
      <c r="V620" s="325">
        <f t="shared" si="171"/>
        <v>0</v>
      </c>
      <c r="W620" s="449" cm="1">
        <f t="array" ref="W620">+IF(U620&lt;0,error,0)</f>
        <v>0</v>
      </c>
    </row>
    <row r="621" spans="1:23" ht="18" customHeight="1" x14ac:dyDescent="0.2">
      <c r="A621" s="402" t="s">
        <v>1407</v>
      </c>
      <c r="B621" s="403"/>
      <c r="C621" s="404" t="s">
        <v>1408</v>
      </c>
      <c r="D621" s="405">
        <v>42370</v>
      </c>
      <c r="E621" s="406"/>
      <c r="F621" s="325"/>
      <c r="G621" s="324"/>
      <c r="H621" s="324">
        <v>5830.83</v>
      </c>
      <c r="I621" s="325">
        <v>345.83000000000004</v>
      </c>
      <c r="J621" s="325"/>
      <c r="K621" s="325">
        <f t="shared" si="163"/>
        <v>0</v>
      </c>
      <c r="L621" s="325">
        <f t="shared" si="164"/>
        <v>0</v>
      </c>
      <c r="M621" s="407">
        <v>50</v>
      </c>
      <c r="N621" s="408" t="s">
        <v>289</v>
      </c>
      <c r="O621" s="325">
        <f t="shared" si="165"/>
        <v>0</v>
      </c>
      <c r="P621" s="325">
        <f t="shared" si="166"/>
        <v>0</v>
      </c>
      <c r="Q621" s="325">
        <f t="shared" si="167"/>
        <v>0</v>
      </c>
      <c r="R621" s="325">
        <f t="shared" si="168"/>
        <v>86</v>
      </c>
      <c r="S621" s="325">
        <f t="shared" si="169"/>
        <v>0</v>
      </c>
      <c r="T621" s="325">
        <f t="shared" si="172"/>
        <v>86</v>
      </c>
      <c r="U621" s="325">
        <f t="shared" si="170"/>
        <v>259.83000000000004</v>
      </c>
      <c r="V621" s="325">
        <f t="shared" si="171"/>
        <v>0</v>
      </c>
      <c r="W621" s="449" cm="1">
        <f t="array" ref="W621">+IF(U621&lt;0,error,0)</f>
        <v>0</v>
      </c>
    </row>
    <row r="622" spans="1:23" ht="18" customHeight="1" x14ac:dyDescent="0.2">
      <c r="A622" s="402" t="s">
        <v>1409</v>
      </c>
      <c r="B622" s="403"/>
      <c r="C622" s="404" t="s">
        <v>1410</v>
      </c>
      <c r="D622" s="405">
        <v>42384</v>
      </c>
      <c r="E622" s="406"/>
      <c r="F622" s="325"/>
      <c r="G622" s="324"/>
      <c r="H622" s="324">
        <v>3158.7400000000002</v>
      </c>
      <c r="I622" s="325">
        <v>192.74</v>
      </c>
      <c r="J622" s="325"/>
      <c r="K622" s="325">
        <f t="shared" si="163"/>
        <v>0</v>
      </c>
      <c r="L622" s="325">
        <f t="shared" si="164"/>
        <v>0</v>
      </c>
      <c r="M622" s="407">
        <v>50</v>
      </c>
      <c r="N622" s="408" t="s">
        <v>289</v>
      </c>
      <c r="O622" s="325">
        <f t="shared" si="165"/>
        <v>0</v>
      </c>
      <c r="P622" s="325">
        <f t="shared" si="166"/>
        <v>0</v>
      </c>
      <c r="Q622" s="325">
        <f t="shared" si="167"/>
        <v>0</v>
      </c>
      <c r="R622" s="325">
        <f t="shared" si="168"/>
        <v>48</v>
      </c>
      <c r="S622" s="325">
        <f t="shared" si="169"/>
        <v>0</v>
      </c>
      <c r="T622" s="325">
        <f t="shared" si="172"/>
        <v>48</v>
      </c>
      <c r="U622" s="325">
        <f t="shared" si="170"/>
        <v>144.74</v>
      </c>
      <c r="V622" s="325">
        <f t="shared" si="171"/>
        <v>0</v>
      </c>
      <c r="W622" s="449" cm="1">
        <f t="array" ref="W622">+IF(U622&lt;0,error,0)</f>
        <v>0</v>
      </c>
    </row>
    <row r="623" spans="1:23" ht="18" customHeight="1" x14ac:dyDescent="0.2">
      <c r="A623" s="402" t="s">
        <v>1411</v>
      </c>
      <c r="B623" s="403"/>
      <c r="C623" s="404" t="s">
        <v>1412</v>
      </c>
      <c r="D623" s="405">
        <v>42384</v>
      </c>
      <c r="E623" s="406"/>
      <c r="F623" s="325"/>
      <c r="G623" s="324"/>
      <c r="H623" s="324">
        <v>2923.61</v>
      </c>
      <c r="I623" s="325">
        <v>178.61</v>
      </c>
      <c r="J623" s="325"/>
      <c r="K623" s="325">
        <f t="shared" si="163"/>
        <v>0</v>
      </c>
      <c r="L623" s="325">
        <f t="shared" si="164"/>
        <v>0</v>
      </c>
      <c r="M623" s="407">
        <v>50</v>
      </c>
      <c r="N623" s="408" t="s">
        <v>289</v>
      </c>
      <c r="O623" s="325">
        <f t="shared" si="165"/>
        <v>0</v>
      </c>
      <c r="P623" s="325">
        <f t="shared" si="166"/>
        <v>0</v>
      </c>
      <c r="Q623" s="325">
        <f t="shared" si="167"/>
        <v>0</v>
      </c>
      <c r="R623" s="325">
        <f t="shared" si="168"/>
        <v>44</v>
      </c>
      <c r="S623" s="325">
        <f t="shared" si="169"/>
        <v>0</v>
      </c>
      <c r="T623" s="325">
        <f t="shared" si="172"/>
        <v>44</v>
      </c>
      <c r="U623" s="325">
        <f t="shared" si="170"/>
        <v>134.61000000000001</v>
      </c>
      <c r="V623" s="325">
        <f t="shared" si="171"/>
        <v>0</v>
      </c>
      <c r="W623" s="449" cm="1">
        <f t="array" ref="W623">+IF(U623&lt;0,error,0)</f>
        <v>0</v>
      </c>
    </row>
    <row r="624" spans="1:23" ht="18" customHeight="1" x14ac:dyDescent="0.2">
      <c r="A624" s="402" t="s">
        <v>1413</v>
      </c>
      <c r="B624" s="403"/>
      <c r="C624" s="404" t="s">
        <v>1414</v>
      </c>
      <c r="D624" s="405">
        <v>42397</v>
      </c>
      <c r="E624" s="406"/>
      <c r="F624" s="325"/>
      <c r="G624" s="324"/>
      <c r="H624" s="324">
        <v>25404.3</v>
      </c>
      <c r="I624" s="325">
        <v>1576.3000000000002</v>
      </c>
      <c r="J624" s="325"/>
      <c r="K624" s="325">
        <f t="shared" si="163"/>
        <v>0</v>
      </c>
      <c r="L624" s="325">
        <f t="shared" si="164"/>
        <v>0</v>
      </c>
      <c r="M624" s="407">
        <v>50</v>
      </c>
      <c r="N624" s="408" t="s">
        <v>289</v>
      </c>
      <c r="O624" s="325">
        <f t="shared" si="165"/>
        <v>0</v>
      </c>
      <c r="P624" s="325">
        <f t="shared" si="166"/>
        <v>0</v>
      </c>
      <c r="Q624" s="325">
        <f t="shared" si="167"/>
        <v>0</v>
      </c>
      <c r="R624" s="325">
        <f t="shared" si="168"/>
        <v>394</v>
      </c>
      <c r="S624" s="325">
        <f t="shared" si="169"/>
        <v>0</v>
      </c>
      <c r="T624" s="325">
        <f t="shared" si="172"/>
        <v>394</v>
      </c>
      <c r="U624" s="325">
        <f t="shared" si="170"/>
        <v>1182.3000000000002</v>
      </c>
      <c r="V624" s="325">
        <f t="shared" si="171"/>
        <v>0</v>
      </c>
      <c r="W624" s="449" cm="1">
        <f t="array" ref="W624">+IF(U624&lt;0,error,0)</f>
        <v>0</v>
      </c>
    </row>
    <row r="625" spans="1:23" ht="18" customHeight="1" x14ac:dyDescent="0.2">
      <c r="A625" s="402" t="s">
        <v>1415</v>
      </c>
      <c r="B625" s="403"/>
      <c r="C625" s="404" t="s">
        <v>1416</v>
      </c>
      <c r="D625" s="405">
        <v>42397</v>
      </c>
      <c r="E625" s="406"/>
      <c r="F625" s="325"/>
      <c r="G625" s="324"/>
      <c r="H625" s="324">
        <v>6241.95</v>
      </c>
      <c r="I625" s="325">
        <v>387.95000000000005</v>
      </c>
      <c r="J625" s="325"/>
      <c r="K625" s="325">
        <f t="shared" si="163"/>
        <v>0</v>
      </c>
      <c r="L625" s="325">
        <f t="shared" si="164"/>
        <v>0</v>
      </c>
      <c r="M625" s="407">
        <v>50</v>
      </c>
      <c r="N625" s="408" t="s">
        <v>289</v>
      </c>
      <c r="O625" s="325">
        <f t="shared" si="165"/>
        <v>0</v>
      </c>
      <c r="P625" s="325">
        <f t="shared" si="166"/>
        <v>0</v>
      </c>
      <c r="Q625" s="325">
        <f t="shared" si="167"/>
        <v>0</v>
      </c>
      <c r="R625" s="325">
        <f t="shared" si="168"/>
        <v>96</v>
      </c>
      <c r="S625" s="325">
        <f t="shared" si="169"/>
        <v>0</v>
      </c>
      <c r="T625" s="325">
        <f t="shared" si="172"/>
        <v>96</v>
      </c>
      <c r="U625" s="325">
        <f t="shared" si="170"/>
        <v>291.95000000000005</v>
      </c>
      <c r="V625" s="325">
        <f t="shared" si="171"/>
        <v>0</v>
      </c>
      <c r="W625" s="449" cm="1">
        <f t="array" ref="W625">+IF(U625&lt;0,error,0)</f>
        <v>0</v>
      </c>
    </row>
    <row r="626" spans="1:23" ht="18" customHeight="1" x14ac:dyDescent="0.2">
      <c r="A626" s="402" t="s">
        <v>1417</v>
      </c>
      <c r="B626" s="403"/>
      <c r="C626" s="404" t="s">
        <v>1418</v>
      </c>
      <c r="D626" s="405">
        <v>42404</v>
      </c>
      <c r="E626" s="406"/>
      <c r="F626" s="325"/>
      <c r="G626" s="324"/>
      <c r="H626" s="324">
        <v>57278.04</v>
      </c>
      <c r="I626" s="325">
        <v>3596.0400000000009</v>
      </c>
      <c r="J626" s="325"/>
      <c r="K626" s="325">
        <f t="shared" si="163"/>
        <v>0</v>
      </c>
      <c r="L626" s="325">
        <f t="shared" si="164"/>
        <v>0</v>
      </c>
      <c r="M626" s="407">
        <v>50</v>
      </c>
      <c r="N626" s="408" t="s">
        <v>289</v>
      </c>
      <c r="O626" s="325">
        <f t="shared" si="165"/>
        <v>0</v>
      </c>
      <c r="P626" s="325">
        <f t="shared" si="166"/>
        <v>0</v>
      </c>
      <c r="Q626" s="325">
        <f t="shared" si="167"/>
        <v>0</v>
      </c>
      <c r="R626" s="325">
        <f t="shared" si="168"/>
        <v>899</v>
      </c>
      <c r="S626" s="325">
        <f t="shared" si="169"/>
        <v>0</v>
      </c>
      <c r="T626" s="325">
        <f t="shared" si="172"/>
        <v>899</v>
      </c>
      <c r="U626" s="325">
        <f t="shared" si="170"/>
        <v>2697.0400000000009</v>
      </c>
      <c r="V626" s="325">
        <f t="shared" si="171"/>
        <v>0</v>
      </c>
      <c r="W626" s="449" cm="1">
        <f t="array" ref="W626">+IF(U626&lt;0,error,0)</f>
        <v>0</v>
      </c>
    </row>
    <row r="627" spans="1:23" ht="18" customHeight="1" x14ac:dyDescent="0.2">
      <c r="A627" s="402" t="s">
        <v>1419</v>
      </c>
      <c r="B627" s="403"/>
      <c r="C627" s="404" t="s">
        <v>1420</v>
      </c>
      <c r="D627" s="405">
        <v>42404</v>
      </c>
      <c r="E627" s="406"/>
      <c r="F627" s="325"/>
      <c r="G627" s="324"/>
      <c r="H627" s="324">
        <v>4363.3900000000003</v>
      </c>
      <c r="I627" s="325">
        <v>275.39</v>
      </c>
      <c r="J627" s="325"/>
      <c r="K627" s="325">
        <f t="shared" si="163"/>
        <v>0</v>
      </c>
      <c r="L627" s="325">
        <f t="shared" si="164"/>
        <v>0</v>
      </c>
      <c r="M627" s="407">
        <v>50</v>
      </c>
      <c r="N627" s="408" t="s">
        <v>289</v>
      </c>
      <c r="O627" s="325">
        <f t="shared" si="165"/>
        <v>0</v>
      </c>
      <c r="P627" s="325">
        <f t="shared" si="166"/>
        <v>0</v>
      </c>
      <c r="Q627" s="325">
        <f t="shared" si="167"/>
        <v>0</v>
      </c>
      <c r="R627" s="325">
        <f t="shared" si="168"/>
        <v>68</v>
      </c>
      <c r="S627" s="325">
        <f t="shared" si="169"/>
        <v>0</v>
      </c>
      <c r="T627" s="325">
        <f t="shared" si="172"/>
        <v>68</v>
      </c>
      <c r="U627" s="325">
        <f t="shared" si="170"/>
        <v>207.39</v>
      </c>
      <c r="V627" s="325">
        <f t="shared" si="171"/>
        <v>0</v>
      </c>
      <c r="W627" s="449" cm="1">
        <f t="array" ref="W627">+IF(U627&lt;0,error,0)</f>
        <v>0</v>
      </c>
    </row>
    <row r="628" spans="1:23" ht="18" customHeight="1" x14ac:dyDescent="0.2">
      <c r="A628" s="402" t="s">
        <v>1421</v>
      </c>
      <c r="B628" s="403"/>
      <c r="C628" s="404" t="s">
        <v>1422</v>
      </c>
      <c r="D628" s="405">
        <v>42404</v>
      </c>
      <c r="E628" s="406"/>
      <c r="F628" s="325"/>
      <c r="G628" s="324"/>
      <c r="H628" s="324">
        <v>6725</v>
      </c>
      <c r="I628" s="325">
        <v>423</v>
      </c>
      <c r="J628" s="325"/>
      <c r="K628" s="325">
        <f t="shared" si="163"/>
        <v>0</v>
      </c>
      <c r="L628" s="325">
        <f t="shared" si="164"/>
        <v>0</v>
      </c>
      <c r="M628" s="407">
        <v>50</v>
      </c>
      <c r="N628" s="408" t="s">
        <v>289</v>
      </c>
      <c r="O628" s="325">
        <f t="shared" si="165"/>
        <v>0</v>
      </c>
      <c r="P628" s="325">
        <f t="shared" si="166"/>
        <v>0</v>
      </c>
      <c r="Q628" s="325">
        <f t="shared" si="167"/>
        <v>0</v>
      </c>
      <c r="R628" s="325">
        <f t="shared" si="168"/>
        <v>105</v>
      </c>
      <c r="S628" s="325">
        <f t="shared" si="169"/>
        <v>0</v>
      </c>
      <c r="T628" s="325">
        <f t="shared" si="172"/>
        <v>105</v>
      </c>
      <c r="U628" s="325">
        <f t="shared" si="170"/>
        <v>318</v>
      </c>
      <c r="V628" s="325">
        <f t="shared" si="171"/>
        <v>0</v>
      </c>
      <c r="W628" s="449" cm="1">
        <f t="array" ref="W628">+IF(U628&lt;0,error,0)</f>
        <v>0</v>
      </c>
    </row>
    <row r="629" spans="1:23" ht="18" customHeight="1" x14ac:dyDescent="0.2">
      <c r="A629" s="402" t="s">
        <v>1423</v>
      </c>
      <c r="B629" s="403"/>
      <c r="C629" s="404" t="s">
        <v>1424</v>
      </c>
      <c r="D629" s="405">
        <v>42404</v>
      </c>
      <c r="E629" s="406"/>
      <c r="F629" s="325"/>
      <c r="G629" s="324"/>
      <c r="H629" s="324">
        <v>2327.27</v>
      </c>
      <c r="I629" s="325">
        <v>147.26999999999998</v>
      </c>
      <c r="J629" s="325"/>
      <c r="K629" s="325">
        <f t="shared" si="163"/>
        <v>0</v>
      </c>
      <c r="L629" s="325">
        <f t="shared" si="164"/>
        <v>0</v>
      </c>
      <c r="M629" s="407">
        <v>50</v>
      </c>
      <c r="N629" s="408" t="s">
        <v>289</v>
      </c>
      <c r="O629" s="325">
        <f t="shared" si="165"/>
        <v>0</v>
      </c>
      <c r="P629" s="325">
        <f t="shared" si="166"/>
        <v>0</v>
      </c>
      <c r="Q629" s="325">
        <f t="shared" si="167"/>
        <v>0</v>
      </c>
      <c r="R629" s="325">
        <f t="shared" si="168"/>
        <v>36</v>
      </c>
      <c r="S629" s="325">
        <f t="shared" si="169"/>
        <v>0</v>
      </c>
      <c r="T629" s="325">
        <f t="shared" si="172"/>
        <v>36</v>
      </c>
      <c r="U629" s="325">
        <f t="shared" si="170"/>
        <v>111.26999999999998</v>
      </c>
      <c r="V629" s="325">
        <f t="shared" si="171"/>
        <v>0</v>
      </c>
      <c r="W629" s="449" cm="1">
        <f t="array" ref="W629">+IF(U629&lt;0,error,0)</f>
        <v>0</v>
      </c>
    </row>
    <row r="630" spans="1:23" ht="18" customHeight="1" x14ac:dyDescent="0.2">
      <c r="A630" s="402" t="s">
        <v>1425</v>
      </c>
      <c r="B630" s="403"/>
      <c r="C630" s="404" t="s">
        <v>1426</v>
      </c>
      <c r="D630" s="405">
        <v>42415</v>
      </c>
      <c r="E630" s="406"/>
      <c r="F630" s="325"/>
      <c r="G630" s="324"/>
      <c r="H630" s="324">
        <v>20627.45</v>
      </c>
      <c r="I630" s="325">
        <v>1320.4500000000003</v>
      </c>
      <c r="J630" s="325"/>
      <c r="K630" s="325">
        <f t="shared" si="163"/>
        <v>0</v>
      </c>
      <c r="L630" s="325">
        <f t="shared" si="164"/>
        <v>0</v>
      </c>
      <c r="M630" s="407">
        <v>50</v>
      </c>
      <c r="N630" s="408" t="s">
        <v>289</v>
      </c>
      <c r="O630" s="325">
        <f t="shared" si="165"/>
        <v>0</v>
      </c>
      <c r="P630" s="325">
        <f t="shared" si="166"/>
        <v>0</v>
      </c>
      <c r="Q630" s="325">
        <f t="shared" si="167"/>
        <v>0</v>
      </c>
      <c r="R630" s="325">
        <f t="shared" si="168"/>
        <v>330</v>
      </c>
      <c r="S630" s="325">
        <f t="shared" si="169"/>
        <v>0</v>
      </c>
      <c r="T630" s="325">
        <f t="shared" si="172"/>
        <v>330</v>
      </c>
      <c r="U630" s="325">
        <f t="shared" si="170"/>
        <v>990.45000000000027</v>
      </c>
      <c r="V630" s="325">
        <f t="shared" si="171"/>
        <v>0</v>
      </c>
      <c r="W630" s="449" cm="1">
        <f t="array" ref="W630">+IF(U630&lt;0,error,0)</f>
        <v>0</v>
      </c>
    </row>
    <row r="631" spans="1:23" ht="18" customHeight="1" x14ac:dyDescent="0.2">
      <c r="A631" s="402" t="s">
        <v>1427</v>
      </c>
      <c r="B631" s="403"/>
      <c r="C631" s="404" t="s">
        <v>1428</v>
      </c>
      <c r="D631" s="405">
        <v>42424</v>
      </c>
      <c r="E631" s="406"/>
      <c r="F631" s="325"/>
      <c r="G631" s="324"/>
      <c r="H631" s="324">
        <v>1455.5</v>
      </c>
      <c r="I631" s="325">
        <v>95.5</v>
      </c>
      <c r="J631" s="325"/>
      <c r="K631" s="325">
        <f t="shared" si="163"/>
        <v>0</v>
      </c>
      <c r="L631" s="325">
        <f t="shared" si="164"/>
        <v>0</v>
      </c>
      <c r="M631" s="407">
        <v>50</v>
      </c>
      <c r="N631" s="408" t="s">
        <v>289</v>
      </c>
      <c r="O631" s="325">
        <f t="shared" si="165"/>
        <v>0</v>
      </c>
      <c r="P631" s="325">
        <f t="shared" si="166"/>
        <v>0</v>
      </c>
      <c r="Q631" s="325">
        <f t="shared" si="167"/>
        <v>0</v>
      </c>
      <c r="R631" s="325">
        <f t="shared" si="168"/>
        <v>23</v>
      </c>
      <c r="S631" s="325">
        <f t="shared" si="169"/>
        <v>0</v>
      </c>
      <c r="T631" s="325">
        <f t="shared" si="172"/>
        <v>23</v>
      </c>
      <c r="U631" s="325">
        <f t="shared" si="170"/>
        <v>72.5</v>
      </c>
      <c r="V631" s="325">
        <f t="shared" si="171"/>
        <v>0</v>
      </c>
      <c r="W631" s="449" cm="1">
        <f t="array" ref="W631">+IF(U631&lt;0,error,0)</f>
        <v>0</v>
      </c>
    </row>
    <row r="632" spans="1:23" ht="18" customHeight="1" x14ac:dyDescent="0.2">
      <c r="A632" s="402" t="s">
        <v>1429</v>
      </c>
      <c r="B632" s="403"/>
      <c r="C632" s="404" t="s">
        <v>1408</v>
      </c>
      <c r="D632" s="405">
        <v>42426</v>
      </c>
      <c r="E632" s="406"/>
      <c r="F632" s="325"/>
      <c r="G632" s="324"/>
      <c r="H632" s="324">
        <v>5800</v>
      </c>
      <c r="I632" s="325">
        <v>378</v>
      </c>
      <c r="J632" s="325"/>
      <c r="K632" s="325">
        <f t="shared" si="163"/>
        <v>0</v>
      </c>
      <c r="L632" s="325">
        <f t="shared" si="164"/>
        <v>0</v>
      </c>
      <c r="M632" s="407">
        <v>50</v>
      </c>
      <c r="N632" s="408" t="s">
        <v>289</v>
      </c>
      <c r="O632" s="325">
        <f t="shared" si="165"/>
        <v>0</v>
      </c>
      <c r="P632" s="325">
        <f t="shared" si="166"/>
        <v>0</v>
      </c>
      <c r="Q632" s="325">
        <f t="shared" si="167"/>
        <v>0</v>
      </c>
      <c r="R632" s="325">
        <f t="shared" si="168"/>
        <v>94</v>
      </c>
      <c r="S632" s="325">
        <f t="shared" si="169"/>
        <v>0</v>
      </c>
      <c r="T632" s="325">
        <f t="shared" si="172"/>
        <v>94</v>
      </c>
      <c r="U632" s="325">
        <f t="shared" si="170"/>
        <v>284</v>
      </c>
      <c r="V632" s="325">
        <f t="shared" si="171"/>
        <v>0</v>
      </c>
      <c r="W632" s="449" cm="1">
        <f t="array" ref="W632">+IF(U632&lt;0,error,0)</f>
        <v>0</v>
      </c>
    </row>
    <row r="633" spans="1:23" ht="18" customHeight="1" x14ac:dyDescent="0.2">
      <c r="A633" s="402" t="s">
        <v>1430</v>
      </c>
      <c r="B633" s="403"/>
      <c r="C633" s="404" t="s">
        <v>1431</v>
      </c>
      <c r="D633" s="405">
        <v>42426</v>
      </c>
      <c r="E633" s="406"/>
      <c r="F633" s="325"/>
      <c r="G633" s="324"/>
      <c r="H633" s="324">
        <v>12272</v>
      </c>
      <c r="I633" s="325">
        <v>800</v>
      </c>
      <c r="J633" s="325"/>
      <c r="K633" s="325">
        <f t="shared" si="163"/>
        <v>0</v>
      </c>
      <c r="L633" s="325">
        <f t="shared" si="164"/>
        <v>0</v>
      </c>
      <c r="M633" s="407">
        <v>50</v>
      </c>
      <c r="N633" s="408" t="s">
        <v>289</v>
      </c>
      <c r="O633" s="325">
        <f t="shared" si="165"/>
        <v>0</v>
      </c>
      <c r="P633" s="325">
        <f t="shared" si="166"/>
        <v>0</v>
      </c>
      <c r="Q633" s="325">
        <f t="shared" si="167"/>
        <v>0</v>
      </c>
      <c r="R633" s="325">
        <f t="shared" si="168"/>
        <v>200</v>
      </c>
      <c r="S633" s="325">
        <f t="shared" si="169"/>
        <v>0</v>
      </c>
      <c r="T633" s="325">
        <f t="shared" si="172"/>
        <v>200</v>
      </c>
      <c r="U633" s="325">
        <f t="shared" si="170"/>
        <v>600</v>
      </c>
      <c r="V633" s="325">
        <f t="shared" si="171"/>
        <v>0</v>
      </c>
      <c r="W633" s="449" cm="1">
        <f t="array" ref="W633">+IF(U633&lt;0,error,0)</f>
        <v>0</v>
      </c>
    </row>
    <row r="634" spans="1:23" ht="18" customHeight="1" x14ac:dyDescent="0.2">
      <c r="A634" s="402" t="s">
        <v>1432</v>
      </c>
      <c r="B634" s="403"/>
      <c r="C634" s="404" t="s">
        <v>1433</v>
      </c>
      <c r="D634" s="405">
        <v>42426</v>
      </c>
      <c r="E634" s="406"/>
      <c r="F634" s="325"/>
      <c r="G634" s="324"/>
      <c r="H634" s="324">
        <v>1487.7</v>
      </c>
      <c r="I634" s="325">
        <v>97.700000000000017</v>
      </c>
      <c r="J634" s="325"/>
      <c r="K634" s="325">
        <f t="shared" si="163"/>
        <v>0</v>
      </c>
      <c r="L634" s="325">
        <f t="shared" si="164"/>
        <v>0</v>
      </c>
      <c r="M634" s="407">
        <v>50</v>
      </c>
      <c r="N634" s="408" t="s">
        <v>289</v>
      </c>
      <c r="O634" s="325">
        <f t="shared" si="165"/>
        <v>0</v>
      </c>
      <c r="P634" s="325">
        <f t="shared" si="166"/>
        <v>0</v>
      </c>
      <c r="Q634" s="325">
        <f t="shared" si="167"/>
        <v>0</v>
      </c>
      <c r="R634" s="325">
        <f t="shared" si="168"/>
        <v>24</v>
      </c>
      <c r="S634" s="325">
        <f t="shared" si="169"/>
        <v>0</v>
      </c>
      <c r="T634" s="325">
        <f t="shared" si="172"/>
        <v>24</v>
      </c>
      <c r="U634" s="325">
        <f t="shared" si="170"/>
        <v>73.700000000000017</v>
      </c>
      <c r="V634" s="325">
        <f t="shared" si="171"/>
        <v>0</v>
      </c>
      <c r="W634" s="449" cm="1">
        <f t="array" ref="W634">+IF(U634&lt;0,error,0)</f>
        <v>0</v>
      </c>
    </row>
    <row r="635" spans="1:23" ht="18" customHeight="1" x14ac:dyDescent="0.2">
      <c r="A635" s="402" t="s">
        <v>1434</v>
      </c>
      <c r="B635" s="403"/>
      <c r="C635" s="404" t="s">
        <v>1435</v>
      </c>
      <c r="D635" s="405">
        <v>42427</v>
      </c>
      <c r="E635" s="406"/>
      <c r="F635" s="325"/>
      <c r="G635" s="324"/>
      <c r="H635" s="324">
        <v>4556.4400000000005</v>
      </c>
      <c r="I635" s="325">
        <v>298.44000000000005</v>
      </c>
      <c r="J635" s="325"/>
      <c r="K635" s="325">
        <f t="shared" si="163"/>
        <v>0</v>
      </c>
      <c r="L635" s="325">
        <f t="shared" si="164"/>
        <v>0</v>
      </c>
      <c r="M635" s="407">
        <v>50</v>
      </c>
      <c r="N635" s="408" t="s">
        <v>289</v>
      </c>
      <c r="O635" s="325">
        <f t="shared" si="165"/>
        <v>0</v>
      </c>
      <c r="P635" s="325">
        <f t="shared" si="166"/>
        <v>0</v>
      </c>
      <c r="Q635" s="325">
        <f t="shared" si="167"/>
        <v>0</v>
      </c>
      <c r="R635" s="325">
        <f t="shared" si="168"/>
        <v>74</v>
      </c>
      <c r="S635" s="325">
        <f t="shared" si="169"/>
        <v>0</v>
      </c>
      <c r="T635" s="325">
        <f t="shared" si="172"/>
        <v>74</v>
      </c>
      <c r="U635" s="325">
        <f t="shared" si="170"/>
        <v>224.44000000000005</v>
      </c>
      <c r="V635" s="325">
        <f t="shared" si="171"/>
        <v>0</v>
      </c>
      <c r="W635" s="449" cm="1">
        <f t="array" ref="W635">+IF(U635&lt;0,error,0)</f>
        <v>0</v>
      </c>
    </row>
    <row r="636" spans="1:23" ht="18" customHeight="1" x14ac:dyDescent="0.2">
      <c r="A636" s="402" t="s">
        <v>1436</v>
      </c>
      <c r="B636" s="403"/>
      <c r="C636" s="404" t="s">
        <v>1437</v>
      </c>
      <c r="D636" s="405">
        <v>42427</v>
      </c>
      <c r="E636" s="406"/>
      <c r="F636" s="325"/>
      <c r="G636" s="324"/>
      <c r="H636" s="324">
        <v>1362.9</v>
      </c>
      <c r="I636" s="325">
        <v>90.9</v>
      </c>
      <c r="J636" s="325"/>
      <c r="K636" s="325">
        <f t="shared" si="163"/>
        <v>0</v>
      </c>
      <c r="L636" s="325">
        <f t="shared" si="164"/>
        <v>0</v>
      </c>
      <c r="M636" s="407">
        <v>50</v>
      </c>
      <c r="N636" s="408" t="s">
        <v>289</v>
      </c>
      <c r="O636" s="325">
        <f t="shared" si="165"/>
        <v>0</v>
      </c>
      <c r="P636" s="325">
        <f t="shared" si="166"/>
        <v>0</v>
      </c>
      <c r="Q636" s="325">
        <f t="shared" si="167"/>
        <v>0</v>
      </c>
      <c r="R636" s="325">
        <f t="shared" si="168"/>
        <v>22</v>
      </c>
      <c r="S636" s="325">
        <f t="shared" si="169"/>
        <v>0</v>
      </c>
      <c r="T636" s="325">
        <f t="shared" si="172"/>
        <v>22</v>
      </c>
      <c r="U636" s="325">
        <f t="shared" si="170"/>
        <v>68.900000000000006</v>
      </c>
      <c r="V636" s="325">
        <f t="shared" si="171"/>
        <v>0</v>
      </c>
      <c r="W636" s="449" cm="1">
        <f t="array" ref="W636">+IF(U636&lt;0,error,0)</f>
        <v>0</v>
      </c>
    </row>
    <row r="637" spans="1:23" ht="18" customHeight="1" x14ac:dyDescent="0.2">
      <c r="A637" s="402" t="s">
        <v>1438</v>
      </c>
      <c r="B637" s="403"/>
      <c r="C637" s="404" t="s">
        <v>1439</v>
      </c>
      <c r="D637" s="405">
        <v>42427</v>
      </c>
      <c r="E637" s="406"/>
      <c r="F637" s="325"/>
      <c r="G637" s="324"/>
      <c r="H637" s="324">
        <v>15967.7</v>
      </c>
      <c r="I637" s="325">
        <v>1043.7000000000003</v>
      </c>
      <c r="J637" s="325"/>
      <c r="K637" s="325">
        <f t="shared" si="163"/>
        <v>0</v>
      </c>
      <c r="L637" s="325">
        <f t="shared" si="164"/>
        <v>0</v>
      </c>
      <c r="M637" s="407">
        <v>50</v>
      </c>
      <c r="N637" s="408" t="s">
        <v>289</v>
      </c>
      <c r="O637" s="325">
        <f t="shared" si="165"/>
        <v>0</v>
      </c>
      <c r="P637" s="325">
        <f t="shared" si="166"/>
        <v>0</v>
      </c>
      <c r="Q637" s="325">
        <f t="shared" si="167"/>
        <v>0</v>
      </c>
      <c r="R637" s="325">
        <f t="shared" si="168"/>
        <v>260</v>
      </c>
      <c r="S637" s="325">
        <f t="shared" si="169"/>
        <v>0</v>
      </c>
      <c r="T637" s="325">
        <f t="shared" si="172"/>
        <v>260</v>
      </c>
      <c r="U637" s="325">
        <f t="shared" si="170"/>
        <v>783.70000000000027</v>
      </c>
      <c r="V637" s="325">
        <f t="shared" si="171"/>
        <v>0</v>
      </c>
      <c r="W637" s="449" cm="1">
        <f t="array" ref="W637">+IF(U637&lt;0,error,0)</f>
        <v>0</v>
      </c>
    </row>
    <row r="638" spans="1:23" ht="18" customHeight="1" x14ac:dyDescent="0.2">
      <c r="A638" s="402" t="s">
        <v>1440</v>
      </c>
      <c r="B638" s="403"/>
      <c r="C638" s="404" t="s">
        <v>1441</v>
      </c>
      <c r="D638" s="405">
        <v>42427</v>
      </c>
      <c r="E638" s="406"/>
      <c r="F638" s="325"/>
      <c r="G638" s="324"/>
      <c r="H638" s="324">
        <v>1596.77</v>
      </c>
      <c r="I638" s="325">
        <v>105.76999999999998</v>
      </c>
      <c r="J638" s="325"/>
      <c r="K638" s="325">
        <f t="shared" si="163"/>
        <v>0</v>
      </c>
      <c r="L638" s="325">
        <f t="shared" si="164"/>
        <v>0</v>
      </c>
      <c r="M638" s="407">
        <v>50</v>
      </c>
      <c r="N638" s="408" t="s">
        <v>289</v>
      </c>
      <c r="O638" s="325">
        <f t="shared" si="165"/>
        <v>0</v>
      </c>
      <c r="P638" s="325">
        <f t="shared" si="166"/>
        <v>0</v>
      </c>
      <c r="Q638" s="325">
        <f t="shared" si="167"/>
        <v>0</v>
      </c>
      <c r="R638" s="325">
        <f t="shared" si="168"/>
        <v>26</v>
      </c>
      <c r="S638" s="325">
        <f t="shared" si="169"/>
        <v>0</v>
      </c>
      <c r="T638" s="325">
        <f t="shared" si="172"/>
        <v>26</v>
      </c>
      <c r="U638" s="325">
        <f t="shared" si="170"/>
        <v>79.769999999999982</v>
      </c>
      <c r="V638" s="325">
        <f t="shared" si="171"/>
        <v>0</v>
      </c>
      <c r="W638" s="449" cm="1">
        <f t="array" ref="W638">+IF(U638&lt;0,error,0)</f>
        <v>0</v>
      </c>
    </row>
    <row r="639" spans="1:23" ht="18" customHeight="1" x14ac:dyDescent="0.2">
      <c r="A639" s="402" t="s">
        <v>1442</v>
      </c>
      <c r="B639" s="403"/>
      <c r="C639" s="404" t="s">
        <v>1443</v>
      </c>
      <c r="D639" s="405">
        <v>42427</v>
      </c>
      <c r="E639" s="406"/>
      <c r="F639" s="325"/>
      <c r="G639" s="324"/>
      <c r="H639" s="324">
        <v>8839</v>
      </c>
      <c r="I639" s="325">
        <v>577.72</v>
      </c>
      <c r="J639" s="325"/>
      <c r="K639" s="325">
        <f t="shared" si="163"/>
        <v>0</v>
      </c>
      <c r="L639" s="325">
        <f t="shared" si="164"/>
        <v>0</v>
      </c>
      <c r="M639" s="407">
        <v>50</v>
      </c>
      <c r="N639" s="408" t="s">
        <v>289</v>
      </c>
      <c r="O639" s="325">
        <f t="shared" si="165"/>
        <v>0</v>
      </c>
      <c r="P639" s="325">
        <f t="shared" si="166"/>
        <v>0</v>
      </c>
      <c r="Q639" s="325">
        <f t="shared" si="167"/>
        <v>0</v>
      </c>
      <c r="R639" s="325">
        <f t="shared" si="168"/>
        <v>144</v>
      </c>
      <c r="S639" s="325">
        <f t="shared" si="169"/>
        <v>0</v>
      </c>
      <c r="T639" s="325">
        <f t="shared" si="172"/>
        <v>144</v>
      </c>
      <c r="U639" s="325">
        <f t="shared" si="170"/>
        <v>433.72</v>
      </c>
      <c r="V639" s="325">
        <f t="shared" si="171"/>
        <v>0</v>
      </c>
      <c r="W639" s="449" cm="1">
        <f t="array" ref="W639">+IF(U639&lt;0,error,0)</f>
        <v>0</v>
      </c>
    </row>
    <row r="640" spans="1:23" ht="18" customHeight="1" x14ac:dyDescent="0.2">
      <c r="A640" s="402" t="s">
        <v>1444</v>
      </c>
      <c r="B640" s="403"/>
      <c r="C640" s="412" t="s">
        <v>1445</v>
      </c>
      <c r="D640" s="405">
        <v>42460</v>
      </c>
      <c r="E640" s="406"/>
      <c r="F640" s="325"/>
      <c r="G640" s="324"/>
      <c r="H640" s="324">
        <v>44000</v>
      </c>
      <c r="I640" s="325">
        <v>3028</v>
      </c>
      <c r="J640" s="325"/>
      <c r="K640" s="325">
        <f t="shared" si="163"/>
        <v>0</v>
      </c>
      <c r="L640" s="325">
        <f t="shared" si="164"/>
        <v>0</v>
      </c>
      <c r="M640" s="407">
        <v>50</v>
      </c>
      <c r="N640" s="408" t="s">
        <v>289</v>
      </c>
      <c r="O640" s="325">
        <f t="shared" si="165"/>
        <v>0</v>
      </c>
      <c r="P640" s="325">
        <f t="shared" si="166"/>
        <v>0</v>
      </c>
      <c r="Q640" s="325">
        <f t="shared" si="167"/>
        <v>0</v>
      </c>
      <c r="R640" s="325">
        <f t="shared" si="168"/>
        <v>757</v>
      </c>
      <c r="S640" s="325">
        <f t="shared" si="169"/>
        <v>0</v>
      </c>
      <c r="T640" s="325">
        <f t="shared" si="172"/>
        <v>757</v>
      </c>
      <c r="U640" s="325">
        <f t="shared" si="170"/>
        <v>2271</v>
      </c>
      <c r="V640" s="325">
        <f t="shared" si="171"/>
        <v>0</v>
      </c>
      <c r="W640" s="449" cm="1">
        <f t="array" ref="W640">+IF(U640&lt;0,error,0)</f>
        <v>0</v>
      </c>
    </row>
    <row r="641" spans="1:23" ht="18" customHeight="1" x14ac:dyDescent="0.2">
      <c r="A641" s="402" t="s">
        <v>1446</v>
      </c>
      <c r="B641" s="403"/>
      <c r="C641" s="404" t="s">
        <v>1447</v>
      </c>
      <c r="D641" s="405">
        <v>42500</v>
      </c>
      <c r="E641" s="406"/>
      <c r="F641" s="325"/>
      <c r="G641" s="324"/>
      <c r="H641" s="324">
        <v>4611.78</v>
      </c>
      <c r="I641" s="325">
        <v>338.78</v>
      </c>
      <c r="J641" s="325"/>
      <c r="K641" s="325">
        <f t="shared" si="163"/>
        <v>0</v>
      </c>
      <c r="L641" s="325">
        <f t="shared" si="164"/>
        <v>0</v>
      </c>
      <c r="M641" s="407">
        <v>50</v>
      </c>
      <c r="N641" s="408" t="s">
        <v>289</v>
      </c>
      <c r="O641" s="325">
        <f t="shared" si="165"/>
        <v>0</v>
      </c>
      <c r="P641" s="325">
        <f t="shared" si="166"/>
        <v>0</v>
      </c>
      <c r="Q641" s="325">
        <f t="shared" si="167"/>
        <v>0</v>
      </c>
      <c r="R641" s="325">
        <f t="shared" si="168"/>
        <v>84</v>
      </c>
      <c r="S641" s="325">
        <f t="shared" si="169"/>
        <v>0</v>
      </c>
      <c r="T641" s="325">
        <f t="shared" si="172"/>
        <v>84</v>
      </c>
      <c r="U641" s="325">
        <f t="shared" si="170"/>
        <v>254.77999999999997</v>
      </c>
      <c r="V641" s="325">
        <f t="shared" si="171"/>
        <v>0</v>
      </c>
      <c r="W641" s="449" cm="1">
        <f t="array" ref="W641">+IF(U641&lt;0,error,0)</f>
        <v>0</v>
      </c>
    </row>
    <row r="642" spans="1:23" ht="18" customHeight="1" x14ac:dyDescent="0.2">
      <c r="A642" s="402" t="s">
        <v>1448</v>
      </c>
      <c r="B642" s="403"/>
      <c r="C642" s="412" t="s">
        <v>1449</v>
      </c>
      <c r="D642" s="405">
        <v>42520</v>
      </c>
      <c r="E642" s="406"/>
      <c r="F642" s="325"/>
      <c r="G642" s="324"/>
      <c r="H642" s="324">
        <v>14690</v>
      </c>
      <c r="I642" s="325">
        <v>1107.5702000000001</v>
      </c>
      <c r="J642" s="325"/>
      <c r="K642" s="325">
        <f t="shared" si="163"/>
        <v>0</v>
      </c>
      <c r="L642" s="325">
        <f t="shared" si="164"/>
        <v>0</v>
      </c>
      <c r="M642" s="407">
        <v>50</v>
      </c>
      <c r="N642" s="408" t="s">
        <v>289</v>
      </c>
      <c r="O642" s="325">
        <f t="shared" si="165"/>
        <v>0</v>
      </c>
      <c r="P642" s="325">
        <f t="shared" si="166"/>
        <v>0</v>
      </c>
      <c r="Q642" s="325">
        <f t="shared" si="167"/>
        <v>0</v>
      </c>
      <c r="R642" s="325">
        <f t="shared" si="168"/>
        <v>276</v>
      </c>
      <c r="S642" s="325">
        <f t="shared" si="169"/>
        <v>0</v>
      </c>
      <c r="T642" s="325">
        <f t="shared" si="172"/>
        <v>276</v>
      </c>
      <c r="U642" s="325">
        <f t="shared" si="170"/>
        <v>831.57020000000011</v>
      </c>
      <c r="V642" s="325">
        <f t="shared" si="171"/>
        <v>0</v>
      </c>
      <c r="W642" s="449" cm="1">
        <f t="array" ref="W642">+IF(U642&lt;0,error,0)</f>
        <v>0</v>
      </c>
    </row>
    <row r="643" spans="1:23" ht="18" customHeight="1" x14ac:dyDescent="0.2">
      <c r="A643" s="402" t="s">
        <v>1450</v>
      </c>
      <c r="B643" s="403"/>
      <c r="C643" s="412" t="s">
        <v>1451</v>
      </c>
      <c r="D643" s="405">
        <v>42520</v>
      </c>
      <c r="E643" s="406"/>
      <c r="F643" s="325"/>
      <c r="G643" s="324"/>
      <c r="H643" s="324">
        <v>32500</v>
      </c>
      <c r="I643" s="325">
        <v>2448</v>
      </c>
      <c r="J643" s="325"/>
      <c r="K643" s="325">
        <f t="shared" si="163"/>
        <v>0</v>
      </c>
      <c r="L643" s="325">
        <f t="shared" si="164"/>
        <v>0</v>
      </c>
      <c r="M643" s="407">
        <v>50</v>
      </c>
      <c r="N643" s="408" t="s">
        <v>289</v>
      </c>
      <c r="O643" s="325">
        <f t="shared" si="165"/>
        <v>0</v>
      </c>
      <c r="P643" s="325">
        <f t="shared" si="166"/>
        <v>0</v>
      </c>
      <c r="Q643" s="325">
        <f t="shared" si="167"/>
        <v>0</v>
      </c>
      <c r="R643" s="325">
        <f t="shared" si="168"/>
        <v>612</v>
      </c>
      <c r="S643" s="325">
        <f t="shared" si="169"/>
        <v>0</v>
      </c>
      <c r="T643" s="325">
        <f t="shared" si="172"/>
        <v>612</v>
      </c>
      <c r="U643" s="325">
        <f t="shared" si="170"/>
        <v>1836</v>
      </c>
      <c r="V643" s="325">
        <f t="shared" si="171"/>
        <v>0</v>
      </c>
      <c r="W643" s="449" cm="1">
        <f t="array" ref="W643">+IF(U643&lt;0,error,0)</f>
        <v>0</v>
      </c>
    </row>
    <row r="644" spans="1:23" ht="18" customHeight="1" x14ac:dyDescent="0.2">
      <c r="A644" s="402" t="s">
        <v>1452</v>
      </c>
      <c r="B644" s="403"/>
      <c r="C644" s="404" t="s">
        <v>1453</v>
      </c>
      <c r="D644" s="405">
        <v>42780</v>
      </c>
      <c r="E644" s="406"/>
      <c r="F644" s="325"/>
      <c r="G644" s="324"/>
      <c r="H644" s="324">
        <v>2740</v>
      </c>
      <c r="I644" s="325">
        <v>351</v>
      </c>
      <c r="J644" s="325"/>
      <c r="K644" s="325">
        <f t="shared" si="163"/>
        <v>0</v>
      </c>
      <c r="L644" s="325">
        <f t="shared" si="164"/>
        <v>0</v>
      </c>
      <c r="M644" s="407">
        <v>50</v>
      </c>
      <c r="N644" s="408" t="s">
        <v>289</v>
      </c>
      <c r="O644" s="325">
        <f t="shared" si="165"/>
        <v>0</v>
      </c>
      <c r="P644" s="325">
        <f t="shared" si="166"/>
        <v>0</v>
      </c>
      <c r="Q644" s="325">
        <f t="shared" si="167"/>
        <v>0</v>
      </c>
      <c r="R644" s="325">
        <f t="shared" si="168"/>
        <v>87</v>
      </c>
      <c r="S644" s="325">
        <f t="shared" si="169"/>
        <v>0</v>
      </c>
      <c r="T644" s="325">
        <f t="shared" si="172"/>
        <v>87</v>
      </c>
      <c r="U644" s="325">
        <f t="shared" si="170"/>
        <v>264</v>
      </c>
      <c r="V644" s="325">
        <f t="shared" si="171"/>
        <v>0</v>
      </c>
      <c r="W644" s="449" cm="1">
        <f t="array" ref="W644">+IF(U644&lt;0,error,0)</f>
        <v>0</v>
      </c>
    </row>
    <row r="645" spans="1:23" ht="18" customHeight="1" x14ac:dyDescent="0.2">
      <c r="A645" s="402" t="s">
        <v>1454</v>
      </c>
      <c r="B645" s="403"/>
      <c r="C645" s="404" t="s">
        <v>1455</v>
      </c>
      <c r="D645" s="405">
        <v>42823</v>
      </c>
      <c r="E645" s="406"/>
      <c r="F645" s="325"/>
      <c r="G645" s="324"/>
      <c r="H645" s="324">
        <v>2566</v>
      </c>
      <c r="I645" s="325">
        <v>354</v>
      </c>
      <c r="J645" s="325"/>
      <c r="K645" s="325">
        <f t="shared" si="163"/>
        <v>0</v>
      </c>
      <c r="L645" s="325">
        <f t="shared" si="164"/>
        <v>0</v>
      </c>
      <c r="M645" s="407">
        <v>50</v>
      </c>
      <c r="N645" s="408" t="s">
        <v>289</v>
      </c>
      <c r="O645" s="325">
        <f t="shared" si="165"/>
        <v>0</v>
      </c>
      <c r="P645" s="325">
        <f t="shared" si="166"/>
        <v>0</v>
      </c>
      <c r="Q645" s="325">
        <f t="shared" si="167"/>
        <v>0</v>
      </c>
      <c r="R645" s="325">
        <f t="shared" si="168"/>
        <v>88</v>
      </c>
      <c r="S645" s="325">
        <f t="shared" si="169"/>
        <v>0</v>
      </c>
      <c r="T645" s="325">
        <f t="shared" si="172"/>
        <v>88</v>
      </c>
      <c r="U645" s="325">
        <f t="shared" si="170"/>
        <v>266</v>
      </c>
      <c r="V645" s="325">
        <f t="shared" si="171"/>
        <v>0</v>
      </c>
      <c r="W645" s="449" cm="1">
        <f t="array" ref="W645">+IF(U645&lt;0,error,0)</f>
        <v>0</v>
      </c>
    </row>
    <row r="646" spans="1:23" ht="18" customHeight="1" x14ac:dyDescent="0.2">
      <c r="A646" s="402" t="s">
        <v>1456</v>
      </c>
      <c r="B646" s="403"/>
      <c r="C646" s="404" t="s">
        <v>1457</v>
      </c>
      <c r="D646" s="405">
        <v>42823</v>
      </c>
      <c r="E646" s="406"/>
      <c r="F646" s="325"/>
      <c r="G646" s="324"/>
      <c r="H646" s="324">
        <v>2380</v>
      </c>
      <c r="I646" s="325">
        <v>327</v>
      </c>
      <c r="J646" s="325"/>
      <c r="K646" s="325">
        <f t="shared" si="163"/>
        <v>0</v>
      </c>
      <c r="L646" s="325">
        <f t="shared" si="164"/>
        <v>0</v>
      </c>
      <c r="M646" s="407">
        <v>50</v>
      </c>
      <c r="N646" s="408" t="s">
        <v>289</v>
      </c>
      <c r="O646" s="325">
        <f t="shared" si="165"/>
        <v>0</v>
      </c>
      <c r="P646" s="325">
        <f t="shared" si="166"/>
        <v>0</v>
      </c>
      <c r="Q646" s="325">
        <f t="shared" si="167"/>
        <v>0</v>
      </c>
      <c r="R646" s="325">
        <f t="shared" si="168"/>
        <v>81</v>
      </c>
      <c r="S646" s="325">
        <f t="shared" si="169"/>
        <v>0</v>
      </c>
      <c r="T646" s="325">
        <f t="shared" si="172"/>
        <v>81</v>
      </c>
      <c r="U646" s="325">
        <f t="shared" si="170"/>
        <v>246</v>
      </c>
      <c r="V646" s="325">
        <f t="shared" si="171"/>
        <v>0</v>
      </c>
      <c r="W646" s="449" cm="1">
        <f t="array" ref="W646">+IF(U646&lt;0,error,0)</f>
        <v>0</v>
      </c>
    </row>
    <row r="647" spans="1:23" ht="18" customHeight="1" x14ac:dyDescent="0.2">
      <c r="A647" s="402" t="s">
        <v>1458</v>
      </c>
      <c r="B647" s="403"/>
      <c r="C647" s="404" t="s">
        <v>1459</v>
      </c>
      <c r="D647" s="405">
        <v>42781</v>
      </c>
      <c r="E647" s="406"/>
      <c r="F647" s="325"/>
      <c r="G647" s="324"/>
      <c r="H647" s="324">
        <v>9732</v>
      </c>
      <c r="I647" s="325">
        <v>1248.8000000000002</v>
      </c>
      <c r="J647" s="325"/>
      <c r="K647" s="325">
        <f t="shared" si="163"/>
        <v>0</v>
      </c>
      <c r="L647" s="325">
        <f t="shared" si="164"/>
        <v>0</v>
      </c>
      <c r="M647" s="407">
        <v>50</v>
      </c>
      <c r="N647" s="408" t="s">
        <v>289</v>
      </c>
      <c r="O647" s="325">
        <f t="shared" si="165"/>
        <v>0</v>
      </c>
      <c r="P647" s="325">
        <f t="shared" si="166"/>
        <v>0</v>
      </c>
      <c r="Q647" s="325">
        <f t="shared" si="167"/>
        <v>0</v>
      </c>
      <c r="R647" s="325">
        <f t="shared" si="168"/>
        <v>312</v>
      </c>
      <c r="S647" s="325">
        <f t="shared" si="169"/>
        <v>0</v>
      </c>
      <c r="T647" s="325">
        <f t="shared" si="172"/>
        <v>312</v>
      </c>
      <c r="U647" s="325">
        <f t="shared" si="170"/>
        <v>936.80000000000018</v>
      </c>
      <c r="V647" s="325">
        <f t="shared" si="171"/>
        <v>0</v>
      </c>
      <c r="W647" s="449" cm="1">
        <f t="array" ref="W647">+IF(U647&lt;0,error,0)</f>
        <v>0</v>
      </c>
    </row>
    <row r="648" spans="1:23" ht="18" customHeight="1" x14ac:dyDescent="0.2">
      <c r="A648" s="402" t="s">
        <v>1460</v>
      </c>
      <c r="B648" s="403"/>
      <c r="C648" s="404" t="s">
        <v>1461</v>
      </c>
      <c r="D648" s="405">
        <v>42791</v>
      </c>
      <c r="E648" s="406"/>
      <c r="F648" s="325"/>
      <c r="G648" s="324"/>
      <c r="H648" s="324">
        <v>5514</v>
      </c>
      <c r="I648" s="325">
        <v>719.92799999999988</v>
      </c>
      <c r="J648" s="325"/>
      <c r="K648" s="325">
        <f t="shared" si="163"/>
        <v>0</v>
      </c>
      <c r="L648" s="325">
        <f t="shared" si="164"/>
        <v>0</v>
      </c>
      <c r="M648" s="407">
        <v>50</v>
      </c>
      <c r="N648" s="408" t="s">
        <v>289</v>
      </c>
      <c r="O648" s="325">
        <f t="shared" si="165"/>
        <v>0</v>
      </c>
      <c r="P648" s="325">
        <f t="shared" si="166"/>
        <v>0</v>
      </c>
      <c r="Q648" s="325">
        <f t="shared" si="167"/>
        <v>0</v>
      </c>
      <c r="R648" s="325">
        <f t="shared" si="168"/>
        <v>179</v>
      </c>
      <c r="S648" s="325">
        <f t="shared" si="169"/>
        <v>0</v>
      </c>
      <c r="T648" s="325">
        <f t="shared" si="172"/>
        <v>179</v>
      </c>
      <c r="U648" s="325">
        <f t="shared" si="170"/>
        <v>540.92799999999988</v>
      </c>
      <c r="V648" s="325">
        <f t="shared" si="171"/>
        <v>0</v>
      </c>
      <c r="W648" s="449" cm="1">
        <f t="array" ref="W648">+IF(U648&lt;0,error,0)</f>
        <v>0</v>
      </c>
    </row>
    <row r="649" spans="1:23" ht="18" customHeight="1" x14ac:dyDescent="0.2">
      <c r="A649" s="402" t="s">
        <v>1462</v>
      </c>
      <c r="B649" s="403"/>
      <c r="C649" s="404" t="s">
        <v>1461</v>
      </c>
      <c r="D649" s="405">
        <v>42781</v>
      </c>
      <c r="E649" s="406"/>
      <c r="F649" s="325"/>
      <c r="G649" s="324"/>
      <c r="H649" s="324">
        <v>12405.33</v>
      </c>
      <c r="I649" s="325">
        <v>1590.33</v>
      </c>
      <c r="J649" s="325"/>
      <c r="K649" s="325">
        <f t="shared" si="163"/>
        <v>0</v>
      </c>
      <c r="L649" s="325">
        <f t="shared" si="164"/>
        <v>0</v>
      </c>
      <c r="M649" s="407">
        <v>50</v>
      </c>
      <c r="N649" s="408" t="s">
        <v>289</v>
      </c>
      <c r="O649" s="325">
        <f t="shared" si="165"/>
        <v>0</v>
      </c>
      <c r="P649" s="325">
        <f t="shared" si="166"/>
        <v>0</v>
      </c>
      <c r="Q649" s="325">
        <f t="shared" si="167"/>
        <v>0</v>
      </c>
      <c r="R649" s="325">
        <f t="shared" si="168"/>
        <v>397</v>
      </c>
      <c r="S649" s="325">
        <f t="shared" si="169"/>
        <v>0</v>
      </c>
      <c r="T649" s="325">
        <f t="shared" si="172"/>
        <v>397</v>
      </c>
      <c r="U649" s="325">
        <f t="shared" si="170"/>
        <v>1193.33</v>
      </c>
      <c r="V649" s="325">
        <f t="shared" si="171"/>
        <v>0</v>
      </c>
      <c r="W649" s="449" cm="1">
        <f t="array" ref="W649">+IF(U649&lt;0,error,0)</f>
        <v>0</v>
      </c>
    </row>
    <row r="650" spans="1:23" ht="18" customHeight="1" x14ac:dyDescent="0.2">
      <c r="A650" s="402" t="s">
        <v>1463</v>
      </c>
      <c r="B650" s="403"/>
      <c r="C650" s="404" t="s">
        <v>1464</v>
      </c>
      <c r="D650" s="405">
        <v>42791</v>
      </c>
      <c r="E650" s="406"/>
      <c r="F650" s="325"/>
      <c r="G650" s="324"/>
      <c r="H650" s="324">
        <v>5741</v>
      </c>
      <c r="I650" s="325">
        <v>748.64280000000008</v>
      </c>
      <c r="J650" s="325"/>
      <c r="K650" s="325">
        <f t="shared" si="163"/>
        <v>0</v>
      </c>
      <c r="L650" s="325">
        <f t="shared" si="164"/>
        <v>0</v>
      </c>
      <c r="M650" s="407">
        <v>50</v>
      </c>
      <c r="N650" s="408" t="s">
        <v>289</v>
      </c>
      <c r="O650" s="325">
        <f t="shared" si="165"/>
        <v>0</v>
      </c>
      <c r="P650" s="325">
        <f t="shared" si="166"/>
        <v>0</v>
      </c>
      <c r="Q650" s="325">
        <f t="shared" si="167"/>
        <v>0</v>
      </c>
      <c r="R650" s="325">
        <f t="shared" si="168"/>
        <v>187</v>
      </c>
      <c r="S650" s="325">
        <f t="shared" si="169"/>
        <v>0</v>
      </c>
      <c r="T650" s="325">
        <f t="shared" si="172"/>
        <v>187</v>
      </c>
      <c r="U650" s="325">
        <f t="shared" si="170"/>
        <v>561.64280000000008</v>
      </c>
      <c r="V650" s="325">
        <f t="shared" si="171"/>
        <v>0</v>
      </c>
      <c r="W650" s="449" cm="1">
        <f t="array" ref="W650">+IF(U650&lt;0,error,0)</f>
        <v>0</v>
      </c>
    </row>
    <row r="651" spans="1:23" ht="18" customHeight="1" x14ac:dyDescent="0.2">
      <c r="A651" s="402" t="s">
        <v>1465</v>
      </c>
      <c r="B651" s="403"/>
      <c r="C651" s="404" t="s">
        <v>1466</v>
      </c>
      <c r="D651" s="405">
        <v>42791</v>
      </c>
      <c r="E651" s="406"/>
      <c r="F651" s="325"/>
      <c r="G651" s="324"/>
      <c r="H651" s="324">
        <v>8070</v>
      </c>
      <c r="I651" s="325">
        <v>1052.1583000000001</v>
      </c>
      <c r="J651" s="325"/>
      <c r="K651" s="325">
        <f t="shared" si="163"/>
        <v>0</v>
      </c>
      <c r="L651" s="325">
        <f t="shared" si="164"/>
        <v>0</v>
      </c>
      <c r="M651" s="407">
        <v>50</v>
      </c>
      <c r="N651" s="408" t="s">
        <v>289</v>
      </c>
      <c r="O651" s="325">
        <f t="shared" si="165"/>
        <v>0</v>
      </c>
      <c r="P651" s="325">
        <f t="shared" si="166"/>
        <v>0</v>
      </c>
      <c r="Q651" s="325">
        <f t="shared" si="167"/>
        <v>0</v>
      </c>
      <c r="R651" s="325">
        <f t="shared" si="168"/>
        <v>263</v>
      </c>
      <c r="S651" s="325">
        <f t="shared" si="169"/>
        <v>0</v>
      </c>
      <c r="T651" s="325">
        <f t="shared" si="172"/>
        <v>263</v>
      </c>
      <c r="U651" s="325">
        <f t="shared" si="170"/>
        <v>789.15830000000005</v>
      </c>
      <c r="V651" s="325">
        <f t="shared" si="171"/>
        <v>0</v>
      </c>
      <c r="W651" s="449" cm="1">
        <f t="array" ref="W651">+IF(U651&lt;0,error,0)</f>
        <v>0</v>
      </c>
    </row>
    <row r="652" spans="1:23" ht="18" customHeight="1" x14ac:dyDescent="0.2">
      <c r="A652" s="402" t="s">
        <v>1467</v>
      </c>
      <c r="B652" s="403"/>
      <c r="C652" s="404" t="s">
        <v>1466</v>
      </c>
      <c r="D652" s="405">
        <v>42826</v>
      </c>
      <c r="E652" s="406"/>
      <c r="F652" s="325"/>
      <c r="G652" s="324"/>
      <c r="H652" s="324">
        <v>4842</v>
      </c>
      <c r="I652" s="325">
        <v>669.52390000000014</v>
      </c>
      <c r="J652" s="325"/>
      <c r="K652" s="325">
        <f t="shared" si="163"/>
        <v>0</v>
      </c>
      <c r="L652" s="325">
        <f t="shared" si="164"/>
        <v>0</v>
      </c>
      <c r="M652" s="407">
        <v>50</v>
      </c>
      <c r="N652" s="408" t="s">
        <v>289</v>
      </c>
      <c r="O652" s="325">
        <f t="shared" si="165"/>
        <v>0</v>
      </c>
      <c r="P652" s="325">
        <f t="shared" si="166"/>
        <v>0</v>
      </c>
      <c r="Q652" s="325">
        <f t="shared" si="167"/>
        <v>0</v>
      </c>
      <c r="R652" s="325">
        <f t="shared" si="168"/>
        <v>167</v>
      </c>
      <c r="S652" s="325">
        <f t="shared" si="169"/>
        <v>0</v>
      </c>
      <c r="T652" s="325">
        <f t="shared" si="172"/>
        <v>167</v>
      </c>
      <c r="U652" s="325">
        <f t="shared" si="170"/>
        <v>502.52390000000014</v>
      </c>
      <c r="V652" s="325">
        <f t="shared" si="171"/>
        <v>0</v>
      </c>
      <c r="W652" s="449" cm="1">
        <f t="array" ref="W652">+IF(U652&lt;0,error,0)</f>
        <v>0</v>
      </c>
    </row>
    <row r="653" spans="1:23" ht="18" customHeight="1" x14ac:dyDescent="0.2">
      <c r="A653" s="402" t="s">
        <v>1468</v>
      </c>
      <c r="B653" s="403"/>
      <c r="C653" s="404" t="s">
        <v>1466</v>
      </c>
      <c r="D653" s="405">
        <v>42826</v>
      </c>
      <c r="E653" s="406"/>
      <c r="F653" s="325"/>
      <c r="G653" s="324"/>
      <c r="H653" s="324">
        <v>16140.29</v>
      </c>
      <c r="I653" s="325">
        <v>2226.29</v>
      </c>
      <c r="J653" s="325"/>
      <c r="K653" s="325">
        <f t="shared" si="163"/>
        <v>0</v>
      </c>
      <c r="L653" s="325">
        <f t="shared" si="164"/>
        <v>0</v>
      </c>
      <c r="M653" s="407">
        <v>50</v>
      </c>
      <c r="N653" s="408" t="s">
        <v>289</v>
      </c>
      <c r="O653" s="325">
        <f t="shared" si="165"/>
        <v>0</v>
      </c>
      <c r="P653" s="325">
        <f t="shared" si="166"/>
        <v>0</v>
      </c>
      <c r="Q653" s="325">
        <f t="shared" si="167"/>
        <v>0</v>
      </c>
      <c r="R653" s="325">
        <f t="shared" si="168"/>
        <v>556</v>
      </c>
      <c r="S653" s="325">
        <f t="shared" si="169"/>
        <v>0</v>
      </c>
      <c r="T653" s="325">
        <f t="shared" si="172"/>
        <v>556</v>
      </c>
      <c r="U653" s="325">
        <f t="shared" si="170"/>
        <v>1670.29</v>
      </c>
      <c r="V653" s="325">
        <f t="shared" si="171"/>
        <v>0</v>
      </c>
      <c r="W653" s="449" cm="1">
        <f t="array" ref="W653">+IF(U653&lt;0,error,0)</f>
        <v>0</v>
      </c>
    </row>
    <row r="654" spans="1:23" ht="18" customHeight="1" x14ac:dyDescent="0.2">
      <c r="A654" s="402" t="s">
        <v>1469</v>
      </c>
      <c r="B654" s="403"/>
      <c r="C654" s="404" t="s">
        <v>1470</v>
      </c>
      <c r="D654" s="405">
        <v>42826</v>
      </c>
      <c r="E654" s="406"/>
      <c r="F654" s="325"/>
      <c r="G654" s="324"/>
      <c r="H654" s="324">
        <v>2879</v>
      </c>
      <c r="I654" s="325">
        <v>397.6563000000001</v>
      </c>
      <c r="J654" s="325"/>
      <c r="K654" s="325">
        <f t="shared" si="163"/>
        <v>0</v>
      </c>
      <c r="L654" s="325">
        <f t="shared" si="164"/>
        <v>0</v>
      </c>
      <c r="M654" s="407">
        <v>50</v>
      </c>
      <c r="N654" s="408" t="s">
        <v>289</v>
      </c>
      <c r="O654" s="325">
        <f t="shared" si="165"/>
        <v>0</v>
      </c>
      <c r="P654" s="325">
        <f t="shared" si="166"/>
        <v>0</v>
      </c>
      <c r="Q654" s="325">
        <f t="shared" si="167"/>
        <v>0</v>
      </c>
      <c r="R654" s="325">
        <f t="shared" si="168"/>
        <v>99</v>
      </c>
      <c r="S654" s="325">
        <f t="shared" si="169"/>
        <v>0</v>
      </c>
      <c r="T654" s="325">
        <f t="shared" si="172"/>
        <v>99</v>
      </c>
      <c r="U654" s="325">
        <f t="shared" si="170"/>
        <v>298.6563000000001</v>
      </c>
      <c r="V654" s="325">
        <f t="shared" si="171"/>
        <v>0</v>
      </c>
      <c r="W654" s="449" cm="1">
        <f t="array" ref="W654">+IF(U654&lt;0,error,0)</f>
        <v>0</v>
      </c>
    </row>
    <row r="655" spans="1:23" ht="18" customHeight="1" x14ac:dyDescent="0.2">
      <c r="A655" s="402" t="s">
        <v>1471</v>
      </c>
      <c r="B655" s="403"/>
      <c r="C655" s="404" t="s">
        <v>1472</v>
      </c>
      <c r="D655" s="405">
        <v>42826</v>
      </c>
      <c r="E655" s="406"/>
      <c r="F655" s="325"/>
      <c r="G655" s="324"/>
      <c r="H655" s="324">
        <v>14362.64</v>
      </c>
      <c r="I655" s="325">
        <v>1980.6400000000003</v>
      </c>
      <c r="J655" s="325"/>
      <c r="K655" s="325">
        <f t="shared" si="163"/>
        <v>0</v>
      </c>
      <c r="L655" s="325">
        <f t="shared" si="164"/>
        <v>0</v>
      </c>
      <c r="M655" s="407">
        <v>50</v>
      </c>
      <c r="N655" s="408" t="s">
        <v>289</v>
      </c>
      <c r="O655" s="325">
        <f t="shared" si="165"/>
        <v>0</v>
      </c>
      <c r="P655" s="325">
        <f t="shared" si="166"/>
        <v>0</v>
      </c>
      <c r="Q655" s="325">
        <f t="shared" si="167"/>
        <v>0</v>
      </c>
      <c r="R655" s="325">
        <f t="shared" si="168"/>
        <v>495</v>
      </c>
      <c r="S655" s="325">
        <f t="shared" si="169"/>
        <v>0</v>
      </c>
      <c r="T655" s="325">
        <f t="shared" si="172"/>
        <v>495</v>
      </c>
      <c r="U655" s="325">
        <f t="shared" si="170"/>
        <v>1485.6400000000003</v>
      </c>
      <c r="V655" s="325">
        <f t="shared" si="171"/>
        <v>0</v>
      </c>
      <c r="W655" s="449" cm="1">
        <f t="array" ref="W655">+IF(U655&lt;0,error,0)</f>
        <v>0</v>
      </c>
    </row>
    <row r="656" spans="1:23" ht="18" customHeight="1" x14ac:dyDescent="0.2">
      <c r="A656" s="402" t="s">
        <v>1473</v>
      </c>
      <c r="B656" s="403"/>
      <c r="C656" s="404" t="s">
        <v>1474</v>
      </c>
      <c r="D656" s="405">
        <v>42843</v>
      </c>
      <c r="E656" s="406"/>
      <c r="F656" s="325"/>
      <c r="G656" s="324"/>
      <c r="H656" s="324">
        <v>2141.73</v>
      </c>
      <c r="I656" s="325">
        <v>304.73</v>
      </c>
      <c r="J656" s="325"/>
      <c r="K656" s="325">
        <f t="shared" si="163"/>
        <v>0</v>
      </c>
      <c r="L656" s="325">
        <f t="shared" si="164"/>
        <v>0</v>
      </c>
      <c r="M656" s="407">
        <v>50</v>
      </c>
      <c r="N656" s="408" t="s">
        <v>289</v>
      </c>
      <c r="O656" s="325">
        <f t="shared" si="165"/>
        <v>0</v>
      </c>
      <c r="P656" s="325">
        <f t="shared" si="166"/>
        <v>0</v>
      </c>
      <c r="Q656" s="325">
        <f t="shared" si="167"/>
        <v>0</v>
      </c>
      <c r="R656" s="325">
        <f t="shared" si="168"/>
        <v>76</v>
      </c>
      <c r="S656" s="325">
        <f t="shared" si="169"/>
        <v>0</v>
      </c>
      <c r="T656" s="325">
        <f t="shared" si="172"/>
        <v>76</v>
      </c>
      <c r="U656" s="325">
        <f t="shared" si="170"/>
        <v>228.73000000000002</v>
      </c>
      <c r="V656" s="325">
        <f t="shared" si="171"/>
        <v>0</v>
      </c>
      <c r="W656" s="449" cm="1">
        <f t="array" ref="W656">+IF(U656&lt;0,error,0)</f>
        <v>0</v>
      </c>
    </row>
    <row r="657" spans="1:23" ht="18" customHeight="1" x14ac:dyDescent="0.2">
      <c r="A657" s="402" t="s">
        <v>1475</v>
      </c>
      <c r="B657" s="403"/>
      <c r="C657" s="404" t="s">
        <v>1459</v>
      </c>
      <c r="D657" s="405">
        <v>42851</v>
      </c>
      <c r="E657" s="406"/>
      <c r="F657" s="325"/>
      <c r="G657" s="324"/>
      <c r="H657" s="324">
        <v>15699</v>
      </c>
      <c r="I657" s="325">
        <v>2250</v>
      </c>
      <c r="J657" s="325"/>
      <c r="K657" s="325">
        <f t="shared" si="163"/>
        <v>0</v>
      </c>
      <c r="L657" s="325">
        <f t="shared" si="164"/>
        <v>0</v>
      </c>
      <c r="M657" s="407">
        <v>50</v>
      </c>
      <c r="N657" s="408" t="s">
        <v>289</v>
      </c>
      <c r="O657" s="325">
        <f t="shared" si="165"/>
        <v>0</v>
      </c>
      <c r="P657" s="325">
        <f t="shared" si="166"/>
        <v>0</v>
      </c>
      <c r="Q657" s="325">
        <f t="shared" si="167"/>
        <v>0</v>
      </c>
      <c r="R657" s="325">
        <f t="shared" si="168"/>
        <v>562</v>
      </c>
      <c r="S657" s="325">
        <f t="shared" si="169"/>
        <v>0</v>
      </c>
      <c r="T657" s="325">
        <f t="shared" si="172"/>
        <v>562</v>
      </c>
      <c r="U657" s="325">
        <f t="shared" si="170"/>
        <v>1688</v>
      </c>
      <c r="V657" s="325">
        <f t="shared" si="171"/>
        <v>0</v>
      </c>
      <c r="W657" s="449" cm="1">
        <f t="array" ref="W657">+IF(U657&lt;0,error,0)</f>
        <v>0</v>
      </c>
    </row>
    <row r="658" spans="1:23" ht="18" customHeight="1" x14ac:dyDescent="0.2">
      <c r="A658" s="402" t="s">
        <v>1476</v>
      </c>
      <c r="B658" s="403"/>
      <c r="C658" s="404" t="s">
        <v>1477</v>
      </c>
      <c r="D658" s="405">
        <v>42791</v>
      </c>
      <c r="E658" s="406"/>
      <c r="F658" s="325"/>
      <c r="G658" s="324"/>
      <c r="H658" s="324">
        <v>1998</v>
      </c>
      <c r="I658" s="325">
        <v>261.35000000000002</v>
      </c>
      <c r="J658" s="325"/>
      <c r="K658" s="325">
        <f t="shared" si="163"/>
        <v>0</v>
      </c>
      <c r="L658" s="325">
        <f t="shared" si="164"/>
        <v>0</v>
      </c>
      <c r="M658" s="407">
        <v>50</v>
      </c>
      <c r="N658" s="408" t="s">
        <v>289</v>
      </c>
      <c r="O658" s="325">
        <f t="shared" si="165"/>
        <v>0</v>
      </c>
      <c r="P658" s="325">
        <f t="shared" si="166"/>
        <v>0</v>
      </c>
      <c r="Q658" s="325">
        <f t="shared" si="167"/>
        <v>0</v>
      </c>
      <c r="R658" s="325">
        <f t="shared" si="168"/>
        <v>65</v>
      </c>
      <c r="S658" s="325">
        <f t="shared" si="169"/>
        <v>0</v>
      </c>
      <c r="T658" s="325">
        <f t="shared" si="172"/>
        <v>65</v>
      </c>
      <c r="U658" s="325">
        <f t="shared" si="170"/>
        <v>196.35000000000002</v>
      </c>
      <c r="V658" s="325">
        <f t="shared" si="171"/>
        <v>0</v>
      </c>
      <c r="W658" s="449" cm="1">
        <f t="array" ref="W658">+IF(U658&lt;0,error,0)</f>
        <v>0</v>
      </c>
    </row>
    <row r="659" spans="1:23" ht="18" customHeight="1" x14ac:dyDescent="0.2">
      <c r="A659" s="402" t="s">
        <v>1478</v>
      </c>
      <c r="B659" s="403"/>
      <c r="C659" s="404" t="s">
        <v>1479</v>
      </c>
      <c r="D659" s="405">
        <v>42791</v>
      </c>
      <c r="E659" s="406"/>
      <c r="F659" s="325"/>
      <c r="G659" s="324"/>
      <c r="H659" s="324">
        <v>1996.24</v>
      </c>
      <c r="I659" s="325">
        <v>261.24</v>
      </c>
      <c r="J659" s="325"/>
      <c r="K659" s="325">
        <f t="shared" si="163"/>
        <v>0</v>
      </c>
      <c r="L659" s="325">
        <f t="shared" si="164"/>
        <v>0</v>
      </c>
      <c r="M659" s="407">
        <v>50</v>
      </c>
      <c r="N659" s="408" t="s">
        <v>289</v>
      </c>
      <c r="O659" s="325">
        <f t="shared" si="165"/>
        <v>0</v>
      </c>
      <c r="P659" s="325">
        <f t="shared" si="166"/>
        <v>0</v>
      </c>
      <c r="Q659" s="325">
        <f t="shared" si="167"/>
        <v>0</v>
      </c>
      <c r="R659" s="325">
        <f t="shared" si="168"/>
        <v>65</v>
      </c>
      <c r="S659" s="325">
        <f t="shared" si="169"/>
        <v>0</v>
      </c>
      <c r="T659" s="325">
        <f t="shared" si="172"/>
        <v>65</v>
      </c>
      <c r="U659" s="325">
        <f t="shared" si="170"/>
        <v>196.24</v>
      </c>
      <c r="V659" s="325">
        <f t="shared" si="171"/>
        <v>0</v>
      </c>
      <c r="W659" s="449" cm="1">
        <f t="array" ref="W659">+IF(U659&lt;0,error,0)</f>
        <v>0</v>
      </c>
    </row>
    <row r="660" spans="1:23" ht="18" customHeight="1" x14ac:dyDescent="0.2">
      <c r="A660" s="402" t="s">
        <v>1480</v>
      </c>
      <c r="B660" s="403"/>
      <c r="C660" s="404" t="s">
        <v>1481</v>
      </c>
      <c r="D660" s="405">
        <v>42826</v>
      </c>
      <c r="E660" s="406"/>
      <c r="F660" s="325"/>
      <c r="G660" s="324"/>
      <c r="H660" s="324">
        <v>6244.63</v>
      </c>
      <c r="I660" s="325">
        <v>861.63000000000011</v>
      </c>
      <c r="J660" s="325"/>
      <c r="K660" s="325">
        <f t="shared" si="163"/>
        <v>0</v>
      </c>
      <c r="L660" s="325">
        <f t="shared" si="164"/>
        <v>0</v>
      </c>
      <c r="M660" s="407">
        <v>50</v>
      </c>
      <c r="N660" s="408" t="s">
        <v>289</v>
      </c>
      <c r="O660" s="325">
        <f t="shared" si="165"/>
        <v>0</v>
      </c>
      <c r="P660" s="325">
        <f t="shared" si="166"/>
        <v>0</v>
      </c>
      <c r="Q660" s="325">
        <f t="shared" si="167"/>
        <v>0</v>
      </c>
      <c r="R660" s="325">
        <f t="shared" si="168"/>
        <v>215</v>
      </c>
      <c r="S660" s="325">
        <f t="shared" si="169"/>
        <v>0</v>
      </c>
      <c r="T660" s="325">
        <f t="shared" si="172"/>
        <v>215</v>
      </c>
      <c r="U660" s="325">
        <f t="shared" si="170"/>
        <v>646.63000000000011</v>
      </c>
      <c r="V660" s="325">
        <f t="shared" si="171"/>
        <v>0</v>
      </c>
      <c r="W660" s="449" cm="1">
        <f t="array" ref="W660">+IF(U660&lt;0,error,0)</f>
        <v>0</v>
      </c>
    </row>
    <row r="661" spans="1:23" ht="18" customHeight="1" x14ac:dyDescent="0.2">
      <c r="A661" s="402" t="s">
        <v>1488</v>
      </c>
      <c r="B661" s="403"/>
      <c r="C661" s="404" t="s">
        <v>1489</v>
      </c>
      <c r="D661" s="405">
        <v>43157</v>
      </c>
      <c r="E661" s="406"/>
      <c r="F661" s="325"/>
      <c r="G661" s="324"/>
      <c r="H661" s="324">
        <v>2908</v>
      </c>
      <c r="I661" s="325">
        <v>440</v>
      </c>
      <c r="J661" s="325"/>
      <c r="K661" s="325">
        <f t="shared" si="163"/>
        <v>0</v>
      </c>
      <c r="L661" s="325">
        <f t="shared" si="164"/>
        <v>0</v>
      </c>
      <c r="M661" s="407">
        <v>66.67</v>
      </c>
      <c r="N661" s="408" t="s">
        <v>289</v>
      </c>
      <c r="O661" s="325">
        <f t="shared" si="165"/>
        <v>0</v>
      </c>
      <c r="P661" s="325">
        <f t="shared" si="166"/>
        <v>0</v>
      </c>
      <c r="Q661" s="325">
        <f t="shared" si="167"/>
        <v>0</v>
      </c>
      <c r="R661" s="325">
        <f t="shared" si="168"/>
        <v>146</v>
      </c>
      <c r="S661" s="325">
        <f t="shared" si="169"/>
        <v>0</v>
      </c>
      <c r="T661" s="325">
        <f t="shared" si="172"/>
        <v>146</v>
      </c>
      <c r="U661" s="325">
        <f t="shared" si="170"/>
        <v>294</v>
      </c>
      <c r="V661" s="325">
        <f t="shared" si="171"/>
        <v>0</v>
      </c>
      <c r="W661" s="449" cm="1">
        <f t="array" ref="W661">+IF(U661&lt;0,error,0)</f>
        <v>0</v>
      </c>
    </row>
    <row r="662" spans="1:23" ht="18" customHeight="1" x14ac:dyDescent="0.2">
      <c r="A662" s="402" t="s">
        <v>1490</v>
      </c>
      <c r="B662" s="403"/>
      <c r="C662" s="404" t="s">
        <v>1489</v>
      </c>
      <c r="D662" s="405">
        <v>43157</v>
      </c>
      <c r="E662" s="406"/>
      <c r="F662" s="325"/>
      <c r="G662" s="324"/>
      <c r="H662" s="324">
        <v>2668</v>
      </c>
      <c r="I662" s="325">
        <v>404</v>
      </c>
      <c r="J662" s="325"/>
      <c r="K662" s="325">
        <f t="shared" si="163"/>
        <v>0</v>
      </c>
      <c r="L662" s="325">
        <f t="shared" si="164"/>
        <v>0</v>
      </c>
      <c r="M662" s="407">
        <v>66.67</v>
      </c>
      <c r="N662" s="408" t="s">
        <v>289</v>
      </c>
      <c r="O662" s="325">
        <f t="shared" si="165"/>
        <v>0</v>
      </c>
      <c r="P662" s="325">
        <f t="shared" si="166"/>
        <v>0</v>
      </c>
      <c r="Q662" s="325">
        <f t="shared" si="167"/>
        <v>0</v>
      </c>
      <c r="R662" s="325">
        <f t="shared" si="168"/>
        <v>134</v>
      </c>
      <c r="S662" s="325">
        <f t="shared" si="169"/>
        <v>0</v>
      </c>
      <c r="T662" s="325">
        <f t="shared" si="172"/>
        <v>134</v>
      </c>
      <c r="U662" s="325">
        <f t="shared" si="170"/>
        <v>270</v>
      </c>
      <c r="V662" s="325">
        <f t="shared" si="171"/>
        <v>0</v>
      </c>
      <c r="W662" s="449" cm="1">
        <f t="array" ref="W662">+IF(U662&lt;0,error,0)</f>
        <v>0</v>
      </c>
    </row>
    <row r="663" spans="1:23" ht="18" customHeight="1" x14ac:dyDescent="0.2">
      <c r="A663" s="402" t="s">
        <v>1495</v>
      </c>
      <c r="B663" s="403"/>
      <c r="C663" s="404" t="s">
        <v>1496</v>
      </c>
      <c r="D663" s="405">
        <v>43191</v>
      </c>
      <c r="E663" s="406"/>
      <c r="F663" s="325"/>
      <c r="G663" s="324"/>
      <c r="H663" s="324">
        <v>8732</v>
      </c>
      <c r="I663" s="325">
        <v>2408.9702000000007</v>
      </c>
      <c r="J663" s="325"/>
      <c r="K663" s="325">
        <f t="shared" si="163"/>
        <v>0</v>
      </c>
      <c r="L663" s="325">
        <f t="shared" si="164"/>
        <v>0</v>
      </c>
      <c r="M663" s="407">
        <v>50</v>
      </c>
      <c r="N663" s="408" t="s">
        <v>289</v>
      </c>
      <c r="O663" s="325">
        <f t="shared" si="165"/>
        <v>0</v>
      </c>
      <c r="P663" s="325">
        <f t="shared" si="166"/>
        <v>0</v>
      </c>
      <c r="Q663" s="325">
        <f t="shared" si="167"/>
        <v>0</v>
      </c>
      <c r="R663" s="325">
        <f t="shared" si="168"/>
        <v>602</v>
      </c>
      <c r="S663" s="325">
        <f t="shared" si="169"/>
        <v>0</v>
      </c>
      <c r="T663" s="325">
        <f t="shared" si="172"/>
        <v>602</v>
      </c>
      <c r="U663" s="325">
        <f t="shared" si="170"/>
        <v>1806.9702000000007</v>
      </c>
      <c r="V663" s="325">
        <f t="shared" si="171"/>
        <v>0</v>
      </c>
      <c r="W663" s="449" cm="1">
        <f t="array" ref="W663">+IF(U663&lt;0,error,0)</f>
        <v>0</v>
      </c>
    </row>
    <row r="664" spans="1:23" ht="18" customHeight="1" x14ac:dyDescent="0.2">
      <c r="A664" s="402" t="s">
        <v>1499</v>
      </c>
      <c r="B664" s="403"/>
      <c r="C664" s="404" t="s">
        <v>1500</v>
      </c>
      <c r="D664" s="405">
        <v>42944</v>
      </c>
      <c r="E664" s="406"/>
      <c r="F664" s="325"/>
      <c r="G664" s="324"/>
      <c r="H664" s="324">
        <v>16899</v>
      </c>
      <c r="I664" s="325">
        <v>2859</v>
      </c>
      <c r="J664" s="325"/>
      <c r="K664" s="325">
        <f t="shared" si="163"/>
        <v>0</v>
      </c>
      <c r="L664" s="325">
        <f t="shared" si="164"/>
        <v>0</v>
      </c>
      <c r="M664" s="407">
        <v>50</v>
      </c>
      <c r="N664" s="408" t="s">
        <v>289</v>
      </c>
      <c r="O664" s="325">
        <f t="shared" si="165"/>
        <v>0</v>
      </c>
      <c r="P664" s="325">
        <f t="shared" si="166"/>
        <v>0</v>
      </c>
      <c r="Q664" s="325">
        <f t="shared" si="167"/>
        <v>0</v>
      </c>
      <c r="R664" s="325">
        <f t="shared" si="168"/>
        <v>714</v>
      </c>
      <c r="S664" s="325">
        <f t="shared" si="169"/>
        <v>0</v>
      </c>
      <c r="T664" s="325">
        <f t="shared" si="172"/>
        <v>714</v>
      </c>
      <c r="U664" s="325">
        <f t="shared" si="170"/>
        <v>2145</v>
      </c>
      <c r="V664" s="325">
        <f t="shared" si="171"/>
        <v>0</v>
      </c>
      <c r="W664" s="449" cm="1">
        <f t="array" ref="W664">+IF(U664&lt;0,error,0)</f>
        <v>0</v>
      </c>
    </row>
    <row r="665" spans="1:23" ht="18" customHeight="1" x14ac:dyDescent="0.2">
      <c r="A665" s="402" t="s">
        <v>1501</v>
      </c>
      <c r="B665" s="403"/>
      <c r="C665" s="404" t="s">
        <v>1502</v>
      </c>
      <c r="D665" s="405">
        <v>42976</v>
      </c>
      <c r="E665" s="406"/>
      <c r="F665" s="325"/>
      <c r="G665" s="324"/>
      <c r="H665" s="324">
        <v>1492.53</v>
      </c>
      <c r="I665" s="325">
        <v>273.52999999999997</v>
      </c>
      <c r="J665" s="325"/>
      <c r="K665" s="325">
        <f t="shared" si="163"/>
        <v>0</v>
      </c>
      <c r="L665" s="325">
        <f t="shared" si="164"/>
        <v>0</v>
      </c>
      <c r="M665" s="407">
        <v>50</v>
      </c>
      <c r="N665" s="408" t="s">
        <v>289</v>
      </c>
      <c r="O665" s="325">
        <f t="shared" si="165"/>
        <v>0</v>
      </c>
      <c r="P665" s="325">
        <f t="shared" si="166"/>
        <v>0</v>
      </c>
      <c r="Q665" s="325">
        <f t="shared" si="167"/>
        <v>0</v>
      </c>
      <c r="R665" s="325">
        <f t="shared" si="168"/>
        <v>68</v>
      </c>
      <c r="S665" s="325">
        <f t="shared" si="169"/>
        <v>0</v>
      </c>
      <c r="T665" s="325">
        <f t="shared" si="172"/>
        <v>68</v>
      </c>
      <c r="U665" s="325">
        <f t="shared" si="170"/>
        <v>205.52999999999997</v>
      </c>
      <c r="V665" s="325">
        <f t="shared" si="171"/>
        <v>0</v>
      </c>
      <c r="W665" s="449" cm="1">
        <f t="array" ref="W665">+IF(U665&lt;0,error,0)</f>
        <v>0</v>
      </c>
    </row>
    <row r="666" spans="1:23" ht="18" customHeight="1" x14ac:dyDescent="0.2">
      <c r="A666" s="402" t="s">
        <v>1503</v>
      </c>
      <c r="B666" s="403"/>
      <c r="C666" s="404" t="s">
        <v>1504</v>
      </c>
      <c r="D666" s="405">
        <v>42996</v>
      </c>
      <c r="E666" s="406"/>
      <c r="F666" s="325"/>
      <c r="G666" s="324"/>
      <c r="H666" s="324">
        <v>1551</v>
      </c>
      <c r="I666" s="325">
        <v>297</v>
      </c>
      <c r="J666" s="325"/>
      <c r="K666" s="325">
        <f t="shared" ref="K666:K702" si="173">INT(IF($E666&gt;0,IF(+F666-I666+Q666&lt;0,0,+F666-I666+Q666),0))</f>
        <v>0</v>
      </c>
      <c r="L666" s="325">
        <f t="shared" si="164"/>
        <v>0</v>
      </c>
      <c r="M666" s="407">
        <v>50</v>
      </c>
      <c r="N666" s="408" t="s">
        <v>289</v>
      </c>
      <c r="O666" s="325">
        <f t="shared" si="165"/>
        <v>0</v>
      </c>
      <c r="P666" s="325">
        <f t="shared" si="166"/>
        <v>0</v>
      </c>
      <c r="Q666" s="325">
        <f t="shared" si="167"/>
        <v>0</v>
      </c>
      <c r="R666" s="325">
        <f t="shared" si="168"/>
        <v>74</v>
      </c>
      <c r="S666" s="325">
        <f t="shared" si="169"/>
        <v>0</v>
      </c>
      <c r="T666" s="325">
        <f t="shared" si="172"/>
        <v>74</v>
      </c>
      <c r="U666" s="325">
        <f t="shared" si="170"/>
        <v>223</v>
      </c>
      <c r="V666" s="325">
        <f t="shared" si="171"/>
        <v>0</v>
      </c>
      <c r="W666" s="449" cm="1">
        <f t="array" ref="W666">+IF(U666&lt;0,error,0)</f>
        <v>0</v>
      </c>
    </row>
    <row r="667" spans="1:23" ht="18" customHeight="1" x14ac:dyDescent="0.2">
      <c r="A667" s="402" t="s">
        <v>1505</v>
      </c>
      <c r="B667" s="403"/>
      <c r="C667" s="404" t="s">
        <v>1506</v>
      </c>
      <c r="D667" s="405">
        <v>42996</v>
      </c>
      <c r="E667" s="406"/>
      <c r="F667" s="325"/>
      <c r="G667" s="324"/>
      <c r="H667" s="324">
        <v>1564</v>
      </c>
      <c r="I667" s="325">
        <v>300</v>
      </c>
      <c r="J667" s="325"/>
      <c r="K667" s="325">
        <f t="shared" si="173"/>
        <v>0</v>
      </c>
      <c r="L667" s="325">
        <f t="shared" si="164"/>
        <v>0</v>
      </c>
      <c r="M667" s="407">
        <v>50</v>
      </c>
      <c r="N667" s="408" t="s">
        <v>289</v>
      </c>
      <c r="O667" s="325">
        <f t="shared" si="165"/>
        <v>0</v>
      </c>
      <c r="P667" s="325">
        <f t="shared" si="166"/>
        <v>0</v>
      </c>
      <c r="Q667" s="325">
        <f t="shared" si="167"/>
        <v>0</v>
      </c>
      <c r="R667" s="325">
        <f t="shared" si="168"/>
        <v>75</v>
      </c>
      <c r="S667" s="325">
        <f t="shared" si="169"/>
        <v>0</v>
      </c>
      <c r="T667" s="325">
        <f t="shared" si="172"/>
        <v>75</v>
      </c>
      <c r="U667" s="325">
        <f t="shared" si="170"/>
        <v>225</v>
      </c>
      <c r="V667" s="325">
        <f t="shared" si="171"/>
        <v>0</v>
      </c>
      <c r="W667" s="449" cm="1">
        <f t="array" ref="W667">+IF(U667&lt;0,error,0)</f>
        <v>0</v>
      </c>
    </row>
    <row r="668" spans="1:23" ht="18" customHeight="1" x14ac:dyDescent="0.2">
      <c r="A668" s="402" t="s">
        <v>1507</v>
      </c>
      <c r="B668" s="403"/>
      <c r="C668" s="404" t="s">
        <v>1508</v>
      </c>
      <c r="D668" s="405">
        <v>43009</v>
      </c>
      <c r="E668" s="406"/>
      <c r="F668" s="325"/>
      <c r="G668" s="324"/>
      <c r="H668" s="324">
        <v>3289.9900000000002</v>
      </c>
      <c r="I668" s="325">
        <v>649.99</v>
      </c>
      <c r="J668" s="325"/>
      <c r="K668" s="325">
        <f t="shared" si="173"/>
        <v>0</v>
      </c>
      <c r="L668" s="325">
        <f t="shared" ref="L668:L702" si="174">INT(IF($E668&gt;0,IF(K668=0,-F668+I668-Q668,0),0))</f>
        <v>0</v>
      </c>
      <c r="M668" s="407">
        <v>50</v>
      </c>
      <c r="N668" s="408" t="s">
        <v>289</v>
      </c>
      <c r="O668" s="325">
        <f t="shared" ref="O668:O702" si="175">IF(E668&gt;0,INT(IF($N668="D",IF($D668&lt;$H$3,$I668*($M668/100)*((E668-$H$3)/365),$J668*($M668/100)*($J$3-$D668)/365),0)),0)</f>
        <v>0</v>
      </c>
      <c r="P668" s="325">
        <f t="shared" ref="P668:P702" si="176">IF(E668&gt;0,INT(IF($N668="P",IF($D668&lt;$H$3,$H668*($M668/100)*(E668-$H$3)/365,$J668*($M668/100)*($J$3-$D668)/365),0)),0)</f>
        <v>0</v>
      </c>
      <c r="Q668" s="325">
        <f t="shared" ref="Q668:Q702" si="177">+O668+P668</f>
        <v>0</v>
      </c>
      <c r="R668" s="325">
        <f t="shared" ref="R668:R720" si="178">INT(IF($E668&gt;0,0,(IF($N668="D",IF($D668&lt;$H$3,$I668*($M668/100)*$U$3/12,$J668*($M668/100)*($J$3-$D668)/365),0))))</f>
        <v>162</v>
      </c>
      <c r="S668" s="325">
        <f t="shared" ref="S668:S720" si="179">INT(IF($E668&gt;0,0,(IF($N668="P",IF($D668&lt;$H$3,$H668*($M668/100)*$U$3/12,$J668*($M668/100)*($J$3-$D668)/365),0))))</f>
        <v>0</v>
      </c>
      <c r="T668" s="325">
        <f t="shared" si="172"/>
        <v>162</v>
      </c>
      <c r="U668" s="325">
        <f t="shared" ref="U668:U702" si="180">+I668+J668-T668-F668+K668-L668</f>
        <v>487.99</v>
      </c>
      <c r="V668" s="325">
        <f t="shared" ref="V668:V720" si="181">IF(E668&gt;0,+H668+J668,0)</f>
        <v>0</v>
      </c>
      <c r="W668" s="449" cm="1">
        <f t="array" ref="W668">+IF(U668&lt;0,error,0)</f>
        <v>0</v>
      </c>
    </row>
    <row r="669" spans="1:23" ht="18" customHeight="1" x14ac:dyDescent="0.2">
      <c r="A669" s="402" t="s">
        <v>1509</v>
      </c>
      <c r="B669" s="403"/>
      <c r="C669" s="404" t="s">
        <v>1510</v>
      </c>
      <c r="D669" s="405">
        <v>43009</v>
      </c>
      <c r="E669" s="406"/>
      <c r="F669" s="325"/>
      <c r="G669" s="324"/>
      <c r="H669" s="324">
        <v>3445.1</v>
      </c>
      <c r="I669" s="325">
        <v>680.10000000000014</v>
      </c>
      <c r="J669" s="325"/>
      <c r="K669" s="325">
        <f t="shared" si="173"/>
        <v>0</v>
      </c>
      <c r="L669" s="325">
        <f t="shared" si="174"/>
        <v>0</v>
      </c>
      <c r="M669" s="407">
        <v>50</v>
      </c>
      <c r="N669" s="408" t="s">
        <v>289</v>
      </c>
      <c r="O669" s="325">
        <f t="shared" si="175"/>
        <v>0</v>
      </c>
      <c r="P669" s="325">
        <f t="shared" si="176"/>
        <v>0</v>
      </c>
      <c r="Q669" s="325">
        <f t="shared" si="177"/>
        <v>0</v>
      </c>
      <c r="R669" s="325">
        <f t="shared" si="178"/>
        <v>170</v>
      </c>
      <c r="S669" s="325">
        <f t="shared" si="179"/>
        <v>0</v>
      </c>
      <c r="T669" s="325">
        <f t="shared" si="172"/>
        <v>170</v>
      </c>
      <c r="U669" s="325">
        <f t="shared" si="180"/>
        <v>510.10000000000014</v>
      </c>
      <c r="V669" s="325">
        <f t="shared" si="181"/>
        <v>0</v>
      </c>
      <c r="W669" s="449" cm="1">
        <f t="array" ref="W669">+IF(U669&lt;0,error,0)</f>
        <v>0</v>
      </c>
    </row>
    <row r="670" spans="1:23" ht="18" customHeight="1" x14ac:dyDescent="0.2">
      <c r="A670" s="402" t="s">
        <v>1511</v>
      </c>
      <c r="B670" s="403"/>
      <c r="C670" s="404" t="s">
        <v>1512</v>
      </c>
      <c r="D670" s="405">
        <v>43009</v>
      </c>
      <c r="E670" s="406"/>
      <c r="F670" s="325"/>
      <c r="G670" s="324"/>
      <c r="H670" s="324">
        <v>1645</v>
      </c>
      <c r="I670" s="325">
        <v>325</v>
      </c>
      <c r="J670" s="325"/>
      <c r="K670" s="325">
        <f t="shared" si="173"/>
        <v>0</v>
      </c>
      <c r="L670" s="325">
        <f t="shared" si="174"/>
        <v>0</v>
      </c>
      <c r="M670" s="407">
        <v>50</v>
      </c>
      <c r="N670" s="408" t="s">
        <v>289</v>
      </c>
      <c r="O670" s="325">
        <f t="shared" si="175"/>
        <v>0</v>
      </c>
      <c r="P670" s="325">
        <f t="shared" si="176"/>
        <v>0</v>
      </c>
      <c r="Q670" s="325">
        <f t="shared" si="177"/>
        <v>0</v>
      </c>
      <c r="R670" s="325">
        <f t="shared" si="178"/>
        <v>81</v>
      </c>
      <c r="S670" s="325">
        <f t="shared" si="179"/>
        <v>0</v>
      </c>
      <c r="T670" s="325">
        <f t="shared" si="172"/>
        <v>81</v>
      </c>
      <c r="U670" s="325">
        <f t="shared" si="180"/>
        <v>244</v>
      </c>
      <c r="V670" s="325">
        <f t="shared" si="181"/>
        <v>0</v>
      </c>
      <c r="W670" s="449" cm="1">
        <f t="array" ref="W670">+IF(U670&lt;0,error,0)</f>
        <v>0</v>
      </c>
    </row>
    <row r="671" spans="1:23" ht="18" customHeight="1" x14ac:dyDescent="0.2">
      <c r="A671" s="402" t="s">
        <v>1513</v>
      </c>
      <c r="B671" s="403"/>
      <c r="C671" s="411" t="s">
        <v>1514</v>
      </c>
      <c r="D671" s="405">
        <v>43009</v>
      </c>
      <c r="E671" s="406"/>
      <c r="F671" s="325"/>
      <c r="G671" s="439"/>
      <c r="H671" s="324">
        <v>3358.6</v>
      </c>
      <c r="I671" s="325">
        <v>663.60000000000014</v>
      </c>
      <c r="J671" s="325"/>
      <c r="K671" s="325">
        <f t="shared" si="173"/>
        <v>0</v>
      </c>
      <c r="L671" s="325">
        <f t="shared" si="174"/>
        <v>0</v>
      </c>
      <c r="M671" s="407">
        <v>50</v>
      </c>
      <c r="N671" s="408" t="s">
        <v>289</v>
      </c>
      <c r="O671" s="325">
        <f t="shared" si="175"/>
        <v>0</v>
      </c>
      <c r="P671" s="325">
        <f t="shared" si="176"/>
        <v>0</v>
      </c>
      <c r="Q671" s="325">
        <f t="shared" si="177"/>
        <v>0</v>
      </c>
      <c r="R671" s="325">
        <f t="shared" si="178"/>
        <v>165</v>
      </c>
      <c r="S671" s="325">
        <f t="shared" si="179"/>
        <v>0</v>
      </c>
      <c r="T671" s="325">
        <f t="shared" si="172"/>
        <v>165</v>
      </c>
      <c r="U671" s="325">
        <f t="shared" si="180"/>
        <v>498.60000000000014</v>
      </c>
      <c r="V671" s="325">
        <f t="shared" si="181"/>
        <v>0</v>
      </c>
      <c r="W671" s="449" cm="1">
        <f t="array" ref="W671">+IF(U671&lt;0,error,0)</f>
        <v>0</v>
      </c>
    </row>
    <row r="672" spans="1:23" ht="18" customHeight="1" x14ac:dyDescent="0.2">
      <c r="A672" s="402" t="s">
        <v>1515</v>
      </c>
      <c r="B672" s="403"/>
      <c r="C672" s="404" t="s">
        <v>1516</v>
      </c>
      <c r="D672" s="405">
        <v>43046</v>
      </c>
      <c r="E672" s="406"/>
      <c r="F672" s="325"/>
      <c r="G672" s="324"/>
      <c r="H672" s="324">
        <v>47895</v>
      </c>
      <c r="I672" s="325">
        <v>10209</v>
      </c>
      <c r="J672" s="325"/>
      <c r="K672" s="325">
        <f t="shared" si="173"/>
        <v>0</v>
      </c>
      <c r="L672" s="325">
        <f t="shared" si="174"/>
        <v>0</v>
      </c>
      <c r="M672" s="407">
        <v>50</v>
      </c>
      <c r="N672" s="408" t="s">
        <v>289</v>
      </c>
      <c r="O672" s="325">
        <f t="shared" si="175"/>
        <v>0</v>
      </c>
      <c r="P672" s="325">
        <f t="shared" si="176"/>
        <v>0</v>
      </c>
      <c r="Q672" s="325">
        <f t="shared" si="177"/>
        <v>0</v>
      </c>
      <c r="R672" s="325">
        <f t="shared" si="178"/>
        <v>2552</v>
      </c>
      <c r="S672" s="325">
        <f t="shared" si="179"/>
        <v>0</v>
      </c>
      <c r="T672" s="325">
        <f t="shared" si="172"/>
        <v>2552</v>
      </c>
      <c r="U672" s="325">
        <f t="shared" si="180"/>
        <v>7657</v>
      </c>
      <c r="V672" s="325">
        <f t="shared" si="181"/>
        <v>0</v>
      </c>
      <c r="W672" s="449" cm="1">
        <f t="array" ref="W672">+IF(U672&lt;0,error,0)</f>
        <v>0</v>
      </c>
    </row>
    <row r="673" spans="1:23" ht="18" customHeight="1" x14ac:dyDescent="0.2">
      <c r="A673" s="402" t="s">
        <v>1517</v>
      </c>
      <c r="B673" s="403"/>
      <c r="C673" s="411" t="s">
        <v>1518</v>
      </c>
      <c r="D673" s="405">
        <v>43146</v>
      </c>
      <c r="E673" s="406"/>
      <c r="F673" s="325"/>
      <c r="G673" s="439"/>
      <c r="H673" s="324">
        <v>3274</v>
      </c>
      <c r="I673" s="325">
        <v>482</v>
      </c>
      <c r="J673" s="325"/>
      <c r="K673" s="325">
        <f t="shared" si="173"/>
        <v>0</v>
      </c>
      <c r="L673" s="325">
        <f t="shared" si="174"/>
        <v>0</v>
      </c>
      <c r="M673" s="407">
        <v>66.67</v>
      </c>
      <c r="N673" s="408" t="s">
        <v>289</v>
      </c>
      <c r="O673" s="325">
        <f t="shared" si="175"/>
        <v>0</v>
      </c>
      <c r="P673" s="325">
        <f t="shared" si="176"/>
        <v>0</v>
      </c>
      <c r="Q673" s="325">
        <f t="shared" si="177"/>
        <v>0</v>
      </c>
      <c r="R673" s="325">
        <f t="shared" si="178"/>
        <v>160</v>
      </c>
      <c r="S673" s="325">
        <f t="shared" si="179"/>
        <v>0</v>
      </c>
      <c r="T673" s="325">
        <f t="shared" si="172"/>
        <v>160</v>
      </c>
      <c r="U673" s="325">
        <f t="shared" si="180"/>
        <v>322</v>
      </c>
      <c r="V673" s="325">
        <f t="shared" si="181"/>
        <v>0</v>
      </c>
      <c r="W673" s="449" cm="1">
        <f t="array" ref="W673">+IF(U673&lt;0,error,0)</f>
        <v>0</v>
      </c>
    </row>
    <row r="674" spans="1:23" ht="18" customHeight="1" x14ac:dyDescent="0.2">
      <c r="A674" s="402" t="s">
        <v>1519</v>
      </c>
      <c r="B674" s="403"/>
      <c r="C674" s="404" t="s">
        <v>1520</v>
      </c>
      <c r="D674" s="405">
        <v>43149</v>
      </c>
      <c r="E674" s="406"/>
      <c r="F674" s="325"/>
      <c r="G674" s="324"/>
      <c r="H674" s="324">
        <v>17500</v>
      </c>
      <c r="I674" s="325">
        <v>4508</v>
      </c>
      <c r="J674" s="325"/>
      <c r="K674" s="325">
        <f t="shared" si="173"/>
        <v>0</v>
      </c>
      <c r="L674" s="325">
        <f t="shared" si="174"/>
        <v>0</v>
      </c>
      <c r="M674" s="407">
        <v>50</v>
      </c>
      <c r="N674" s="408" t="s">
        <v>289</v>
      </c>
      <c r="O674" s="325">
        <f t="shared" si="175"/>
        <v>0</v>
      </c>
      <c r="P674" s="325">
        <f t="shared" si="176"/>
        <v>0</v>
      </c>
      <c r="Q674" s="325">
        <f t="shared" si="177"/>
        <v>0</v>
      </c>
      <c r="R674" s="325">
        <f t="shared" si="178"/>
        <v>1127</v>
      </c>
      <c r="S674" s="325">
        <f t="shared" si="179"/>
        <v>0</v>
      </c>
      <c r="T674" s="325">
        <f t="shared" si="172"/>
        <v>1127</v>
      </c>
      <c r="U674" s="325">
        <f t="shared" si="180"/>
        <v>3381</v>
      </c>
      <c r="V674" s="325">
        <f t="shared" si="181"/>
        <v>0</v>
      </c>
      <c r="W674" s="449" cm="1">
        <f t="array" ref="W674">+IF(U674&lt;0,error,0)</f>
        <v>0</v>
      </c>
    </row>
    <row r="675" spans="1:23" ht="18" customHeight="1" x14ac:dyDescent="0.2">
      <c r="A675" s="402" t="s">
        <v>1521</v>
      </c>
      <c r="B675" s="403"/>
      <c r="C675" s="411" t="s">
        <v>1522</v>
      </c>
      <c r="D675" s="405">
        <v>43153</v>
      </c>
      <c r="E675" s="406"/>
      <c r="F675" s="325"/>
      <c r="G675" s="324"/>
      <c r="H675" s="324">
        <v>20154</v>
      </c>
      <c r="I675" s="325">
        <v>5226</v>
      </c>
      <c r="J675" s="325"/>
      <c r="K675" s="325">
        <f t="shared" si="173"/>
        <v>0</v>
      </c>
      <c r="L675" s="325">
        <f t="shared" si="174"/>
        <v>0</v>
      </c>
      <c r="M675" s="407">
        <v>50</v>
      </c>
      <c r="N675" s="408" t="s">
        <v>289</v>
      </c>
      <c r="O675" s="325">
        <f t="shared" si="175"/>
        <v>0</v>
      </c>
      <c r="P675" s="325">
        <f t="shared" si="176"/>
        <v>0</v>
      </c>
      <c r="Q675" s="325">
        <f t="shared" si="177"/>
        <v>0</v>
      </c>
      <c r="R675" s="325">
        <f t="shared" si="178"/>
        <v>1306</v>
      </c>
      <c r="S675" s="325">
        <f t="shared" si="179"/>
        <v>0</v>
      </c>
      <c r="T675" s="325">
        <f t="shared" si="172"/>
        <v>1306</v>
      </c>
      <c r="U675" s="325">
        <f t="shared" si="180"/>
        <v>3920</v>
      </c>
      <c r="V675" s="325">
        <f t="shared" si="181"/>
        <v>0</v>
      </c>
      <c r="W675" s="449" cm="1">
        <f t="array" ref="W675">+IF(U675&lt;0,error,0)</f>
        <v>0</v>
      </c>
    </row>
    <row r="676" spans="1:23" ht="18" customHeight="1" x14ac:dyDescent="0.2">
      <c r="A676" s="402" t="s">
        <v>1523</v>
      </c>
      <c r="B676" s="403"/>
      <c r="C676" s="404" t="s">
        <v>1524</v>
      </c>
      <c r="D676" s="405">
        <v>43157</v>
      </c>
      <c r="E676" s="406"/>
      <c r="F676" s="325"/>
      <c r="G676" s="324"/>
      <c r="H676" s="324">
        <v>27829</v>
      </c>
      <c r="I676" s="325">
        <v>4204</v>
      </c>
      <c r="J676" s="325"/>
      <c r="K676" s="325">
        <f t="shared" si="173"/>
        <v>0</v>
      </c>
      <c r="L676" s="325">
        <f t="shared" si="174"/>
        <v>0</v>
      </c>
      <c r="M676" s="407">
        <v>66.67</v>
      </c>
      <c r="N676" s="408" t="s">
        <v>289</v>
      </c>
      <c r="O676" s="325">
        <f t="shared" si="175"/>
        <v>0</v>
      </c>
      <c r="P676" s="325">
        <f t="shared" si="176"/>
        <v>0</v>
      </c>
      <c r="Q676" s="325">
        <f t="shared" si="177"/>
        <v>0</v>
      </c>
      <c r="R676" s="325">
        <f t="shared" si="178"/>
        <v>1401</v>
      </c>
      <c r="S676" s="325">
        <f t="shared" si="179"/>
        <v>0</v>
      </c>
      <c r="T676" s="325">
        <f t="shared" si="172"/>
        <v>1401</v>
      </c>
      <c r="U676" s="325">
        <f t="shared" si="180"/>
        <v>2803</v>
      </c>
      <c r="V676" s="325">
        <f t="shared" si="181"/>
        <v>0</v>
      </c>
      <c r="W676" s="449" cm="1">
        <f t="array" ref="W676">+IF(U676&lt;0,error,0)</f>
        <v>0</v>
      </c>
    </row>
    <row r="677" spans="1:23" ht="18" customHeight="1" x14ac:dyDescent="0.2">
      <c r="A677" s="402" t="s">
        <v>1525</v>
      </c>
      <c r="B677" s="403"/>
      <c r="C677" s="404" t="s">
        <v>1526</v>
      </c>
      <c r="D677" s="405">
        <v>43157</v>
      </c>
      <c r="E677" s="406"/>
      <c r="F677" s="325"/>
      <c r="G677" s="324"/>
      <c r="H677" s="324">
        <v>24750</v>
      </c>
      <c r="I677" s="325">
        <v>6461</v>
      </c>
      <c r="J677" s="325"/>
      <c r="K677" s="325">
        <f t="shared" si="173"/>
        <v>0</v>
      </c>
      <c r="L677" s="325">
        <f t="shared" si="174"/>
        <v>0</v>
      </c>
      <c r="M677" s="407">
        <v>50</v>
      </c>
      <c r="N677" s="408" t="s">
        <v>289</v>
      </c>
      <c r="O677" s="325">
        <f t="shared" si="175"/>
        <v>0</v>
      </c>
      <c r="P677" s="325">
        <f t="shared" si="176"/>
        <v>0</v>
      </c>
      <c r="Q677" s="325">
        <f t="shared" si="177"/>
        <v>0</v>
      </c>
      <c r="R677" s="325">
        <f t="shared" si="178"/>
        <v>1615</v>
      </c>
      <c r="S677" s="325">
        <f t="shared" si="179"/>
        <v>0</v>
      </c>
      <c r="T677" s="325">
        <f t="shared" si="172"/>
        <v>1615</v>
      </c>
      <c r="U677" s="325">
        <f t="shared" si="180"/>
        <v>4846</v>
      </c>
      <c r="V677" s="325">
        <f t="shared" si="181"/>
        <v>0</v>
      </c>
      <c r="W677" s="449" cm="1">
        <f t="array" ref="W677">+IF(U677&lt;0,error,0)</f>
        <v>0</v>
      </c>
    </row>
    <row r="678" spans="1:23" ht="18" customHeight="1" x14ac:dyDescent="0.2">
      <c r="A678" s="402" t="s">
        <v>1527</v>
      </c>
      <c r="B678" s="403"/>
      <c r="C678" s="404" t="s">
        <v>1528</v>
      </c>
      <c r="D678" s="405">
        <v>43167</v>
      </c>
      <c r="E678" s="406"/>
      <c r="F678" s="325"/>
      <c r="G678" s="324"/>
      <c r="H678" s="324">
        <v>4576.83</v>
      </c>
      <c r="I678" s="325">
        <v>1215.83</v>
      </c>
      <c r="J678" s="325"/>
      <c r="K678" s="325">
        <f t="shared" si="173"/>
        <v>0</v>
      </c>
      <c r="L678" s="325">
        <f t="shared" si="174"/>
        <v>0</v>
      </c>
      <c r="M678" s="407">
        <v>50</v>
      </c>
      <c r="N678" s="408" t="s">
        <v>289</v>
      </c>
      <c r="O678" s="325">
        <f t="shared" si="175"/>
        <v>0</v>
      </c>
      <c r="P678" s="325">
        <f t="shared" si="176"/>
        <v>0</v>
      </c>
      <c r="Q678" s="325">
        <f t="shared" si="177"/>
        <v>0</v>
      </c>
      <c r="R678" s="325">
        <f t="shared" si="178"/>
        <v>303</v>
      </c>
      <c r="S678" s="325">
        <f t="shared" si="179"/>
        <v>0</v>
      </c>
      <c r="T678" s="325">
        <f t="shared" si="172"/>
        <v>303</v>
      </c>
      <c r="U678" s="325">
        <f t="shared" si="180"/>
        <v>912.82999999999993</v>
      </c>
      <c r="V678" s="325">
        <f t="shared" si="181"/>
        <v>0</v>
      </c>
      <c r="W678" s="449" cm="1">
        <f t="array" ref="W678">+IF(U678&lt;0,error,0)</f>
        <v>0</v>
      </c>
    </row>
    <row r="679" spans="1:23" ht="18" customHeight="1" x14ac:dyDescent="0.2">
      <c r="A679" s="402" t="s">
        <v>1529</v>
      </c>
      <c r="B679" s="403"/>
      <c r="C679" s="411" t="s">
        <v>1530</v>
      </c>
      <c r="D679" s="405">
        <v>43167</v>
      </c>
      <c r="E679" s="406"/>
      <c r="F679" s="325"/>
      <c r="G679" s="439"/>
      <c r="H679" s="324">
        <v>3292.12</v>
      </c>
      <c r="I679" s="325">
        <v>874.11999999999989</v>
      </c>
      <c r="J679" s="325"/>
      <c r="K679" s="325">
        <f t="shared" si="173"/>
        <v>0</v>
      </c>
      <c r="L679" s="325">
        <f t="shared" si="174"/>
        <v>0</v>
      </c>
      <c r="M679" s="407">
        <v>50</v>
      </c>
      <c r="N679" s="408" t="s">
        <v>289</v>
      </c>
      <c r="O679" s="325">
        <f t="shared" si="175"/>
        <v>0</v>
      </c>
      <c r="P679" s="325">
        <f t="shared" si="176"/>
        <v>0</v>
      </c>
      <c r="Q679" s="325">
        <f t="shared" si="177"/>
        <v>0</v>
      </c>
      <c r="R679" s="325">
        <f t="shared" si="178"/>
        <v>218</v>
      </c>
      <c r="S679" s="325">
        <f t="shared" si="179"/>
        <v>0</v>
      </c>
      <c r="T679" s="325">
        <f t="shared" si="172"/>
        <v>218</v>
      </c>
      <c r="U679" s="325">
        <f t="shared" si="180"/>
        <v>656.11999999999989</v>
      </c>
      <c r="V679" s="325">
        <f t="shared" si="181"/>
        <v>0</v>
      </c>
      <c r="W679" s="449" cm="1">
        <f t="array" ref="W679">+IF(U679&lt;0,error,0)</f>
        <v>0</v>
      </c>
    </row>
    <row r="680" spans="1:23" ht="18" customHeight="1" x14ac:dyDescent="0.2">
      <c r="A680" s="402" t="s">
        <v>1531</v>
      </c>
      <c r="B680" s="403"/>
      <c r="C680" s="404" t="s">
        <v>1532</v>
      </c>
      <c r="D680" s="405">
        <v>43167</v>
      </c>
      <c r="E680" s="406"/>
      <c r="F680" s="325"/>
      <c r="G680" s="324"/>
      <c r="H680" s="324">
        <v>10679.26</v>
      </c>
      <c r="I680" s="325">
        <v>2834.26</v>
      </c>
      <c r="J680" s="325"/>
      <c r="K680" s="325">
        <f t="shared" si="173"/>
        <v>0</v>
      </c>
      <c r="L680" s="325">
        <f t="shared" si="174"/>
        <v>0</v>
      </c>
      <c r="M680" s="407">
        <v>50</v>
      </c>
      <c r="N680" s="408" t="s">
        <v>289</v>
      </c>
      <c r="O680" s="325">
        <f t="shared" si="175"/>
        <v>0</v>
      </c>
      <c r="P680" s="325">
        <f t="shared" si="176"/>
        <v>0</v>
      </c>
      <c r="Q680" s="325">
        <f t="shared" si="177"/>
        <v>0</v>
      </c>
      <c r="R680" s="325">
        <f t="shared" si="178"/>
        <v>708</v>
      </c>
      <c r="S680" s="325">
        <f t="shared" si="179"/>
        <v>0</v>
      </c>
      <c r="T680" s="325">
        <f t="shared" si="172"/>
        <v>708</v>
      </c>
      <c r="U680" s="325">
        <f t="shared" si="180"/>
        <v>2126.2600000000002</v>
      </c>
      <c r="V680" s="325">
        <f t="shared" si="181"/>
        <v>0</v>
      </c>
      <c r="W680" s="449" cm="1">
        <f t="array" ref="W680">+IF(U680&lt;0,error,0)</f>
        <v>0</v>
      </c>
    </row>
    <row r="681" spans="1:23" ht="18" customHeight="1" x14ac:dyDescent="0.2">
      <c r="A681" s="402" t="s">
        <v>1533</v>
      </c>
      <c r="B681" s="403"/>
      <c r="C681" s="411" t="s">
        <v>1534</v>
      </c>
      <c r="D681" s="405">
        <v>43185</v>
      </c>
      <c r="E681" s="406"/>
      <c r="F681" s="325"/>
      <c r="G681" s="324"/>
      <c r="H681" s="324">
        <v>6040</v>
      </c>
      <c r="I681" s="325">
        <v>1650</v>
      </c>
      <c r="J681" s="325"/>
      <c r="K681" s="325">
        <f t="shared" si="173"/>
        <v>0</v>
      </c>
      <c r="L681" s="325">
        <f t="shared" si="174"/>
        <v>0</v>
      </c>
      <c r="M681" s="407">
        <v>50</v>
      </c>
      <c r="N681" s="408" t="s">
        <v>289</v>
      </c>
      <c r="O681" s="325">
        <f t="shared" si="175"/>
        <v>0</v>
      </c>
      <c r="P681" s="325">
        <f t="shared" si="176"/>
        <v>0</v>
      </c>
      <c r="Q681" s="325">
        <f t="shared" si="177"/>
        <v>0</v>
      </c>
      <c r="R681" s="325">
        <f t="shared" si="178"/>
        <v>412</v>
      </c>
      <c r="S681" s="325">
        <f t="shared" si="179"/>
        <v>0</v>
      </c>
      <c r="T681" s="325">
        <f t="shared" si="172"/>
        <v>412</v>
      </c>
      <c r="U681" s="325">
        <f t="shared" si="180"/>
        <v>1238</v>
      </c>
      <c r="V681" s="325">
        <f t="shared" si="181"/>
        <v>0</v>
      </c>
      <c r="W681" s="449" cm="1">
        <f t="array" ref="W681">+IF(U681&lt;0,error,0)</f>
        <v>0</v>
      </c>
    </row>
    <row r="682" spans="1:23" ht="18" customHeight="1" x14ac:dyDescent="0.2">
      <c r="A682" s="402" t="s">
        <v>1535</v>
      </c>
      <c r="B682" s="403"/>
      <c r="C682" s="404" t="s">
        <v>1536</v>
      </c>
      <c r="D682" s="405">
        <v>43187</v>
      </c>
      <c r="E682" s="406"/>
      <c r="F682" s="325"/>
      <c r="G682" s="324"/>
      <c r="H682" s="324">
        <v>7671</v>
      </c>
      <c r="I682" s="325">
        <v>2102</v>
      </c>
      <c r="J682" s="325"/>
      <c r="K682" s="325">
        <f t="shared" si="173"/>
        <v>0</v>
      </c>
      <c r="L682" s="325">
        <f t="shared" si="174"/>
        <v>0</v>
      </c>
      <c r="M682" s="407">
        <v>50</v>
      </c>
      <c r="N682" s="408" t="s">
        <v>289</v>
      </c>
      <c r="O682" s="325">
        <f t="shared" si="175"/>
        <v>0</v>
      </c>
      <c r="P682" s="325">
        <f t="shared" si="176"/>
        <v>0</v>
      </c>
      <c r="Q682" s="325">
        <f t="shared" si="177"/>
        <v>0</v>
      </c>
      <c r="R682" s="325">
        <f t="shared" si="178"/>
        <v>525</v>
      </c>
      <c r="S682" s="325">
        <f t="shared" si="179"/>
        <v>0</v>
      </c>
      <c r="T682" s="325">
        <f t="shared" ref="T682:T702" si="182">+R682+S682+Q682</f>
        <v>525</v>
      </c>
      <c r="U682" s="325">
        <f t="shared" si="180"/>
        <v>1577</v>
      </c>
      <c r="V682" s="325">
        <f t="shared" si="181"/>
        <v>0</v>
      </c>
      <c r="W682" s="449" cm="1">
        <f t="array" ref="W682">+IF(U682&lt;0,error,0)</f>
        <v>0</v>
      </c>
    </row>
    <row r="683" spans="1:23" ht="18" customHeight="1" x14ac:dyDescent="0.2">
      <c r="A683" s="402" t="s">
        <v>1537</v>
      </c>
      <c r="B683" s="403"/>
      <c r="C683" s="404" t="s">
        <v>1538</v>
      </c>
      <c r="D683" s="405">
        <v>43191</v>
      </c>
      <c r="E683" s="406"/>
      <c r="F683" s="325"/>
      <c r="G683" s="324"/>
      <c r="H683" s="324">
        <v>11149</v>
      </c>
      <c r="I683" s="325">
        <v>3075</v>
      </c>
      <c r="J683" s="325"/>
      <c r="K683" s="325">
        <f t="shared" si="173"/>
        <v>0</v>
      </c>
      <c r="L683" s="325">
        <f t="shared" si="174"/>
        <v>0</v>
      </c>
      <c r="M683" s="407">
        <v>50</v>
      </c>
      <c r="N683" s="408" t="s">
        <v>289</v>
      </c>
      <c r="O683" s="325">
        <f t="shared" si="175"/>
        <v>0</v>
      </c>
      <c r="P683" s="325">
        <f t="shared" si="176"/>
        <v>0</v>
      </c>
      <c r="Q683" s="325">
        <f t="shared" si="177"/>
        <v>0</v>
      </c>
      <c r="R683" s="325">
        <f t="shared" si="178"/>
        <v>768</v>
      </c>
      <c r="S683" s="325">
        <f t="shared" si="179"/>
        <v>0</v>
      </c>
      <c r="T683" s="325">
        <f t="shared" si="182"/>
        <v>768</v>
      </c>
      <c r="U683" s="325">
        <f t="shared" si="180"/>
        <v>2307</v>
      </c>
      <c r="V683" s="325">
        <f t="shared" si="181"/>
        <v>0</v>
      </c>
      <c r="W683" s="449" cm="1">
        <f t="array" ref="W683">+IF(U683&lt;0,error,0)</f>
        <v>0</v>
      </c>
    </row>
    <row r="684" spans="1:23" ht="18" customHeight="1" x14ac:dyDescent="0.2">
      <c r="A684" s="402" t="s">
        <v>1539</v>
      </c>
      <c r="B684" s="403"/>
      <c r="C684" s="411" t="s">
        <v>1540</v>
      </c>
      <c r="D684" s="405">
        <v>43191</v>
      </c>
      <c r="E684" s="406"/>
      <c r="F684" s="325"/>
      <c r="G684" s="324"/>
      <c r="H684" s="324">
        <v>62256</v>
      </c>
      <c r="I684" s="325">
        <v>17163</v>
      </c>
      <c r="J684" s="325"/>
      <c r="K684" s="325">
        <f t="shared" si="173"/>
        <v>0</v>
      </c>
      <c r="L684" s="325">
        <f t="shared" si="174"/>
        <v>0</v>
      </c>
      <c r="M684" s="407">
        <v>50</v>
      </c>
      <c r="N684" s="408" t="s">
        <v>289</v>
      </c>
      <c r="O684" s="325">
        <f t="shared" si="175"/>
        <v>0</v>
      </c>
      <c r="P684" s="325">
        <f t="shared" si="176"/>
        <v>0</v>
      </c>
      <c r="Q684" s="325">
        <f t="shared" si="177"/>
        <v>0</v>
      </c>
      <c r="R684" s="325">
        <f t="shared" si="178"/>
        <v>4290</v>
      </c>
      <c r="S684" s="325">
        <f t="shared" si="179"/>
        <v>0</v>
      </c>
      <c r="T684" s="325">
        <f t="shared" si="182"/>
        <v>4290</v>
      </c>
      <c r="U684" s="325">
        <f t="shared" si="180"/>
        <v>12873</v>
      </c>
      <c r="V684" s="325">
        <f t="shared" si="181"/>
        <v>0</v>
      </c>
      <c r="W684" s="449" cm="1">
        <f t="array" ref="W684">+IF(U684&lt;0,error,0)</f>
        <v>0</v>
      </c>
    </row>
    <row r="685" spans="1:23" ht="18" customHeight="1" x14ac:dyDescent="0.2">
      <c r="A685" s="402" t="s">
        <v>1541</v>
      </c>
      <c r="B685" s="403"/>
      <c r="C685" s="404" t="s">
        <v>1542</v>
      </c>
      <c r="D685" s="405">
        <v>43191</v>
      </c>
      <c r="E685" s="406"/>
      <c r="F685" s="325"/>
      <c r="G685" s="324"/>
      <c r="H685" s="324">
        <v>3087</v>
      </c>
      <c r="I685" s="325">
        <v>852</v>
      </c>
      <c r="J685" s="325"/>
      <c r="K685" s="325">
        <f t="shared" si="173"/>
        <v>0</v>
      </c>
      <c r="L685" s="325">
        <f t="shared" si="174"/>
        <v>0</v>
      </c>
      <c r="M685" s="407">
        <v>50</v>
      </c>
      <c r="N685" s="408" t="s">
        <v>289</v>
      </c>
      <c r="O685" s="325">
        <f t="shared" si="175"/>
        <v>0</v>
      </c>
      <c r="P685" s="325">
        <f t="shared" si="176"/>
        <v>0</v>
      </c>
      <c r="Q685" s="325">
        <f t="shared" si="177"/>
        <v>0</v>
      </c>
      <c r="R685" s="325">
        <f t="shared" si="178"/>
        <v>213</v>
      </c>
      <c r="S685" s="325">
        <f t="shared" si="179"/>
        <v>0</v>
      </c>
      <c r="T685" s="325">
        <f t="shared" si="182"/>
        <v>213</v>
      </c>
      <c r="U685" s="325">
        <f t="shared" si="180"/>
        <v>639</v>
      </c>
      <c r="V685" s="325">
        <f t="shared" si="181"/>
        <v>0</v>
      </c>
      <c r="W685" s="449" cm="1">
        <f t="array" ref="W685">+IF(U685&lt;0,error,0)</f>
        <v>0</v>
      </c>
    </row>
    <row r="686" spans="1:23" ht="18" customHeight="1" x14ac:dyDescent="0.2">
      <c r="A686" s="402" t="s">
        <v>1543</v>
      </c>
      <c r="B686" s="403"/>
      <c r="C686" s="404" t="s">
        <v>1544</v>
      </c>
      <c r="D686" s="405">
        <v>43191</v>
      </c>
      <c r="E686" s="406"/>
      <c r="F686" s="325"/>
      <c r="G686" s="324"/>
      <c r="H686" s="324">
        <v>9874.76</v>
      </c>
      <c r="I686" s="325">
        <v>2723.76</v>
      </c>
      <c r="J686" s="325"/>
      <c r="K686" s="325">
        <f t="shared" si="173"/>
        <v>0</v>
      </c>
      <c r="L686" s="325">
        <f t="shared" si="174"/>
        <v>0</v>
      </c>
      <c r="M686" s="407">
        <v>50</v>
      </c>
      <c r="N686" s="408" t="s">
        <v>289</v>
      </c>
      <c r="O686" s="325">
        <f t="shared" si="175"/>
        <v>0</v>
      </c>
      <c r="P686" s="325">
        <f t="shared" si="176"/>
        <v>0</v>
      </c>
      <c r="Q686" s="325">
        <f t="shared" si="177"/>
        <v>0</v>
      </c>
      <c r="R686" s="325">
        <f t="shared" si="178"/>
        <v>680</v>
      </c>
      <c r="S686" s="325">
        <f t="shared" si="179"/>
        <v>0</v>
      </c>
      <c r="T686" s="325">
        <f t="shared" si="182"/>
        <v>680</v>
      </c>
      <c r="U686" s="325">
        <f t="shared" si="180"/>
        <v>2043.7600000000002</v>
      </c>
      <c r="V686" s="325">
        <f t="shared" si="181"/>
        <v>0</v>
      </c>
      <c r="W686" s="449" cm="1">
        <f t="array" ref="W686">+IF(U686&lt;0,error,0)</f>
        <v>0</v>
      </c>
    </row>
    <row r="687" spans="1:23" ht="18" customHeight="1" x14ac:dyDescent="0.2">
      <c r="A687" s="402" t="s">
        <v>1545</v>
      </c>
      <c r="B687" s="403"/>
      <c r="C687" s="404" t="s">
        <v>1546</v>
      </c>
      <c r="D687" s="405">
        <v>43191</v>
      </c>
      <c r="E687" s="406"/>
      <c r="F687" s="325"/>
      <c r="G687" s="324"/>
      <c r="H687" s="324">
        <v>15751.44</v>
      </c>
      <c r="I687" s="325">
        <v>4343.4400000000005</v>
      </c>
      <c r="J687" s="325"/>
      <c r="K687" s="325">
        <f t="shared" si="173"/>
        <v>0</v>
      </c>
      <c r="L687" s="325">
        <f t="shared" si="174"/>
        <v>0</v>
      </c>
      <c r="M687" s="407">
        <v>50</v>
      </c>
      <c r="N687" s="408" t="s">
        <v>289</v>
      </c>
      <c r="O687" s="325">
        <f t="shared" si="175"/>
        <v>0</v>
      </c>
      <c r="P687" s="325">
        <f t="shared" si="176"/>
        <v>0</v>
      </c>
      <c r="Q687" s="325">
        <f t="shared" si="177"/>
        <v>0</v>
      </c>
      <c r="R687" s="325">
        <f t="shared" si="178"/>
        <v>1085</v>
      </c>
      <c r="S687" s="325">
        <f t="shared" si="179"/>
        <v>0</v>
      </c>
      <c r="T687" s="325">
        <f t="shared" si="182"/>
        <v>1085</v>
      </c>
      <c r="U687" s="325">
        <f t="shared" si="180"/>
        <v>3258.4400000000005</v>
      </c>
      <c r="V687" s="325">
        <f t="shared" si="181"/>
        <v>0</v>
      </c>
      <c r="W687" s="449" cm="1">
        <f t="array" ref="W687">+IF(U687&lt;0,error,0)</f>
        <v>0</v>
      </c>
    </row>
    <row r="688" spans="1:23" ht="18" customHeight="1" x14ac:dyDescent="0.2">
      <c r="A688" s="402" t="s">
        <v>1547</v>
      </c>
      <c r="B688" s="403"/>
      <c r="C688" s="404" t="s">
        <v>1548</v>
      </c>
      <c r="D688" s="405">
        <v>43191</v>
      </c>
      <c r="E688" s="406"/>
      <c r="F688" s="325"/>
      <c r="G688" s="324"/>
      <c r="H688" s="324">
        <v>8228.9699999999993</v>
      </c>
      <c r="I688" s="325">
        <v>2268.9700000000003</v>
      </c>
      <c r="J688" s="325"/>
      <c r="K688" s="325">
        <f t="shared" si="173"/>
        <v>0</v>
      </c>
      <c r="L688" s="325">
        <f t="shared" si="174"/>
        <v>0</v>
      </c>
      <c r="M688" s="407">
        <v>50</v>
      </c>
      <c r="N688" s="408" t="s">
        <v>289</v>
      </c>
      <c r="O688" s="325">
        <f t="shared" si="175"/>
        <v>0</v>
      </c>
      <c r="P688" s="325">
        <f t="shared" si="176"/>
        <v>0</v>
      </c>
      <c r="Q688" s="325">
        <f t="shared" si="177"/>
        <v>0</v>
      </c>
      <c r="R688" s="325">
        <f t="shared" si="178"/>
        <v>567</v>
      </c>
      <c r="S688" s="325">
        <f t="shared" si="179"/>
        <v>0</v>
      </c>
      <c r="T688" s="325">
        <f t="shared" si="182"/>
        <v>567</v>
      </c>
      <c r="U688" s="325">
        <f t="shared" si="180"/>
        <v>1701.9700000000003</v>
      </c>
      <c r="V688" s="325">
        <f t="shared" si="181"/>
        <v>0</v>
      </c>
      <c r="W688" s="449" cm="1">
        <f t="array" ref="W688">+IF(U688&lt;0,error,0)</f>
        <v>0</v>
      </c>
    </row>
    <row r="689" spans="1:23" ht="18" customHeight="1" x14ac:dyDescent="0.2">
      <c r="A689" s="402" t="s">
        <v>1549</v>
      </c>
      <c r="B689" s="403"/>
      <c r="C689" s="404" t="s">
        <v>1550</v>
      </c>
      <c r="D689" s="405">
        <v>43206</v>
      </c>
      <c r="E689" s="406"/>
      <c r="F689" s="325"/>
      <c r="G689" s="324"/>
      <c r="H689" s="324">
        <v>3432.88</v>
      </c>
      <c r="I689" s="325">
        <v>969.88000000000011</v>
      </c>
      <c r="J689" s="325"/>
      <c r="K689" s="325">
        <f t="shared" si="173"/>
        <v>0</v>
      </c>
      <c r="L689" s="325">
        <f t="shared" si="174"/>
        <v>0</v>
      </c>
      <c r="M689" s="407">
        <v>50</v>
      </c>
      <c r="N689" s="408" t="s">
        <v>289</v>
      </c>
      <c r="O689" s="325">
        <f t="shared" si="175"/>
        <v>0</v>
      </c>
      <c r="P689" s="325">
        <f t="shared" si="176"/>
        <v>0</v>
      </c>
      <c r="Q689" s="325">
        <f t="shared" si="177"/>
        <v>0</v>
      </c>
      <c r="R689" s="325">
        <f t="shared" si="178"/>
        <v>242</v>
      </c>
      <c r="S689" s="325">
        <f t="shared" si="179"/>
        <v>0</v>
      </c>
      <c r="T689" s="325">
        <f t="shared" si="182"/>
        <v>242</v>
      </c>
      <c r="U689" s="325">
        <f t="shared" si="180"/>
        <v>727.88000000000011</v>
      </c>
      <c r="V689" s="325">
        <f t="shared" si="181"/>
        <v>0</v>
      </c>
      <c r="W689" s="449" cm="1">
        <f t="array" ref="W689">+IF(U689&lt;0,error,0)</f>
        <v>0</v>
      </c>
    </row>
    <row r="690" spans="1:23" ht="18" customHeight="1" x14ac:dyDescent="0.2">
      <c r="A690" s="402" t="s">
        <v>1551</v>
      </c>
      <c r="B690" s="403"/>
      <c r="C690" s="404" t="s">
        <v>1518</v>
      </c>
      <c r="D690" s="405">
        <v>43213</v>
      </c>
      <c r="E690" s="406"/>
      <c r="F690" s="325"/>
      <c r="G690" s="324"/>
      <c r="H690" s="324">
        <v>3148</v>
      </c>
      <c r="I690" s="325">
        <v>539</v>
      </c>
      <c r="J690" s="325"/>
      <c r="K690" s="325">
        <f t="shared" si="173"/>
        <v>0</v>
      </c>
      <c r="L690" s="325">
        <f t="shared" si="174"/>
        <v>0</v>
      </c>
      <c r="M690" s="407">
        <v>66.67</v>
      </c>
      <c r="N690" s="408" t="s">
        <v>289</v>
      </c>
      <c r="O690" s="325">
        <f t="shared" si="175"/>
        <v>0</v>
      </c>
      <c r="P690" s="325">
        <f t="shared" si="176"/>
        <v>0</v>
      </c>
      <c r="Q690" s="325">
        <f t="shared" si="177"/>
        <v>0</v>
      </c>
      <c r="R690" s="325">
        <f t="shared" si="178"/>
        <v>179</v>
      </c>
      <c r="S690" s="325">
        <f t="shared" si="179"/>
        <v>0</v>
      </c>
      <c r="T690" s="325">
        <f t="shared" si="182"/>
        <v>179</v>
      </c>
      <c r="U690" s="325">
        <f t="shared" si="180"/>
        <v>360</v>
      </c>
      <c r="V690" s="325">
        <f t="shared" si="181"/>
        <v>0</v>
      </c>
      <c r="W690" s="449" cm="1">
        <f t="array" ref="W690">+IF(U690&lt;0,error,0)</f>
        <v>0</v>
      </c>
    </row>
    <row r="691" spans="1:23" ht="18" customHeight="1" x14ac:dyDescent="0.2">
      <c r="A691" s="402" t="s">
        <v>1552</v>
      </c>
      <c r="B691" s="403"/>
      <c r="C691" s="404" t="s">
        <v>1553</v>
      </c>
      <c r="D691" s="405">
        <v>43214</v>
      </c>
      <c r="E691" s="406"/>
      <c r="F691" s="325"/>
      <c r="G691" s="324"/>
      <c r="H691" s="324">
        <v>1782.27</v>
      </c>
      <c r="I691" s="325">
        <v>510.27</v>
      </c>
      <c r="J691" s="325"/>
      <c r="K691" s="325">
        <f t="shared" si="173"/>
        <v>0</v>
      </c>
      <c r="L691" s="325">
        <f t="shared" si="174"/>
        <v>0</v>
      </c>
      <c r="M691" s="407">
        <v>50</v>
      </c>
      <c r="N691" s="408" t="s">
        <v>289</v>
      </c>
      <c r="O691" s="325">
        <f t="shared" si="175"/>
        <v>0</v>
      </c>
      <c r="P691" s="325">
        <f t="shared" si="176"/>
        <v>0</v>
      </c>
      <c r="Q691" s="325">
        <f t="shared" si="177"/>
        <v>0</v>
      </c>
      <c r="R691" s="325">
        <f t="shared" si="178"/>
        <v>127</v>
      </c>
      <c r="S691" s="325">
        <f t="shared" si="179"/>
        <v>0</v>
      </c>
      <c r="T691" s="325">
        <f t="shared" si="182"/>
        <v>127</v>
      </c>
      <c r="U691" s="325">
        <f t="shared" si="180"/>
        <v>383.27</v>
      </c>
      <c r="V691" s="325">
        <f t="shared" si="181"/>
        <v>0</v>
      </c>
      <c r="W691" s="449" cm="1">
        <f t="array" ref="W691">+IF(U691&lt;0,error,0)</f>
        <v>0</v>
      </c>
    </row>
    <row r="692" spans="1:23" ht="18" customHeight="1" x14ac:dyDescent="0.2">
      <c r="A692" s="402" t="s">
        <v>1554</v>
      </c>
      <c r="B692" s="403"/>
      <c r="C692" s="404" t="s">
        <v>1555</v>
      </c>
      <c r="D692" s="405">
        <v>43227</v>
      </c>
      <c r="E692" s="406"/>
      <c r="F692" s="325"/>
      <c r="G692" s="324"/>
      <c r="H692" s="324">
        <v>3220.94</v>
      </c>
      <c r="I692" s="325">
        <v>939.94</v>
      </c>
      <c r="J692" s="325"/>
      <c r="K692" s="325">
        <f t="shared" si="173"/>
        <v>0</v>
      </c>
      <c r="L692" s="325">
        <f t="shared" si="174"/>
        <v>0</v>
      </c>
      <c r="M692" s="407">
        <v>50</v>
      </c>
      <c r="N692" s="408" t="s">
        <v>289</v>
      </c>
      <c r="O692" s="325">
        <f t="shared" si="175"/>
        <v>0</v>
      </c>
      <c r="P692" s="325">
        <f t="shared" si="176"/>
        <v>0</v>
      </c>
      <c r="Q692" s="325">
        <f t="shared" si="177"/>
        <v>0</v>
      </c>
      <c r="R692" s="325">
        <f t="shared" si="178"/>
        <v>234</v>
      </c>
      <c r="S692" s="325">
        <f t="shared" si="179"/>
        <v>0</v>
      </c>
      <c r="T692" s="325">
        <f t="shared" si="182"/>
        <v>234</v>
      </c>
      <c r="U692" s="325">
        <f t="shared" si="180"/>
        <v>705.94</v>
      </c>
      <c r="V692" s="325">
        <f t="shared" si="181"/>
        <v>0</v>
      </c>
      <c r="W692" s="449" cm="1">
        <f t="array" ref="W692">+IF(U692&lt;0,error,0)</f>
        <v>0</v>
      </c>
    </row>
    <row r="693" spans="1:23" ht="18" customHeight="1" x14ac:dyDescent="0.2">
      <c r="A693" s="402" t="s">
        <v>1556</v>
      </c>
      <c r="B693" s="403"/>
      <c r="C693" s="404" t="s">
        <v>1557</v>
      </c>
      <c r="D693" s="405">
        <v>43227</v>
      </c>
      <c r="E693" s="406"/>
      <c r="F693" s="325"/>
      <c r="G693" s="324"/>
      <c r="H693" s="324">
        <v>1670</v>
      </c>
      <c r="I693" s="325">
        <v>487</v>
      </c>
      <c r="J693" s="325"/>
      <c r="K693" s="325">
        <f t="shared" si="173"/>
        <v>0</v>
      </c>
      <c r="L693" s="325">
        <f t="shared" si="174"/>
        <v>0</v>
      </c>
      <c r="M693" s="407">
        <v>50</v>
      </c>
      <c r="N693" s="408" t="s">
        <v>289</v>
      </c>
      <c r="O693" s="325">
        <f t="shared" si="175"/>
        <v>0</v>
      </c>
      <c r="P693" s="325">
        <f t="shared" si="176"/>
        <v>0</v>
      </c>
      <c r="Q693" s="325">
        <f t="shared" si="177"/>
        <v>0</v>
      </c>
      <c r="R693" s="325">
        <f t="shared" si="178"/>
        <v>121</v>
      </c>
      <c r="S693" s="325">
        <f t="shared" si="179"/>
        <v>0</v>
      </c>
      <c r="T693" s="325">
        <f t="shared" si="182"/>
        <v>121</v>
      </c>
      <c r="U693" s="325">
        <f t="shared" si="180"/>
        <v>366</v>
      </c>
      <c r="V693" s="325">
        <f t="shared" si="181"/>
        <v>0</v>
      </c>
      <c r="W693" s="449" cm="1">
        <f t="array" ref="W693">+IF(U693&lt;0,error,0)</f>
        <v>0</v>
      </c>
    </row>
    <row r="694" spans="1:23" ht="18" customHeight="1" x14ac:dyDescent="0.2">
      <c r="A694" s="402" t="s">
        <v>1558</v>
      </c>
      <c r="B694" s="403"/>
      <c r="C694" s="404" t="s">
        <v>1559</v>
      </c>
      <c r="D694" s="405">
        <v>43264</v>
      </c>
      <c r="E694" s="406"/>
      <c r="F694" s="325"/>
      <c r="G694" s="324"/>
      <c r="H694" s="324">
        <v>6936.3600000000006</v>
      </c>
      <c r="I694" s="325">
        <v>2131.3599999999997</v>
      </c>
      <c r="J694" s="325"/>
      <c r="K694" s="325">
        <f t="shared" si="173"/>
        <v>0</v>
      </c>
      <c r="L694" s="325">
        <f t="shared" si="174"/>
        <v>0</v>
      </c>
      <c r="M694" s="407">
        <v>50</v>
      </c>
      <c r="N694" s="408" t="s">
        <v>289</v>
      </c>
      <c r="O694" s="325">
        <f t="shared" si="175"/>
        <v>0</v>
      </c>
      <c r="P694" s="325">
        <f t="shared" si="176"/>
        <v>0</v>
      </c>
      <c r="Q694" s="325">
        <f t="shared" si="177"/>
        <v>0</v>
      </c>
      <c r="R694" s="325">
        <f t="shared" si="178"/>
        <v>532</v>
      </c>
      <c r="S694" s="325">
        <f t="shared" si="179"/>
        <v>0</v>
      </c>
      <c r="T694" s="325">
        <f t="shared" si="182"/>
        <v>532</v>
      </c>
      <c r="U694" s="325">
        <f t="shared" si="180"/>
        <v>1599.3599999999997</v>
      </c>
      <c r="V694" s="325">
        <f t="shared" si="181"/>
        <v>0</v>
      </c>
      <c r="W694" s="449" cm="1">
        <f t="array" ref="W694">+IF(U694&lt;0,error,0)</f>
        <v>0</v>
      </c>
    </row>
    <row r="695" spans="1:23" ht="18" customHeight="1" x14ac:dyDescent="0.2">
      <c r="A695" s="402" t="s">
        <v>1560</v>
      </c>
      <c r="B695" s="403"/>
      <c r="C695" s="404" t="s">
        <v>1561</v>
      </c>
      <c r="D695" s="405">
        <v>43264</v>
      </c>
      <c r="E695" s="406"/>
      <c r="F695" s="325"/>
      <c r="G695" s="324"/>
      <c r="H695" s="324">
        <v>25581</v>
      </c>
      <c r="I695" s="325">
        <v>7858.1453000000001</v>
      </c>
      <c r="J695" s="325"/>
      <c r="K695" s="325">
        <f t="shared" si="173"/>
        <v>0</v>
      </c>
      <c r="L695" s="325">
        <f t="shared" si="174"/>
        <v>0</v>
      </c>
      <c r="M695" s="407">
        <v>50</v>
      </c>
      <c r="N695" s="408" t="s">
        <v>289</v>
      </c>
      <c r="O695" s="325">
        <f t="shared" si="175"/>
        <v>0</v>
      </c>
      <c r="P695" s="325">
        <f t="shared" si="176"/>
        <v>0</v>
      </c>
      <c r="Q695" s="325">
        <f t="shared" si="177"/>
        <v>0</v>
      </c>
      <c r="R695" s="325">
        <f t="shared" si="178"/>
        <v>1964</v>
      </c>
      <c r="S695" s="325">
        <f t="shared" si="179"/>
        <v>0</v>
      </c>
      <c r="T695" s="325">
        <f t="shared" si="182"/>
        <v>1964</v>
      </c>
      <c r="U695" s="325">
        <f t="shared" si="180"/>
        <v>5894.1453000000001</v>
      </c>
      <c r="V695" s="325">
        <f t="shared" si="181"/>
        <v>0</v>
      </c>
      <c r="W695" s="449" cm="1">
        <f t="array" ref="W695">+IF(U695&lt;0,error,0)</f>
        <v>0</v>
      </c>
    </row>
    <row r="696" spans="1:23" ht="18" customHeight="1" x14ac:dyDescent="0.2">
      <c r="A696" s="402" t="s">
        <v>1564</v>
      </c>
      <c r="B696" s="403"/>
      <c r="C696" s="404" t="s">
        <v>1565</v>
      </c>
      <c r="D696" s="405">
        <v>43191</v>
      </c>
      <c r="E696" s="406"/>
      <c r="F696" s="325"/>
      <c r="G696" s="324"/>
      <c r="H696" s="324">
        <v>2219</v>
      </c>
      <c r="I696" s="325">
        <v>612</v>
      </c>
      <c r="J696" s="325"/>
      <c r="K696" s="325">
        <f t="shared" si="173"/>
        <v>0</v>
      </c>
      <c r="L696" s="325">
        <f t="shared" si="174"/>
        <v>0</v>
      </c>
      <c r="M696" s="407">
        <v>50</v>
      </c>
      <c r="N696" s="408" t="s">
        <v>289</v>
      </c>
      <c r="O696" s="325">
        <f t="shared" si="175"/>
        <v>0</v>
      </c>
      <c r="P696" s="325">
        <f t="shared" si="176"/>
        <v>0</v>
      </c>
      <c r="Q696" s="325">
        <f t="shared" si="177"/>
        <v>0</v>
      </c>
      <c r="R696" s="325">
        <f t="shared" si="178"/>
        <v>153</v>
      </c>
      <c r="S696" s="325">
        <f t="shared" si="179"/>
        <v>0</v>
      </c>
      <c r="T696" s="325">
        <f t="shared" si="182"/>
        <v>153</v>
      </c>
      <c r="U696" s="325">
        <f t="shared" si="180"/>
        <v>459</v>
      </c>
      <c r="V696" s="325">
        <f t="shared" si="181"/>
        <v>0</v>
      </c>
      <c r="W696" s="449" cm="1">
        <f t="array" ref="W696">+IF(U696&lt;0,error,0)</f>
        <v>0</v>
      </c>
    </row>
    <row r="697" spans="1:23" ht="18" customHeight="1" x14ac:dyDescent="0.2">
      <c r="A697" s="402" t="s">
        <v>1566</v>
      </c>
      <c r="B697" s="403"/>
      <c r="C697" s="404" t="s">
        <v>1567</v>
      </c>
      <c r="D697" s="405">
        <v>43191</v>
      </c>
      <c r="E697" s="406"/>
      <c r="F697" s="325"/>
      <c r="G697" s="324"/>
      <c r="H697" s="324">
        <v>2218.7000000000003</v>
      </c>
      <c r="I697" s="325">
        <v>612.70000000000005</v>
      </c>
      <c r="J697" s="325"/>
      <c r="K697" s="325">
        <f t="shared" si="173"/>
        <v>0</v>
      </c>
      <c r="L697" s="325">
        <f t="shared" si="174"/>
        <v>0</v>
      </c>
      <c r="M697" s="407">
        <v>50</v>
      </c>
      <c r="N697" s="408" t="s">
        <v>289</v>
      </c>
      <c r="O697" s="325">
        <f t="shared" si="175"/>
        <v>0</v>
      </c>
      <c r="P697" s="325">
        <f t="shared" si="176"/>
        <v>0</v>
      </c>
      <c r="Q697" s="325">
        <f t="shared" si="177"/>
        <v>0</v>
      </c>
      <c r="R697" s="325">
        <f t="shared" si="178"/>
        <v>153</v>
      </c>
      <c r="S697" s="325">
        <f t="shared" si="179"/>
        <v>0</v>
      </c>
      <c r="T697" s="325">
        <f t="shared" si="182"/>
        <v>153</v>
      </c>
      <c r="U697" s="325">
        <f t="shared" si="180"/>
        <v>459.70000000000005</v>
      </c>
      <c r="V697" s="325">
        <f t="shared" si="181"/>
        <v>0</v>
      </c>
      <c r="W697" s="449" cm="1">
        <f t="array" ref="W697">+IF(U697&lt;0,error,0)</f>
        <v>0</v>
      </c>
    </row>
    <row r="698" spans="1:23" ht="18" customHeight="1" x14ac:dyDescent="0.2">
      <c r="A698" s="402" t="s">
        <v>1568</v>
      </c>
      <c r="B698" s="403"/>
      <c r="C698" s="404" t="s">
        <v>1569</v>
      </c>
      <c r="D698" s="405">
        <v>43191</v>
      </c>
      <c r="E698" s="406"/>
      <c r="F698" s="325"/>
      <c r="G698" s="324"/>
      <c r="H698" s="324">
        <v>2329</v>
      </c>
      <c r="I698" s="325">
        <v>643</v>
      </c>
      <c r="J698" s="325"/>
      <c r="K698" s="325">
        <f t="shared" si="173"/>
        <v>0</v>
      </c>
      <c r="L698" s="325">
        <f t="shared" si="174"/>
        <v>0</v>
      </c>
      <c r="M698" s="407">
        <v>50</v>
      </c>
      <c r="N698" s="408" t="s">
        <v>289</v>
      </c>
      <c r="O698" s="325">
        <f t="shared" si="175"/>
        <v>0</v>
      </c>
      <c r="P698" s="325">
        <f t="shared" si="176"/>
        <v>0</v>
      </c>
      <c r="Q698" s="325">
        <f t="shared" si="177"/>
        <v>0</v>
      </c>
      <c r="R698" s="325">
        <f t="shared" si="178"/>
        <v>160</v>
      </c>
      <c r="S698" s="325">
        <f t="shared" si="179"/>
        <v>0</v>
      </c>
      <c r="T698" s="325">
        <f t="shared" si="182"/>
        <v>160</v>
      </c>
      <c r="U698" s="325">
        <f t="shared" si="180"/>
        <v>483</v>
      </c>
      <c r="V698" s="325">
        <f t="shared" si="181"/>
        <v>0</v>
      </c>
      <c r="W698" s="449" cm="1">
        <f t="array" ref="W698">+IF(U698&lt;0,error,0)</f>
        <v>0</v>
      </c>
    </row>
    <row r="699" spans="1:23" ht="18" customHeight="1" x14ac:dyDescent="0.2">
      <c r="A699" s="402" t="s">
        <v>1570</v>
      </c>
      <c r="B699" s="403"/>
      <c r="C699" s="404" t="s">
        <v>1571</v>
      </c>
      <c r="D699" s="405">
        <v>42948</v>
      </c>
      <c r="E699" s="406"/>
      <c r="F699" s="325"/>
      <c r="G699" s="324"/>
      <c r="H699" s="324">
        <v>1772.73</v>
      </c>
      <c r="I699" s="325">
        <v>303.73</v>
      </c>
      <c r="J699" s="325"/>
      <c r="K699" s="325">
        <f t="shared" si="173"/>
        <v>0</v>
      </c>
      <c r="L699" s="325">
        <f t="shared" si="174"/>
        <v>0</v>
      </c>
      <c r="M699" s="407">
        <v>50</v>
      </c>
      <c r="N699" s="408" t="s">
        <v>289</v>
      </c>
      <c r="O699" s="325">
        <f t="shared" si="175"/>
        <v>0</v>
      </c>
      <c r="P699" s="325">
        <f t="shared" si="176"/>
        <v>0</v>
      </c>
      <c r="Q699" s="325">
        <f t="shared" si="177"/>
        <v>0</v>
      </c>
      <c r="R699" s="325">
        <f t="shared" si="178"/>
        <v>75</v>
      </c>
      <c r="S699" s="325">
        <f t="shared" si="179"/>
        <v>0</v>
      </c>
      <c r="T699" s="325">
        <f t="shared" si="182"/>
        <v>75</v>
      </c>
      <c r="U699" s="325">
        <f t="shared" si="180"/>
        <v>228.73000000000002</v>
      </c>
      <c r="V699" s="325">
        <f t="shared" si="181"/>
        <v>0</v>
      </c>
      <c r="W699" s="449" cm="1">
        <f t="array" ref="W699">+IF(U699&lt;0,error,0)</f>
        <v>0</v>
      </c>
    </row>
    <row r="700" spans="1:23" s="448" customFormat="1" ht="18" customHeight="1" x14ac:dyDescent="0.2">
      <c r="A700" s="402" t="s">
        <v>1572</v>
      </c>
      <c r="B700" s="403"/>
      <c r="C700" s="412" t="s">
        <v>1573</v>
      </c>
      <c r="D700" s="405">
        <v>43362</v>
      </c>
      <c r="E700" s="406"/>
      <c r="F700" s="325"/>
      <c r="G700" s="324"/>
      <c r="H700" s="324">
        <v>11025</v>
      </c>
      <c r="I700" s="325">
        <v>3954</v>
      </c>
      <c r="J700" s="325"/>
      <c r="K700" s="325">
        <f t="shared" si="173"/>
        <v>0</v>
      </c>
      <c r="L700" s="325">
        <f t="shared" si="174"/>
        <v>0</v>
      </c>
      <c r="M700" s="407">
        <v>50</v>
      </c>
      <c r="N700" s="408" t="s">
        <v>289</v>
      </c>
      <c r="O700" s="325">
        <f t="shared" si="175"/>
        <v>0</v>
      </c>
      <c r="P700" s="325">
        <f t="shared" si="176"/>
        <v>0</v>
      </c>
      <c r="Q700" s="325">
        <f t="shared" si="177"/>
        <v>0</v>
      </c>
      <c r="R700" s="325">
        <f t="shared" si="178"/>
        <v>988</v>
      </c>
      <c r="S700" s="325">
        <f t="shared" si="179"/>
        <v>0</v>
      </c>
      <c r="T700" s="325">
        <f t="shared" si="182"/>
        <v>988</v>
      </c>
      <c r="U700" s="325">
        <f t="shared" si="180"/>
        <v>2966</v>
      </c>
      <c r="V700" s="325">
        <f t="shared" si="181"/>
        <v>0</v>
      </c>
      <c r="W700" s="449" cm="1">
        <f t="array" ref="W700">+IF(U700&lt;0,error,0)</f>
        <v>0</v>
      </c>
    </row>
    <row r="701" spans="1:23" s="448" customFormat="1" ht="18" customHeight="1" x14ac:dyDescent="0.2">
      <c r="A701" s="402" t="s">
        <v>1574</v>
      </c>
      <c r="B701" s="403"/>
      <c r="C701" s="412" t="s">
        <v>1575</v>
      </c>
      <c r="D701" s="405">
        <v>43402</v>
      </c>
      <c r="E701" s="406"/>
      <c r="F701" s="325"/>
      <c r="G701" s="324"/>
      <c r="H701" s="324">
        <v>13000</v>
      </c>
      <c r="I701" s="325">
        <v>4946</v>
      </c>
      <c r="J701" s="325"/>
      <c r="K701" s="325">
        <f t="shared" si="173"/>
        <v>0</v>
      </c>
      <c r="L701" s="325">
        <f t="shared" si="174"/>
        <v>0</v>
      </c>
      <c r="M701" s="407">
        <v>50</v>
      </c>
      <c r="N701" s="408" t="s">
        <v>289</v>
      </c>
      <c r="O701" s="325">
        <f t="shared" si="175"/>
        <v>0</v>
      </c>
      <c r="P701" s="325">
        <f t="shared" si="176"/>
        <v>0</v>
      </c>
      <c r="Q701" s="325">
        <f t="shared" si="177"/>
        <v>0</v>
      </c>
      <c r="R701" s="325">
        <f t="shared" si="178"/>
        <v>1236</v>
      </c>
      <c r="S701" s="325">
        <f t="shared" si="179"/>
        <v>0</v>
      </c>
      <c r="T701" s="325">
        <f t="shared" si="182"/>
        <v>1236</v>
      </c>
      <c r="U701" s="325">
        <f t="shared" si="180"/>
        <v>3710</v>
      </c>
      <c r="V701" s="325">
        <f t="shared" si="181"/>
        <v>0</v>
      </c>
      <c r="W701" s="449" cm="1">
        <f t="array" ref="W701">+IF(U701&lt;0,error,0)</f>
        <v>0</v>
      </c>
    </row>
    <row r="702" spans="1:23" ht="18" customHeight="1" x14ac:dyDescent="0.2">
      <c r="A702" s="402" t="s">
        <v>2075</v>
      </c>
      <c r="B702" s="403"/>
      <c r="C702" s="404" t="s">
        <v>2080</v>
      </c>
      <c r="D702" s="405">
        <v>43586</v>
      </c>
      <c r="E702" s="406"/>
      <c r="F702" s="325"/>
      <c r="G702" s="324"/>
      <c r="H702" s="324">
        <v>75509.05</v>
      </c>
      <c r="I702" s="325">
        <v>38984.050000000003</v>
      </c>
      <c r="J702" s="325"/>
      <c r="K702" s="325">
        <f t="shared" si="173"/>
        <v>0</v>
      </c>
      <c r="L702" s="325">
        <f t="shared" si="174"/>
        <v>0</v>
      </c>
      <c r="M702" s="407">
        <v>50</v>
      </c>
      <c r="N702" s="408" t="s">
        <v>289</v>
      </c>
      <c r="O702" s="325">
        <f t="shared" si="175"/>
        <v>0</v>
      </c>
      <c r="P702" s="325">
        <f t="shared" si="176"/>
        <v>0</v>
      </c>
      <c r="Q702" s="325">
        <f t="shared" si="177"/>
        <v>0</v>
      </c>
      <c r="R702" s="325">
        <f t="shared" si="178"/>
        <v>9746</v>
      </c>
      <c r="S702" s="325">
        <f t="shared" si="179"/>
        <v>0</v>
      </c>
      <c r="T702" s="325">
        <f t="shared" si="182"/>
        <v>9746</v>
      </c>
      <c r="U702" s="325">
        <f t="shared" si="180"/>
        <v>29238.050000000003</v>
      </c>
      <c r="V702" s="325">
        <f t="shared" si="181"/>
        <v>0</v>
      </c>
      <c r="W702" s="449" cm="1">
        <f t="array" ref="W702">+IF(U702&lt;0,error,0)</f>
        <v>0</v>
      </c>
    </row>
    <row r="703" spans="1:23" ht="18" customHeight="1" x14ac:dyDescent="0.2">
      <c r="A703" s="402" t="s">
        <v>2076</v>
      </c>
      <c r="B703" s="403"/>
      <c r="C703" s="404" t="s">
        <v>2398</v>
      </c>
      <c r="D703" s="405">
        <v>43586</v>
      </c>
      <c r="E703" s="406"/>
      <c r="F703" s="325"/>
      <c r="G703" s="324"/>
      <c r="H703" s="324">
        <f>246295.31*0.993006993006993</f>
        <v>244572.96517482516</v>
      </c>
      <c r="I703" s="325">
        <f>127155.31*0.993006993006993</f>
        <v>126266.11202797203</v>
      </c>
      <c r="J703" s="325"/>
      <c r="K703" s="325">
        <f>INT(IF($E703&gt;0,IF(+F703-I703+Q703&lt;0,0,+F703-I703+Q703),0))</f>
        <v>0</v>
      </c>
      <c r="L703" s="325">
        <f>INT(IF($E703&gt;0,IF(K703=0,-F703+I703-Q703,0),0))</f>
        <v>0</v>
      </c>
      <c r="M703" s="407">
        <v>50</v>
      </c>
      <c r="N703" s="408" t="s">
        <v>289</v>
      </c>
      <c r="O703" s="325">
        <f>IF(E703&gt;0,INT(IF($N703="D",IF($D703&lt;$H$3,$I703*($M703/100)*((E703-$H$3)/365),$J703*($M703/100)*($J$3-$D703)/365),0)),0)</f>
        <v>0</v>
      </c>
      <c r="P703" s="325">
        <f>IF(E703&gt;0,INT(IF($N703="P",IF($D703&lt;$H$3,$H703*($M703/100)*(E703-$H$3)/365,$J703*($M703/100)*($J$3-$D703)/365),0)),0)</f>
        <v>0</v>
      </c>
      <c r="Q703" s="325">
        <f>+O703+P703</f>
        <v>0</v>
      </c>
      <c r="R703" s="325">
        <f t="shared" si="178"/>
        <v>31566</v>
      </c>
      <c r="S703" s="325">
        <f t="shared" si="179"/>
        <v>0</v>
      </c>
      <c r="T703" s="325">
        <f>+R703+S703+Q703</f>
        <v>31566</v>
      </c>
      <c r="U703" s="325">
        <f>+I703+J703-T703-F703+K703-L703</f>
        <v>94700.112027972034</v>
      </c>
      <c r="V703" s="325">
        <f t="shared" si="181"/>
        <v>0</v>
      </c>
      <c r="W703" s="449" cm="1">
        <f t="array" ref="W703">+IF(U703&lt;0,error,0)</f>
        <v>0</v>
      </c>
    </row>
    <row r="704" spans="1:23" ht="18" customHeight="1" x14ac:dyDescent="0.2">
      <c r="A704" s="402" t="s">
        <v>2396</v>
      </c>
      <c r="B704" s="403"/>
      <c r="C704" s="404" t="s">
        <v>2397</v>
      </c>
      <c r="D704" s="405">
        <v>43586</v>
      </c>
      <c r="E704" s="406">
        <v>44078</v>
      </c>
      <c r="F704" s="325">
        <v>1420</v>
      </c>
      <c r="G704" s="324">
        <f>+H704</f>
        <v>1722.3448251748341</v>
      </c>
      <c r="H704" s="324">
        <v>1722.3448251748341</v>
      </c>
      <c r="I704" s="325">
        <v>889.19797202796326</v>
      </c>
      <c r="J704" s="325"/>
      <c r="K704" s="325">
        <f>INT(IF($E704&gt;0,IF(+F704-I704+Q704&lt;0,0,+F704-I704+Q704),0))</f>
        <v>609</v>
      </c>
      <c r="L704" s="325">
        <f>INT(IF($E704&gt;0,IF(K704=0,-F704+I704-Q704,0),0))</f>
        <v>0</v>
      </c>
      <c r="M704" s="407">
        <v>50</v>
      </c>
      <c r="N704" s="408" t="s">
        <v>289</v>
      </c>
      <c r="O704" s="325">
        <f>IF(E704&gt;0,INT(IF($N704="D",IF($D704&lt;$H$3,$I704*($M704/100)*((E704-$H$3)/365),$J704*($M704/100)*($J$3-$D704)/365),0)),0)</f>
        <v>79</v>
      </c>
      <c r="P704" s="325">
        <f>IF(E704&gt;0,INT(IF($N704="P",IF($D704&lt;$H$3,$H704*($M704/100)*(E704-$H$3)/365,$J704*($M704/100)*($J$3-$D704)/365),0)),0)</f>
        <v>0</v>
      </c>
      <c r="Q704" s="325">
        <f>+O704+P704</f>
        <v>79</v>
      </c>
      <c r="R704" s="325">
        <f t="shared" si="178"/>
        <v>0</v>
      </c>
      <c r="S704" s="325">
        <f t="shared" si="179"/>
        <v>0</v>
      </c>
      <c r="T704" s="325">
        <v>78.197971999999993</v>
      </c>
      <c r="U704" s="325">
        <f>+I704+J704-T704-F704+K704-L704</f>
        <v>2.7963324100710452E-8</v>
      </c>
      <c r="V704" s="325">
        <f t="shared" ref="V704" si="183">IF(E704&gt;0,+H704+J704,0)</f>
        <v>1722.3448251748341</v>
      </c>
      <c r="W704" s="449" cm="1">
        <f t="array" ref="W704">+IF(U704&lt;0,error,0)</f>
        <v>0</v>
      </c>
    </row>
    <row r="705" spans="1:25" ht="18" customHeight="1" x14ac:dyDescent="0.2">
      <c r="A705" s="402" t="s">
        <v>2077</v>
      </c>
      <c r="B705" s="403"/>
      <c r="C705" s="404" t="s">
        <v>2082</v>
      </c>
      <c r="D705" s="405">
        <v>43586</v>
      </c>
      <c r="E705" s="406"/>
      <c r="F705" s="325"/>
      <c r="G705" s="324"/>
      <c r="H705" s="324">
        <v>26133.35</v>
      </c>
      <c r="I705" s="325">
        <v>13493.349999999999</v>
      </c>
      <c r="J705" s="325"/>
      <c r="K705" s="325">
        <f>INT(IF($E705&gt;0,IF(+F705-I705+Q705&lt;0,0,+F705-I705+Q705),0))</f>
        <v>0</v>
      </c>
      <c r="L705" s="325">
        <f>INT(IF($E705&gt;0,IF(K705=0,-F705+I705-Q705,0),0))</f>
        <v>0</v>
      </c>
      <c r="M705" s="407">
        <v>50</v>
      </c>
      <c r="N705" s="408" t="s">
        <v>289</v>
      </c>
      <c r="O705" s="325">
        <f>IF(E705&gt;0,INT(IF($N705="D",IF($D705&lt;$H$3,$I705*($M705/100)*((E705-$H$3)/365),$J705*($M705/100)*($J$3-$D705)/365),0)),0)</f>
        <v>0</v>
      </c>
      <c r="P705" s="325">
        <f>IF(E705&gt;0,INT(IF($N705="P",IF($D705&lt;$H$3,$H705*($M705/100)*(E705-$H$3)/365,$J705*($M705/100)*($J$3-$D705)/365),0)),0)</f>
        <v>0</v>
      </c>
      <c r="Q705" s="325">
        <f>+O705+P705</f>
        <v>0</v>
      </c>
      <c r="R705" s="325">
        <f t="shared" si="178"/>
        <v>3373</v>
      </c>
      <c r="S705" s="325">
        <f t="shared" si="179"/>
        <v>0</v>
      </c>
      <c r="T705" s="325">
        <f>+R705+S705+Q705</f>
        <v>3373</v>
      </c>
      <c r="U705" s="325">
        <f>+I705+J705-T705-F705+K705-L705</f>
        <v>10120.349999999999</v>
      </c>
      <c r="V705" s="325">
        <f t="shared" si="181"/>
        <v>0</v>
      </c>
      <c r="W705" s="449" cm="1">
        <f t="array" ref="W705">+IF(U705&lt;0,error,0)</f>
        <v>0</v>
      </c>
    </row>
    <row r="706" spans="1:25" ht="18" customHeight="1" x14ac:dyDescent="0.2">
      <c r="A706" s="402" t="s">
        <v>2078</v>
      </c>
      <c r="B706" s="403"/>
      <c r="C706" s="404" t="s">
        <v>2083</v>
      </c>
      <c r="D706" s="405">
        <v>43446</v>
      </c>
      <c r="E706" s="406"/>
      <c r="F706" s="325"/>
      <c r="G706" s="324"/>
      <c r="H706" s="324">
        <v>13000</v>
      </c>
      <c r="I706" s="325">
        <v>5310</v>
      </c>
      <c r="J706" s="325"/>
      <c r="K706" s="325">
        <f t="shared" ref="K706:K720" si="184">INT(IF($E706&gt;0,IF(+F706-I706+Q706&lt;0,0,+F706-I706+Q706),0))</f>
        <v>0</v>
      </c>
      <c r="L706" s="325">
        <f t="shared" ref="L706:L720" si="185">INT(IF($E706&gt;0,IF(K706=0,-F706+I706-Q706,0),0))</f>
        <v>0</v>
      </c>
      <c r="M706" s="407">
        <v>50</v>
      </c>
      <c r="N706" s="408" t="s">
        <v>289</v>
      </c>
      <c r="O706" s="325">
        <f t="shared" ref="O706:O720" si="186">IF(E706&gt;0,INT(IF($N706="D",IF($D706&lt;$H$3,$I706*($M706/100)*((E706-$H$3)/365),$J706*($M706/100)*($J$3-$D706)/365),0)),0)</f>
        <v>0</v>
      </c>
      <c r="P706" s="325">
        <f t="shared" ref="P706:P720" si="187">IF(E706&gt;0,INT(IF($N706="P",IF($D706&lt;$H$3,$H706*($M706/100)*(E706-$H$3)/365,$J706*($M706/100)*($J$3-$D706)/365),0)),0)</f>
        <v>0</v>
      </c>
      <c r="Q706" s="325">
        <f t="shared" ref="Q706:Q720" si="188">+O706+P706</f>
        <v>0</v>
      </c>
      <c r="R706" s="325">
        <f t="shared" si="178"/>
        <v>1327</v>
      </c>
      <c r="S706" s="325">
        <f t="shared" si="179"/>
        <v>0</v>
      </c>
      <c r="T706" s="325">
        <f t="shared" ref="T706:T720" si="189">+R706+S706+Q706</f>
        <v>1327</v>
      </c>
      <c r="U706" s="325">
        <f t="shared" ref="U706:U720" si="190">+I706+J706-T706-F706+K706-L706</f>
        <v>3983</v>
      </c>
      <c r="V706" s="325">
        <f t="shared" si="181"/>
        <v>0</v>
      </c>
      <c r="W706" s="449" cm="1">
        <f t="array" ref="W706">+IF(U706&lt;0,error,0)</f>
        <v>0</v>
      </c>
    </row>
    <row r="707" spans="1:25" ht="18" customHeight="1" x14ac:dyDescent="0.2">
      <c r="A707" s="402" t="s">
        <v>2079</v>
      </c>
      <c r="B707" s="403"/>
      <c r="C707" s="404" t="s">
        <v>2083</v>
      </c>
      <c r="D707" s="405">
        <v>43446</v>
      </c>
      <c r="E707" s="406"/>
      <c r="F707" s="325"/>
      <c r="G707" s="324"/>
      <c r="H707" s="324">
        <v>13000</v>
      </c>
      <c r="I707" s="325">
        <v>5310</v>
      </c>
      <c r="J707" s="325"/>
      <c r="K707" s="325">
        <f t="shared" si="184"/>
        <v>0</v>
      </c>
      <c r="L707" s="325">
        <f t="shared" si="185"/>
        <v>0</v>
      </c>
      <c r="M707" s="407">
        <v>50</v>
      </c>
      <c r="N707" s="408" t="s">
        <v>289</v>
      </c>
      <c r="O707" s="325">
        <f t="shared" si="186"/>
        <v>0</v>
      </c>
      <c r="P707" s="325">
        <f t="shared" si="187"/>
        <v>0</v>
      </c>
      <c r="Q707" s="325">
        <f t="shared" si="188"/>
        <v>0</v>
      </c>
      <c r="R707" s="325">
        <f t="shared" si="178"/>
        <v>1327</v>
      </c>
      <c r="S707" s="325">
        <f t="shared" si="179"/>
        <v>0</v>
      </c>
      <c r="T707" s="325">
        <f t="shared" si="189"/>
        <v>1327</v>
      </c>
      <c r="U707" s="325">
        <f t="shared" si="190"/>
        <v>3983</v>
      </c>
      <c r="V707" s="325">
        <f t="shared" si="181"/>
        <v>0</v>
      </c>
      <c r="W707" s="449" cm="1">
        <f t="array" ref="W707">+IF(U707&lt;0,error,0)</f>
        <v>0</v>
      </c>
    </row>
    <row r="708" spans="1:25" ht="18" customHeight="1" x14ac:dyDescent="0.2">
      <c r="A708" s="402">
        <v>746244</v>
      </c>
      <c r="B708" s="403"/>
      <c r="C708" s="404" t="s">
        <v>2375</v>
      </c>
      <c r="D708" s="405">
        <v>43893</v>
      </c>
      <c r="E708" s="406"/>
      <c r="F708" s="325"/>
      <c r="G708" s="324"/>
      <c r="H708" s="324">
        <v>12936</v>
      </c>
      <c r="I708" s="325">
        <v>10828</v>
      </c>
      <c r="J708" s="325"/>
      <c r="K708" s="325">
        <f t="shared" si="184"/>
        <v>0</v>
      </c>
      <c r="L708" s="325">
        <f t="shared" si="185"/>
        <v>0</v>
      </c>
      <c r="M708" s="407">
        <v>50</v>
      </c>
      <c r="N708" s="408" t="s">
        <v>289</v>
      </c>
      <c r="O708" s="325">
        <f t="shared" si="186"/>
        <v>0</v>
      </c>
      <c r="P708" s="325">
        <f t="shared" si="187"/>
        <v>0</v>
      </c>
      <c r="Q708" s="325">
        <f t="shared" si="188"/>
        <v>0</v>
      </c>
      <c r="R708" s="325">
        <f t="shared" si="178"/>
        <v>2707</v>
      </c>
      <c r="S708" s="325">
        <f t="shared" si="179"/>
        <v>0</v>
      </c>
      <c r="T708" s="325">
        <f t="shared" si="189"/>
        <v>2707</v>
      </c>
      <c r="U708" s="325">
        <f t="shared" si="190"/>
        <v>8121</v>
      </c>
      <c r="V708" s="325">
        <f t="shared" si="181"/>
        <v>0</v>
      </c>
      <c r="W708" s="449" cm="1">
        <f t="array" ref="W708">+IF(U708&lt;0,error,0)</f>
        <v>0</v>
      </c>
    </row>
    <row r="709" spans="1:25" ht="18" customHeight="1" x14ac:dyDescent="0.2">
      <c r="A709" s="402">
        <v>746245</v>
      </c>
      <c r="B709" s="403"/>
      <c r="C709" s="404" t="s">
        <v>2370</v>
      </c>
      <c r="D709" s="405">
        <v>43920</v>
      </c>
      <c r="E709" s="406"/>
      <c r="F709" s="325"/>
      <c r="G709" s="324"/>
      <c r="H709" s="324">
        <v>16255.22</v>
      </c>
      <c r="I709" s="325">
        <v>14207.22</v>
      </c>
      <c r="J709" s="325"/>
      <c r="K709" s="325">
        <f t="shared" si="184"/>
        <v>0</v>
      </c>
      <c r="L709" s="325">
        <f t="shared" si="185"/>
        <v>0</v>
      </c>
      <c r="M709" s="407">
        <v>50</v>
      </c>
      <c r="N709" s="408" t="s">
        <v>289</v>
      </c>
      <c r="O709" s="325">
        <f t="shared" si="186"/>
        <v>0</v>
      </c>
      <c r="P709" s="325">
        <f t="shared" si="187"/>
        <v>0</v>
      </c>
      <c r="Q709" s="325">
        <f t="shared" si="188"/>
        <v>0</v>
      </c>
      <c r="R709" s="325">
        <f t="shared" si="178"/>
        <v>3551</v>
      </c>
      <c r="S709" s="325">
        <f t="shared" si="179"/>
        <v>0</v>
      </c>
      <c r="T709" s="325">
        <f t="shared" si="189"/>
        <v>3551</v>
      </c>
      <c r="U709" s="325">
        <f t="shared" si="190"/>
        <v>10656.22</v>
      </c>
      <c r="V709" s="325">
        <f t="shared" si="181"/>
        <v>0</v>
      </c>
      <c r="W709" s="449" cm="1">
        <f t="array" ref="W709">+IF(U709&lt;0,error,0)</f>
        <v>0</v>
      </c>
    </row>
    <row r="710" spans="1:25" ht="18" customHeight="1" x14ac:dyDescent="0.2">
      <c r="A710" s="402">
        <v>746246</v>
      </c>
      <c r="B710" s="403"/>
      <c r="C710" s="404" t="s">
        <v>2371</v>
      </c>
      <c r="D710" s="405">
        <v>43936</v>
      </c>
      <c r="E710" s="406"/>
      <c r="F710" s="325"/>
      <c r="G710" s="324"/>
      <c r="H710" s="324">
        <v>3460.71</v>
      </c>
      <c r="I710" s="325">
        <v>3100.71</v>
      </c>
      <c r="J710" s="325"/>
      <c r="K710" s="325">
        <f t="shared" si="184"/>
        <v>0</v>
      </c>
      <c r="L710" s="325">
        <f t="shared" si="185"/>
        <v>0</v>
      </c>
      <c r="M710" s="407">
        <v>50</v>
      </c>
      <c r="N710" s="408" t="s">
        <v>289</v>
      </c>
      <c r="O710" s="325">
        <f t="shared" si="186"/>
        <v>0</v>
      </c>
      <c r="P710" s="325">
        <f t="shared" si="187"/>
        <v>0</v>
      </c>
      <c r="Q710" s="325">
        <f t="shared" si="188"/>
        <v>0</v>
      </c>
      <c r="R710" s="325">
        <f t="shared" si="178"/>
        <v>775</v>
      </c>
      <c r="S710" s="325">
        <f t="shared" si="179"/>
        <v>0</v>
      </c>
      <c r="T710" s="325">
        <f t="shared" si="189"/>
        <v>775</v>
      </c>
      <c r="U710" s="325">
        <f t="shared" si="190"/>
        <v>2325.71</v>
      </c>
      <c r="V710" s="325">
        <f t="shared" si="181"/>
        <v>0</v>
      </c>
      <c r="W710" s="449" cm="1">
        <f t="array" ref="W710">+IF(U710&lt;0,error,0)</f>
        <v>0</v>
      </c>
    </row>
    <row r="711" spans="1:25" ht="18" customHeight="1" x14ac:dyDescent="0.2">
      <c r="A711" s="402">
        <v>746247</v>
      </c>
      <c r="B711" s="403"/>
      <c r="C711" s="404" t="s">
        <v>2372</v>
      </c>
      <c r="D711" s="405">
        <v>43861</v>
      </c>
      <c r="E711" s="406"/>
      <c r="F711" s="325"/>
      <c r="G711" s="324"/>
      <c r="H711" s="324">
        <v>20698</v>
      </c>
      <c r="I711" s="325">
        <v>16417</v>
      </c>
      <c r="J711" s="325"/>
      <c r="K711" s="325">
        <f t="shared" si="184"/>
        <v>0</v>
      </c>
      <c r="L711" s="325">
        <f t="shared" si="185"/>
        <v>0</v>
      </c>
      <c r="M711" s="407">
        <v>50</v>
      </c>
      <c r="N711" s="408" t="s">
        <v>289</v>
      </c>
      <c r="O711" s="325">
        <f t="shared" si="186"/>
        <v>0</v>
      </c>
      <c r="P711" s="325">
        <f t="shared" si="187"/>
        <v>0</v>
      </c>
      <c r="Q711" s="325">
        <f t="shared" si="188"/>
        <v>0</v>
      </c>
      <c r="R711" s="325">
        <f t="shared" si="178"/>
        <v>4104</v>
      </c>
      <c r="S711" s="325">
        <f t="shared" si="179"/>
        <v>0</v>
      </c>
      <c r="T711" s="325">
        <f t="shared" si="189"/>
        <v>4104</v>
      </c>
      <c r="U711" s="325">
        <f t="shared" si="190"/>
        <v>12313</v>
      </c>
      <c r="V711" s="325">
        <f t="shared" si="181"/>
        <v>0</v>
      </c>
      <c r="W711" s="449" cm="1">
        <f t="array" ref="W711">+IF(U711&lt;0,error,0)</f>
        <v>0</v>
      </c>
    </row>
    <row r="712" spans="1:25" ht="18" customHeight="1" x14ac:dyDescent="0.2">
      <c r="A712" s="402">
        <v>746248</v>
      </c>
      <c r="B712" s="403"/>
      <c r="C712" s="404" t="s">
        <v>2373</v>
      </c>
      <c r="D712" s="405">
        <v>43871</v>
      </c>
      <c r="E712" s="406"/>
      <c r="F712" s="325"/>
      <c r="G712" s="324"/>
      <c r="H712" s="324">
        <v>6704.32</v>
      </c>
      <c r="I712" s="325">
        <v>5410.32</v>
      </c>
      <c r="J712" s="325"/>
      <c r="K712" s="325">
        <f t="shared" si="184"/>
        <v>0</v>
      </c>
      <c r="L712" s="325">
        <f t="shared" si="185"/>
        <v>0</v>
      </c>
      <c r="M712" s="407">
        <v>50</v>
      </c>
      <c r="N712" s="408" t="s">
        <v>289</v>
      </c>
      <c r="O712" s="325">
        <f t="shared" si="186"/>
        <v>0</v>
      </c>
      <c r="P712" s="325">
        <f t="shared" si="187"/>
        <v>0</v>
      </c>
      <c r="Q712" s="325">
        <f t="shared" si="188"/>
        <v>0</v>
      </c>
      <c r="R712" s="325">
        <f t="shared" si="178"/>
        <v>1352</v>
      </c>
      <c r="S712" s="325">
        <f t="shared" si="179"/>
        <v>0</v>
      </c>
      <c r="T712" s="325">
        <f t="shared" si="189"/>
        <v>1352</v>
      </c>
      <c r="U712" s="325">
        <f t="shared" si="190"/>
        <v>4058.3199999999997</v>
      </c>
      <c r="V712" s="325">
        <f t="shared" si="181"/>
        <v>0</v>
      </c>
      <c r="W712" s="449" cm="1">
        <f t="array" ref="W712">+IF(U712&lt;0,error,0)</f>
        <v>0</v>
      </c>
    </row>
    <row r="713" spans="1:25" ht="18" customHeight="1" x14ac:dyDescent="0.2">
      <c r="A713" s="402">
        <v>746249</v>
      </c>
      <c r="B713" s="403"/>
      <c r="C713" s="404" t="s">
        <v>2374</v>
      </c>
      <c r="D713" s="405">
        <v>43887</v>
      </c>
      <c r="E713" s="406"/>
      <c r="F713" s="325"/>
      <c r="G713" s="324"/>
      <c r="H713" s="324">
        <v>3497.8</v>
      </c>
      <c r="I713" s="325">
        <v>2899.8</v>
      </c>
      <c r="J713" s="325"/>
      <c r="K713" s="325">
        <f t="shared" si="184"/>
        <v>0</v>
      </c>
      <c r="L713" s="325">
        <f t="shared" si="185"/>
        <v>0</v>
      </c>
      <c r="M713" s="407">
        <v>50</v>
      </c>
      <c r="N713" s="408" t="s">
        <v>289</v>
      </c>
      <c r="O713" s="325">
        <f t="shared" si="186"/>
        <v>0</v>
      </c>
      <c r="P713" s="325">
        <f t="shared" si="187"/>
        <v>0</v>
      </c>
      <c r="Q713" s="325">
        <f t="shared" si="188"/>
        <v>0</v>
      </c>
      <c r="R713" s="325">
        <f t="shared" si="178"/>
        <v>724</v>
      </c>
      <c r="S713" s="325">
        <f t="shared" si="179"/>
        <v>0</v>
      </c>
      <c r="T713" s="325">
        <f t="shared" si="189"/>
        <v>724</v>
      </c>
      <c r="U713" s="325">
        <f t="shared" si="190"/>
        <v>2175.8000000000002</v>
      </c>
      <c r="V713" s="325">
        <f t="shared" si="181"/>
        <v>0</v>
      </c>
      <c r="W713" s="449" cm="1">
        <f t="array" ref="W713">+IF(U713&lt;0,error,0)</f>
        <v>0</v>
      </c>
    </row>
    <row r="714" spans="1:25" ht="18" customHeight="1" x14ac:dyDescent="0.2">
      <c r="A714" s="402">
        <v>746250</v>
      </c>
      <c r="B714" s="403"/>
      <c r="C714" s="404" t="s">
        <v>2376</v>
      </c>
      <c r="D714" s="405">
        <v>43893</v>
      </c>
      <c r="E714" s="406"/>
      <c r="F714" s="325"/>
      <c r="G714" s="324"/>
      <c r="H714" s="324">
        <v>43850</v>
      </c>
      <c r="I714" s="325">
        <f>36702-0.005</f>
        <v>36701.995000000003</v>
      </c>
      <c r="J714" s="325"/>
      <c r="K714" s="325">
        <f t="shared" si="184"/>
        <v>0</v>
      </c>
      <c r="L714" s="325">
        <f t="shared" si="185"/>
        <v>0</v>
      </c>
      <c r="M714" s="407">
        <v>50</v>
      </c>
      <c r="N714" s="408" t="s">
        <v>289</v>
      </c>
      <c r="O714" s="325">
        <f t="shared" si="186"/>
        <v>0</v>
      </c>
      <c r="P714" s="325">
        <f t="shared" si="187"/>
        <v>0</v>
      </c>
      <c r="Q714" s="325">
        <f t="shared" si="188"/>
        <v>0</v>
      </c>
      <c r="R714" s="325">
        <f t="shared" si="178"/>
        <v>9175</v>
      </c>
      <c r="S714" s="325">
        <f t="shared" si="179"/>
        <v>0</v>
      </c>
      <c r="T714" s="325">
        <f t="shared" si="189"/>
        <v>9175</v>
      </c>
      <c r="U714" s="325">
        <f t="shared" si="190"/>
        <v>27526.995000000003</v>
      </c>
      <c r="V714" s="325">
        <f t="shared" si="181"/>
        <v>0</v>
      </c>
      <c r="W714" s="449" cm="1">
        <f t="array" ref="W714">+IF(U714&lt;0,error,0)</f>
        <v>0</v>
      </c>
    </row>
    <row r="715" spans="1:25" ht="18" customHeight="1" x14ac:dyDescent="0.2">
      <c r="A715" s="402">
        <v>746251</v>
      </c>
      <c r="B715" s="403"/>
      <c r="C715" s="404" t="s">
        <v>2377</v>
      </c>
      <c r="D715" s="405">
        <v>43900</v>
      </c>
      <c r="E715" s="406"/>
      <c r="F715" s="325"/>
      <c r="G715" s="324"/>
      <c r="H715" s="324">
        <v>3321.22</v>
      </c>
      <c r="I715" s="325">
        <v>2812.22</v>
      </c>
      <c r="J715" s="325">
        <v>-113.7</v>
      </c>
      <c r="K715" s="325">
        <f t="shared" si="184"/>
        <v>0</v>
      </c>
      <c r="L715" s="325">
        <f t="shared" si="185"/>
        <v>0</v>
      </c>
      <c r="M715" s="407">
        <v>50</v>
      </c>
      <c r="N715" s="408" t="s">
        <v>289</v>
      </c>
      <c r="O715" s="325">
        <f t="shared" si="186"/>
        <v>0</v>
      </c>
      <c r="P715" s="325">
        <f t="shared" si="187"/>
        <v>0</v>
      </c>
      <c r="Q715" s="325">
        <f t="shared" si="188"/>
        <v>0</v>
      </c>
      <c r="R715" s="325">
        <f t="shared" si="178"/>
        <v>703</v>
      </c>
      <c r="S715" s="325">
        <f t="shared" si="179"/>
        <v>0</v>
      </c>
      <c r="T715" s="325">
        <f t="shared" si="189"/>
        <v>703</v>
      </c>
      <c r="U715" s="325">
        <f t="shared" si="190"/>
        <v>1995.52</v>
      </c>
      <c r="V715" s="325">
        <f t="shared" si="181"/>
        <v>0</v>
      </c>
      <c r="W715" s="449" cm="1">
        <f t="array" ref="W715">+IF(U715&lt;0,error,0)</f>
        <v>0</v>
      </c>
      <c r="Y715" s="494">
        <f>+H715+J715</f>
        <v>3207.52</v>
      </c>
    </row>
    <row r="716" spans="1:25" ht="18" customHeight="1" x14ac:dyDescent="0.2">
      <c r="A716" s="402">
        <v>746252</v>
      </c>
      <c r="B716" s="403"/>
      <c r="C716" s="404" t="s">
        <v>2378</v>
      </c>
      <c r="D716" s="405">
        <v>43914</v>
      </c>
      <c r="E716" s="406"/>
      <c r="F716" s="325"/>
      <c r="G716" s="324"/>
      <c r="H716" s="324">
        <v>35769.43</v>
      </c>
      <c r="I716" s="325">
        <v>30968.43</v>
      </c>
      <c r="J716" s="325"/>
      <c r="K716" s="325">
        <f t="shared" si="184"/>
        <v>0</v>
      </c>
      <c r="L716" s="325">
        <f t="shared" si="185"/>
        <v>0</v>
      </c>
      <c r="M716" s="407">
        <v>50</v>
      </c>
      <c r="N716" s="408" t="s">
        <v>289</v>
      </c>
      <c r="O716" s="325">
        <f t="shared" si="186"/>
        <v>0</v>
      </c>
      <c r="P716" s="325">
        <f t="shared" si="187"/>
        <v>0</v>
      </c>
      <c r="Q716" s="325">
        <f t="shared" si="188"/>
        <v>0</v>
      </c>
      <c r="R716" s="325">
        <f t="shared" si="178"/>
        <v>7742</v>
      </c>
      <c r="S716" s="325">
        <f t="shared" si="179"/>
        <v>0</v>
      </c>
      <c r="T716" s="325">
        <f t="shared" si="189"/>
        <v>7742</v>
      </c>
      <c r="U716" s="325">
        <f t="shared" si="190"/>
        <v>23226.43</v>
      </c>
      <c r="V716" s="325">
        <f t="shared" si="181"/>
        <v>0</v>
      </c>
      <c r="W716" s="449" cm="1">
        <f t="array" ref="W716">+IF(U716&lt;0,error,0)</f>
        <v>0</v>
      </c>
    </row>
    <row r="717" spans="1:25" ht="18" customHeight="1" x14ac:dyDescent="0.2">
      <c r="A717" s="402">
        <v>746253</v>
      </c>
      <c r="B717" s="403"/>
      <c r="C717" s="404" t="s">
        <v>2379</v>
      </c>
      <c r="D717" s="405">
        <v>43920</v>
      </c>
      <c r="E717" s="406"/>
      <c r="F717" s="325"/>
      <c r="G717" s="324"/>
      <c r="H717" s="324">
        <f>24952.19-1409.16</f>
        <v>23543.03</v>
      </c>
      <c r="I717" s="325">
        <f>21808.19</f>
        <v>21808.19</v>
      </c>
      <c r="J717" s="325">
        <v>-1295.46</v>
      </c>
      <c r="K717" s="325">
        <f t="shared" si="184"/>
        <v>0</v>
      </c>
      <c r="L717" s="325">
        <f t="shared" si="185"/>
        <v>0</v>
      </c>
      <c r="M717" s="407">
        <v>50</v>
      </c>
      <c r="N717" s="408" t="s">
        <v>289</v>
      </c>
      <c r="O717" s="325">
        <f t="shared" si="186"/>
        <v>0</v>
      </c>
      <c r="P717" s="325">
        <f t="shared" si="187"/>
        <v>0</v>
      </c>
      <c r="Q717" s="325">
        <f t="shared" si="188"/>
        <v>0</v>
      </c>
      <c r="R717" s="325">
        <f t="shared" si="178"/>
        <v>5452</v>
      </c>
      <c r="S717" s="325">
        <f t="shared" si="179"/>
        <v>0</v>
      </c>
      <c r="T717" s="325">
        <f>+R717+S717+Q717</f>
        <v>5452</v>
      </c>
      <c r="U717" s="325">
        <f>+I717+J717-T717-F717+K717-L717</f>
        <v>15060.73</v>
      </c>
      <c r="V717" s="325">
        <f t="shared" si="181"/>
        <v>0</v>
      </c>
      <c r="W717" s="449" cm="1">
        <f t="array" ref="W717">+IF(U717&lt;0,error,0)</f>
        <v>0</v>
      </c>
    </row>
    <row r="718" spans="1:25" ht="18" customHeight="1" x14ac:dyDescent="0.2">
      <c r="A718" s="402">
        <v>746254</v>
      </c>
      <c r="B718" s="403"/>
      <c r="C718" s="404" t="s">
        <v>2380</v>
      </c>
      <c r="D718" s="405">
        <v>43922</v>
      </c>
      <c r="E718" s="406"/>
      <c r="F718" s="325"/>
      <c r="G718" s="324"/>
      <c r="H718" s="324">
        <v>101455.03999999999</v>
      </c>
      <c r="I718" s="325">
        <v>88947.04</v>
      </c>
      <c r="J718" s="325"/>
      <c r="K718" s="325">
        <f t="shared" si="184"/>
        <v>0</v>
      </c>
      <c r="L718" s="325">
        <f t="shared" si="185"/>
        <v>0</v>
      </c>
      <c r="M718" s="407">
        <v>50</v>
      </c>
      <c r="N718" s="408" t="s">
        <v>289</v>
      </c>
      <c r="O718" s="325">
        <f t="shared" si="186"/>
        <v>0</v>
      </c>
      <c r="P718" s="325">
        <f t="shared" si="187"/>
        <v>0</v>
      </c>
      <c r="Q718" s="325">
        <f t="shared" si="188"/>
        <v>0</v>
      </c>
      <c r="R718" s="325">
        <f t="shared" si="178"/>
        <v>22236</v>
      </c>
      <c r="S718" s="325">
        <f t="shared" si="179"/>
        <v>0</v>
      </c>
      <c r="T718" s="325">
        <f t="shared" si="189"/>
        <v>22236</v>
      </c>
      <c r="U718" s="325">
        <f t="shared" si="190"/>
        <v>66711.039999999994</v>
      </c>
      <c r="V718" s="325">
        <f t="shared" si="181"/>
        <v>0</v>
      </c>
      <c r="W718" s="449" cm="1">
        <f t="array" ref="W718">+IF(U718&lt;0,error,0)</f>
        <v>0</v>
      </c>
      <c r="Y718" s="494">
        <f>+H718+J718</f>
        <v>101455.03999999999</v>
      </c>
    </row>
    <row r="719" spans="1:25" ht="18" customHeight="1" x14ac:dyDescent="0.2">
      <c r="A719" s="402">
        <v>746255</v>
      </c>
      <c r="B719" s="403"/>
      <c r="C719" s="404" t="s">
        <v>2381</v>
      </c>
      <c r="D719" s="405">
        <v>43936</v>
      </c>
      <c r="E719" s="406"/>
      <c r="F719" s="325"/>
      <c r="G719" s="324"/>
      <c r="H719" s="324">
        <v>8528.57</v>
      </c>
      <c r="I719" s="325">
        <v>7641.57</v>
      </c>
      <c r="J719" s="325"/>
      <c r="K719" s="325">
        <f t="shared" si="184"/>
        <v>0</v>
      </c>
      <c r="L719" s="325">
        <f t="shared" si="185"/>
        <v>0</v>
      </c>
      <c r="M719" s="407">
        <v>50</v>
      </c>
      <c r="N719" s="408" t="s">
        <v>289</v>
      </c>
      <c r="O719" s="325">
        <f t="shared" si="186"/>
        <v>0</v>
      </c>
      <c r="P719" s="325">
        <f t="shared" si="187"/>
        <v>0</v>
      </c>
      <c r="Q719" s="325">
        <f t="shared" si="188"/>
        <v>0</v>
      </c>
      <c r="R719" s="325">
        <f t="shared" si="178"/>
        <v>1910</v>
      </c>
      <c r="S719" s="325">
        <f t="shared" si="179"/>
        <v>0</v>
      </c>
      <c r="T719" s="325">
        <f t="shared" si="189"/>
        <v>1910</v>
      </c>
      <c r="U719" s="325">
        <f t="shared" si="190"/>
        <v>5731.57</v>
      </c>
      <c r="V719" s="325">
        <f t="shared" si="181"/>
        <v>0</v>
      </c>
      <c r="W719" s="449" cm="1">
        <f t="array" ref="W719">+IF(U719&lt;0,error,0)</f>
        <v>0</v>
      </c>
    </row>
    <row r="720" spans="1:25" ht="18" customHeight="1" x14ac:dyDescent="0.2">
      <c r="A720" s="402">
        <v>746256</v>
      </c>
      <c r="B720" s="403"/>
      <c r="C720" s="404" t="s">
        <v>2382</v>
      </c>
      <c r="D720" s="405">
        <v>43969</v>
      </c>
      <c r="E720" s="406"/>
      <c r="F720" s="325"/>
      <c r="G720" s="324"/>
      <c r="H720" s="324">
        <v>19835</v>
      </c>
      <c r="I720" s="325">
        <v>18667</v>
      </c>
      <c r="J720" s="325"/>
      <c r="K720" s="325">
        <f t="shared" si="184"/>
        <v>0</v>
      </c>
      <c r="L720" s="325">
        <f t="shared" si="185"/>
        <v>0</v>
      </c>
      <c r="M720" s="407">
        <v>50</v>
      </c>
      <c r="N720" s="408" t="s">
        <v>289</v>
      </c>
      <c r="O720" s="325">
        <f t="shared" si="186"/>
        <v>0</v>
      </c>
      <c r="P720" s="325">
        <f t="shared" si="187"/>
        <v>0</v>
      </c>
      <c r="Q720" s="325">
        <f t="shared" si="188"/>
        <v>0</v>
      </c>
      <c r="R720" s="325">
        <f t="shared" si="178"/>
        <v>4666</v>
      </c>
      <c r="S720" s="325">
        <f t="shared" si="179"/>
        <v>0</v>
      </c>
      <c r="T720" s="325">
        <f t="shared" si="189"/>
        <v>4666</v>
      </c>
      <c r="U720" s="325">
        <f t="shared" si="190"/>
        <v>14001</v>
      </c>
      <c r="V720" s="325">
        <f t="shared" si="181"/>
        <v>0</v>
      </c>
      <c r="W720" s="449" cm="1">
        <f t="array" ref="W720">+IF(U720&lt;0,error,0)</f>
        <v>0</v>
      </c>
    </row>
    <row r="721" spans="1:27" ht="18" customHeight="1" x14ac:dyDescent="0.2">
      <c r="A721" s="413"/>
      <c r="B721" s="414"/>
      <c r="C721" s="416"/>
      <c r="D721" s="416"/>
      <c r="E721" s="406"/>
      <c r="F721" s="325"/>
      <c r="G721" s="324"/>
      <c r="H721" s="324"/>
      <c r="I721" s="333"/>
      <c r="J721" s="333"/>
      <c r="K721" s="333"/>
      <c r="L721" s="333"/>
      <c r="M721" s="418"/>
      <c r="N721" s="408"/>
      <c r="O721" s="408"/>
      <c r="P721" s="333"/>
      <c r="Q721" s="333"/>
      <c r="R721" s="408"/>
      <c r="S721" s="333"/>
      <c r="T721" s="333"/>
      <c r="U721" s="333"/>
      <c r="V721" s="333"/>
      <c r="W721" s="449" cm="1">
        <f t="array" ref="W721">+IF(U721&lt;0,error,0)</f>
        <v>0</v>
      </c>
    </row>
    <row r="722" spans="1:27" ht="18" customHeight="1" x14ac:dyDescent="0.2">
      <c r="A722" s="413"/>
      <c r="B722" s="414"/>
      <c r="C722" s="415" t="s">
        <v>2043</v>
      </c>
      <c r="D722" s="416"/>
      <c r="E722" s="406"/>
      <c r="F722" s="325"/>
      <c r="G722" s="324"/>
      <c r="H722" s="417">
        <f>+J723-V723</f>
        <v>-27616.674825174832</v>
      </c>
      <c r="I722" s="333"/>
      <c r="J722" s="333"/>
      <c r="K722" s="333"/>
      <c r="L722" s="333"/>
      <c r="M722" s="418"/>
      <c r="N722" s="408"/>
      <c r="O722" s="408"/>
      <c r="P722" s="333"/>
      <c r="Q722" s="333"/>
      <c r="R722" s="408"/>
      <c r="S722" s="333"/>
      <c r="T722" s="333"/>
      <c r="U722" s="333"/>
      <c r="V722" s="333"/>
      <c r="W722" s="449" cm="1">
        <f t="array" ref="W722">+IF(U722&lt;0,error,0)</f>
        <v>0</v>
      </c>
    </row>
    <row r="723" spans="1:27" s="347" customFormat="1" ht="18" customHeight="1" x14ac:dyDescent="0.2">
      <c r="A723" s="420"/>
      <c r="B723" s="421"/>
      <c r="C723" s="415" t="s">
        <v>1656</v>
      </c>
      <c r="D723" s="415"/>
      <c r="E723" s="429"/>
      <c r="F723" s="417">
        <f>SUM(F557:F721)</f>
        <v>2420</v>
      </c>
      <c r="G723" s="417">
        <f>SUM(G557:G721)</f>
        <v>26207.514825174832</v>
      </c>
      <c r="H723" s="417">
        <f>SUM(H557:H722)</f>
        <v>1869596.5151748252</v>
      </c>
      <c r="I723" s="417">
        <f>SUM(I557:I721)</f>
        <v>597593.93999999983</v>
      </c>
      <c r="J723" s="334">
        <f>SUM(J557:J721)</f>
        <v>-1409.16</v>
      </c>
      <c r="K723" s="417">
        <f>SUM(K557:K721)</f>
        <v>1569</v>
      </c>
      <c r="L723" s="334">
        <f>SUM(L557:L721)</f>
        <v>0</v>
      </c>
      <c r="M723" s="450"/>
      <c r="N723" s="426"/>
      <c r="O723" s="334">
        <f>SUM(O557:O721)</f>
        <v>80</v>
      </c>
      <c r="P723" s="334">
        <f>SUM(P557:P721)</f>
        <v>0</v>
      </c>
      <c r="Q723" s="334"/>
      <c r="R723" s="334">
        <f>SUM(R557:R721)</f>
        <v>149604</v>
      </c>
      <c r="S723" s="334">
        <f>SUM(S557:S721)</f>
        <v>0</v>
      </c>
      <c r="T723" s="417">
        <f>SUM(T557:T721)</f>
        <v>149682.59797199999</v>
      </c>
      <c r="U723" s="334">
        <f>SUM(U557:U721)</f>
        <v>445651.18202800001</v>
      </c>
      <c r="V723" s="417">
        <f>SUM(V557:V721)</f>
        <v>26207.514825174832</v>
      </c>
      <c r="W723" s="449" cm="1">
        <f t="array" ref="W723">+IF(U723&lt;0,error,0)</f>
        <v>0</v>
      </c>
      <c r="X723" s="427"/>
      <c r="Y723" s="445">
        <f>1871005.68-1425354.5</f>
        <v>445651.17999999993</v>
      </c>
      <c r="Z723" s="445">
        <f>+U723-Y723</f>
        <v>2.0280000753700733E-3</v>
      </c>
      <c r="AA723" s="445"/>
    </row>
    <row r="724" spans="1:27" ht="18" customHeight="1" x14ac:dyDescent="0.2">
      <c r="A724" s="413"/>
      <c r="B724" s="414"/>
      <c r="C724" s="416"/>
      <c r="D724" s="416"/>
      <c r="E724" s="406"/>
      <c r="F724" s="325"/>
      <c r="G724" s="324"/>
      <c r="H724" s="324"/>
      <c r="I724" s="325"/>
      <c r="J724" s="325"/>
      <c r="K724" s="325"/>
      <c r="L724" s="325"/>
      <c r="M724" s="451"/>
      <c r="N724" s="452"/>
      <c r="O724" s="334">
        <v>7157</v>
      </c>
      <c r="P724" s="334">
        <v>0</v>
      </c>
      <c r="Q724" s="334"/>
      <c r="R724" s="334">
        <v>102573</v>
      </c>
      <c r="S724" s="334">
        <v>0</v>
      </c>
      <c r="T724" s="334"/>
      <c r="U724" s="325"/>
      <c r="V724" s="325"/>
      <c r="W724" s="449" cm="1">
        <f t="array" ref="W724">+IF(U724&lt;0,error,0)</f>
        <v>0</v>
      </c>
    </row>
    <row r="725" spans="1:27" ht="18" customHeight="1" x14ac:dyDescent="0.2">
      <c r="A725" s="432" t="s">
        <v>1576</v>
      </c>
      <c r="B725" s="433"/>
      <c r="C725" s="416"/>
      <c r="D725" s="415"/>
      <c r="E725" s="429"/>
      <c r="F725" s="334"/>
      <c r="G725" s="417"/>
      <c r="H725" s="417"/>
      <c r="I725" s="334"/>
      <c r="J725" s="334"/>
      <c r="K725" s="334"/>
      <c r="L725" s="334"/>
      <c r="M725" s="415"/>
      <c r="N725" s="446"/>
      <c r="O725" s="446"/>
      <c r="P725" s="334"/>
      <c r="Q725" s="334"/>
      <c r="R725" s="446"/>
      <c r="S725" s="334"/>
      <c r="T725" s="334"/>
      <c r="U725" s="333"/>
      <c r="V725" s="333"/>
      <c r="W725" s="449" cm="1">
        <f t="array" ref="W725">+IF(U725&lt;0,error,0)</f>
        <v>0</v>
      </c>
      <c r="Y725" s="447"/>
    </row>
    <row r="726" spans="1:27" ht="18" customHeight="1" x14ac:dyDescent="0.2">
      <c r="A726" s="437" t="s">
        <v>1577</v>
      </c>
      <c r="B726" s="453"/>
      <c r="C726" s="416"/>
      <c r="D726" s="428"/>
      <c r="E726" s="434"/>
      <c r="F726" s="336"/>
      <c r="G726" s="435"/>
      <c r="H726" s="435"/>
      <c r="I726" s="337"/>
      <c r="J726" s="337"/>
      <c r="K726" s="337"/>
      <c r="L726" s="337"/>
      <c r="M726" s="422"/>
      <c r="N726" s="436"/>
      <c r="O726" s="436"/>
      <c r="P726" s="337"/>
      <c r="Q726" s="337"/>
      <c r="R726" s="436"/>
      <c r="S726" s="337"/>
      <c r="T726" s="337"/>
      <c r="U726" s="333"/>
      <c r="V726" s="333"/>
      <c r="W726" s="449" cm="1">
        <f t="array" ref="W726">+IF(U726&lt;0,error,0)</f>
        <v>0</v>
      </c>
    </row>
    <row r="727" spans="1:27" ht="18" customHeight="1" x14ac:dyDescent="0.2">
      <c r="A727" s="402" t="s">
        <v>1578</v>
      </c>
      <c r="B727" s="403"/>
      <c r="C727" s="404" t="s">
        <v>1579</v>
      </c>
      <c r="D727" s="405">
        <v>41281</v>
      </c>
      <c r="E727" s="406"/>
      <c r="F727" s="325"/>
      <c r="G727" s="324"/>
      <c r="H727" s="324">
        <v>6450</v>
      </c>
      <c r="I727" s="325">
        <v>1879</v>
      </c>
      <c r="J727" s="325"/>
      <c r="K727" s="325">
        <f t="shared" ref="K727:K756" si="191">INT(IF($E727&gt;0,IF(+F727-I727+Q727&lt;0,0,+F727-I727+Q727),0))</f>
        <v>0</v>
      </c>
      <c r="L727" s="325">
        <f t="shared" ref="L727:L756" si="192">INT(IF($E727&gt;0,IF(K727=0,-F727+I727-Q727,0),0))</f>
        <v>0</v>
      </c>
      <c r="M727" s="407">
        <v>20</v>
      </c>
      <c r="N727" s="408" t="s">
        <v>289</v>
      </c>
      <c r="O727" s="325">
        <f t="shared" ref="O727:O756" si="193">IF(E727&gt;0,INT(IF($N727="D",IF($D727&lt;$H$3,$I727*($M727/100)*((E727-$H$3)/365),$J727*($M727/100)*($J$3-$D727)/365),0)),0)</f>
        <v>0</v>
      </c>
      <c r="P727" s="325">
        <f t="shared" ref="P727:P756" si="194">IF(E727&gt;0,INT(IF($N727="P",IF($D727&lt;$H$3,$H727*($M727/100)*(E727-$H$3)/365,$J727*($M727/100)*($J$3-$D727)/365),0)),0)</f>
        <v>0</v>
      </c>
      <c r="Q727" s="325">
        <f t="shared" ref="Q727:Q756" si="195">+O727+P727</f>
        <v>0</v>
      </c>
      <c r="R727" s="325">
        <f t="shared" ref="R727:R756" si="196">INT(IF($E727&gt;0,0,(IF($N727="D",IF($D727&lt;$H$3,$I727*($M727/100)*$U$3/12,$J727*($M727/100)*($J$3-$D727)/365),0))))</f>
        <v>187</v>
      </c>
      <c r="S727" s="325">
        <f t="shared" ref="S727:S756" si="197">INT(IF($E727&gt;0,0,(IF($N727="P",IF($D727&lt;$H$3,$H727*($M727/100)*$U$3/12,$J727*($M727/100)*($J$3-$D727)/365),0))))</f>
        <v>0</v>
      </c>
      <c r="T727" s="325">
        <f t="shared" ref="T727" si="198">+R727+S727+Q727</f>
        <v>187</v>
      </c>
      <c r="U727" s="325">
        <f t="shared" ref="U727:U752" si="199">+I727+J727-T727-F727+K727-L727</f>
        <v>1692</v>
      </c>
      <c r="V727" s="325">
        <f t="shared" ref="V727:V756" si="200">IF(E727&gt;0,+H727+J727,0)</f>
        <v>0</v>
      </c>
      <c r="W727" s="449" cm="1">
        <f t="array" ref="W727">+IF(U727&lt;0,error,0)</f>
        <v>0</v>
      </c>
    </row>
    <row r="728" spans="1:27" ht="18" customHeight="1" x14ac:dyDescent="0.2">
      <c r="A728" s="402" t="s">
        <v>1580</v>
      </c>
      <c r="B728" s="403"/>
      <c r="C728" s="404" t="s">
        <v>1581</v>
      </c>
      <c r="D728" s="405">
        <v>41478</v>
      </c>
      <c r="E728" s="406"/>
      <c r="F728" s="325"/>
      <c r="G728" s="324"/>
      <c r="H728" s="324">
        <v>679.09</v>
      </c>
      <c r="I728" s="325">
        <v>8.9999999999999858E-2</v>
      </c>
      <c r="J728" s="325"/>
      <c r="K728" s="325">
        <f t="shared" si="191"/>
        <v>0</v>
      </c>
      <c r="L728" s="325">
        <f t="shared" si="192"/>
        <v>0</v>
      </c>
      <c r="M728" s="407">
        <v>50</v>
      </c>
      <c r="N728" s="408" t="s">
        <v>289</v>
      </c>
      <c r="O728" s="325">
        <f t="shared" si="193"/>
        <v>0</v>
      </c>
      <c r="P728" s="325">
        <f t="shared" si="194"/>
        <v>0</v>
      </c>
      <c r="Q728" s="325">
        <f t="shared" si="195"/>
        <v>0</v>
      </c>
      <c r="R728" s="325">
        <f t="shared" si="196"/>
        <v>0</v>
      </c>
      <c r="S728" s="325">
        <f t="shared" si="197"/>
        <v>0</v>
      </c>
      <c r="T728" s="325">
        <v>8.9999999999999858E-2</v>
      </c>
      <c r="U728" s="325">
        <f t="shared" si="199"/>
        <v>0</v>
      </c>
      <c r="V728" s="325">
        <f t="shared" si="200"/>
        <v>0</v>
      </c>
      <c r="W728" s="449" cm="1">
        <f t="array" ref="W728">+IF(U728&lt;0,error,0)</f>
        <v>0</v>
      </c>
    </row>
    <row r="729" spans="1:27" ht="18" customHeight="1" x14ac:dyDescent="0.2">
      <c r="A729" s="402" t="s">
        <v>1582</v>
      </c>
      <c r="B729" s="403"/>
      <c r="C729" s="404" t="s">
        <v>1583</v>
      </c>
      <c r="D729" s="405">
        <v>41688</v>
      </c>
      <c r="E729" s="406"/>
      <c r="F729" s="325"/>
      <c r="G729" s="324"/>
      <c r="H729" s="324">
        <v>1363.64</v>
      </c>
      <c r="I729" s="325">
        <v>153.64000000000001</v>
      </c>
      <c r="J729" s="325"/>
      <c r="K729" s="325">
        <f t="shared" si="191"/>
        <v>0</v>
      </c>
      <c r="L729" s="325">
        <f t="shared" si="192"/>
        <v>0</v>
      </c>
      <c r="M729" s="407">
        <v>30</v>
      </c>
      <c r="N729" s="408" t="s">
        <v>289</v>
      </c>
      <c r="O729" s="325">
        <f t="shared" si="193"/>
        <v>0</v>
      </c>
      <c r="P729" s="325">
        <f t="shared" si="194"/>
        <v>0</v>
      </c>
      <c r="Q729" s="325">
        <f t="shared" si="195"/>
        <v>0</v>
      </c>
      <c r="R729" s="325">
        <f t="shared" si="196"/>
        <v>23</v>
      </c>
      <c r="S729" s="325">
        <f t="shared" si="197"/>
        <v>0</v>
      </c>
      <c r="T729" s="325">
        <f t="shared" ref="T729:T756" si="201">+R729+S729+Q729</f>
        <v>23</v>
      </c>
      <c r="U729" s="325">
        <f t="shared" si="199"/>
        <v>130.64000000000001</v>
      </c>
      <c r="V729" s="325">
        <f t="shared" si="200"/>
        <v>0</v>
      </c>
      <c r="W729" s="449" cm="1">
        <f t="array" ref="W729">+IF(U729&lt;0,error,0)</f>
        <v>0</v>
      </c>
    </row>
    <row r="730" spans="1:27" ht="18" customHeight="1" x14ac:dyDescent="0.2">
      <c r="A730" s="402" t="s">
        <v>1584</v>
      </c>
      <c r="B730" s="403"/>
      <c r="C730" s="404" t="s">
        <v>1585</v>
      </c>
      <c r="D730" s="405">
        <v>42149</v>
      </c>
      <c r="E730" s="406"/>
      <c r="F730" s="325"/>
      <c r="G730" s="324"/>
      <c r="H730" s="324">
        <v>1522.73</v>
      </c>
      <c r="I730" s="325">
        <v>11.730000000000004</v>
      </c>
      <c r="J730" s="325"/>
      <c r="K730" s="325">
        <f t="shared" si="191"/>
        <v>0</v>
      </c>
      <c r="L730" s="325">
        <f t="shared" si="192"/>
        <v>0</v>
      </c>
      <c r="M730" s="407">
        <v>66.67</v>
      </c>
      <c r="N730" s="408" t="s">
        <v>289</v>
      </c>
      <c r="O730" s="325">
        <f t="shared" si="193"/>
        <v>0</v>
      </c>
      <c r="P730" s="325">
        <f t="shared" si="194"/>
        <v>0</v>
      </c>
      <c r="Q730" s="325">
        <f t="shared" si="195"/>
        <v>0</v>
      </c>
      <c r="R730" s="325">
        <f t="shared" si="196"/>
        <v>3</v>
      </c>
      <c r="S730" s="325">
        <f t="shared" si="197"/>
        <v>0</v>
      </c>
      <c r="T730" s="325">
        <f t="shared" si="201"/>
        <v>3</v>
      </c>
      <c r="U730" s="325">
        <f t="shared" si="199"/>
        <v>8.730000000000004</v>
      </c>
      <c r="V730" s="325">
        <f t="shared" si="200"/>
        <v>0</v>
      </c>
      <c r="W730" s="449" cm="1">
        <f t="array" ref="W730">+IF(U730&lt;0,error,0)</f>
        <v>0</v>
      </c>
    </row>
    <row r="731" spans="1:27" ht="18" customHeight="1" x14ac:dyDescent="0.2">
      <c r="A731" s="402" t="s">
        <v>1586</v>
      </c>
      <c r="B731" s="403"/>
      <c r="C731" s="404" t="s">
        <v>1587</v>
      </c>
      <c r="D731" s="405">
        <v>42242</v>
      </c>
      <c r="E731" s="406"/>
      <c r="F731" s="325"/>
      <c r="G731" s="324"/>
      <c r="H731" s="324">
        <v>1145.4000000000001</v>
      </c>
      <c r="I731" s="325">
        <v>0</v>
      </c>
      <c r="J731" s="325"/>
      <c r="K731" s="325">
        <f t="shared" si="191"/>
        <v>0</v>
      </c>
      <c r="L731" s="325">
        <f t="shared" si="192"/>
        <v>0</v>
      </c>
      <c r="M731" s="407">
        <v>100</v>
      </c>
      <c r="N731" s="408" t="s">
        <v>289</v>
      </c>
      <c r="O731" s="325">
        <f t="shared" si="193"/>
        <v>0</v>
      </c>
      <c r="P731" s="325">
        <f t="shared" si="194"/>
        <v>0</v>
      </c>
      <c r="Q731" s="325">
        <f t="shared" si="195"/>
        <v>0</v>
      </c>
      <c r="R731" s="325">
        <f t="shared" si="196"/>
        <v>0</v>
      </c>
      <c r="S731" s="325">
        <f t="shared" si="197"/>
        <v>0</v>
      </c>
      <c r="T731" s="325">
        <f t="shared" si="201"/>
        <v>0</v>
      </c>
      <c r="U731" s="325">
        <f t="shared" si="199"/>
        <v>0</v>
      </c>
      <c r="V731" s="325">
        <f t="shared" si="200"/>
        <v>0</v>
      </c>
      <c r="W731" s="449" cm="1">
        <f t="array" ref="W731">+IF(U731&lt;0,error,0)</f>
        <v>0</v>
      </c>
    </row>
    <row r="732" spans="1:27" ht="18" customHeight="1" x14ac:dyDescent="0.2">
      <c r="A732" s="402" t="s">
        <v>1588</v>
      </c>
      <c r="B732" s="403"/>
      <c r="C732" s="404" t="s">
        <v>1589</v>
      </c>
      <c r="D732" s="405">
        <v>42392</v>
      </c>
      <c r="E732" s="406"/>
      <c r="F732" s="325"/>
      <c r="G732" s="324"/>
      <c r="H732" s="324">
        <v>2229.09</v>
      </c>
      <c r="I732" s="325">
        <v>855.08999999999992</v>
      </c>
      <c r="J732" s="325"/>
      <c r="K732" s="325">
        <f t="shared" si="191"/>
        <v>0</v>
      </c>
      <c r="L732" s="325">
        <f t="shared" si="192"/>
        <v>0</v>
      </c>
      <c r="M732" s="407">
        <v>20</v>
      </c>
      <c r="N732" s="408" t="s">
        <v>289</v>
      </c>
      <c r="O732" s="325">
        <f t="shared" si="193"/>
        <v>0</v>
      </c>
      <c r="P732" s="325">
        <f t="shared" si="194"/>
        <v>0</v>
      </c>
      <c r="Q732" s="325">
        <f t="shared" si="195"/>
        <v>0</v>
      </c>
      <c r="R732" s="325">
        <f t="shared" si="196"/>
        <v>85</v>
      </c>
      <c r="S732" s="325">
        <f t="shared" si="197"/>
        <v>0</v>
      </c>
      <c r="T732" s="325">
        <f t="shared" si="201"/>
        <v>85</v>
      </c>
      <c r="U732" s="325">
        <f t="shared" si="199"/>
        <v>770.08999999999992</v>
      </c>
      <c r="V732" s="325">
        <f t="shared" si="200"/>
        <v>0</v>
      </c>
      <c r="W732" s="449" cm="1">
        <f t="array" ref="W732">+IF(U732&lt;0,error,0)</f>
        <v>0</v>
      </c>
    </row>
    <row r="733" spans="1:27" ht="18" customHeight="1" x14ac:dyDescent="0.2">
      <c r="A733" s="402" t="s">
        <v>1590</v>
      </c>
      <c r="B733" s="403"/>
      <c r="C733" s="404" t="s">
        <v>1591</v>
      </c>
      <c r="D733" s="405">
        <v>42513</v>
      </c>
      <c r="E733" s="406"/>
      <c r="F733" s="325"/>
      <c r="G733" s="324"/>
      <c r="H733" s="324">
        <v>796.36</v>
      </c>
      <c r="I733" s="325">
        <v>0</v>
      </c>
      <c r="J733" s="325"/>
      <c r="K733" s="325">
        <f t="shared" si="191"/>
        <v>0</v>
      </c>
      <c r="L733" s="325">
        <f t="shared" si="192"/>
        <v>0</v>
      </c>
      <c r="M733" s="407">
        <v>100</v>
      </c>
      <c r="N733" s="408" t="s">
        <v>289</v>
      </c>
      <c r="O733" s="325">
        <f t="shared" si="193"/>
        <v>0</v>
      </c>
      <c r="P733" s="325">
        <f t="shared" si="194"/>
        <v>0</v>
      </c>
      <c r="Q733" s="325">
        <f t="shared" si="195"/>
        <v>0</v>
      </c>
      <c r="R733" s="325">
        <f t="shared" si="196"/>
        <v>0</v>
      </c>
      <c r="S733" s="325">
        <f t="shared" si="197"/>
        <v>0</v>
      </c>
      <c r="T733" s="325">
        <f t="shared" si="201"/>
        <v>0</v>
      </c>
      <c r="U733" s="325">
        <f t="shared" si="199"/>
        <v>0</v>
      </c>
      <c r="V733" s="325">
        <f t="shared" si="200"/>
        <v>0</v>
      </c>
      <c r="W733" s="449" cm="1">
        <f t="array" ref="W733">+IF(U733&lt;0,error,0)</f>
        <v>0</v>
      </c>
    </row>
    <row r="734" spans="1:27" ht="18" customHeight="1" x14ac:dyDescent="0.2">
      <c r="A734" s="402" t="s">
        <v>1592</v>
      </c>
      <c r="B734" s="403"/>
      <c r="C734" s="404" t="s">
        <v>1593</v>
      </c>
      <c r="D734" s="405">
        <v>42355</v>
      </c>
      <c r="E734" s="406"/>
      <c r="F734" s="325"/>
      <c r="G734" s="324"/>
      <c r="H734" s="324">
        <v>2499.0500000000002</v>
      </c>
      <c r="I734" s="325">
        <v>0</v>
      </c>
      <c r="J734" s="325"/>
      <c r="K734" s="325">
        <f t="shared" si="191"/>
        <v>0</v>
      </c>
      <c r="L734" s="325">
        <f t="shared" si="192"/>
        <v>0</v>
      </c>
      <c r="M734" s="407">
        <v>100</v>
      </c>
      <c r="N734" s="408" t="s">
        <v>289</v>
      </c>
      <c r="O734" s="325">
        <f t="shared" si="193"/>
        <v>0</v>
      </c>
      <c r="P734" s="325">
        <f t="shared" si="194"/>
        <v>0</v>
      </c>
      <c r="Q734" s="325">
        <f t="shared" si="195"/>
        <v>0</v>
      </c>
      <c r="R734" s="325">
        <f t="shared" si="196"/>
        <v>0</v>
      </c>
      <c r="S734" s="325">
        <f t="shared" si="197"/>
        <v>0</v>
      </c>
      <c r="T734" s="325">
        <f t="shared" si="201"/>
        <v>0</v>
      </c>
      <c r="U734" s="325">
        <f t="shared" si="199"/>
        <v>0</v>
      </c>
      <c r="V734" s="325">
        <f t="shared" si="200"/>
        <v>0</v>
      </c>
      <c r="W734" s="449" cm="1">
        <f t="array" ref="W734">+IF(U734&lt;0,error,0)</f>
        <v>0</v>
      </c>
    </row>
    <row r="735" spans="1:27" ht="18" customHeight="1" x14ac:dyDescent="0.2">
      <c r="A735" s="402" t="s">
        <v>1594</v>
      </c>
      <c r="B735" s="403"/>
      <c r="C735" s="404" t="s">
        <v>1595</v>
      </c>
      <c r="D735" s="405">
        <v>42772</v>
      </c>
      <c r="E735" s="406"/>
      <c r="F735" s="325"/>
      <c r="G735" s="324"/>
      <c r="H735" s="324">
        <v>1352.73</v>
      </c>
      <c r="I735" s="325">
        <v>0</v>
      </c>
      <c r="J735" s="325"/>
      <c r="K735" s="325">
        <f t="shared" si="191"/>
        <v>0</v>
      </c>
      <c r="L735" s="325">
        <f t="shared" si="192"/>
        <v>0</v>
      </c>
      <c r="M735" s="407">
        <v>100</v>
      </c>
      <c r="N735" s="408" t="s">
        <v>289</v>
      </c>
      <c r="O735" s="325">
        <f t="shared" si="193"/>
        <v>0</v>
      </c>
      <c r="P735" s="325">
        <f t="shared" si="194"/>
        <v>0</v>
      </c>
      <c r="Q735" s="325">
        <f t="shared" si="195"/>
        <v>0</v>
      </c>
      <c r="R735" s="325">
        <f t="shared" si="196"/>
        <v>0</v>
      </c>
      <c r="S735" s="325">
        <f t="shared" si="197"/>
        <v>0</v>
      </c>
      <c r="T735" s="325">
        <f t="shared" si="201"/>
        <v>0</v>
      </c>
      <c r="U735" s="325">
        <f t="shared" si="199"/>
        <v>0</v>
      </c>
      <c r="V735" s="325">
        <f t="shared" si="200"/>
        <v>0</v>
      </c>
      <c r="W735" s="449" cm="1">
        <f t="array" ref="W735">+IF(U735&lt;0,error,0)</f>
        <v>0</v>
      </c>
    </row>
    <row r="736" spans="1:27" ht="18" customHeight="1" x14ac:dyDescent="0.2">
      <c r="A736" s="402" t="s">
        <v>1596</v>
      </c>
      <c r="B736" s="403"/>
      <c r="C736" s="404" t="s">
        <v>1597</v>
      </c>
      <c r="D736" s="405">
        <v>42809</v>
      </c>
      <c r="E736" s="406"/>
      <c r="F736" s="325"/>
      <c r="G736" s="324"/>
      <c r="H736" s="324">
        <v>710.91</v>
      </c>
      <c r="I736" s="325">
        <v>0</v>
      </c>
      <c r="J736" s="325"/>
      <c r="K736" s="325">
        <f t="shared" si="191"/>
        <v>0</v>
      </c>
      <c r="L736" s="325">
        <f t="shared" si="192"/>
        <v>0</v>
      </c>
      <c r="M736" s="407">
        <v>100</v>
      </c>
      <c r="N736" s="408" t="s">
        <v>289</v>
      </c>
      <c r="O736" s="325">
        <f t="shared" si="193"/>
        <v>0</v>
      </c>
      <c r="P736" s="325">
        <f t="shared" si="194"/>
        <v>0</v>
      </c>
      <c r="Q736" s="325">
        <f t="shared" si="195"/>
        <v>0</v>
      </c>
      <c r="R736" s="325">
        <f t="shared" si="196"/>
        <v>0</v>
      </c>
      <c r="S736" s="325">
        <f t="shared" si="197"/>
        <v>0</v>
      </c>
      <c r="T736" s="325">
        <f t="shared" si="201"/>
        <v>0</v>
      </c>
      <c r="U736" s="325">
        <f t="shared" si="199"/>
        <v>0</v>
      </c>
      <c r="V736" s="325">
        <f t="shared" si="200"/>
        <v>0</v>
      </c>
      <c r="W736" s="449" cm="1">
        <f t="array" ref="W736">+IF(U736&lt;0,error,0)</f>
        <v>0</v>
      </c>
    </row>
    <row r="737" spans="1:23" ht="18" customHeight="1" x14ac:dyDescent="0.2">
      <c r="A737" s="402" t="s">
        <v>1598</v>
      </c>
      <c r="B737" s="403"/>
      <c r="C737" s="411" t="s">
        <v>1599</v>
      </c>
      <c r="D737" s="405">
        <v>42809</v>
      </c>
      <c r="E737" s="406"/>
      <c r="F737" s="325"/>
      <c r="G737" s="324"/>
      <c r="H737" s="324">
        <v>1632.73</v>
      </c>
      <c r="I737" s="325">
        <v>0</v>
      </c>
      <c r="J737" s="325"/>
      <c r="K737" s="325">
        <f t="shared" si="191"/>
        <v>0</v>
      </c>
      <c r="L737" s="325">
        <f t="shared" si="192"/>
        <v>0</v>
      </c>
      <c r="M737" s="407">
        <v>100</v>
      </c>
      <c r="N737" s="408" t="s">
        <v>289</v>
      </c>
      <c r="O737" s="325">
        <f t="shared" si="193"/>
        <v>0</v>
      </c>
      <c r="P737" s="325">
        <f t="shared" si="194"/>
        <v>0</v>
      </c>
      <c r="Q737" s="325">
        <f t="shared" si="195"/>
        <v>0</v>
      </c>
      <c r="R737" s="325">
        <f t="shared" si="196"/>
        <v>0</v>
      </c>
      <c r="S737" s="325">
        <f t="shared" si="197"/>
        <v>0</v>
      </c>
      <c r="T737" s="325">
        <f t="shared" si="201"/>
        <v>0</v>
      </c>
      <c r="U737" s="325">
        <f t="shared" si="199"/>
        <v>0</v>
      </c>
      <c r="V737" s="325">
        <f t="shared" si="200"/>
        <v>0</v>
      </c>
      <c r="W737" s="449" cm="1">
        <f t="array" ref="W737">+IF(U737&lt;0,error,0)</f>
        <v>0</v>
      </c>
    </row>
    <row r="738" spans="1:23" ht="18" customHeight="1" x14ac:dyDescent="0.2">
      <c r="A738" s="402" t="s">
        <v>1600</v>
      </c>
      <c r="B738" s="403"/>
      <c r="C738" s="404" t="s">
        <v>1601</v>
      </c>
      <c r="D738" s="405">
        <v>42873</v>
      </c>
      <c r="E738" s="406"/>
      <c r="F738" s="325"/>
      <c r="G738" s="324"/>
      <c r="H738" s="324">
        <v>526.36</v>
      </c>
      <c r="I738" s="325">
        <v>0</v>
      </c>
      <c r="J738" s="325"/>
      <c r="K738" s="325">
        <f t="shared" si="191"/>
        <v>0</v>
      </c>
      <c r="L738" s="325">
        <f t="shared" si="192"/>
        <v>0</v>
      </c>
      <c r="M738" s="407">
        <v>100</v>
      </c>
      <c r="N738" s="408" t="s">
        <v>289</v>
      </c>
      <c r="O738" s="325">
        <f t="shared" si="193"/>
        <v>0</v>
      </c>
      <c r="P738" s="325">
        <f t="shared" si="194"/>
        <v>0</v>
      </c>
      <c r="Q738" s="325">
        <f t="shared" si="195"/>
        <v>0</v>
      </c>
      <c r="R738" s="325">
        <f t="shared" si="196"/>
        <v>0</v>
      </c>
      <c r="S738" s="325">
        <f t="shared" si="197"/>
        <v>0</v>
      </c>
      <c r="T738" s="325">
        <f t="shared" si="201"/>
        <v>0</v>
      </c>
      <c r="U738" s="325">
        <f t="shared" si="199"/>
        <v>0</v>
      </c>
      <c r="V738" s="325">
        <f t="shared" si="200"/>
        <v>0</v>
      </c>
      <c r="W738" s="449" cm="1">
        <f t="array" ref="W738">+IF(U738&lt;0,error,0)</f>
        <v>0</v>
      </c>
    </row>
    <row r="739" spans="1:23" ht="18" customHeight="1" x14ac:dyDescent="0.2">
      <c r="A739" s="402" t="s">
        <v>1602</v>
      </c>
      <c r="B739" s="403"/>
      <c r="C739" s="404" t="s">
        <v>1603</v>
      </c>
      <c r="D739" s="405">
        <v>43159</v>
      </c>
      <c r="E739" s="406"/>
      <c r="F739" s="325"/>
      <c r="G739" s="324"/>
      <c r="H739" s="324">
        <v>2550</v>
      </c>
      <c r="I739" s="325">
        <v>669</v>
      </c>
      <c r="J739" s="325"/>
      <c r="K739" s="325">
        <f t="shared" si="191"/>
        <v>0</v>
      </c>
      <c r="L739" s="325">
        <f t="shared" si="192"/>
        <v>0</v>
      </c>
      <c r="M739" s="407">
        <v>50</v>
      </c>
      <c r="N739" s="408" t="s">
        <v>289</v>
      </c>
      <c r="O739" s="325">
        <f t="shared" si="193"/>
        <v>0</v>
      </c>
      <c r="P739" s="325">
        <f t="shared" si="194"/>
        <v>0</v>
      </c>
      <c r="Q739" s="325">
        <f t="shared" si="195"/>
        <v>0</v>
      </c>
      <c r="R739" s="325">
        <f t="shared" si="196"/>
        <v>167</v>
      </c>
      <c r="S739" s="325">
        <f t="shared" si="197"/>
        <v>0</v>
      </c>
      <c r="T739" s="325">
        <f t="shared" si="201"/>
        <v>167</v>
      </c>
      <c r="U739" s="325">
        <f t="shared" si="199"/>
        <v>502</v>
      </c>
      <c r="V739" s="325">
        <f t="shared" si="200"/>
        <v>0</v>
      </c>
      <c r="W739" s="449" cm="1">
        <f t="array" ref="W739">+IF(U739&lt;0,error,0)</f>
        <v>0</v>
      </c>
    </row>
    <row r="740" spans="1:23" ht="18" customHeight="1" x14ac:dyDescent="0.2">
      <c r="A740" s="402" t="s">
        <v>1604</v>
      </c>
      <c r="B740" s="403"/>
      <c r="C740" s="404" t="s">
        <v>1605</v>
      </c>
      <c r="D740" s="405">
        <v>43300</v>
      </c>
      <c r="E740" s="406"/>
      <c r="F740" s="325"/>
      <c r="G740" s="324"/>
      <c r="H740" s="324">
        <v>2195.4500000000003</v>
      </c>
      <c r="I740" s="325">
        <v>1798.4499999999998</v>
      </c>
      <c r="J740" s="325"/>
      <c r="K740" s="325">
        <f t="shared" si="191"/>
        <v>0</v>
      </c>
      <c r="L740" s="325">
        <f t="shared" si="192"/>
        <v>0</v>
      </c>
      <c r="M740" s="407">
        <v>10</v>
      </c>
      <c r="N740" s="408" t="s">
        <v>289</v>
      </c>
      <c r="O740" s="325">
        <f t="shared" si="193"/>
        <v>0</v>
      </c>
      <c r="P740" s="325">
        <f t="shared" si="194"/>
        <v>0</v>
      </c>
      <c r="Q740" s="325">
        <f t="shared" si="195"/>
        <v>0</v>
      </c>
      <c r="R740" s="325">
        <f t="shared" si="196"/>
        <v>89</v>
      </c>
      <c r="S740" s="325">
        <f t="shared" si="197"/>
        <v>0</v>
      </c>
      <c r="T740" s="325">
        <f t="shared" si="201"/>
        <v>89</v>
      </c>
      <c r="U740" s="325">
        <f t="shared" si="199"/>
        <v>1709.4499999999998</v>
      </c>
      <c r="V740" s="325">
        <f t="shared" si="200"/>
        <v>0</v>
      </c>
      <c r="W740" s="449" cm="1">
        <f t="array" ref="W740">+IF(U740&lt;0,error,0)</f>
        <v>0</v>
      </c>
    </row>
    <row r="741" spans="1:23" ht="18" customHeight="1" x14ac:dyDescent="0.2">
      <c r="A741" s="402" t="s">
        <v>1606</v>
      </c>
      <c r="B741" s="403"/>
      <c r="C741" s="404" t="s">
        <v>1607</v>
      </c>
      <c r="D741" s="405">
        <v>43300</v>
      </c>
      <c r="E741" s="406"/>
      <c r="F741" s="325"/>
      <c r="G741" s="324"/>
      <c r="H741" s="324">
        <v>1240.9100000000001</v>
      </c>
      <c r="I741" s="325">
        <v>822.91000000000008</v>
      </c>
      <c r="J741" s="325"/>
      <c r="K741" s="325">
        <f t="shared" si="191"/>
        <v>0</v>
      </c>
      <c r="L741" s="325">
        <f t="shared" si="192"/>
        <v>0</v>
      </c>
      <c r="M741" s="407">
        <v>20</v>
      </c>
      <c r="N741" s="408" t="s">
        <v>289</v>
      </c>
      <c r="O741" s="325">
        <f t="shared" si="193"/>
        <v>0</v>
      </c>
      <c r="P741" s="325">
        <f t="shared" si="194"/>
        <v>0</v>
      </c>
      <c r="Q741" s="325">
        <f t="shared" si="195"/>
        <v>0</v>
      </c>
      <c r="R741" s="325">
        <f t="shared" si="196"/>
        <v>82</v>
      </c>
      <c r="S741" s="325">
        <f t="shared" si="197"/>
        <v>0</v>
      </c>
      <c r="T741" s="325">
        <f t="shared" si="201"/>
        <v>82</v>
      </c>
      <c r="U741" s="325">
        <f t="shared" si="199"/>
        <v>740.91000000000008</v>
      </c>
      <c r="V741" s="325">
        <f t="shared" si="200"/>
        <v>0</v>
      </c>
      <c r="W741" s="449" cm="1">
        <f t="array" ref="W741">+IF(U741&lt;0,error,0)</f>
        <v>0</v>
      </c>
    </row>
    <row r="742" spans="1:23" ht="18" customHeight="1" x14ac:dyDescent="0.2">
      <c r="A742" s="402" t="s">
        <v>1608</v>
      </c>
      <c r="B742" s="403"/>
      <c r="C742" s="404" t="s">
        <v>1609</v>
      </c>
      <c r="D742" s="405">
        <v>43300</v>
      </c>
      <c r="E742" s="406"/>
      <c r="F742" s="325"/>
      <c r="G742" s="324"/>
      <c r="H742" s="324">
        <v>95.460000000000008</v>
      </c>
      <c r="I742" s="325">
        <v>64.460000000000008</v>
      </c>
      <c r="J742" s="325"/>
      <c r="K742" s="325">
        <f t="shared" si="191"/>
        <v>0</v>
      </c>
      <c r="L742" s="325">
        <f t="shared" si="192"/>
        <v>0</v>
      </c>
      <c r="M742" s="407">
        <v>20</v>
      </c>
      <c r="N742" s="408" t="s">
        <v>289</v>
      </c>
      <c r="O742" s="325">
        <f t="shared" si="193"/>
        <v>0</v>
      </c>
      <c r="P742" s="325">
        <f t="shared" si="194"/>
        <v>0</v>
      </c>
      <c r="Q742" s="325">
        <f t="shared" si="195"/>
        <v>0</v>
      </c>
      <c r="R742" s="325">
        <f t="shared" si="196"/>
        <v>6</v>
      </c>
      <c r="S742" s="325">
        <f t="shared" si="197"/>
        <v>0</v>
      </c>
      <c r="T742" s="325">
        <f t="shared" si="201"/>
        <v>6</v>
      </c>
      <c r="U742" s="325">
        <f t="shared" si="199"/>
        <v>58.460000000000008</v>
      </c>
      <c r="V742" s="325">
        <f t="shared" si="200"/>
        <v>0</v>
      </c>
      <c r="W742" s="449" cm="1">
        <f t="array" ref="W742">+IF(U742&lt;0,error,0)</f>
        <v>0</v>
      </c>
    </row>
    <row r="743" spans="1:23" ht="18" customHeight="1" x14ac:dyDescent="0.2">
      <c r="A743" s="402" t="s">
        <v>1610</v>
      </c>
      <c r="B743" s="403"/>
      <c r="C743" s="411" t="s">
        <v>1611</v>
      </c>
      <c r="D743" s="405">
        <v>43300</v>
      </c>
      <c r="E743" s="406"/>
      <c r="F743" s="325"/>
      <c r="G743" s="324"/>
      <c r="H743" s="324">
        <v>663.63</v>
      </c>
      <c r="I743" s="325">
        <v>507.63</v>
      </c>
      <c r="J743" s="325"/>
      <c r="K743" s="325">
        <f t="shared" si="191"/>
        <v>0</v>
      </c>
      <c r="L743" s="325">
        <f t="shared" si="192"/>
        <v>0</v>
      </c>
      <c r="M743" s="407">
        <v>13.33</v>
      </c>
      <c r="N743" s="408" t="s">
        <v>289</v>
      </c>
      <c r="O743" s="325">
        <f t="shared" si="193"/>
        <v>0</v>
      </c>
      <c r="P743" s="325">
        <f t="shared" si="194"/>
        <v>0</v>
      </c>
      <c r="Q743" s="325">
        <f t="shared" si="195"/>
        <v>0</v>
      </c>
      <c r="R743" s="325">
        <f t="shared" si="196"/>
        <v>33</v>
      </c>
      <c r="S743" s="325">
        <f t="shared" si="197"/>
        <v>0</v>
      </c>
      <c r="T743" s="325">
        <f t="shared" si="201"/>
        <v>33</v>
      </c>
      <c r="U743" s="325">
        <f t="shared" si="199"/>
        <v>474.63</v>
      </c>
      <c r="V743" s="325">
        <f t="shared" si="200"/>
        <v>0</v>
      </c>
      <c r="W743" s="449" cm="1">
        <f t="array" ref="W743">+IF(U743&lt;0,error,0)</f>
        <v>0</v>
      </c>
    </row>
    <row r="744" spans="1:23" ht="18" customHeight="1" x14ac:dyDescent="0.2">
      <c r="A744" s="402" t="s">
        <v>1612</v>
      </c>
      <c r="B744" s="403"/>
      <c r="C744" s="411" t="s">
        <v>1613</v>
      </c>
      <c r="D744" s="405">
        <v>43300</v>
      </c>
      <c r="E744" s="406"/>
      <c r="F744" s="325"/>
      <c r="G744" s="324"/>
      <c r="H744" s="324">
        <v>777.28</v>
      </c>
      <c r="I744" s="325">
        <v>595.28</v>
      </c>
      <c r="J744" s="325"/>
      <c r="K744" s="325">
        <f t="shared" si="191"/>
        <v>0</v>
      </c>
      <c r="L744" s="325">
        <f t="shared" si="192"/>
        <v>0</v>
      </c>
      <c r="M744" s="407">
        <v>13.33</v>
      </c>
      <c r="N744" s="408" t="s">
        <v>289</v>
      </c>
      <c r="O744" s="325">
        <f t="shared" si="193"/>
        <v>0</v>
      </c>
      <c r="P744" s="325">
        <f t="shared" si="194"/>
        <v>0</v>
      </c>
      <c r="Q744" s="325">
        <f t="shared" si="195"/>
        <v>0</v>
      </c>
      <c r="R744" s="325">
        <f t="shared" si="196"/>
        <v>39</v>
      </c>
      <c r="S744" s="325">
        <f t="shared" si="197"/>
        <v>0</v>
      </c>
      <c r="T744" s="325">
        <f t="shared" si="201"/>
        <v>39</v>
      </c>
      <c r="U744" s="325">
        <f t="shared" si="199"/>
        <v>556.28</v>
      </c>
      <c r="V744" s="325">
        <f t="shared" si="200"/>
        <v>0</v>
      </c>
      <c r="W744" s="449" cm="1">
        <f t="array" ref="W744">+IF(U744&lt;0,error,0)</f>
        <v>0</v>
      </c>
    </row>
    <row r="745" spans="1:23" ht="18" customHeight="1" x14ac:dyDescent="0.2">
      <c r="A745" s="402" t="s">
        <v>1614</v>
      </c>
      <c r="B745" s="403"/>
      <c r="C745" s="411" t="s">
        <v>1615</v>
      </c>
      <c r="D745" s="405">
        <v>43300</v>
      </c>
      <c r="E745" s="406"/>
      <c r="F745" s="325"/>
      <c r="G745" s="324"/>
      <c r="H745" s="324">
        <v>960</v>
      </c>
      <c r="I745" s="325">
        <v>735</v>
      </c>
      <c r="J745" s="325"/>
      <c r="K745" s="325">
        <f t="shared" si="191"/>
        <v>0</v>
      </c>
      <c r="L745" s="325">
        <f t="shared" si="192"/>
        <v>0</v>
      </c>
      <c r="M745" s="407">
        <v>13.33</v>
      </c>
      <c r="N745" s="408" t="s">
        <v>289</v>
      </c>
      <c r="O745" s="325">
        <f t="shared" si="193"/>
        <v>0</v>
      </c>
      <c r="P745" s="325">
        <f t="shared" si="194"/>
        <v>0</v>
      </c>
      <c r="Q745" s="325">
        <f t="shared" si="195"/>
        <v>0</v>
      </c>
      <c r="R745" s="325">
        <f t="shared" si="196"/>
        <v>48</v>
      </c>
      <c r="S745" s="325">
        <f t="shared" si="197"/>
        <v>0</v>
      </c>
      <c r="T745" s="325">
        <f t="shared" si="201"/>
        <v>48</v>
      </c>
      <c r="U745" s="325">
        <f t="shared" si="199"/>
        <v>687</v>
      </c>
      <c r="V745" s="325">
        <f t="shared" si="200"/>
        <v>0</v>
      </c>
      <c r="W745" s="449" cm="1">
        <f t="array" ref="W745">+IF(U745&lt;0,error,0)</f>
        <v>0</v>
      </c>
    </row>
    <row r="746" spans="1:23" ht="18" customHeight="1" x14ac:dyDescent="0.2">
      <c r="A746" s="402" t="s">
        <v>1616</v>
      </c>
      <c r="B746" s="403"/>
      <c r="C746" s="411" t="s">
        <v>1617</v>
      </c>
      <c r="D746" s="405">
        <v>43300</v>
      </c>
      <c r="E746" s="406"/>
      <c r="F746" s="325"/>
      <c r="G746" s="439"/>
      <c r="H746" s="324">
        <v>1089.0899999999999</v>
      </c>
      <c r="I746" s="325">
        <v>833.08999999999992</v>
      </c>
      <c r="J746" s="325"/>
      <c r="K746" s="325">
        <f t="shared" si="191"/>
        <v>0</v>
      </c>
      <c r="L746" s="325">
        <f t="shared" si="192"/>
        <v>0</v>
      </c>
      <c r="M746" s="407">
        <v>13.33</v>
      </c>
      <c r="N746" s="408" t="s">
        <v>289</v>
      </c>
      <c r="O746" s="325">
        <f t="shared" si="193"/>
        <v>0</v>
      </c>
      <c r="P746" s="325">
        <f t="shared" si="194"/>
        <v>0</v>
      </c>
      <c r="Q746" s="325">
        <f t="shared" si="195"/>
        <v>0</v>
      </c>
      <c r="R746" s="325">
        <f t="shared" si="196"/>
        <v>55</v>
      </c>
      <c r="S746" s="325">
        <f t="shared" si="197"/>
        <v>0</v>
      </c>
      <c r="T746" s="325">
        <f t="shared" si="201"/>
        <v>55</v>
      </c>
      <c r="U746" s="325">
        <f t="shared" si="199"/>
        <v>778.08999999999992</v>
      </c>
      <c r="V746" s="325">
        <f t="shared" si="200"/>
        <v>0</v>
      </c>
      <c r="W746" s="449" cm="1">
        <f t="array" ref="W746">+IF(U746&lt;0,error,0)</f>
        <v>0</v>
      </c>
    </row>
    <row r="747" spans="1:23" ht="18" customHeight="1" x14ac:dyDescent="0.2">
      <c r="A747" s="402" t="s">
        <v>1618</v>
      </c>
      <c r="B747" s="403"/>
      <c r="C747" s="411" t="s">
        <v>1619</v>
      </c>
      <c r="D747" s="405">
        <v>43300</v>
      </c>
      <c r="E747" s="406"/>
      <c r="F747" s="325"/>
      <c r="G747" s="439"/>
      <c r="H747" s="324">
        <v>654.54</v>
      </c>
      <c r="I747" s="325">
        <v>435.53999999999996</v>
      </c>
      <c r="J747" s="325"/>
      <c r="K747" s="325">
        <f t="shared" si="191"/>
        <v>0</v>
      </c>
      <c r="L747" s="325">
        <f t="shared" si="192"/>
        <v>0</v>
      </c>
      <c r="M747" s="407">
        <v>20</v>
      </c>
      <c r="N747" s="408" t="s">
        <v>289</v>
      </c>
      <c r="O747" s="325">
        <f t="shared" si="193"/>
        <v>0</v>
      </c>
      <c r="P747" s="325">
        <f t="shared" si="194"/>
        <v>0</v>
      </c>
      <c r="Q747" s="325">
        <f t="shared" si="195"/>
        <v>0</v>
      </c>
      <c r="R747" s="325">
        <f t="shared" si="196"/>
        <v>43</v>
      </c>
      <c r="S747" s="325">
        <f t="shared" si="197"/>
        <v>0</v>
      </c>
      <c r="T747" s="325">
        <f t="shared" si="201"/>
        <v>43</v>
      </c>
      <c r="U747" s="325">
        <f t="shared" si="199"/>
        <v>392.53999999999996</v>
      </c>
      <c r="V747" s="325">
        <f t="shared" si="200"/>
        <v>0</v>
      </c>
      <c r="W747" s="449" cm="1">
        <f t="array" ref="W747">+IF(U747&lt;0,error,0)</f>
        <v>0</v>
      </c>
    </row>
    <row r="748" spans="1:23" ht="18" customHeight="1" x14ac:dyDescent="0.2">
      <c r="A748" s="402" t="s">
        <v>1620</v>
      </c>
      <c r="B748" s="403"/>
      <c r="C748" s="411" t="s">
        <v>1621</v>
      </c>
      <c r="D748" s="405">
        <v>43300</v>
      </c>
      <c r="E748" s="406"/>
      <c r="F748" s="325"/>
      <c r="G748" s="324"/>
      <c r="H748" s="324">
        <v>5727.28</v>
      </c>
      <c r="I748" s="325">
        <v>3796.2799999999997</v>
      </c>
      <c r="J748" s="325"/>
      <c r="K748" s="325">
        <f t="shared" si="191"/>
        <v>0</v>
      </c>
      <c r="L748" s="325">
        <f t="shared" si="192"/>
        <v>0</v>
      </c>
      <c r="M748" s="407">
        <v>20</v>
      </c>
      <c r="N748" s="408" t="s">
        <v>289</v>
      </c>
      <c r="O748" s="325">
        <f t="shared" si="193"/>
        <v>0</v>
      </c>
      <c r="P748" s="325">
        <f t="shared" si="194"/>
        <v>0</v>
      </c>
      <c r="Q748" s="325">
        <f t="shared" si="195"/>
        <v>0</v>
      </c>
      <c r="R748" s="325">
        <f t="shared" si="196"/>
        <v>379</v>
      </c>
      <c r="S748" s="325">
        <f t="shared" si="197"/>
        <v>0</v>
      </c>
      <c r="T748" s="325">
        <f t="shared" si="201"/>
        <v>379</v>
      </c>
      <c r="U748" s="325">
        <f t="shared" si="199"/>
        <v>3417.2799999999997</v>
      </c>
      <c r="V748" s="325">
        <f t="shared" si="200"/>
        <v>0</v>
      </c>
      <c r="W748" s="449" cm="1">
        <f t="array" ref="W748">+IF(U748&lt;0,error,0)</f>
        <v>0</v>
      </c>
    </row>
    <row r="749" spans="1:23" ht="18" customHeight="1" x14ac:dyDescent="0.2">
      <c r="A749" s="402" t="s">
        <v>1622</v>
      </c>
      <c r="B749" s="403"/>
      <c r="C749" s="411" t="s">
        <v>1623</v>
      </c>
      <c r="D749" s="405">
        <v>43357</v>
      </c>
      <c r="E749" s="406"/>
      <c r="F749" s="325"/>
      <c r="G749" s="324"/>
      <c r="H749" s="324">
        <v>3300</v>
      </c>
      <c r="I749" s="325">
        <v>2745</v>
      </c>
      <c r="J749" s="325"/>
      <c r="K749" s="325">
        <f t="shared" si="191"/>
        <v>0</v>
      </c>
      <c r="L749" s="325">
        <f t="shared" si="192"/>
        <v>0</v>
      </c>
      <c r="M749" s="407">
        <v>10</v>
      </c>
      <c r="N749" s="408" t="s">
        <v>289</v>
      </c>
      <c r="O749" s="325">
        <f t="shared" si="193"/>
        <v>0</v>
      </c>
      <c r="P749" s="325">
        <f t="shared" si="194"/>
        <v>0</v>
      </c>
      <c r="Q749" s="325">
        <f t="shared" si="195"/>
        <v>0</v>
      </c>
      <c r="R749" s="325">
        <f t="shared" si="196"/>
        <v>137</v>
      </c>
      <c r="S749" s="325">
        <f t="shared" si="197"/>
        <v>0</v>
      </c>
      <c r="T749" s="325">
        <f t="shared" si="201"/>
        <v>137</v>
      </c>
      <c r="U749" s="325">
        <f t="shared" si="199"/>
        <v>2608</v>
      </c>
      <c r="V749" s="325">
        <f t="shared" si="200"/>
        <v>0</v>
      </c>
      <c r="W749" s="449" cm="1">
        <f t="array" ref="W749">+IF(U749&lt;0,error,0)</f>
        <v>0</v>
      </c>
    </row>
    <row r="750" spans="1:23" ht="18" customHeight="1" x14ac:dyDescent="0.2">
      <c r="A750" s="402" t="s">
        <v>1624</v>
      </c>
      <c r="B750" s="403"/>
      <c r="C750" s="411" t="s">
        <v>1625</v>
      </c>
      <c r="D750" s="405">
        <v>43357</v>
      </c>
      <c r="E750" s="406"/>
      <c r="F750" s="325"/>
      <c r="G750" s="439"/>
      <c r="H750" s="324">
        <v>8000</v>
      </c>
      <c r="I750" s="325">
        <v>6655</v>
      </c>
      <c r="J750" s="325"/>
      <c r="K750" s="325">
        <f t="shared" si="191"/>
        <v>0</v>
      </c>
      <c r="L750" s="325">
        <f t="shared" si="192"/>
        <v>0</v>
      </c>
      <c r="M750" s="407">
        <v>10</v>
      </c>
      <c r="N750" s="408" t="s">
        <v>289</v>
      </c>
      <c r="O750" s="325">
        <f t="shared" si="193"/>
        <v>0</v>
      </c>
      <c r="P750" s="325">
        <f t="shared" si="194"/>
        <v>0</v>
      </c>
      <c r="Q750" s="325">
        <f t="shared" si="195"/>
        <v>0</v>
      </c>
      <c r="R750" s="325">
        <f t="shared" si="196"/>
        <v>332</v>
      </c>
      <c r="S750" s="325">
        <f t="shared" si="197"/>
        <v>0</v>
      </c>
      <c r="T750" s="325">
        <f t="shared" si="201"/>
        <v>332</v>
      </c>
      <c r="U750" s="325">
        <f t="shared" si="199"/>
        <v>6323</v>
      </c>
      <c r="V750" s="325">
        <f t="shared" si="200"/>
        <v>0</v>
      </c>
      <c r="W750" s="449" cm="1">
        <f t="array" ref="W750">+IF(U750&lt;0,error,0)</f>
        <v>0</v>
      </c>
    </row>
    <row r="751" spans="1:23" ht="18" customHeight="1" x14ac:dyDescent="0.2">
      <c r="A751" s="402" t="s">
        <v>1626</v>
      </c>
      <c r="B751" s="403"/>
      <c r="C751" s="411" t="s">
        <v>1627</v>
      </c>
      <c r="D751" s="405">
        <v>43381</v>
      </c>
      <c r="E751" s="406"/>
      <c r="F751" s="325"/>
      <c r="G751" s="439"/>
      <c r="H751" s="324">
        <v>2461.77</v>
      </c>
      <c r="I751" s="325">
        <v>1710.77</v>
      </c>
      <c r="J751" s="325"/>
      <c r="K751" s="325">
        <f t="shared" si="191"/>
        <v>0</v>
      </c>
      <c r="L751" s="325">
        <f t="shared" si="192"/>
        <v>0</v>
      </c>
      <c r="M751" s="407">
        <v>20</v>
      </c>
      <c r="N751" s="408" t="s">
        <v>289</v>
      </c>
      <c r="O751" s="325">
        <f t="shared" si="193"/>
        <v>0</v>
      </c>
      <c r="P751" s="325">
        <f t="shared" si="194"/>
        <v>0</v>
      </c>
      <c r="Q751" s="325">
        <f t="shared" si="195"/>
        <v>0</v>
      </c>
      <c r="R751" s="325">
        <f t="shared" si="196"/>
        <v>171</v>
      </c>
      <c r="S751" s="325">
        <f t="shared" si="197"/>
        <v>0</v>
      </c>
      <c r="T751" s="325">
        <f t="shared" si="201"/>
        <v>171</v>
      </c>
      <c r="U751" s="325">
        <f t="shared" si="199"/>
        <v>1539.77</v>
      </c>
      <c r="V751" s="325">
        <f t="shared" si="200"/>
        <v>0</v>
      </c>
      <c r="W751" s="449" cm="1">
        <f t="array" ref="W751">+IF(U751&lt;0,error,0)</f>
        <v>0</v>
      </c>
    </row>
    <row r="752" spans="1:23" ht="18" customHeight="1" x14ac:dyDescent="0.2">
      <c r="A752" s="402" t="s">
        <v>1628</v>
      </c>
      <c r="B752" s="403"/>
      <c r="C752" s="411" t="s">
        <v>1629</v>
      </c>
      <c r="D752" s="405">
        <v>43374</v>
      </c>
      <c r="E752" s="406"/>
      <c r="F752" s="325"/>
      <c r="G752" s="324"/>
      <c r="H752" s="324">
        <v>825.45</v>
      </c>
      <c r="I752" s="325">
        <v>482.45000000000005</v>
      </c>
      <c r="J752" s="325"/>
      <c r="K752" s="325">
        <f t="shared" si="191"/>
        <v>0</v>
      </c>
      <c r="L752" s="325">
        <f t="shared" si="192"/>
        <v>0</v>
      </c>
      <c r="M752" s="407">
        <v>28.57</v>
      </c>
      <c r="N752" s="408" t="s">
        <v>289</v>
      </c>
      <c r="O752" s="325">
        <f t="shared" si="193"/>
        <v>0</v>
      </c>
      <c r="P752" s="325">
        <f t="shared" si="194"/>
        <v>0</v>
      </c>
      <c r="Q752" s="325">
        <f t="shared" si="195"/>
        <v>0</v>
      </c>
      <c r="R752" s="325">
        <f t="shared" si="196"/>
        <v>68</v>
      </c>
      <c r="S752" s="325">
        <f t="shared" si="197"/>
        <v>0</v>
      </c>
      <c r="T752" s="325">
        <f t="shared" si="201"/>
        <v>68</v>
      </c>
      <c r="U752" s="325">
        <f t="shared" si="199"/>
        <v>414.45000000000005</v>
      </c>
      <c r="V752" s="325">
        <f t="shared" si="200"/>
        <v>0</v>
      </c>
      <c r="W752" s="449" cm="1">
        <f t="array" ref="W752">+IF(U752&lt;0,error,0)</f>
        <v>0</v>
      </c>
    </row>
    <row r="753" spans="1:25" ht="18" customHeight="1" x14ac:dyDescent="0.2">
      <c r="A753" s="402" t="s">
        <v>1630</v>
      </c>
      <c r="B753" s="403"/>
      <c r="C753" s="411" t="s">
        <v>1631</v>
      </c>
      <c r="D753" s="405">
        <v>43374</v>
      </c>
      <c r="E753" s="406"/>
      <c r="F753" s="325"/>
      <c r="G753" s="324"/>
      <c r="H753" s="324">
        <v>516.28</v>
      </c>
      <c r="I753" s="325">
        <v>189.28000000000003</v>
      </c>
      <c r="J753" s="325"/>
      <c r="K753" s="325">
        <f t="shared" si="191"/>
        <v>0</v>
      </c>
      <c r="L753" s="325">
        <f t="shared" si="192"/>
        <v>0</v>
      </c>
      <c r="M753" s="407">
        <v>50</v>
      </c>
      <c r="N753" s="408" t="s">
        <v>289</v>
      </c>
      <c r="O753" s="325">
        <f t="shared" si="193"/>
        <v>0</v>
      </c>
      <c r="P753" s="325">
        <f t="shared" si="194"/>
        <v>0</v>
      </c>
      <c r="Q753" s="325">
        <f t="shared" si="195"/>
        <v>0</v>
      </c>
      <c r="R753" s="325">
        <f t="shared" si="196"/>
        <v>47</v>
      </c>
      <c r="S753" s="325">
        <f t="shared" si="197"/>
        <v>0</v>
      </c>
      <c r="T753" s="325">
        <f t="shared" si="201"/>
        <v>47</v>
      </c>
      <c r="U753" s="325">
        <f>+I753+J753-T753-F753+K753-L753</f>
        <v>142.28000000000003</v>
      </c>
      <c r="V753" s="325">
        <f t="shared" si="200"/>
        <v>0</v>
      </c>
      <c r="W753" s="449" cm="1">
        <f t="array" ref="W753">+IF(U753&lt;0,error,0)</f>
        <v>0</v>
      </c>
    </row>
    <row r="754" spans="1:25" ht="18" customHeight="1" x14ac:dyDescent="0.2">
      <c r="A754" s="402" t="s">
        <v>2085</v>
      </c>
      <c r="B754" s="403"/>
      <c r="C754" s="404" t="s">
        <v>1996</v>
      </c>
      <c r="D754" s="405">
        <v>43536</v>
      </c>
      <c r="E754" s="406"/>
      <c r="F754" s="325"/>
      <c r="G754" s="324"/>
      <c r="H754" s="324">
        <v>2025</v>
      </c>
      <c r="I754" s="325">
        <v>968.45</v>
      </c>
      <c r="J754" s="325"/>
      <c r="K754" s="325">
        <f t="shared" si="191"/>
        <v>0</v>
      </c>
      <c r="L754" s="325">
        <f t="shared" si="192"/>
        <v>0</v>
      </c>
      <c r="M754" s="407">
        <v>50</v>
      </c>
      <c r="N754" s="408" t="s">
        <v>289</v>
      </c>
      <c r="O754" s="325">
        <f t="shared" si="193"/>
        <v>0</v>
      </c>
      <c r="P754" s="325">
        <f t="shared" si="194"/>
        <v>0</v>
      </c>
      <c r="Q754" s="325">
        <f t="shared" si="195"/>
        <v>0</v>
      </c>
      <c r="R754" s="325">
        <f t="shared" si="196"/>
        <v>242</v>
      </c>
      <c r="S754" s="325">
        <f t="shared" si="197"/>
        <v>0</v>
      </c>
      <c r="T754" s="325">
        <f t="shared" si="201"/>
        <v>242</v>
      </c>
      <c r="U754" s="325">
        <f>+I754+J754-T754-F754+K754-L754</f>
        <v>726.45</v>
      </c>
      <c r="V754" s="325">
        <f t="shared" si="200"/>
        <v>0</v>
      </c>
      <c r="W754" s="449" cm="1">
        <f t="array" ref="W754">+IF(U754&lt;0,error,0)</f>
        <v>0</v>
      </c>
    </row>
    <row r="755" spans="1:25" ht="18" customHeight="1" x14ac:dyDescent="0.2">
      <c r="A755" s="402">
        <v>748033</v>
      </c>
      <c r="B755" s="403"/>
      <c r="C755" s="404" t="s">
        <v>2153</v>
      </c>
      <c r="D755" s="405">
        <v>43724</v>
      </c>
      <c r="E755" s="406"/>
      <c r="F755" s="325"/>
      <c r="G755" s="324"/>
      <c r="H755" s="324">
        <v>1828.75</v>
      </c>
      <c r="I755" s="325">
        <v>1173.75</v>
      </c>
      <c r="J755" s="325"/>
      <c r="K755" s="325">
        <f t="shared" si="191"/>
        <v>0</v>
      </c>
      <c r="L755" s="325">
        <f t="shared" si="192"/>
        <v>0</v>
      </c>
      <c r="M755" s="407">
        <v>50</v>
      </c>
      <c r="N755" s="408" t="s">
        <v>289</v>
      </c>
      <c r="O755" s="325">
        <f t="shared" si="193"/>
        <v>0</v>
      </c>
      <c r="P755" s="325">
        <f t="shared" si="194"/>
        <v>0</v>
      </c>
      <c r="Q755" s="325">
        <f t="shared" si="195"/>
        <v>0</v>
      </c>
      <c r="R755" s="325">
        <f t="shared" si="196"/>
        <v>293</v>
      </c>
      <c r="S755" s="325">
        <f t="shared" si="197"/>
        <v>0</v>
      </c>
      <c r="T755" s="325">
        <f t="shared" si="201"/>
        <v>293</v>
      </c>
      <c r="U755" s="325">
        <f>+I755+J755-T755-F755+K755-L755</f>
        <v>880.75</v>
      </c>
      <c r="V755" s="325">
        <f t="shared" si="200"/>
        <v>0</v>
      </c>
      <c r="W755" s="449" cm="1">
        <f t="array" ref="W755">+IF(U755&lt;0,error,0)</f>
        <v>0</v>
      </c>
    </row>
    <row r="756" spans="1:25" ht="18" customHeight="1" x14ac:dyDescent="0.2">
      <c r="A756" s="402">
        <v>748033</v>
      </c>
      <c r="B756" s="403"/>
      <c r="C756" s="404" t="s">
        <v>2383</v>
      </c>
      <c r="D756" s="405">
        <v>44011</v>
      </c>
      <c r="E756" s="406"/>
      <c r="F756" s="325"/>
      <c r="G756" s="324"/>
      <c r="H756" s="324">
        <v>1235.45</v>
      </c>
      <c r="I756" s="325">
        <v>1234.45</v>
      </c>
      <c r="J756" s="491"/>
      <c r="K756" s="325">
        <f t="shared" si="191"/>
        <v>0</v>
      </c>
      <c r="L756" s="325">
        <f t="shared" si="192"/>
        <v>0</v>
      </c>
      <c r="M756" s="407">
        <v>50</v>
      </c>
      <c r="N756" s="408" t="s">
        <v>289</v>
      </c>
      <c r="O756" s="325">
        <f t="shared" si="193"/>
        <v>0</v>
      </c>
      <c r="P756" s="325">
        <f t="shared" si="194"/>
        <v>0</v>
      </c>
      <c r="Q756" s="325">
        <f t="shared" si="195"/>
        <v>0</v>
      </c>
      <c r="R756" s="325">
        <f t="shared" si="196"/>
        <v>308</v>
      </c>
      <c r="S756" s="325">
        <f t="shared" si="197"/>
        <v>0</v>
      </c>
      <c r="T756" s="325">
        <f t="shared" si="201"/>
        <v>308</v>
      </c>
      <c r="U756" s="325">
        <f>+I756+J756-T756-F756+K756-L756</f>
        <v>926.45</v>
      </c>
      <c r="V756" s="325">
        <f t="shared" si="200"/>
        <v>0</v>
      </c>
      <c r="W756" s="449" cm="1">
        <f t="array" ref="W756">+IF(U756&lt;0,error,0)</f>
        <v>0</v>
      </c>
    </row>
    <row r="757" spans="1:25" ht="18" customHeight="1" x14ac:dyDescent="0.2">
      <c r="A757" s="413"/>
      <c r="B757" s="414"/>
      <c r="C757" s="416"/>
      <c r="D757" s="416"/>
      <c r="E757" s="406"/>
      <c r="F757" s="325"/>
      <c r="G757" s="324"/>
      <c r="H757" s="324"/>
      <c r="I757" s="333"/>
      <c r="J757" s="333"/>
      <c r="K757" s="333"/>
      <c r="L757" s="333"/>
      <c r="M757" s="418"/>
      <c r="N757" s="408"/>
      <c r="O757" s="408"/>
      <c r="P757" s="333"/>
      <c r="Q757" s="333"/>
      <c r="R757" s="408"/>
      <c r="S757" s="333"/>
      <c r="T757" s="333"/>
      <c r="U757" s="333"/>
      <c r="V757" s="333"/>
      <c r="W757" s="449" cm="1">
        <f t="array" ref="W757">+IF(U757&lt;0,error,0)</f>
        <v>0</v>
      </c>
    </row>
    <row r="758" spans="1:25" ht="18" customHeight="1" x14ac:dyDescent="0.2">
      <c r="A758" s="413"/>
      <c r="B758" s="414"/>
      <c r="C758" s="415" t="s">
        <v>2043</v>
      </c>
      <c r="D758" s="416"/>
      <c r="E758" s="406"/>
      <c r="F758" s="325"/>
      <c r="G758" s="324"/>
      <c r="H758" s="417">
        <f>+J759-V759</f>
        <v>0</v>
      </c>
      <c r="I758" s="333"/>
      <c r="J758" s="333"/>
      <c r="K758" s="333"/>
      <c r="L758" s="333"/>
      <c r="M758" s="418"/>
      <c r="N758" s="408"/>
      <c r="O758" s="408"/>
      <c r="P758" s="333"/>
      <c r="Q758" s="333"/>
      <c r="R758" s="408"/>
      <c r="S758" s="333"/>
      <c r="T758" s="333"/>
      <c r="U758" s="333"/>
      <c r="V758" s="333"/>
      <c r="W758" s="449" cm="1">
        <f t="array" ref="W758">+IF(U758&lt;0,error,0)</f>
        <v>0</v>
      </c>
    </row>
    <row r="759" spans="1:25" s="347" customFormat="1" ht="18" customHeight="1" x14ac:dyDescent="0.2">
      <c r="A759" s="420"/>
      <c r="B759" s="421"/>
      <c r="C759" s="415" t="s">
        <v>1657</v>
      </c>
      <c r="D759" s="415"/>
      <c r="E759" s="429"/>
      <c r="F759" s="334">
        <f t="shared" ref="F759:L759" si="202">SUM(F727:F757)</f>
        <v>0</v>
      </c>
      <c r="G759" s="417">
        <f t="shared" si="202"/>
        <v>0</v>
      </c>
      <c r="H759" s="417">
        <f>SUM(H727:H758)</f>
        <v>57054.429999999993</v>
      </c>
      <c r="I759" s="417">
        <f t="shared" si="202"/>
        <v>28316.34</v>
      </c>
      <c r="J759" s="334">
        <f t="shared" si="202"/>
        <v>0</v>
      </c>
      <c r="K759" s="334">
        <f t="shared" si="202"/>
        <v>0</v>
      </c>
      <c r="L759" s="334">
        <f t="shared" si="202"/>
        <v>0</v>
      </c>
      <c r="M759" s="423"/>
      <c r="N759" s="446"/>
      <c r="O759" s="334">
        <f>SUM(O727:O757)</f>
        <v>0</v>
      </c>
      <c r="P759" s="334">
        <f>SUM(P727:P757)</f>
        <v>0</v>
      </c>
      <c r="Q759" s="334"/>
      <c r="R759" s="334">
        <f>SUM(R727:R757)</f>
        <v>2837</v>
      </c>
      <c r="S759" s="334">
        <f>SUM(S727:S757)</f>
        <v>0</v>
      </c>
      <c r="T759" s="417">
        <f>SUM(T727:T757)</f>
        <v>2837.09</v>
      </c>
      <c r="U759" s="417">
        <f>SUM(U727:U757)</f>
        <v>25479.25</v>
      </c>
      <c r="V759" s="334">
        <f>SUM(V727:V757)</f>
        <v>0</v>
      </c>
      <c r="W759" s="449" cm="1">
        <f t="array" ref="W759">+IF(U759&lt;0,error,0)</f>
        <v>0</v>
      </c>
      <c r="Y759" s="347">
        <f>57054.51-31575.17</f>
        <v>25479.340000000004</v>
      </c>
    </row>
    <row r="760" spans="1:25" s="347" customFormat="1" ht="18" customHeight="1" x14ac:dyDescent="0.2">
      <c r="A760" s="420"/>
      <c r="B760" s="421"/>
      <c r="C760" s="415"/>
      <c r="D760" s="415"/>
      <c r="E760" s="429"/>
      <c r="F760" s="334"/>
      <c r="G760" s="417"/>
      <c r="H760" s="417"/>
      <c r="I760" s="334"/>
      <c r="J760" s="334"/>
      <c r="K760" s="334"/>
      <c r="L760" s="334"/>
      <c r="M760" s="423"/>
      <c r="N760" s="446"/>
      <c r="O760" s="334"/>
      <c r="P760" s="334"/>
      <c r="Q760" s="334"/>
      <c r="R760" s="334"/>
      <c r="S760" s="334"/>
      <c r="T760" s="334"/>
      <c r="U760" s="334"/>
      <c r="V760" s="334"/>
      <c r="W760" s="449" cm="1">
        <f t="array" ref="W760">+IF(U760&lt;0,error,0)</f>
        <v>0</v>
      </c>
    </row>
    <row r="761" spans="1:25" s="347" customFormat="1" ht="18" customHeight="1" x14ac:dyDescent="0.2">
      <c r="A761" s="420"/>
      <c r="B761" s="421"/>
      <c r="C761" s="415" t="s">
        <v>2044</v>
      </c>
      <c r="D761" s="415"/>
      <c r="E761" s="429"/>
      <c r="F761" s="334"/>
      <c r="G761" s="417"/>
      <c r="H761" s="417"/>
      <c r="I761" s="334"/>
      <c r="J761" s="334"/>
      <c r="K761" s="334"/>
      <c r="L761" s="334"/>
      <c r="M761" s="423"/>
      <c r="N761" s="446"/>
      <c r="O761" s="334"/>
      <c r="P761" s="334"/>
      <c r="Q761" s="334"/>
      <c r="R761" s="334"/>
      <c r="S761" s="334"/>
      <c r="T761" s="334"/>
      <c r="U761" s="334"/>
      <c r="V761" s="334"/>
      <c r="W761" s="449" cm="1">
        <f t="array" ref="W761">+IF(U761&lt;0,error,0)</f>
        <v>0</v>
      </c>
    </row>
    <row r="762" spans="1:25" ht="18" customHeight="1" x14ac:dyDescent="0.2">
      <c r="A762" s="413"/>
      <c r="B762" s="414"/>
      <c r="C762" s="416" t="s">
        <v>2088</v>
      </c>
      <c r="D762" s="416"/>
      <c r="E762" s="406"/>
      <c r="F762" s="325"/>
      <c r="G762" s="324"/>
      <c r="H762" s="324"/>
      <c r="I762" s="325">
        <v>16067.17</v>
      </c>
      <c r="J762" s="325"/>
      <c r="K762" s="325">
        <f>INT(IF($E762&gt;0,IF(+F762-I762+Q762&lt;0,0,+F762-I762+Q762),0))</f>
        <v>0</v>
      </c>
      <c r="L762" s="325">
        <f>INT(IF($E762&gt;0,IF(K762=0,-F762+I762-Q762,0),0))</f>
        <v>0</v>
      </c>
      <c r="M762" s="407">
        <v>37.5</v>
      </c>
      <c r="N762" s="408" t="s">
        <v>289</v>
      </c>
      <c r="O762" s="325">
        <f>IF(E762&gt;0,INT(IF($N762="D",IF($D762&lt;$H$3,$I762*($M762/100)*((E762-$H$3)/365),$J762*($M762/100)*($J$3-$D762)/365),0)),0)</f>
        <v>0</v>
      </c>
      <c r="P762" s="325">
        <f>IF(E762&gt;0,INT(IF($N762="P",IF($D762&lt;$H$3,$H762*($M762/100)*(E762-$H$3)/365,$J762*($M762/100)*($J$3-$D762)/365),0)),0)</f>
        <v>0</v>
      </c>
      <c r="Q762" s="325">
        <f>+O762+P762</f>
        <v>0</v>
      </c>
      <c r="R762" s="325">
        <f>INT(IF($E762&gt;0,0,(IF($N762="D",IF($D762&lt;$H$3,$I762*($M762/100)*$U$3/12,$J762*($M762/100)*($J$3-$D762)/365),0))))</f>
        <v>3012</v>
      </c>
      <c r="S762" s="325">
        <f>INT(IF($E762&gt;0,0,(IF($N762="P",IF($D762&lt;$H$3,$H762*($M762/100)*$U$3/12,$J762*($M762/100)*($J$3-$D762)/365),0))))</f>
        <v>0</v>
      </c>
      <c r="T762" s="325">
        <f>+R762+S762+Q762</f>
        <v>3012</v>
      </c>
      <c r="U762" s="325">
        <f>+I762+J762-T762-F762+K762-L762</f>
        <v>13055.17</v>
      </c>
      <c r="V762" s="325">
        <f>IF(E762&gt;0,+H762+J762,0)</f>
        <v>0</v>
      </c>
      <c r="W762" s="449" cm="1">
        <f t="array" ref="W762">+IF(U762&lt;0,error,0)</f>
        <v>0</v>
      </c>
    </row>
    <row r="763" spans="1:25" ht="35.25" customHeight="1" x14ac:dyDescent="0.2">
      <c r="A763" s="413"/>
      <c r="B763" s="414"/>
      <c r="C763" s="404" t="s">
        <v>2385</v>
      </c>
      <c r="D763" s="455">
        <v>43831</v>
      </c>
      <c r="E763" s="406"/>
      <c r="F763" s="325"/>
      <c r="G763" s="324"/>
      <c r="H763" s="324"/>
      <c r="I763" s="325">
        <v>8538</v>
      </c>
      <c r="J763" s="325"/>
      <c r="K763" s="325">
        <f>INT(IF($E763&gt;0,IF(+F763-I763+Q763&lt;0,0,+F763-I763+Q763),0))</f>
        <v>0</v>
      </c>
      <c r="L763" s="325">
        <f>INT(IF($E763&gt;0,IF(K763=0,-F763+I763-Q763,0),0))</f>
        <v>0</v>
      </c>
      <c r="M763" s="407">
        <v>18.75</v>
      </c>
      <c r="N763" s="408" t="s">
        <v>289</v>
      </c>
      <c r="O763" s="325">
        <f>IF(E763&gt;0,INT(IF($N763="D",IF($D763&lt;$H$3,$I763*($M763/100)*((E763-$H$3)/365),$J763*($M763/100)*($J$3-$D763)/365),0)),0)</f>
        <v>0</v>
      </c>
      <c r="P763" s="325">
        <f>IF(E763&gt;0,INT(IF($N763="P",IF($D763&lt;$H$3,$H763*($M763/100)*(E763-$H$3)/365,$J763*($M763/100)*($J$3-$D763)/365),0)),0)</f>
        <v>0</v>
      </c>
      <c r="Q763" s="325">
        <f>+O763+P763</f>
        <v>0</v>
      </c>
      <c r="R763" s="325">
        <f>INT(IF($E763&gt;0,0,(IF($N763="D",IF($D763&lt;$H$3,$I763*($M763/100)*$U$3/12,$J763*($M763/100)*($J$3-$D763)/365),0))))</f>
        <v>800</v>
      </c>
      <c r="S763" s="325">
        <f>INT(IF($E763&gt;0,0,(IF($N763="P",IF($D763&lt;$H$3,$H763*($M763/100)*$U$3/12,$J763*($M763/100)*($J$3-$D763)/365),0))))</f>
        <v>0</v>
      </c>
      <c r="T763" s="325">
        <f>+R763+S763+Q763</f>
        <v>800</v>
      </c>
      <c r="U763" s="325">
        <f>+I763+J763-T763-F763+K763-L763</f>
        <v>7738</v>
      </c>
      <c r="V763" s="325">
        <f>IF(E763&gt;0,+H763+J763,0)</f>
        <v>0</v>
      </c>
      <c r="W763" s="449" cm="1">
        <f t="array" ref="W763">+IF(U763&lt;0,error,0)</f>
        <v>0</v>
      </c>
    </row>
    <row r="764" spans="1:25" ht="18" customHeight="1" x14ac:dyDescent="0.2">
      <c r="A764" s="413"/>
      <c r="B764" s="414"/>
      <c r="C764" s="416"/>
      <c r="D764" s="416"/>
      <c r="E764" s="406"/>
      <c r="F764" s="325"/>
      <c r="G764" s="324"/>
      <c r="H764" s="324"/>
      <c r="I764" s="333"/>
      <c r="J764" s="333"/>
      <c r="K764" s="333"/>
      <c r="L764" s="333"/>
      <c r="M764" s="418"/>
      <c r="N764" s="408"/>
      <c r="O764" s="408"/>
      <c r="P764" s="333"/>
      <c r="Q764" s="333"/>
      <c r="R764" s="408"/>
      <c r="S764" s="333"/>
      <c r="T764" s="333"/>
      <c r="U764" s="333"/>
      <c r="V764" s="333"/>
      <c r="W764" s="449" cm="1">
        <f t="array" ref="W764">+IF(U764&lt;0,error,0)</f>
        <v>0</v>
      </c>
    </row>
    <row r="765" spans="1:25" ht="18" customHeight="1" x14ac:dyDescent="0.2">
      <c r="A765" s="413"/>
      <c r="B765" s="414"/>
      <c r="C765" s="415" t="s">
        <v>2043</v>
      </c>
      <c r="D765" s="416"/>
      <c r="E765" s="406"/>
      <c r="F765" s="325"/>
      <c r="G765" s="324"/>
      <c r="H765" s="417">
        <f>+J766-V766</f>
        <v>0</v>
      </c>
      <c r="I765" s="333"/>
      <c r="J765" s="333"/>
      <c r="K765" s="333"/>
      <c r="L765" s="333"/>
      <c r="M765" s="418"/>
      <c r="N765" s="408"/>
      <c r="O765" s="408"/>
      <c r="P765" s="333"/>
      <c r="Q765" s="333"/>
      <c r="R765" s="408"/>
      <c r="S765" s="333"/>
      <c r="T765" s="333"/>
      <c r="U765" s="333"/>
      <c r="V765" s="333"/>
      <c r="W765" s="449" cm="1">
        <f t="array" ref="W765">+IF(U765&lt;0,error,0)</f>
        <v>0</v>
      </c>
    </row>
    <row r="766" spans="1:25" s="347" customFormat="1" ht="18" customHeight="1" x14ac:dyDescent="0.2">
      <c r="A766" s="420"/>
      <c r="B766" s="421"/>
      <c r="C766" s="415" t="s">
        <v>2090</v>
      </c>
      <c r="D766" s="415"/>
      <c r="E766" s="429"/>
      <c r="F766" s="334">
        <f t="shared" ref="F766:L766" si="203">SUM(F762:F764)</f>
        <v>0</v>
      </c>
      <c r="G766" s="417">
        <f t="shared" si="203"/>
        <v>0</v>
      </c>
      <c r="H766" s="417">
        <f t="shared" si="203"/>
        <v>0</v>
      </c>
      <c r="I766" s="417">
        <f t="shared" si="203"/>
        <v>24605.17</v>
      </c>
      <c r="J766" s="334">
        <f t="shared" si="203"/>
        <v>0</v>
      </c>
      <c r="K766" s="334">
        <f t="shared" si="203"/>
        <v>0</v>
      </c>
      <c r="L766" s="334">
        <f t="shared" si="203"/>
        <v>0</v>
      </c>
      <c r="M766" s="423"/>
      <c r="N766" s="446"/>
      <c r="O766" s="334">
        <f>SUM(O734:O764)</f>
        <v>0</v>
      </c>
      <c r="P766" s="334">
        <f>SUM(P734:P764)</f>
        <v>0</v>
      </c>
      <c r="Q766" s="334"/>
      <c r="R766" s="334">
        <f>SUM(R734:R764)</f>
        <v>9188</v>
      </c>
      <c r="S766" s="334">
        <f>SUM(S734:S764)</f>
        <v>0</v>
      </c>
      <c r="T766" s="334">
        <f>SUM(T762:T764)</f>
        <v>3812</v>
      </c>
      <c r="U766" s="334">
        <f>SUM(U762:U764)</f>
        <v>20793.169999999998</v>
      </c>
      <c r="V766" s="334">
        <f>SUM(V762:V764)</f>
        <v>0</v>
      </c>
      <c r="W766" s="449" cm="1">
        <f t="array" ref="W766">+IF(U766&lt;0,error,0)</f>
        <v>0</v>
      </c>
    </row>
    <row r="767" spans="1:25" ht="18" customHeight="1" x14ac:dyDescent="0.2">
      <c r="A767" s="413"/>
      <c r="B767" s="414"/>
      <c r="C767" s="416"/>
      <c r="D767" s="416"/>
      <c r="E767" s="406"/>
      <c r="F767" s="325"/>
      <c r="G767" s="324"/>
      <c r="H767" s="324"/>
      <c r="I767" s="333"/>
      <c r="J767" s="333"/>
      <c r="K767" s="333"/>
      <c r="L767" s="333"/>
      <c r="M767" s="418"/>
      <c r="N767" s="408"/>
      <c r="O767" s="408"/>
      <c r="P767" s="333"/>
      <c r="Q767" s="333"/>
      <c r="R767" s="408"/>
      <c r="S767" s="333"/>
      <c r="T767" s="333"/>
      <c r="U767" s="333"/>
      <c r="V767" s="333"/>
      <c r="W767" s="449" cm="1">
        <f t="array" ref="W767">+IF(U767&lt;0,error,0)</f>
        <v>0</v>
      </c>
    </row>
    <row r="768" spans="1:25" s="347" customFormat="1" ht="18" customHeight="1" x14ac:dyDescent="0.2">
      <c r="A768" s="457"/>
      <c r="B768" s="458"/>
      <c r="C768" s="459" t="s">
        <v>1658</v>
      </c>
      <c r="D768" s="459"/>
      <c r="E768" s="460"/>
      <c r="F768" s="338">
        <f t="shared" ref="F768:L768" si="204">+F172+F536+F553+F723+F759+F766</f>
        <v>4220</v>
      </c>
      <c r="G768" s="461">
        <f t="shared" si="204"/>
        <v>26589.334825174832</v>
      </c>
      <c r="H768" s="461">
        <f t="shared" si="204"/>
        <v>9403602.1967748217</v>
      </c>
      <c r="I768" s="461">
        <f t="shared" si="204"/>
        <v>5916824.7699999996</v>
      </c>
      <c r="J768" s="338">
        <f t="shared" si="204"/>
        <v>64631.479999999996</v>
      </c>
      <c r="K768" s="338">
        <f t="shared" si="204"/>
        <v>3369</v>
      </c>
      <c r="L768" s="338">
        <f t="shared" si="204"/>
        <v>0</v>
      </c>
      <c r="M768" s="462"/>
      <c r="N768" s="463"/>
      <c r="O768" s="338">
        <f>+O172+O536+O553+O723+O759</f>
        <v>80</v>
      </c>
      <c r="P768" s="338">
        <f>+P172+P536+P553+P723+P759</f>
        <v>0</v>
      </c>
      <c r="Q768" s="338"/>
      <c r="R768" s="338">
        <f>+R172+R536+R553+R723+R759</f>
        <v>322615</v>
      </c>
      <c r="S768" s="338">
        <f>+S172+S536+S553+S723+S759</f>
        <v>27473</v>
      </c>
      <c r="T768" s="338">
        <f>+T172+T536+T553+T723+T759+T766</f>
        <v>385511.68797200004</v>
      </c>
      <c r="U768" s="461">
        <f>+U172+U536+U553+U723+U759+U766</f>
        <v>5595093.5620280001</v>
      </c>
      <c r="V768" s="338">
        <f>+V172+V536+V553+V723+V759+V766</f>
        <v>26589.333225174832</v>
      </c>
      <c r="W768" s="449" cm="1">
        <f t="array" ref="W768">+IF(U768&lt;0,error,0)</f>
        <v>0</v>
      </c>
    </row>
    <row r="769" spans="1:22" ht="18" customHeight="1" x14ac:dyDescent="0.2">
      <c r="A769" s="464"/>
      <c r="B769" s="464"/>
      <c r="C769" s="464" t="s">
        <v>1659</v>
      </c>
      <c r="D769" s="465"/>
      <c r="E769" s="466"/>
      <c r="F769" s="467"/>
      <c r="G769" s="468"/>
      <c r="H769" s="469"/>
      <c r="I769" s="492"/>
      <c r="J769" s="467"/>
      <c r="K769" s="467"/>
      <c r="L769" s="467"/>
      <c r="N769" s="470"/>
      <c r="O769" s="470"/>
      <c r="P769" s="467"/>
      <c r="Q769" s="467"/>
      <c r="R769" s="470"/>
      <c r="S769" s="467"/>
      <c r="T769" s="467"/>
      <c r="U769" s="469"/>
      <c r="V769" s="467"/>
    </row>
    <row r="770" spans="1:22" ht="18" hidden="1" customHeight="1" x14ac:dyDescent="0.2">
      <c r="C770" s="465"/>
      <c r="D770" s="465"/>
      <c r="E770" s="466"/>
      <c r="F770" s="467"/>
      <c r="G770" s="468"/>
      <c r="H770" s="467"/>
      <c r="I770" s="449"/>
      <c r="J770" s="472"/>
      <c r="K770" s="472"/>
      <c r="L770" s="472">
        <f>+K768-L768</f>
        <v>3369</v>
      </c>
      <c r="P770" s="472"/>
      <c r="Q770" s="472"/>
      <c r="S770" s="472"/>
      <c r="V770" s="472"/>
    </row>
    <row r="771" spans="1:22" ht="18" customHeight="1" x14ac:dyDescent="0.2">
      <c r="A771" s="464"/>
      <c r="B771" s="464"/>
      <c r="C771" s="464"/>
      <c r="D771" s="464"/>
      <c r="E771" s="475"/>
      <c r="F771" s="476"/>
      <c r="G771" s="477" t="s">
        <v>1648</v>
      </c>
      <c r="H771" s="341"/>
      <c r="I771" s="493" t="s">
        <v>2387</v>
      </c>
      <c r="J771" s="478"/>
      <c r="K771" s="472"/>
      <c r="L771" s="472"/>
      <c r="P771" s="472"/>
      <c r="Q771" s="472"/>
      <c r="S771" s="472"/>
      <c r="U771" s="341" t="s">
        <v>2387</v>
      </c>
      <c r="V771" s="472"/>
    </row>
    <row r="772" spans="1:22" ht="18" customHeight="1" x14ac:dyDescent="0.2">
      <c r="C772" s="465"/>
      <c r="D772" s="465"/>
      <c r="E772" s="479"/>
      <c r="F772" s="468"/>
      <c r="G772" s="468"/>
      <c r="H772" s="342"/>
      <c r="I772" s="493" t="s">
        <v>1669</v>
      </c>
      <c r="P772" s="472"/>
      <c r="Q772" s="472"/>
      <c r="S772" s="472"/>
      <c r="U772" s="341" t="s">
        <v>1669</v>
      </c>
      <c r="V772" s="481"/>
    </row>
    <row r="773" spans="1:22" ht="18" customHeight="1" x14ac:dyDescent="0.2">
      <c r="C773" s="482" t="s">
        <v>1663</v>
      </c>
      <c r="D773" s="465"/>
      <c r="E773" s="479"/>
      <c r="F773" s="468"/>
      <c r="G773" s="468"/>
      <c r="H773" s="342"/>
      <c r="I773" s="342">
        <v>44012</v>
      </c>
      <c r="P773" s="472"/>
      <c r="Q773" s="472"/>
      <c r="S773" s="472"/>
      <c r="U773" s="342">
        <v>44196</v>
      </c>
      <c r="V773" s="472"/>
    </row>
    <row r="774" spans="1:22" ht="18" customHeight="1" x14ac:dyDescent="0.2">
      <c r="C774" s="465"/>
      <c r="D774" s="465"/>
      <c r="E774" s="479"/>
      <c r="F774" s="468"/>
      <c r="G774" s="468"/>
      <c r="H774" s="465"/>
      <c r="I774" s="449">
        <v>5916824.7699999996</v>
      </c>
      <c r="P774" s="472"/>
      <c r="Q774" s="472"/>
      <c r="S774" s="472"/>
      <c r="U774" s="507">
        <v>5595093.5599999996</v>
      </c>
      <c r="V774" s="472"/>
    </row>
    <row r="775" spans="1:22" x14ac:dyDescent="0.2">
      <c r="C775" s="465"/>
      <c r="D775" s="465"/>
      <c r="E775" s="479"/>
      <c r="F775" s="468"/>
      <c r="G775" s="468"/>
      <c r="H775" s="506"/>
      <c r="I775" s="449">
        <f>+I768-I774</f>
        <v>0</v>
      </c>
      <c r="P775" s="472"/>
      <c r="Q775" s="472"/>
      <c r="S775" s="472"/>
      <c r="V775" s="472"/>
    </row>
    <row r="776" spans="1:22" x14ac:dyDescent="0.2">
      <c r="C776" s="465"/>
      <c r="D776" s="465"/>
      <c r="E776" s="479"/>
      <c r="F776" s="468"/>
      <c r="G776" s="468"/>
      <c r="H776" s="465"/>
      <c r="I776" s="449"/>
      <c r="P776" s="472"/>
      <c r="Q776" s="472"/>
      <c r="S776" s="472"/>
      <c r="T776" s="488"/>
      <c r="U776" s="449">
        <f>+U774-U768</f>
        <v>-2.0280005410313606E-3</v>
      </c>
      <c r="V776" s="472"/>
    </row>
    <row r="777" spans="1:22" x14ac:dyDescent="0.2">
      <c r="C777" s="465"/>
      <c r="D777" s="465"/>
      <c r="E777" s="479"/>
      <c r="F777" s="468"/>
      <c r="G777" s="468"/>
      <c r="H777" s="465"/>
      <c r="I777" s="449"/>
      <c r="P777" s="472"/>
      <c r="Q777" s="472"/>
      <c r="S777" s="472"/>
      <c r="V777" s="472"/>
    </row>
    <row r="778" spans="1:22" x14ac:dyDescent="0.2">
      <c r="C778" s="465"/>
      <c r="D778" s="465"/>
      <c r="E778" s="479"/>
      <c r="F778" s="468"/>
      <c r="G778" s="468"/>
      <c r="H778" s="465"/>
      <c r="I778" s="447"/>
      <c r="P778" s="472"/>
      <c r="Q778" s="472"/>
      <c r="S778" s="472"/>
      <c r="V778" s="472"/>
    </row>
    <row r="779" spans="1:22" x14ac:dyDescent="0.2">
      <c r="C779" s="465"/>
      <c r="D779" s="465"/>
      <c r="E779" s="479"/>
      <c r="F779" s="468"/>
      <c r="G779" s="468"/>
      <c r="H779" s="465"/>
      <c r="P779" s="472"/>
      <c r="Q779" s="472"/>
      <c r="S779" s="472"/>
      <c r="V779" s="472"/>
    </row>
    <row r="780" spans="1:22" x14ac:dyDescent="0.2">
      <c r="C780" s="465"/>
      <c r="D780" s="465"/>
      <c r="E780" s="479"/>
      <c r="F780" s="468"/>
      <c r="G780" s="510" t="s">
        <v>2402</v>
      </c>
      <c r="H780" s="465"/>
      <c r="I780" s="494"/>
      <c r="N780" s="512">
        <v>44561</v>
      </c>
      <c r="P780" s="472"/>
      <c r="Q780" s="472"/>
      <c r="S780" s="472"/>
      <c r="T780" s="472">
        <f>+T723+T536</f>
        <v>315403.59797200002</v>
      </c>
      <c r="V780" s="472"/>
    </row>
    <row r="781" spans="1:22" x14ac:dyDescent="0.2">
      <c r="C781" s="465"/>
      <c r="D781" s="465"/>
      <c r="E781" s="479"/>
      <c r="F781" s="468"/>
      <c r="G781" s="468"/>
      <c r="H781" s="465"/>
      <c r="N781" s="512">
        <v>44377</v>
      </c>
      <c r="P781" s="472"/>
      <c r="Q781" s="472"/>
      <c r="S781" s="472"/>
      <c r="T781" s="472">
        <f>+'30-06-2020 - Teusner'!T850</f>
        <v>330165.15000000002</v>
      </c>
      <c r="V781" s="472"/>
    </row>
    <row r="782" spans="1:22" x14ac:dyDescent="0.2">
      <c r="C782" s="465"/>
      <c r="D782" s="465"/>
      <c r="E782" s="479"/>
      <c r="F782" s="468"/>
      <c r="G782" s="468"/>
      <c r="H782" s="465"/>
      <c r="P782" s="472"/>
      <c r="Q782" s="472"/>
      <c r="S782" s="472"/>
      <c r="V782" s="472"/>
    </row>
    <row r="783" spans="1:22" x14ac:dyDescent="0.2">
      <c r="C783" s="465"/>
      <c r="D783" s="465"/>
      <c r="E783" s="479"/>
      <c r="F783" s="468"/>
      <c r="G783" s="468"/>
      <c r="H783" s="465"/>
      <c r="P783" s="472"/>
      <c r="Q783" s="472"/>
      <c r="S783" s="472"/>
      <c r="T783" s="472">
        <f>+T780+T781</f>
        <v>645568.74797200004</v>
      </c>
      <c r="V783" s="472"/>
    </row>
    <row r="784" spans="1:22" x14ac:dyDescent="0.2">
      <c r="C784" s="465"/>
      <c r="D784" s="465"/>
      <c r="E784" s="479"/>
      <c r="F784" s="468"/>
      <c r="G784" s="468"/>
      <c r="H784" s="465"/>
      <c r="P784" s="472"/>
      <c r="Q784" s="472"/>
      <c r="S784" s="472"/>
      <c r="V784" s="472"/>
    </row>
    <row r="785" spans="3:22" x14ac:dyDescent="0.2">
      <c r="C785" s="465"/>
      <c r="D785" s="465"/>
      <c r="E785" s="479"/>
      <c r="F785" s="468"/>
      <c r="G785" s="468"/>
      <c r="H785" s="465"/>
      <c r="P785" s="472"/>
      <c r="Q785" s="472"/>
      <c r="S785" s="472"/>
      <c r="V785" s="472"/>
    </row>
    <row r="786" spans="3:22" x14ac:dyDescent="0.2">
      <c r="C786" s="465"/>
      <c r="D786" s="465"/>
      <c r="E786" s="479"/>
      <c r="F786" s="468"/>
      <c r="G786" s="468"/>
      <c r="H786" s="465"/>
      <c r="P786" s="472"/>
      <c r="Q786" s="472"/>
      <c r="S786" s="472"/>
      <c r="V786" s="472"/>
    </row>
    <row r="787" spans="3:22" x14ac:dyDescent="0.2">
      <c r="C787" s="465"/>
      <c r="D787" s="465"/>
      <c r="E787" s="479"/>
      <c r="F787" s="468"/>
      <c r="G787" s="468"/>
      <c r="H787" s="465"/>
      <c r="P787" s="472"/>
      <c r="Q787" s="472"/>
      <c r="S787" s="472"/>
      <c r="V787" s="472"/>
    </row>
    <row r="788" spans="3:22" x14ac:dyDescent="0.2">
      <c r="C788" s="465"/>
      <c r="D788" s="465"/>
      <c r="E788" s="479"/>
      <c r="F788" s="468"/>
      <c r="G788" s="468"/>
      <c r="P788" s="472"/>
      <c r="Q788" s="472"/>
      <c r="S788" s="472"/>
      <c r="V788" s="472"/>
    </row>
    <row r="789" spans="3:22" x14ac:dyDescent="0.2">
      <c r="C789" s="465"/>
      <c r="D789" s="465"/>
      <c r="E789" s="479"/>
      <c r="F789" s="468"/>
      <c r="G789" s="468"/>
      <c r="H789" s="465"/>
      <c r="P789" s="472"/>
      <c r="Q789" s="472"/>
      <c r="S789" s="472"/>
      <c r="V789" s="472"/>
    </row>
    <row r="790" spans="3:22" x14ac:dyDescent="0.2">
      <c r="P790" s="472"/>
      <c r="Q790" s="472"/>
      <c r="S790" s="472"/>
      <c r="V790" s="472"/>
    </row>
    <row r="791" spans="3:22" x14ac:dyDescent="0.2">
      <c r="P791" s="472"/>
      <c r="Q791" s="472"/>
      <c r="S791" s="472"/>
      <c r="V791" s="472"/>
    </row>
    <row r="792" spans="3:22" x14ac:dyDescent="0.2">
      <c r="F792" s="468"/>
      <c r="G792" s="468"/>
      <c r="H792" s="465"/>
      <c r="P792" s="472"/>
      <c r="Q792" s="472"/>
      <c r="S792" s="472"/>
      <c r="V792" s="472"/>
    </row>
    <row r="793" spans="3:22" x14ac:dyDescent="0.2">
      <c r="P793" s="472"/>
      <c r="Q793" s="472"/>
      <c r="S793" s="472"/>
      <c r="V793" s="472"/>
    </row>
    <row r="794" spans="3:22" x14ac:dyDescent="0.2">
      <c r="P794" s="472"/>
      <c r="Q794" s="472"/>
      <c r="S794" s="472"/>
      <c r="V794" s="472"/>
    </row>
    <row r="795" spans="3:22" x14ac:dyDescent="0.2">
      <c r="P795" s="472"/>
      <c r="Q795" s="472"/>
      <c r="S795" s="472"/>
      <c r="V795" s="472"/>
    </row>
    <row r="796" spans="3:22" x14ac:dyDescent="0.2">
      <c r="P796" s="472"/>
      <c r="Q796" s="472"/>
      <c r="S796" s="472"/>
      <c r="V796" s="472"/>
    </row>
    <row r="797" spans="3:22" x14ac:dyDescent="0.2">
      <c r="P797" s="472"/>
      <c r="Q797" s="472"/>
      <c r="S797" s="472"/>
      <c r="V797" s="472"/>
    </row>
    <row r="798" spans="3:22" x14ac:dyDescent="0.2">
      <c r="P798" s="472"/>
      <c r="Q798" s="472"/>
      <c r="S798" s="472"/>
      <c r="V798" s="472"/>
    </row>
    <row r="799" spans="3:22" x14ac:dyDescent="0.2">
      <c r="P799" s="472"/>
      <c r="Q799" s="472"/>
      <c r="S799" s="472"/>
      <c r="V799" s="472"/>
    </row>
    <row r="800" spans="3:22" x14ac:dyDescent="0.2">
      <c r="P800" s="472"/>
      <c r="Q800" s="472"/>
      <c r="S800" s="472"/>
      <c r="V800" s="472"/>
    </row>
    <row r="801" spans="16:22" x14ac:dyDescent="0.2">
      <c r="P801" s="472"/>
      <c r="Q801" s="472"/>
      <c r="S801" s="472"/>
      <c r="V801" s="472"/>
    </row>
    <row r="802" spans="16:22" x14ac:dyDescent="0.2">
      <c r="P802" s="472"/>
      <c r="Q802" s="472"/>
      <c r="S802" s="472"/>
      <c r="V802" s="472"/>
    </row>
    <row r="803" spans="16:22" x14ac:dyDescent="0.2">
      <c r="P803" s="472"/>
      <c r="Q803" s="472"/>
      <c r="S803" s="472"/>
      <c r="V803" s="472"/>
    </row>
    <row r="804" spans="16:22" x14ac:dyDescent="0.2">
      <c r="P804" s="472"/>
      <c r="Q804" s="472"/>
      <c r="S804" s="472"/>
      <c r="V804" s="472"/>
    </row>
    <row r="805" spans="16:22" x14ac:dyDescent="0.2">
      <c r="P805" s="472"/>
      <c r="Q805" s="472"/>
      <c r="S805" s="472"/>
      <c r="V805" s="472"/>
    </row>
    <row r="806" spans="16:22" x14ac:dyDescent="0.2">
      <c r="P806" s="472"/>
      <c r="Q806" s="472"/>
      <c r="S806" s="472"/>
      <c r="V806" s="472"/>
    </row>
    <row r="807" spans="16:22" x14ac:dyDescent="0.2">
      <c r="P807" s="472"/>
      <c r="Q807" s="472"/>
      <c r="S807" s="472"/>
      <c r="V807" s="472"/>
    </row>
    <row r="808" spans="16:22" x14ac:dyDescent="0.2">
      <c r="P808" s="472"/>
      <c r="Q808" s="472"/>
      <c r="S808" s="472"/>
      <c r="V808" s="472"/>
    </row>
    <row r="809" spans="16:22" x14ac:dyDescent="0.2">
      <c r="P809" s="472"/>
      <c r="Q809" s="472"/>
      <c r="S809" s="472"/>
      <c r="V809" s="472"/>
    </row>
    <row r="810" spans="16:22" x14ac:dyDescent="0.2">
      <c r="P810" s="472"/>
      <c r="Q810" s="472"/>
      <c r="S810" s="472"/>
      <c r="V810" s="472"/>
    </row>
    <row r="811" spans="16:22" x14ac:dyDescent="0.2">
      <c r="P811" s="472"/>
      <c r="Q811" s="472"/>
      <c r="S811" s="472"/>
      <c r="V811" s="472"/>
    </row>
    <row r="812" spans="16:22" x14ac:dyDescent="0.2">
      <c r="P812" s="472"/>
      <c r="Q812" s="472"/>
      <c r="S812" s="472"/>
      <c r="V812" s="472"/>
    </row>
    <row r="813" spans="16:22" x14ac:dyDescent="0.2">
      <c r="P813" s="472"/>
      <c r="Q813" s="472"/>
      <c r="S813" s="472"/>
      <c r="V813" s="472"/>
    </row>
    <row r="814" spans="16:22" x14ac:dyDescent="0.2">
      <c r="P814" s="472"/>
      <c r="Q814" s="472"/>
      <c r="S814" s="472"/>
      <c r="V814" s="472"/>
    </row>
    <row r="815" spans="16:22" x14ac:dyDescent="0.2">
      <c r="P815" s="472"/>
      <c r="Q815" s="472"/>
      <c r="S815" s="472"/>
      <c r="V815" s="472"/>
    </row>
    <row r="816" spans="16:22" x14ac:dyDescent="0.2">
      <c r="P816" s="472"/>
      <c r="Q816" s="472"/>
      <c r="S816" s="472"/>
      <c r="V816" s="472"/>
    </row>
    <row r="817" spans="16:22" x14ac:dyDescent="0.2">
      <c r="P817" s="472"/>
      <c r="Q817" s="472"/>
      <c r="S817" s="472"/>
      <c r="V817" s="472"/>
    </row>
    <row r="818" spans="16:22" x14ac:dyDescent="0.2">
      <c r="P818" s="472"/>
      <c r="Q818" s="472"/>
      <c r="S818" s="472"/>
      <c r="V818" s="472"/>
    </row>
    <row r="819" spans="16:22" x14ac:dyDescent="0.2">
      <c r="P819" s="472"/>
      <c r="Q819" s="472"/>
      <c r="S819" s="472"/>
      <c r="V819" s="472"/>
    </row>
    <row r="820" spans="16:22" x14ac:dyDescent="0.2">
      <c r="P820" s="472"/>
      <c r="Q820" s="472"/>
      <c r="S820" s="472"/>
      <c r="V820" s="472"/>
    </row>
    <row r="821" spans="16:22" x14ac:dyDescent="0.2">
      <c r="P821" s="472"/>
      <c r="Q821" s="472"/>
      <c r="S821" s="472"/>
      <c r="V821" s="472"/>
    </row>
    <row r="822" spans="16:22" x14ac:dyDescent="0.2">
      <c r="P822" s="472"/>
      <c r="Q822" s="472"/>
      <c r="S822" s="472"/>
      <c r="V822" s="472"/>
    </row>
  </sheetData>
  <mergeCells count="2">
    <mergeCell ref="D1:U1"/>
    <mergeCell ref="D2:U2"/>
  </mergeCells>
  <pageMargins left="0.23622047244094491" right="0.23622047244094491" top="0.74803149606299213" bottom="0.74803149606299213" header="0.31496062992125984" footer="0.31496062992125984"/>
  <pageSetup paperSize="9" scale="65" fitToHeight="22" orientation="landscape" horizontalDpi="0" verticalDpi="0" r:id="rId1"/>
  <headerFooter>
    <oddFooter>&amp;C&amp;Z&amp;F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2E28A-0BD0-47A1-83DE-BD70881B7542}">
  <sheetPr>
    <pageSetUpPr fitToPage="1"/>
  </sheetPr>
  <dimension ref="A1:Z182"/>
  <sheetViews>
    <sheetView workbookViewId="0">
      <pane ySplit="1770" topLeftCell="A123" activePane="bottomLeft"/>
      <selection sqref="A1:XFD1048576"/>
      <selection pane="bottomLeft" activeCell="U134" sqref="U134"/>
    </sheetView>
  </sheetViews>
  <sheetFormatPr defaultColWidth="6.85546875" defaultRowHeight="12.75" x14ac:dyDescent="0.2"/>
  <cols>
    <col min="1" max="2" width="6.85546875" style="11"/>
    <col min="3" max="3" width="42.85546875" style="11" customWidth="1"/>
    <col min="4" max="4" width="10.28515625" style="11" bestFit="1" customWidth="1"/>
    <col min="5" max="5" width="6.5703125" style="18" customWidth="1"/>
    <col min="6" max="6" width="8.28515625" style="19" customWidth="1"/>
    <col min="7" max="7" width="6" style="19" customWidth="1"/>
    <col min="8" max="8" width="12.85546875" style="11" bestFit="1" customWidth="1"/>
    <col min="9" max="9" width="12.85546875" style="42" bestFit="1" customWidth="1"/>
    <col min="10" max="10" width="11.85546875" style="11" customWidth="1"/>
    <col min="11" max="11" width="6.5703125" style="11" customWidth="1"/>
    <col min="12" max="12" width="6.7109375" style="11" customWidth="1"/>
    <col min="13" max="13" width="7" style="11" bestFit="1" customWidth="1"/>
    <col min="14" max="14" width="6.85546875" style="44"/>
    <col min="15" max="15" width="8.7109375" style="44" hidden="1" customWidth="1"/>
    <col min="16" max="16" width="8.7109375" style="11" hidden="1" customWidth="1"/>
    <col min="17" max="17" width="9.85546875" style="11" hidden="1" customWidth="1"/>
    <col min="18" max="18" width="8.7109375" style="44" hidden="1" customWidth="1"/>
    <col min="19" max="19" width="8.7109375" style="11" hidden="1" customWidth="1"/>
    <col min="20" max="20" width="10.28515625" style="11" bestFit="1" customWidth="1"/>
    <col min="21" max="21" width="12.85546875" style="258" bestFit="1" customWidth="1"/>
    <col min="22" max="22" width="9.85546875" style="11" bestFit="1" customWidth="1"/>
    <col min="23" max="23" width="8.42578125" style="11" bestFit="1" customWidth="1"/>
    <col min="24" max="24" width="6.85546875" style="11"/>
    <col min="25" max="25" width="10" style="11" bestFit="1" customWidth="1"/>
    <col min="26" max="26" width="7.7109375" style="11" bestFit="1" customWidth="1"/>
    <col min="27" max="16384" width="6.85546875" style="11"/>
  </cols>
  <sheetData>
    <row r="1" spans="1:23" ht="13.5" customHeight="1" x14ac:dyDescent="0.2">
      <c r="A1" s="14"/>
      <c r="B1" s="15"/>
      <c r="C1" s="15"/>
      <c r="D1" s="519" t="s">
        <v>1824</v>
      </c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161"/>
    </row>
    <row r="2" spans="1:23" ht="15.75" customHeight="1" x14ac:dyDescent="0.2">
      <c r="A2" s="14"/>
      <c r="B2" s="16"/>
      <c r="C2" s="16"/>
      <c r="D2" s="520" t="s">
        <v>1</v>
      </c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161"/>
    </row>
    <row r="3" spans="1:23" ht="13.5" customHeight="1" x14ac:dyDescent="0.2">
      <c r="A3" s="14"/>
      <c r="B3" s="17"/>
      <c r="C3" s="17"/>
      <c r="D3" s="17"/>
      <c r="H3" s="345">
        <f>+'31-12-2020 Teusner'!H3</f>
        <v>44013</v>
      </c>
      <c r="I3" s="346" t="s">
        <v>1637</v>
      </c>
      <c r="J3" s="345">
        <f>+'31-12-2020 Teusner'!J3</f>
        <v>44196</v>
      </c>
      <c r="K3" s="17"/>
      <c r="L3" s="17"/>
      <c r="M3" s="17"/>
      <c r="N3" s="22"/>
      <c r="O3" s="22"/>
      <c r="P3" s="17"/>
      <c r="Q3" s="17"/>
      <c r="R3" s="22"/>
      <c r="S3" s="17"/>
      <c r="T3" s="17" t="s">
        <v>1639</v>
      </c>
      <c r="U3" s="260">
        <f>ROUND((+J3-H3)/365*12,0)</f>
        <v>6</v>
      </c>
      <c r="V3" s="172"/>
    </row>
    <row r="4" spans="1:23" ht="3" customHeight="1" x14ac:dyDescent="0.2">
      <c r="A4" s="14"/>
      <c r="B4" s="14"/>
      <c r="C4" s="14"/>
      <c r="D4" s="14"/>
      <c r="E4" s="24"/>
      <c r="F4" s="23"/>
      <c r="G4" s="23"/>
      <c r="H4" s="14"/>
      <c r="I4" s="347"/>
      <c r="J4" s="14"/>
      <c r="K4" s="14"/>
      <c r="L4" s="14"/>
      <c r="M4" s="14"/>
      <c r="N4" s="490"/>
      <c r="O4" s="490"/>
      <c r="P4" s="14"/>
      <c r="Q4" s="14"/>
      <c r="R4" s="490"/>
      <c r="S4" s="14"/>
      <c r="T4" s="14"/>
      <c r="U4" s="261"/>
      <c r="V4" s="164"/>
    </row>
    <row r="5" spans="1:23" ht="15" customHeight="1" x14ac:dyDescent="0.2">
      <c r="A5" s="54"/>
      <c r="B5" s="55"/>
      <c r="C5" s="55"/>
      <c r="D5" s="26" t="s">
        <v>4</v>
      </c>
      <c r="E5" s="27" t="s">
        <v>1641</v>
      </c>
      <c r="F5" s="28" t="s">
        <v>2401</v>
      </c>
      <c r="G5" s="29"/>
      <c r="H5" s="30" t="s">
        <v>1643</v>
      </c>
      <c r="I5" s="348" t="s">
        <v>1646</v>
      </c>
      <c r="J5" s="32" t="s">
        <v>1647</v>
      </c>
      <c r="K5" s="31" t="s">
        <v>1649</v>
      </c>
      <c r="L5" s="31" t="s">
        <v>1650</v>
      </c>
      <c r="M5" s="31" t="s">
        <v>1634</v>
      </c>
      <c r="N5" s="33" t="s">
        <v>1634</v>
      </c>
      <c r="O5" s="33" t="s">
        <v>1664</v>
      </c>
      <c r="P5" s="31" t="s">
        <v>1665</v>
      </c>
      <c r="Q5" s="31" t="s">
        <v>1666</v>
      </c>
      <c r="R5" s="33" t="s">
        <v>1661</v>
      </c>
      <c r="S5" s="31" t="s">
        <v>1660</v>
      </c>
      <c r="T5" s="31" t="s">
        <v>1662</v>
      </c>
      <c r="U5" s="262" t="s">
        <v>1653</v>
      </c>
      <c r="V5" s="184" t="s">
        <v>2086</v>
      </c>
    </row>
    <row r="6" spans="1:23" ht="15" customHeight="1" x14ac:dyDescent="0.2">
      <c r="A6" s="56" t="s">
        <v>1636</v>
      </c>
      <c r="B6" s="57"/>
      <c r="C6" s="57" t="s">
        <v>12</v>
      </c>
      <c r="D6" s="34" t="s">
        <v>1640</v>
      </c>
      <c r="E6" s="35" t="s">
        <v>1640</v>
      </c>
      <c r="F6" s="36" t="s">
        <v>2400</v>
      </c>
      <c r="G6" s="37" t="s">
        <v>1644</v>
      </c>
      <c r="H6" s="38" t="s">
        <v>1644</v>
      </c>
      <c r="I6" s="349" t="s">
        <v>1645</v>
      </c>
      <c r="J6" s="34"/>
      <c r="K6" s="34"/>
      <c r="L6" s="34"/>
      <c r="M6" s="39" t="s">
        <v>1651</v>
      </c>
      <c r="N6" s="40" t="s">
        <v>1633</v>
      </c>
      <c r="O6" s="40" t="s">
        <v>1634</v>
      </c>
      <c r="P6" s="40" t="s">
        <v>1634</v>
      </c>
      <c r="Q6" s="40" t="s">
        <v>1667</v>
      </c>
      <c r="R6" s="40" t="s">
        <v>1634</v>
      </c>
      <c r="S6" s="40" t="s">
        <v>1634</v>
      </c>
      <c r="T6" s="40" t="s">
        <v>1634</v>
      </c>
      <c r="U6" s="263" t="s">
        <v>1652</v>
      </c>
      <c r="V6" s="193" t="s">
        <v>2087</v>
      </c>
      <c r="W6" s="487" t="s">
        <v>2390</v>
      </c>
    </row>
    <row r="7" spans="1:23" ht="15.75" customHeight="1" x14ac:dyDescent="0.2">
      <c r="A7" s="278"/>
      <c r="B7" s="279"/>
      <c r="C7" s="58"/>
      <c r="D7" s="59"/>
      <c r="E7" s="60"/>
      <c r="F7" s="61"/>
      <c r="G7" s="61"/>
      <c r="H7" s="61"/>
      <c r="I7" s="350"/>
      <c r="J7" s="61"/>
      <c r="K7" s="61"/>
      <c r="L7" s="61"/>
      <c r="M7" s="59"/>
      <c r="N7" s="62"/>
      <c r="O7" s="62"/>
      <c r="P7" s="59"/>
      <c r="Q7" s="59"/>
      <c r="R7" s="62"/>
      <c r="S7" s="59"/>
      <c r="T7" s="59"/>
      <c r="U7" s="264"/>
      <c r="V7" s="200"/>
      <c r="W7" s="343"/>
    </row>
    <row r="8" spans="1:23" ht="15.75" customHeight="1" x14ac:dyDescent="0.2">
      <c r="A8" s="269" t="s">
        <v>2102</v>
      </c>
      <c r="B8" s="270"/>
      <c r="C8" s="271"/>
      <c r="D8" s="272"/>
      <c r="E8" s="273"/>
      <c r="F8" s="274"/>
      <c r="G8" s="274"/>
      <c r="H8" s="274"/>
      <c r="I8" s="351"/>
      <c r="J8" s="274"/>
      <c r="K8" s="274"/>
      <c r="L8" s="274"/>
      <c r="M8" s="272"/>
      <c r="N8" s="275"/>
      <c r="O8" s="275"/>
      <c r="P8" s="272"/>
      <c r="Q8" s="272"/>
      <c r="R8" s="275"/>
      <c r="S8" s="272"/>
      <c r="T8" s="272"/>
      <c r="U8" s="276"/>
      <c r="V8" s="277"/>
      <c r="W8" s="449" cm="1">
        <f t="array" ref="W8">+IF(U8&lt;0,error,0)</f>
        <v>0</v>
      </c>
    </row>
    <row r="9" spans="1:23" ht="36.75" customHeight="1" x14ac:dyDescent="0.2">
      <c r="A9" s="280"/>
      <c r="B9" s="270"/>
      <c r="C9" s="271" t="s">
        <v>2103</v>
      </c>
      <c r="D9" s="286">
        <v>41761</v>
      </c>
      <c r="E9" s="282"/>
      <c r="F9" s="283"/>
      <c r="G9" s="283"/>
      <c r="H9" s="283">
        <v>1764225.9</v>
      </c>
      <c r="I9" s="352">
        <f>+H9</f>
        <v>1764225.9</v>
      </c>
      <c r="J9" s="283"/>
      <c r="K9" s="283"/>
      <c r="L9" s="283"/>
      <c r="M9" s="284"/>
      <c r="N9" s="285"/>
      <c r="O9" s="285"/>
      <c r="P9" s="284"/>
      <c r="Q9" s="284"/>
      <c r="R9" s="285"/>
      <c r="S9" s="284"/>
      <c r="T9" s="284"/>
      <c r="U9" s="276">
        <f>+I9</f>
        <v>1764225.9</v>
      </c>
      <c r="V9" s="277"/>
      <c r="W9" s="449" cm="1">
        <f t="array" ref="W9">+IF(U9&lt;0,error,0)</f>
        <v>0</v>
      </c>
    </row>
    <row r="10" spans="1:23" ht="36.75" customHeight="1" x14ac:dyDescent="0.2">
      <c r="A10" s="280"/>
      <c r="B10" s="270"/>
      <c r="C10" s="271" t="s">
        <v>2104</v>
      </c>
      <c r="D10" s="281">
        <v>42171</v>
      </c>
      <c r="E10" s="282"/>
      <c r="F10" s="283"/>
      <c r="G10" s="283"/>
      <c r="H10" s="283">
        <v>159527.31</v>
      </c>
      <c r="I10" s="352">
        <f>+H10</f>
        <v>159527.31</v>
      </c>
      <c r="J10" s="283"/>
      <c r="K10" s="283"/>
      <c r="L10" s="283"/>
      <c r="M10" s="284"/>
      <c r="N10" s="285"/>
      <c r="O10" s="285"/>
      <c r="P10" s="284"/>
      <c r="Q10" s="284"/>
      <c r="R10" s="285"/>
      <c r="S10" s="284"/>
      <c r="T10" s="284"/>
      <c r="U10" s="276">
        <f>+I10</f>
        <v>159527.31</v>
      </c>
      <c r="V10" s="277"/>
      <c r="W10" s="449" cm="1">
        <f t="array" ref="W10">+IF(U10&lt;0,error,0)</f>
        <v>0</v>
      </c>
    </row>
    <row r="11" spans="1:23" ht="36.75" customHeight="1" x14ac:dyDescent="0.2">
      <c r="A11" s="280"/>
      <c r="B11" s="270"/>
      <c r="C11" s="271" t="s">
        <v>2105</v>
      </c>
      <c r="D11" s="281">
        <v>42186</v>
      </c>
      <c r="E11" s="282"/>
      <c r="F11" s="283"/>
      <c r="G11" s="283"/>
      <c r="H11" s="283">
        <v>1310</v>
      </c>
      <c r="I11" s="352">
        <f>+H11</f>
        <v>1310</v>
      </c>
      <c r="J11" s="283"/>
      <c r="K11" s="283"/>
      <c r="L11" s="283"/>
      <c r="M11" s="284"/>
      <c r="N11" s="285"/>
      <c r="O11" s="285"/>
      <c r="P11" s="284"/>
      <c r="Q11" s="284"/>
      <c r="R11" s="285"/>
      <c r="S11" s="284"/>
      <c r="T11" s="284"/>
      <c r="U11" s="276">
        <f>+I11</f>
        <v>1310</v>
      </c>
      <c r="V11" s="277"/>
      <c r="W11" s="449" cm="1">
        <f t="array" ref="W11">+IF(U11&lt;0,error,0)</f>
        <v>0</v>
      </c>
    </row>
    <row r="12" spans="1:23" ht="36.75" customHeight="1" x14ac:dyDescent="0.2">
      <c r="A12" s="280"/>
      <c r="B12" s="270"/>
      <c r="C12" s="271"/>
      <c r="D12" s="281"/>
      <c r="E12" s="282"/>
      <c r="F12" s="283"/>
      <c r="G12" s="283"/>
      <c r="H12" s="283"/>
      <c r="I12" s="352"/>
      <c r="J12" s="283"/>
      <c r="K12" s="283"/>
      <c r="L12" s="283"/>
      <c r="M12" s="284"/>
      <c r="N12" s="285"/>
      <c r="O12" s="285"/>
      <c r="P12" s="284"/>
      <c r="Q12" s="284"/>
      <c r="R12" s="285"/>
      <c r="S12" s="284"/>
      <c r="T12" s="284"/>
      <c r="U12" s="276"/>
      <c r="V12" s="277"/>
      <c r="W12" s="449" cm="1">
        <f t="array" ref="W12">+IF(U12&lt;0,error,0)</f>
        <v>0</v>
      </c>
    </row>
    <row r="13" spans="1:23" s="14" customFormat="1" ht="36.75" customHeight="1" x14ac:dyDescent="0.2">
      <c r="A13" s="105"/>
      <c r="B13" s="106"/>
      <c r="C13" s="77" t="s">
        <v>2106</v>
      </c>
      <c r="D13" s="76"/>
      <c r="E13" s="78"/>
      <c r="F13" s="79">
        <f t="shared" ref="F13:L13" si="0">SUM(F8:F12)</f>
        <v>0</v>
      </c>
      <c r="G13" s="79">
        <f t="shared" si="0"/>
        <v>0</v>
      </c>
      <c r="H13" s="268">
        <f t="shared" si="0"/>
        <v>1925063.21</v>
      </c>
      <c r="I13" s="353">
        <f t="shared" si="0"/>
        <v>1925063.21</v>
      </c>
      <c r="J13" s="79">
        <f t="shared" si="0"/>
        <v>0</v>
      </c>
      <c r="K13" s="79">
        <f t="shared" si="0"/>
        <v>0</v>
      </c>
      <c r="L13" s="79">
        <f t="shared" si="0"/>
        <v>0</v>
      </c>
      <c r="M13" s="80"/>
      <c r="N13" s="81"/>
      <c r="O13" s="79" t="e">
        <f>SUM(#REF!)</f>
        <v>#REF!</v>
      </c>
      <c r="P13" s="79" t="e">
        <f>SUM(#REF!)</f>
        <v>#REF!</v>
      </c>
      <c r="Q13" s="79"/>
      <c r="R13" s="79" t="e">
        <f>SUM(#REF!)</f>
        <v>#REF!</v>
      </c>
      <c r="S13" s="79" t="e">
        <f>SUM(#REF!)</f>
        <v>#REF!</v>
      </c>
      <c r="T13" s="79">
        <f>SUM(T8:T12)</f>
        <v>0</v>
      </c>
      <c r="U13" s="267">
        <f>SUM(U8:U12)</f>
        <v>1925063.21</v>
      </c>
      <c r="V13" s="79">
        <f>SUM(V8:V12)</f>
        <v>0</v>
      </c>
      <c r="W13" s="449" cm="1">
        <f t="array" ref="W13">+IF(U13&lt;0,error,0)</f>
        <v>0</v>
      </c>
    </row>
    <row r="14" spans="1:23" ht="36.75" customHeight="1" x14ac:dyDescent="0.2">
      <c r="A14" s="269"/>
      <c r="B14" s="270"/>
      <c r="C14" s="271"/>
      <c r="D14" s="272"/>
      <c r="E14" s="273"/>
      <c r="F14" s="274"/>
      <c r="G14" s="274"/>
      <c r="H14" s="274"/>
      <c r="I14" s="351"/>
      <c r="J14" s="274"/>
      <c r="K14" s="274"/>
      <c r="L14" s="274"/>
      <c r="M14" s="272"/>
      <c r="N14" s="275"/>
      <c r="O14" s="275"/>
      <c r="P14" s="272"/>
      <c r="Q14" s="272"/>
      <c r="R14" s="275"/>
      <c r="S14" s="272"/>
      <c r="T14" s="272"/>
      <c r="U14" s="276"/>
      <c r="V14" s="277"/>
      <c r="W14" s="449" cm="1">
        <f t="array" ref="W14">+IF(U14&lt;0,error,0)</f>
        <v>0</v>
      </c>
    </row>
    <row r="15" spans="1:23" ht="36.75" customHeight="1" x14ac:dyDescent="0.2">
      <c r="A15" s="269" t="s">
        <v>2101</v>
      </c>
      <c r="B15" s="270"/>
      <c r="C15" s="271"/>
      <c r="D15" s="272"/>
      <c r="E15" s="273"/>
      <c r="F15" s="274"/>
      <c r="G15" s="274"/>
      <c r="H15" s="274"/>
      <c r="I15" s="351"/>
      <c r="J15" s="274"/>
      <c r="K15" s="274"/>
      <c r="L15" s="274"/>
      <c r="M15" s="272"/>
      <c r="N15" s="275"/>
      <c r="O15" s="275"/>
      <c r="P15" s="272"/>
      <c r="Q15" s="272"/>
      <c r="R15" s="275"/>
      <c r="S15" s="272"/>
      <c r="T15" s="272"/>
      <c r="U15" s="276"/>
      <c r="V15" s="277"/>
      <c r="W15" s="449" cm="1">
        <f t="array" ref="W15">+IF(U15&lt;0,error,0)</f>
        <v>0</v>
      </c>
    </row>
    <row r="16" spans="1:23" ht="36.75" customHeight="1" x14ac:dyDescent="0.2">
      <c r="A16" s="101" t="s">
        <v>1675</v>
      </c>
      <c r="B16" s="102"/>
      <c r="C16" s="64" t="s">
        <v>1676</v>
      </c>
      <c r="D16" s="65">
        <v>41780</v>
      </c>
      <c r="E16" s="66"/>
      <c r="F16" s="67"/>
      <c r="G16" s="67"/>
      <c r="H16" s="67">
        <v>3730</v>
      </c>
      <c r="I16" s="354">
        <v>3163</v>
      </c>
      <c r="J16" s="67">
        <v>0</v>
      </c>
      <c r="K16" s="68">
        <f t="shared" ref="K16:K79" si="1">INT(IF($E16&gt;0,IF(+F16-I16+Q16&lt;0,0,+F16-I16+Q16),0))</f>
        <v>0</v>
      </c>
      <c r="L16" s="68">
        <f t="shared" ref="L16:L79" si="2">INT(IF($E16&gt;0,IF(K16=0,-F16+I16-Q16,0),0))</f>
        <v>0</v>
      </c>
      <c r="M16" s="69">
        <v>2.5</v>
      </c>
      <c r="N16" s="70" t="s">
        <v>17</v>
      </c>
      <c r="O16" s="68">
        <f>IF(E16&gt;0,INT(IF($N16="D",IF($D16&lt;$H$3,$I16*($M16/100)*((E16-$H$3)/365),$J16*($M16/100)*($J$3-$D16)/365),0)),0)</f>
        <v>0</v>
      </c>
      <c r="P16" s="68">
        <f>IF(E16&gt;0,INT(IF($N16="P",IF($D16&lt;$H$3,$H16*($M16/100)*(E16-$H$3)/365,$J16*($M16/100)*($J$3-$D16)/365),0)),0)</f>
        <v>0</v>
      </c>
      <c r="Q16" s="68">
        <f>+O16+P16</f>
        <v>0</v>
      </c>
      <c r="R16" s="68">
        <f t="shared" ref="R16:R79" si="3">INT(IF($E16&gt;0,0,(IF($N16="D",IF($D16&lt;$H$3,$I16*($M16/100)*$U$3/12,$J16*($M16/100)*($J$3-$D16)/365),0))))</f>
        <v>0</v>
      </c>
      <c r="S16" s="68">
        <f t="shared" ref="S16:S79" si="4">INT(IF($E16&gt;0,0,(IF($N16="P",IF($D16&lt;$H$3,$H16*($M16/100)*$U$3/12,$J16*($M16/100)*($J$3-$D16)/365),0))))</f>
        <v>46</v>
      </c>
      <c r="T16" s="68">
        <f>+R16+S16+Q16</f>
        <v>46</v>
      </c>
      <c r="U16" s="265">
        <f>+I16+J16-T16</f>
        <v>3117</v>
      </c>
      <c r="V16" s="93">
        <f>IF(E16&gt;0,+H16+J16,0)</f>
        <v>0</v>
      </c>
      <c r="W16" s="449" cm="1">
        <f t="array" ref="W16">+IF(U16&lt;0,error,0)</f>
        <v>0</v>
      </c>
    </row>
    <row r="17" spans="1:23" ht="36.75" customHeight="1" x14ac:dyDescent="0.2">
      <c r="A17" s="101" t="s">
        <v>1677</v>
      </c>
      <c r="B17" s="102"/>
      <c r="C17" s="71" t="s">
        <v>1678</v>
      </c>
      <c r="D17" s="65">
        <v>41780</v>
      </c>
      <c r="E17" s="66"/>
      <c r="F17" s="67"/>
      <c r="G17" s="67"/>
      <c r="H17" s="67">
        <v>15123.76</v>
      </c>
      <c r="I17" s="354">
        <v>12813.76</v>
      </c>
      <c r="J17" s="67">
        <v>0</v>
      </c>
      <c r="K17" s="68">
        <f t="shared" si="1"/>
        <v>0</v>
      </c>
      <c r="L17" s="68">
        <f t="shared" si="2"/>
        <v>0</v>
      </c>
      <c r="M17" s="69">
        <v>2.5</v>
      </c>
      <c r="N17" s="70" t="s">
        <v>17</v>
      </c>
      <c r="O17" s="68">
        <f t="shared" ref="O17:O80" si="5">IF(E17&gt;0,INT(IF($N17="D",IF($D17&lt;$H$3,$I17*($M17/100)*((E17-$H$3)/365),$J17*($M17/100)*($J$3-$D17)/365),0)),0)</f>
        <v>0</v>
      </c>
      <c r="P17" s="68">
        <f t="shared" ref="P17:P80" si="6">IF(E17&gt;0,INT(IF($N17="P",IF($D17&lt;$H$3,$H17*($M17/100)*(E17-$H$3)/365,$J17*($M17/100)*($J$3-$D17)/365),0)),0)</f>
        <v>0</v>
      </c>
      <c r="Q17" s="68">
        <f t="shared" ref="Q17:Q80" si="7">+O17+P17</f>
        <v>0</v>
      </c>
      <c r="R17" s="68">
        <f t="shared" si="3"/>
        <v>0</v>
      </c>
      <c r="S17" s="68">
        <f t="shared" si="4"/>
        <v>189</v>
      </c>
      <c r="T17" s="68">
        <f t="shared" ref="T17:T26" si="8">+R17+S17+Q17</f>
        <v>189</v>
      </c>
      <c r="U17" s="265">
        <f t="shared" ref="U17:U80" si="9">+I17+J17-T17</f>
        <v>12624.76</v>
      </c>
      <c r="V17" s="93">
        <f t="shared" ref="V17:V80" si="10">IF(E17&gt;0,+H17+J17,0)</f>
        <v>0</v>
      </c>
      <c r="W17" s="449" cm="1">
        <f t="array" ref="W17">+IF(U17&lt;0,error,0)</f>
        <v>0</v>
      </c>
    </row>
    <row r="18" spans="1:23" ht="36.75" customHeight="1" x14ac:dyDescent="0.2">
      <c r="A18" s="101" t="s">
        <v>1679</v>
      </c>
      <c r="B18" s="102"/>
      <c r="C18" s="71" t="s">
        <v>1676</v>
      </c>
      <c r="D18" s="65">
        <v>41820</v>
      </c>
      <c r="E18" s="66"/>
      <c r="F18" s="67"/>
      <c r="G18" s="67"/>
      <c r="H18" s="67">
        <v>8798.5500000000011</v>
      </c>
      <c r="I18" s="354">
        <v>7479.55</v>
      </c>
      <c r="J18" s="67">
        <v>0</v>
      </c>
      <c r="K18" s="68">
        <f t="shared" si="1"/>
        <v>0</v>
      </c>
      <c r="L18" s="68">
        <f t="shared" si="2"/>
        <v>0</v>
      </c>
      <c r="M18" s="69">
        <v>2.5</v>
      </c>
      <c r="N18" s="70" t="s">
        <v>17</v>
      </c>
      <c r="O18" s="68">
        <f t="shared" si="5"/>
        <v>0</v>
      </c>
      <c r="P18" s="68">
        <f t="shared" si="6"/>
        <v>0</v>
      </c>
      <c r="Q18" s="68">
        <f t="shared" si="7"/>
        <v>0</v>
      </c>
      <c r="R18" s="68">
        <f t="shared" si="3"/>
        <v>0</v>
      </c>
      <c r="S18" s="68">
        <f t="shared" si="4"/>
        <v>109</v>
      </c>
      <c r="T18" s="68">
        <f t="shared" si="8"/>
        <v>109</v>
      </c>
      <c r="U18" s="265">
        <f t="shared" si="9"/>
        <v>7370.55</v>
      </c>
      <c r="V18" s="93">
        <f t="shared" si="10"/>
        <v>0</v>
      </c>
      <c r="W18" s="449" cm="1">
        <f t="array" ref="W18">+IF(U18&lt;0,error,0)</f>
        <v>0</v>
      </c>
    </row>
    <row r="19" spans="1:23" ht="36.75" customHeight="1" x14ac:dyDescent="0.2">
      <c r="A19" s="101" t="s">
        <v>1680</v>
      </c>
      <c r="B19" s="102"/>
      <c r="C19" s="71" t="s">
        <v>1681</v>
      </c>
      <c r="D19" s="65">
        <v>41863</v>
      </c>
      <c r="E19" s="66"/>
      <c r="F19" s="67"/>
      <c r="G19" s="67"/>
      <c r="H19" s="67">
        <v>6110</v>
      </c>
      <c r="I19" s="354">
        <v>5211</v>
      </c>
      <c r="J19" s="67">
        <v>0</v>
      </c>
      <c r="K19" s="68">
        <f t="shared" si="1"/>
        <v>0</v>
      </c>
      <c r="L19" s="68">
        <f t="shared" si="2"/>
        <v>0</v>
      </c>
      <c r="M19" s="69">
        <v>2.5</v>
      </c>
      <c r="N19" s="70" t="s">
        <v>17</v>
      </c>
      <c r="O19" s="68">
        <f t="shared" si="5"/>
        <v>0</v>
      </c>
      <c r="P19" s="68">
        <f t="shared" si="6"/>
        <v>0</v>
      </c>
      <c r="Q19" s="68">
        <f t="shared" si="7"/>
        <v>0</v>
      </c>
      <c r="R19" s="68">
        <f t="shared" si="3"/>
        <v>0</v>
      </c>
      <c r="S19" s="68">
        <f t="shared" si="4"/>
        <v>76</v>
      </c>
      <c r="T19" s="68">
        <f t="shared" si="8"/>
        <v>76</v>
      </c>
      <c r="U19" s="265">
        <f t="shared" si="9"/>
        <v>5135</v>
      </c>
      <c r="V19" s="93">
        <f t="shared" si="10"/>
        <v>0</v>
      </c>
      <c r="W19" s="449" cm="1">
        <f t="array" ref="W19">+IF(U19&lt;0,error,0)</f>
        <v>0</v>
      </c>
    </row>
    <row r="20" spans="1:23" ht="36.75" customHeight="1" x14ac:dyDescent="0.2">
      <c r="A20" s="101" t="s">
        <v>1682</v>
      </c>
      <c r="B20" s="102"/>
      <c r="C20" s="71" t="s">
        <v>1683</v>
      </c>
      <c r="D20" s="65">
        <v>41891</v>
      </c>
      <c r="E20" s="66"/>
      <c r="F20" s="67"/>
      <c r="G20" s="67"/>
      <c r="H20" s="67">
        <v>1128.6400000000001</v>
      </c>
      <c r="I20" s="354">
        <v>965.64</v>
      </c>
      <c r="J20" s="67">
        <v>0</v>
      </c>
      <c r="K20" s="68">
        <f t="shared" si="1"/>
        <v>0</v>
      </c>
      <c r="L20" s="68">
        <f t="shared" si="2"/>
        <v>0</v>
      </c>
      <c r="M20" s="69">
        <v>2.5</v>
      </c>
      <c r="N20" s="70" t="s">
        <v>17</v>
      </c>
      <c r="O20" s="68">
        <f t="shared" si="5"/>
        <v>0</v>
      </c>
      <c r="P20" s="68">
        <f t="shared" si="6"/>
        <v>0</v>
      </c>
      <c r="Q20" s="68">
        <f t="shared" si="7"/>
        <v>0</v>
      </c>
      <c r="R20" s="68">
        <f t="shared" si="3"/>
        <v>0</v>
      </c>
      <c r="S20" s="68">
        <f t="shared" si="4"/>
        <v>14</v>
      </c>
      <c r="T20" s="68">
        <f t="shared" si="8"/>
        <v>14</v>
      </c>
      <c r="U20" s="265">
        <f t="shared" si="9"/>
        <v>951.64</v>
      </c>
      <c r="V20" s="93">
        <f t="shared" si="10"/>
        <v>0</v>
      </c>
      <c r="W20" s="449" cm="1">
        <f t="array" ref="W20">+IF(U20&lt;0,error,0)</f>
        <v>0</v>
      </c>
    </row>
    <row r="21" spans="1:23" ht="36.75" customHeight="1" x14ac:dyDescent="0.2">
      <c r="A21" s="101" t="s">
        <v>1684</v>
      </c>
      <c r="B21" s="102"/>
      <c r="C21" s="72" t="s">
        <v>1681</v>
      </c>
      <c r="D21" s="65">
        <v>41891</v>
      </c>
      <c r="E21" s="66"/>
      <c r="F21" s="67"/>
      <c r="G21" s="67"/>
      <c r="H21" s="67">
        <v>5296</v>
      </c>
      <c r="I21" s="354">
        <v>4529</v>
      </c>
      <c r="J21" s="67">
        <v>0</v>
      </c>
      <c r="K21" s="68">
        <f t="shared" si="1"/>
        <v>0</v>
      </c>
      <c r="L21" s="68">
        <f t="shared" si="2"/>
        <v>0</v>
      </c>
      <c r="M21" s="69">
        <v>2.5</v>
      </c>
      <c r="N21" s="70" t="s">
        <v>17</v>
      </c>
      <c r="O21" s="68">
        <f t="shared" si="5"/>
        <v>0</v>
      </c>
      <c r="P21" s="68">
        <f t="shared" si="6"/>
        <v>0</v>
      </c>
      <c r="Q21" s="68">
        <f t="shared" si="7"/>
        <v>0</v>
      </c>
      <c r="R21" s="68">
        <f t="shared" si="3"/>
        <v>0</v>
      </c>
      <c r="S21" s="68">
        <f t="shared" si="4"/>
        <v>66</v>
      </c>
      <c r="T21" s="68">
        <f t="shared" si="8"/>
        <v>66</v>
      </c>
      <c r="U21" s="265">
        <f t="shared" si="9"/>
        <v>4463</v>
      </c>
      <c r="V21" s="93">
        <f t="shared" si="10"/>
        <v>0</v>
      </c>
      <c r="W21" s="449" cm="1">
        <f t="array" ref="W21">+IF(U21&lt;0,error,0)</f>
        <v>0</v>
      </c>
    </row>
    <row r="22" spans="1:23" ht="36.75" customHeight="1" x14ac:dyDescent="0.2">
      <c r="A22" s="101" t="s">
        <v>1685</v>
      </c>
      <c r="B22" s="102"/>
      <c r="C22" s="64" t="s">
        <v>1676</v>
      </c>
      <c r="D22" s="65">
        <v>41935</v>
      </c>
      <c r="E22" s="66"/>
      <c r="F22" s="67"/>
      <c r="G22" s="67"/>
      <c r="H22" s="67">
        <v>5708.11</v>
      </c>
      <c r="I22" s="354">
        <v>4896.1099999999997</v>
      </c>
      <c r="J22" s="67">
        <v>0</v>
      </c>
      <c r="K22" s="68">
        <f t="shared" si="1"/>
        <v>0</v>
      </c>
      <c r="L22" s="68">
        <f t="shared" si="2"/>
        <v>0</v>
      </c>
      <c r="M22" s="69">
        <v>2.5</v>
      </c>
      <c r="N22" s="70" t="s">
        <v>17</v>
      </c>
      <c r="O22" s="68">
        <f t="shared" si="5"/>
        <v>0</v>
      </c>
      <c r="P22" s="68">
        <f t="shared" si="6"/>
        <v>0</v>
      </c>
      <c r="Q22" s="68">
        <f t="shared" si="7"/>
        <v>0</v>
      </c>
      <c r="R22" s="68">
        <f t="shared" si="3"/>
        <v>0</v>
      </c>
      <c r="S22" s="68">
        <f t="shared" si="4"/>
        <v>71</v>
      </c>
      <c r="T22" s="68">
        <f t="shared" si="8"/>
        <v>71</v>
      </c>
      <c r="U22" s="265">
        <f t="shared" si="9"/>
        <v>4825.1099999999997</v>
      </c>
      <c r="V22" s="93">
        <f t="shared" si="10"/>
        <v>0</v>
      </c>
      <c r="W22" s="449" cm="1">
        <f t="array" ref="W22">+IF(U22&lt;0,error,0)</f>
        <v>0</v>
      </c>
    </row>
    <row r="23" spans="1:23" ht="36.75" customHeight="1" x14ac:dyDescent="0.2">
      <c r="A23" s="101" t="s">
        <v>1686</v>
      </c>
      <c r="B23" s="102"/>
      <c r="C23" s="64" t="s">
        <v>1687</v>
      </c>
      <c r="D23" s="65">
        <v>42122</v>
      </c>
      <c r="E23" s="66"/>
      <c r="F23" s="67"/>
      <c r="G23" s="67"/>
      <c r="H23" s="67">
        <v>6247.2</v>
      </c>
      <c r="I23" s="354">
        <v>5440.2</v>
      </c>
      <c r="J23" s="67">
        <v>0</v>
      </c>
      <c r="K23" s="68">
        <f t="shared" si="1"/>
        <v>0</v>
      </c>
      <c r="L23" s="68">
        <f t="shared" si="2"/>
        <v>0</v>
      </c>
      <c r="M23" s="69">
        <v>2.5</v>
      </c>
      <c r="N23" s="70" t="s">
        <v>17</v>
      </c>
      <c r="O23" s="68">
        <f t="shared" si="5"/>
        <v>0</v>
      </c>
      <c r="P23" s="68">
        <f t="shared" si="6"/>
        <v>0</v>
      </c>
      <c r="Q23" s="68">
        <f t="shared" si="7"/>
        <v>0</v>
      </c>
      <c r="R23" s="68">
        <f t="shared" si="3"/>
        <v>0</v>
      </c>
      <c r="S23" s="68">
        <f t="shared" si="4"/>
        <v>78</v>
      </c>
      <c r="T23" s="68">
        <f t="shared" si="8"/>
        <v>78</v>
      </c>
      <c r="U23" s="265">
        <f t="shared" si="9"/>
        <v>5362.2</v>
      </c>
      <c r="V23" s="93">
        <f t="shared" si="10"/>
        <v>0</v>
      </c>
      <c r="W23" s="449" cm="1">
        <f t="array" ref="W23">+IF(U23&lt;0,error,0)</f>
        <v>0</v>
      </c>
    </row>
    <row r="24" spans="1:23" ht="36.75" customHeight="1" x14ac:dyDescent="0.2">
      <c r="A24" s="101" t="s">
        <v>1688</v>
      </c>
      <c r="B24" s="102"/>
      <c r="C24" s="71" t="s">
        <v>1689</v>
      </c>
      <c r="D24" s="65">
        <v>41935</v>
      </c>
      <c r="E24" s="66"/>
      <c r="F24" s="67"/>
      <c r="G24" s="67"/>
      <c r="H24" s="67">
        <v>1900.75</v>
      </c>
      <c r="I24" s="354">
        <v>1630.75</v>
      </c>
      <c r="J24" s="67">
        <v>0</v>
      </c>
      <c r="K24" s="68">
        <f t="shared" si="1"/>
        <v>0</v>
      </c>
      <c r="L24" s="68">
        <f t="shared" si="2"/>
        <v>0</v>
      </c>
      <c r="M24" s="69">
        <v>2.5</v>
      </c>
      <c r="N24" s="70" t="s">
        <v>17</v>
      </c>
      <c r="O24" s="68">
        <f t="shared" si="5"/>
        <v>0</v>
      </c>
      <c r="P24" s="68">
        <f t="shared" si="6"/>
        <v>0</v>
      </c>
      <c r="Q24" s="68">
        <f t="shared" si="7"/>
        <v>0</v>
      </c>
      <c r="R24" s="68">
        <f t="shared" si="3"/>
        <v>0</v>
      </c>
      <c r="S24" s="68">
        <f t="shared" si="4"/>
        <v>23</v>
      </c>
      <c r="T24" s="68">
        <f t="shared" si="8"/>
        <v>23</v>
      </c>
      <c r="U24" s="265">
        <f t="shared" si="9"/>
        <v>1607.75</v>
      </c>
      <c r="V24" s="93">
        <f t="shared" si="10"/>
        <v>0</v>
      </c>
      <c r="W24" s="449" cm="1">
        <f t="array" ref="W24">+IF(U24&lt;0,error,0)</f>
        <v>0</v>
      </c>
    </row>
    <row r="25" spans="1:23" ht="36.75" customHeight="1" x14ac:dyDescent="0.2">
      <c r="A25" s="101" t="s">
        <v>1690</v>
      </c>
      <c r="B25" s="102"/>
      <c r="C25" s="72" t="s">
        <v>1689</v>
      </c>
      <c r="D25" s="65">
        <v>42095</v>
      </c>
      <c r="E25" s="66"/>
      <c r="F25" s="67"/>
      <c r="G25" s="67"/>
      <c r="H25" s="67">
        <v>4463.6500000000005</v>
      </c>
      <c r="I25" s="354">
        <v>3877.65</v>
      </c>
      <c r="J25" s="67">
        <v>0</v>
      </c>
      <c r="K25" s="68">
        <f t="shared" si="1"/>
        <v>0</v>
      </c>
      <c r="L25" s="68">
        <f t="shared" si="2"/>
        <v>0</v>
      </c>
      <c r="M25" s="69">
        <v>2.5</v>
      </c>
      <c r="N25" s="70" t="s">
        <v>17</v>
      </c>
      <c r="O25" s="68">
        <f t="shared" si="5"/>
        <v>0</v>
      </c>
      <c r="P25" s="68">
        <f t="shared" si="6"/>
        <v>0</v>
      </c>
      <c r="Q25" s="68">
        <f t="shared" si="7"/>
        <v>0</v>
      </c>
      <c r="R25" s="68">
        <f t="shared" si="3"/>
        <v>0</v>
      </c>
      <c r="S25" s="68">
        <f t="shared" si="4"/>
        <v>55</v>
      </c>
      <c r="T25" s="68">
        <f t="shared" si="8"/>
        <v>55</v>
      </c>
      <c r="U25" s="265">
        <f t="shared" si="9"/>
        <v>3822.65</v>
      </c>
      <c r="V25" s="93">
        <f t="shared" si="10"/>
        <v>0</v>
      </c>
      <c r="W25" s="449" cm="1">
        <f t="array" ref="W25">+IF(U25&lt;0,error,0)</f>
        <v>0</v>
      </c>
    </row>
    <row r="26" spans="1:23" ht="36.75" customHeight="1" x14ac:dyDescent="0.2">
      <c r="A26" s="101" t="s">
        <v>1691</v>
      </c>
      <c r="B26" s="102"/>
      <c r="C26" s="71" t="s">
        <v>1689</v>
      </c>
      <c r="D26" s="65">
        <v>42170</v>
      </c>
      <c r="E26" s="66"/>
      <c r="F26" s="67"/>
      <c r="G26" s="67"/>
      <c r="H26" s="67">
        <v>2366.9299999999998</v>
      </c>
      <c r="I26" s="354">
        <v>2069.9299999999998</v>
      </c>
      <c r="J26" s="67">
        <v>0</v>
      </c>
      <c r="K26" s="68">
        <f t="shared" si="1"/>
        <v>0</v>
      </c>
      <c r="L26" s="68">
        <f t="shared" si="2"/>
        <v>0</v>
      </c>
      <c r="M26" s="69">
        <v>2.5</v>
      </c>
      <c r="N26" s="70" t="s">
        <v>17</v>
      </c>
      <c r="O26" s="68">
        <f t="shared" si="5"/>
        <v>0</v>
      </c>
      <c r="P26" s="68">
        <f t="shared" si="6"/>
        <v>0</v>
      </c>
      <c r="Q26" s="68">
        <f t="shared" si="7"/>
        <v>0</v>
      </c>
      <c r="R26" s="68">
        <f t="shared" si="3"/>
        <v>0</v>
      </c>
      <c r="S26" s="68">
        <f t="shared" si="4"/>
        <v>29</v>
      </c>
      <c r="T26" s="68">
        <f t="shared" si="8"/>
        <v>29</v>
      </c>
      <c r="U26" s="265">
        <f t="shared" si="9"/>
        <v>2040.9299999999998</v>
      </c>
      <c r="V26" s="93">
        <f t="shared" si="10"/>
        <v>0</v>
      </c>
      <c r="W26" s="449" cm="1">
        <f t="array" ref="W26">+IF(U26&lt;0,error,0)</f>
        <v>0</v>
      </c>
    </row>
    <row r="27" spans="1:23" ht="36.75" customHeight="1" x14ac:dyDescent="0.2">
      <c r="A27" s="101" t="s">
        <v>1692</v>
      </c>
      <c r="B27" s="102"/>
      <c r="C27" s="71" t="s">
        <v>1693</v>
      </c>
      <c r="D27" s="65">
        <v>41960</v>
      </c>
      <c r="E27" s="66"/>
      <c r="F27" s="67"/>
      <c r="G27" s="67"/>
      <c r="H27" s="67">
        <v>20320</v>
      </c>
      <c r="I27" s="354">
        <v>0</v>
      </c>
      <c r="J27" s="67">
        <v>0</v>
      </c>
      <c r="K27" s="68">
        <f t="shared" si="1"/>
        <v>0</v>
      </c>
      <c r="L27" s="68">
        <f t="shared" si="2"/>
        <v>0</v>
      </c>
      <c r="M27" s="69">
        <v>20</v>
      </c>
      <c r="N27" s="70" t="s">
        <v>17</v>
      </c>
      <c r="O27" s="68">
        <f t="shared" si="5"/>
        <v>0</v>
      </c>
      <c r="P27" s="68">
        <f t="shared" si="6"/>
        <v>0</v>
      </c>
      <c r="Q27" s="68">
        <f t="shared" si="7"/>
        <v>0</v>
      </c>
      <c r="R27" s="68">
        <f t="shared" si="3"/>
        <v>0</v>
      </c>
      <c r="S27" s="68">
        <f t="shared" si="4"/>
        <v>2032</v>
      </c>
      <c r="T27" s="68">
        <v>0</v>
      </c>
      <c r="U27" s="265">
        <f t="shared" si="9"/>
        <v>0</v>
      </c>
      <c r="V27" s="93">
        <f t="shared" si="10"/>
        <v>0</v>
      </c>
      <c r="W27" s="449" cm="1">
        <f t="array" ref="W27">+IF(U27&lt;0,error,0)</f>
        <v>0</v>
      </c>
    </row>
    <row r="28" spans="1:23" ht="36.75" customHeight="1" x14ac:dyDescent="0.2">
      <c r="A28" s="101" t="s">
        <v>1694</v>
      </c>
      <c r="B28" s="102"/>
      <c r="C28" s="73" t="s">
        <v>1695</v>
      </c>
      <c r="D28" s="65">
        <v>41971</v>
      </c>
      <c r="E28" s="66"/>
      <c r="F28" s="67"/>
      <c r="G28" s="67"/>
      <c r="H28" s="67">
        <v>6712</v>
      </c>
      <c r="I28" s="354">
        <v>5776</v>
      </c>
      <c r="J28" s="67">
        <v>0</v>
      </c>
      <c r="K28" s="68">
        <f t="shared" si="1"/>
        <v>0</v>
      </c>
      <c r="L28" s="68">
        <f t="shared" si="2"/>
        <v>0</v>
      </c>
      <c r="M28" s="69">
        <v>2.5</v>
      </c>
      <c r="N28" s="70" t="s">
        <v>17</v>
      </c>
      <c r="O28" s="68">
        <f t="shared" si="5"/>
        <v>0</v>
      </c>
      <c r="P28" s="68">
        <f t="shared" si="6"/>
        <v>0</v>
      </c>
      <c r="Q28" s="68">
        <f t="shared" si="7"/>
        <v>0</v>
      </c>
      <c r="R28" s="68">
        <f t="shared" si="3"/>
        <v>0</v>
      </c>
      <c r="S28" s="68">
        <f t="shared" si="4"/>
        <v>83</v>
      </c>
      <c r="T28" s="68">
        <f t="shared" ref="T28:T91" si="11">+R28+S28+Q28</f>
        <v>83</v>
      </c>
      <c r="U28" s="265">
        <f t="shared" si="9"/>
        <v>5693</v>
      </c>
      <c r="V28" s="93">
        <f t="shared" si="10"/>
        <v>0</v>
      </c>
      <c r="W28" s="449" cm="1">
        <f t="array" ref="W28">+IF(U28&lt;0,error,0)</f>
        <v>0</v>
      </c>
    </row>
    <row r="29" spans="1:23" ht="36.75" customHeight="1" x14ac:dyDescent="0.2">
      <c r="A29" s="101" t="s">
        <v>1696</v>
      </c>
      <c r="B29" s="102"/>
      <c r="C29" s="72" t="s">
        <v>1695</v>
      </c>
      <c r="D29" s="65">
        <v>42082</v>
      </c>
      <c r="E29" s="66"/>
      <c r="F29" s="67"/>
      <c r="G29" s="67"/>
      <c r="H29" s="67">
        <v>1425</v>
      </c>
      <c r="I29" s="354">
        <v>1238</v>
      </c>
      <c r="J29" s="67">
        <v>0</v>
      </c>
      <c r="K29" s="68">
        <f t="shared" si="1"/>
        <v>0</v>
      </c>
      <c r="L29" s="68">
        <f t="shared" si="2"/>
        <v>0</v>
      </c>
      <c r="M29" s="69">
        <v>2.5</v>
      </c>
      <c r="N29" s="70" t="s">
        <v>17</v>
      </c>
      <c r="O29" s="68">
        <f t="shared" si="5"/>
        <v>0</v>
      </c>
      <c r="P29" s="68">
        <f t="shared" si="6"/>
        <v>0</v>
      </c>
      <c r="Q29" s="68">
        <f t="shared" si="7"/>
        <v>0</v>
      </c>
      <c r="R29" s="68">
        <f t="shared" si="3"/>
        <v>0</v>
      </c>
      <c r="S29" s="68">
        <f t="shared" si="4"/>
        <v>17</v>
      </c>
      <c r="T29" s="68">
        <f t="shared" si="11"/>
        <v>17</v>
      </c>
      <c r="U29" s="265">
        <f t="shared" si="9"/>
        <v>1221</v>
      </c>
      <c r="V29" s="93">
        <f t="shared" si="10"/>
        <v>0</v>
      </c>
      <c r="W29" s="449" cm="1">
        <f t="array" ref="W29">+IF(U29&lt;0,error,0)</f>
        <v>0</v>
      </c>
    </row>
    <row r="30" spans="1:23" ht="36.75" customHeight="1" x14ac:dyDescent="0.2">
      <c r="A30" s="101" t="s">
        <v>1697</v>
      </c>
      <c r="B30" s="102"/>
      <c r="C30" s="73" t="s">
        <v>1698</v>
      </c>
      <c r="D30" s="65">
        <v>42018</v>
      </c>
      <c r="E30" s="66"/>
      <c r="F30" s="67"/>
      <c r="G30" s="67"/>
      <c r="H30" s="67">
        <v>35118.58</v>
      </c>
      <c r="I30" s="354">
        <v>30324.58</v>
      </c>
      <c r="J30" s="67">
        <v>0</v>
      </c>
      <c r="K30" s="68">
        <f t="shared" si="1"/>
        <v>0</v>
      </c>
      <c r="L30" s="68">
        <f t="shared" si="2"/>
        <v>0</v>
      </c>
      <c r="M30" s="69">
        <v>2.5</v>
      </c>
      <c r="N30" s="70" t="s">
        <v>17</v>
      </c>
      <c r="O30" s="68">
        <f t="shared" si="5"/>
        <v>0</v>
      </c>
      <c r="P30" s="68">
        <f t="shared" si="6"/>
        <v>0</v>
      </c>
      <c r="Q30" s="68">
        <f t="shared" si="7"/>
        <v>0</v>
      </c>
      <c r="R30" s="68">
        <f t="shared" si="3"/>
        <v>0</v>
      </c>
      <c r="S30" s="68">
        <f t="shared" si="4"/>
        <v>438</v>
      </c>
      <c r="T30" s="68">
        <f t="shared" si="11"/>
        <v>438</v>
      </c>
      <c r="U30" s="265">
        <f t="shared" si="9"/>
        <v>29886.58</v>
      </c>
      <c r="V30" s="93">
        <f t="shared" si="10"/>
        <v>0</v>
      </c>
      <c r="W30" s="449" cm="1">
        <f t="array" ref="W30">+IF(U30&lt;0,error,0)</f>
        <v>0</v>
      </c>
    </row>
    <row r="31" spans="1:23" ht="36.75" customHeight="1" x14ac:dyDescent="0.2">
      <c r="A31" s="101" t="s">
        <v>1699</v>
      </c>
      <c r="B31" s="102"/>
      <c r="C31" s="72" t="s">
        <v>1695</v>
      </c>
      <c r="D31" s="65">
        <v>42096</v>
      </c>
      <c r="E31" s="66"/>
      <c r="F31" s="67"/>
      <c r="G31" s="67"/>
      <c r="H31" s="67">
        <v>763</v>
      </c>
      <c r="I31" s="354">
        <v>664</v>
      </c>
      <c r="J31" s="67">
        <v>0</v>
      </c>
      <c r="K31" s="68">
        <f t="shared" si="1"/>
        <v>0</v>
      </c>
      <c r="L31" s="68">
        <f t="shared" si="2"/>
        <v>0</v>
      </c>
      <c r="M31" s="69">
        <v>2.5</v>
      </c>
      <c r="N31" s="70" t="s">
        <v>17</v>
      </c>
      <c r="O31" s="68">
        <f t="shared" si="5"/>
        <v>0</v>
      </c>
      <c r="P31" s="68">
        <f t="shared" si="6"/>
        <v>0</v>
      </c>
      <c r="Q31" s="68">
        <f t="shared" si="7"/>
        <v>0</v>
      </c>
      <c r="R31" s="68">
        <f t="shared" si="3"/>
        <v>0</v>
      </c>
      <c r="S31" s="68">
        <f t="shared" si="4"/>
        <v>9</v>
      </c>
      <c r="T31" s="68">
        <f t="shared" si="11"/>
        <v>9</v>
      </c>
      <c r="U31" s="265">
        <f t="shared" si="9"/>
        <v>655</v>
      </c>
      <c r="V31" s="93">
        <f t="shared" si="10"/>
        <v>0</v>
      </c>
      <c r="W31" s="449" cm="1">
        <f t="array" ref="W31">+IF(U31&lt;0,error,0)</f>
        <v>0</v>
      </c>
    </row>
    <row r="32" spans="1:23" ht="36.75" customHeight="1" x14ac:dyDescent="0.2">
      <c r="A32" s="101" t="s">
        <v>1700</v>
      </c>
      <c r="B32" s="102"/>
      <c r="C32" s="64" t="s">
        <v>1698</v>
      </c>
      <c r="D32" s="65">
        <v>42130</v>
      </c>
      <c r="E32" s="66"/>
      <c r="F32" s="67"/>
      <c r="G32" s="67"/>
      <c r="H32" s="67">
        <v>5339.55</v>
      </c>
      <c r="I32" s="354">
        <v>4655.55</v>
      </c>
      <c r="J32" s="67">
        <v>0</v>
      </c>
      <c r="K32" s="68">
        <f t="shared" si="1"/>
        <v>0</v>
      </c>
      <c r="L32" s="68">
        <f t="shared" si="2"/>
        <v>0</v>
      </c>
      <c r="M32" s="69">
        <v>2.5</v>
      </c>
      <c r="N32" s="70" t="s">
        <v>17</v>
      </c>
      <c r="O32" s="68">
        <f t="shared" si="5"/>
        <v>0</v>
      </c>
      <c r="P32" s="68">
        <f t="shared" si="6"/>
        <v>0</v>
      </c>
      <c r="Q32" s="68">
        <f t="shared" si="7"/>
        <v>0</v>
      </c>
      <c r="R32" s="68">
        <f t="shared" si="3"/>
        <v>0</v>
      </c>
      <c r="S32" s="68">
        <f t="shared" si="4"/>
        <v>66</v>
      </c>
      <c r="T32" s="68">
        <f t="shared" si="11"/>
        <v>66</v>
      </c>
      <c r="U32" s="265">
        <f t="shared" si="9"/>
        <v>4589.55</v>
      </c>
      <c r="V32" s="93">
        <f t="shared" si="10"/>
        <v>0</v>
      </c>
      <c r="W32" s="449" cm="1">
        <f t="array" ref="W32">+IF(U32&lt;0,error,0)</f>
        <v>0</v>
      </c>
    </row>
    <row r="33" spans="1:23" ht="36.75" customHeight="1" x14ac:dyDescent="0.2">
      <c r="A33" s="101" t="s">
        <v>1701</v>
      </c>
      <c r="B33" s="102"/>
      <c r="C33" s="64" t="s">
        <v>1702</v>
      </c>
      <c r="D33" s="65">
        <v>42175</v>
      </c>
      <c r="E33" s="66"/>
      <c r="F33" s="67"/>
      <c r="G33" s="67"/>
      <c r="H33" s="67">
        <v>196.81</v>
      </c>
      <c r="I33" s="354">
        <v>172.81</v>
      </c>
      <c r="J33" s="67">
        <v>0</v>
      </c>
      <c r="K33" s="68">
        <f t="shared" si="1"/>
        <v>0</v>
      </c>
      <c r="L33" s="68">
        <f t="shared" si="2"/>
        <v>0</v>
      </c>
      <c r="M33" s="69">
        <v>2.5</v>
      </c>
      <c r="N33" s="70" t="s">
        <v>17</v>
      </c>
      <c r="O33" s="68">
        <f t="shared" si="5"/>
        <v>0</v>
      </c>
      <c r="P33" s="68">
        <f t="shared" si="6"/>
        <v>0</v>
      </c>
      <c r="Q33" s="68">
        <f t="shared" si="7"/>
        <v>0</v>
      </c>
      <c r="R33" s="68">
        <f t="shared" si="3"/>
        <v>0</v>
      </c>
      <c r="S33" s="68">
        <f t="shared" si="4"/>
        <v>2</v>
      </c>
      <c r="T33" s="68">
        <f t="shared" si="11"/>
        <v>2</v>
      </c>
      <c r="U33" s="265">
        <f t="shared" si="9"/>
        <v>170.81</v>
      </c>
      <c r="V33" s="93">
        <f t="shared" si="10"/>
        <v>0</v>
      </c>
      <c r="W33" s="449" cm="1">
        <f t="array" ref="W33">+IF(U33&lt;0,error,0)</f>
        <v>0</v>
      </c>
    </row>
    <row r="34" spans="1:23" ht="36.75" customHeight="1" x14ac:dyDescent="0.2">
      <c r="A34" s="101" t="s">
        <v>1703</v>
      </c>
      <c r="B34" s="102"/>
      <c r="C34" s="64" t="s">
        <v>1704</v>
      </c>
      <c r="D34" s="65">
        <v>42186</v>
      </c>
      <c r="E34" s="66"/>
      <c r="F34" s="67"/>
      <c r="G34" s="67"/>
      <c r="H34" s="67">
        <v>33936.89</v>
      </c>
      <c r="I34" s="354">
        <v>29694.89</v>
      </c>
      <c r="J34" s="67">
        <v>0</v>
      </c>
      <c r="K34" s="68">
        <f t="shared" si="1"/>
        <v>0</v>
      </c>
      <c r="L34" s="68">
        <f t="shared" si="2"/>
        <v>0</v>
      </c>
      <c r="M34" s="69">
        <v>2.5</v>
      </c>
      <c r="N34" s="70" t="s">
        <v>17</v>
      </c>
      <c r="O34" s="68">
        <f t="shared" si="5"/>
        <v>0</v>
      </c>
      <c r="P34" s="68">
        <f t="shared" si="6"/>
        <v>0</v>
      </c>
      <c r="Q34" s="68">
        <f t="shared" si="7"/>
        <v>0</v>
      </c>
      <c r="R34" s="68">
        <f t="shared" si="3"/>
        <v>0</v>
      </c>
      <c r="S34" s="68">
        <f t="shared" si="4"/>
        <v>424</v>
      </c>
      <c r="T34" s="68">
        <f t="shared" si="11"/>
        <v>424</v>
      </c>
      <c r="U34" s="265">
        <f t="shared" si="9"/>
        <v>29270.89</v>
      </c>
      <c r="V34" s="93">
        <f t="shared" si="10"/>
        <v>0</v>
      </c>
      <c r="W34" s="449" cm="1">
        <f t="array" ref="W34">+IF(U34&lt;0,error,0)</f>
        <v>0</v>
      </c>
    </row>
    <row r="35" spans="1:23" ht="36.75" customHeight="1" x14ac:dyDescent="0.2">
      <c r="A35" s="101" t="s">
        <v>1705</v>
      </c>
      <c r="B35" s="102"/>
      <c r="C35" s="64" t="s">
        <v>1706</v>
      </c>
      <c r="D35" s="65">
        <v>42514</v>
      </c>
      <c r="E35" s="66"/>
      <c r="F35" s="67"/>
      <c r="G35" s="67"/>
      <c r="H35" s="67">
        <v>1746.3600000000001</v>
      </c>
      <c r="I35" s="354">
        <v>843.36000000000013</v>
      </c>
      <c r="J35" s="67">
        <v>0</v>
      </c>
      <c r="K35" s="68">
        <f t="shared" si="1"/>
        <v>0</v>
      </c>
      <c r="L35" s="68">
        <f t="shared" si="2"/>
        <v>0</v>
      </c>
      <c r="M35" s="69">
        <v>16.669999999999998</v>
      </c>
      <c r="N35" s="70" t="s">
        <v>289</v>
      </c>
      <c r="O35" s="68">
        <f t="shared" si="5"/>
        <v>0</v>
      </c>
      <c r="P35" s="68">
        <f t="shared" si="6"/>
        <v>0</v>
      </c>
      <c r="Q35" s="68">
        <f t="shared" si="7"/>
        <v>0</v>
      </c>
      <c r="R35" s="68">
        <f t="shared" si="3"/>
        <v>70</v>
      </c>
      <c r="S35" s="68">
        <f t="shared" si="4"/>
        <v>0</v>
      </c>
      <c r="T35" s="68">
        <f t="shared" si="11"/>
        <v>70</v>
      </c>
      <c r="U35" s="265">
        <f t="shared" si="9"/>
        <v>773.36000000000013</v>
      </c>
      <c r="V35" s="93">
        <f t="shared" si="10"/>
        <v>0</v>
      </c>
      <c r="W35" s="449" cm="1">
        <f t="array" ref="W35">+IF(U35&lt;0,error,0)</f>
        <v>0</v>
      </c>
    </row>
    <row r="36" spans="1:23" ht="36.75" customHeight="1" x14ac:dyDescent="0.2">
      <c r="A36" s="101" t="s">
        <v>1707</v>
      </c>
      <c r="B36" s="102"/>
      <c r="C36" s="64" t="s">
        <v>1708</v>
      </c>
      <c r="D36" s="65">
        <v>42514</v>
      </c>
      <c r="E36" s="66"/>
      <c r="F36" s="67"/>
      <c r="G36" s="67"/>
      <c r="H36" s="67">
        <v>4398.41</v>
      </c>
      <c r="I36" s="354">
        <v>3949.41</v>
      </c>
      <c r="J36" s="67">
        <v>0</v>
      </c>
      <c r="K36" s="68">
        <f t="shared" si="1"/>
        <v>0</v>
      </c>
      <c r="L36" s="68">
        <f t="shared" si="2"/>
        <v>0</v>
      </c>
      <c r="M36" s="69">
        <v>2.5</v>
      </c>
      <c r="N36" s="70" t="s">
        <v>17</v>
      </c>
      <c r="O36" s="68">
        <f t="shared" si="5"/>
        <v>0</v>
      </c>
      <c r="P36" s="68">
        <f t="shared" si="6"/>
        <v>0</v>
      </c>
      <c r="Q36" s="68">
        <f t="shared" si="7"/>
        <v>0</v>
      </c>
      <c r="R36" s="68">
        <f t="shared" si="3"/>
        <v>0</v>
      </c>
      <c r="S36" s="68">
        <f t="shared" si="4"/>
        <v>54</v>
      </c>
      <c r="T36" s="68">
        <f t="shared" si="11"/>
        <v>54</v>
      </c>
      <c r="U36" s="265">
        <f t="shared" si="9"/>
        <v>3895.41</v>
      </c>
      <c r="V36" s="93">
        <f t="shared" si="10"/>
        <v>0</v>
      </c>
      <c r="W36" s="449" cm="1">
        <f t="array" ref="W36">+IF(U36&lt;0,error,0)</f>
        <v>0</v>
      </c>
    </row>
    <row r="37" spans="1:23" ht="36.75" customHeight="1" x14ac:dyDescent="0.2">
      <c r="A37" s="101" t="s">
        <v>1709</v>
      </c>
      <c r="B37" s="102"/>
      <c r="C37" s="64" t="s">
        <v>1710</v>
      </c>
      <c r="D37" s="65">
        <v>42514</v>
      </c>
      <c r="E37" s="66"/>
      <c r="F37" s="67"/>
      <c r="G37" s="67"/>
      <c r="H37" s="67">
        <v>3646.48</v>
      </c>
      <c r="I37" s="354">
        <v>3274.48</v>
      </c>
      <c r="J37" s="67">
        <v>0</v>
      </c>
      <c r="K37" s="68">
        <f t="shared" si="1"/>
        <v>0</v>
      </c>
      <c r="L37" s="68">
        <f t="shared" si="2"/>
        <v>0</v>
      </c>
      <c r="M37" s="69">
        <v>2.5</v>
      </c>
      <c r="N37" s="70" t="s">
        <v>17</v>
      </c>
      <c r="O37" s="68">
        <f t="shared" si="5"/>
        <v>0</v>
      </c>
      <c r="P37" s="68">
        <f t="shared" si="6"/>
        <v>0</v>
      </c>
      <c r="Q37" s="68">
        <f t="shared" si="7"/>
        <v>0</v>
      </c>
      <c r="R37" s="68">
        <f t="shared" si="3"/>
        <v>0</v>
      </c>
      <c r="S37" s="68">
        <f t="shared" si="4"/>
        <v>45</v>
      </c>
      <c r="T37" s="68">
        <f t="shared" si="11"/>
        <v>45</v>
      </c>
      <c r="U37" s="265">
        <f t="shared" si="9"/>
        <v>3229.48</v>
      </c>
      <c r="V37" s="93">
        <f t="shared" si="10"/>
        <v>0</v>
      </c>
      <c r="W37" s="449" cm="1">
        <f t="array" ref="W37">+IF(U37&lt;0,error,0)</f>
        <v>0</v>
      </c>
    </row>
    <row r="38" spans="1:23" ht="36.75" customHeight="1" x14ac:dyDescent="0.2">
      <c r="A38" s="101" t="s">
        <v>1711</v>
      </c>
      <c r="B38" s="102"/>
      <c r="C38" s="64" t="s">
        <v>1096</v>
      </c>
      <c r="D38" s="65">
        <v>42514</v>
      </c>
      <c r="E38" s="66"/>
      <c r="F38" s="67"/>
      <c r="G38" s="67"/>
      <c r="H38" s="67">
        <v>445</v>
      </c>
      <c r="I38" s="354">
        <v>185</v>
      </c>
      <c r="J38" s="67">
        <v>0</v>
      </c>
      <c r="K38" s="68">
        <f t="shared" si="1"/>
        <v>0</v>
      </c>
      <c r="L38" s="68">
        <f t="shared" si="2"/>
        <v>0</v>
      </c>
      <c r="M38" s="69">
        <v>20</v>
      </c>
      <c r="N38" s="70" t="s">
        <v>289</v>
      </c>
      <c r="O38" s="68">
        <f t="shared" si="5"/>
        <v>0</v>
      </c>
      <c r="P38" s="68">
        <f t="shared" si="6"/>
        <v>0</v>
      </c>
      <c r="Q38" s="68">
        <f t="shared" si="7"/>
        <v>0</v>
      </c>
      <c r="R38" s="68">
        <f t="shared" si="3"/>
        <v>18</v>
      </c>
      <c r="S38" s="68">
        <f t="shared" si="4"/>
        <v>0</v>
      </c>
      <c r="T38" s="68">
        <f t="shared" si="11"/>
        <v>18</v>
      </c>
      <c r="U38" s="265">
        <f t="shared" si="9"/>
        <v>167</v>
      </c>
      <c r="V38" s="93">
        <f t="shared" si="10"/>
        <v>0</v>
      </c>
      <c r="W38" s="449" cm="1">
        <f t="array" ref="W38">+IF(U38&lt;0,error,0)</f>
        <v>0</v>
      </c>
    </row>
    <row r="39" spans="1:23" ht="36.75" customHeight="1" x14ac:dyDescent="0.2">
      <c r="A39" s="101" t="s">
        <v>1712</v>
      </c>
      <c r="B39" s="102"/>
      <c r="C39" s="73" t="s">
        <v>1713</v>
      </c>
      <c r="D39" s="65">
        <v>42514</v>
      </c>
      <c r="E39" s="66"/>
      <c r="F39" s="67"/>
      <c r="G39" s="67"/>
      <c r="H39" s="67">
        <v>434.09000000000003</v>
      </c>
      <c r="I39" s="354">
        <v>390.09000000000003</v>
      </c>
      <c r="J39" s="67">
        <v>0</v>
      </c>
      <c r="K39" s="68">
        <f t="shared" si="1"/>
        <v>0</v>
      </c>
      <c r="L39" s="68">
        <f t="shared" si="2"/>
        <v>0</v>
      </c>
      <c r="M39" s="69">
        <v>2.5</v>
      </c>
      <c r="N39" s="70" t="s">
        <v>17</v>
      </c>
      <c r="O39" s="68">
        <f t="shared" si="5"/>
        <v>0</v>
      </c>
      <c r="P39" s="68">
        <f t="shared" si="6"/>
        <v>0</v>
      </c>
      <c r="Q39" s="68">
        <f t="shared" si="7"/>
        <v>0</v>
      </c>
      <c r="R39" s="68">
        <f t="shared" si="3"/>
        <v>0</v>
      </c>
      <c r="S39" s="68">
        <f t="shared" si="4"/>
        <v>5</v>
      </c>
      <c r="T39" s="68">
        <f t="shared" si="11"/>
        <v>5</v>
      </c>
      <c r="U39" s="265">
        <f t="shared" si="9"/>
        <v>385.09000000000003</v>
      </c>
      <c r="V39" s="93">
        <f t="shared" si="10"/>
        <v>0</v>
      </c>
      <c r="W39" s="449" cm="1">
        <f t="array" ref="W39">+IF(U39&lt;0,error,0)</f>
        <v>0</v>
      </c>
    </row>
    <row r="40" spans="1:23" ht="36.75" customHeight="1" x14ac:dyDescent="0.2">
      <c r="A40" s="101" t="s">
        <v>1714</v>
      </c>
      <c r="B40" s="102"/>
      <c r="C40" s="72" t="s">
        <v>1715</v>
      </c>
      <c r="D40" s="65">
        <v>42514</v>
      </c>
      <c r="E40" s="66"/>
      <c r="F40" s="67"/>
      <c r="G40" s="67"/>
      <c r="H40" s="67">
        <v>118.18</v>
      </c>
      <c r="I40" s="354">
        <v>107.18</v>
      </c>
      <c r="J40" s="67">
        <v>0</v>
      </c>
      <c r="K40" s="68">
        <f t="shared" si="1"/>
        <v>0</v>
      </c>
      <c r="L40" s="68">
        <f t="shared" si="2"/>
        <v>0</v>
      </c>
      <c r="M40" s="69">
        <v>2.5</v>
      </c>
      <c r="N40" s="70" t="s">
        <v>17</v>
      </c>
      <c r="O40" s="68">
        <f t="shared" si="5"/>
        <v>0</v>
      </c>
      <c r="P40" s="68">
        <f t="shared" si="6"/>
        <v>0</v>
      </c>
      <c r="Q40" s="68">
        <f t="shared" si="7"/>
        <v>0</v>
      </c>
      <c r="R40" s="68">
        <f t="shared" si="3"/>
        <v>0</v>
      </c>
      <c r="S40" s="68">
        <f t="shared" si="4"/>
        <v>1</v>
      </c>
      <c r="T40" s="68">
        <f t="shared" si="11"/>
        <v>1</v>
      </c>
      <c r="U40" s="265">
        <f t="shared" si="9"/>
        <v>106.18</v>
      </c>
      <c r="V40" s="93">
        <f t="shared" si="10"/>
        <v>0</v>
      </c>
      <c r="W40" s="449" cm="1">
        <f t="array" ref="W40">+IF(U40&lt;0,error,0)</f>
        <v>0</v>
      </c>
    </row>
    <row r="41" spans="1:23" ht="36.75" customHeight="1" x14ac:dyDescent="0.2">
      <c r="A41" s="101" t="s">
        <v>1716</v>
      </c>
      <c r="B41" s="102"/>
      <c r="C41" s="73" t="s">
        <v>1717</v>
      </c>
      <c r="D41" s="65">
        <v>42514</v>
      </c>
      <c r="E41" s="66"/>
      <c r="F41" s="67"/>
      <c r="G41" s="67"/>
      <c r="H41" s="67">
        <v>4480</v>
      </c>
      <c r="I41" s="354">
        <v>632</v>
      </c>
      <c r="J41" s="67">
        <v>0</v>
      </c>
      <c r="K41" s="68">
        <f t="shared" si="1"/>
        <v>0</v>
      </c>
      <c r="L41" s="68">
        <f t="shared" si="2"/>
        <v>0</v>
      </c>
      <c r="M41" s="69">
        <v>40</v>
      </c>
      <c r="N41" s="70" t="s">
        <v>289</v>
      </c>
      <c r="O41" s="68">
        <f t="shared" si="5"/>
        <v>0</v>
      </c>
      <c r="P41" s="68">
        <f t="shared" si="6"/>
        <v>0</v>
      </c>
      <c r="Q41" s="68">
        <f t="shared" si="7"/>
        <v>0</v>
      </c>
      <c r="R41" s="68">
        <f t="shared" si="3"/>
        <v>126</v>
      </c>
      <c r="S41" s="68">
        <f t="shared" si="4"/>
        <v>0</v>
      </c>
      <c r="T41" s="68">
        <f t="shared" si="11"/>
        <v>126</v>
      </c>
      <c r="U41" s="265">
        <f t="shared" si="9"/>
        <v>506</v>
      </c>
      <c r="V41" s="93">
        <f t="shared" si="10"/>
        <v>0</v>
      </c>
      <c r="W41" s="449" cm="1">
        <f t="array" ref="W41">+IF(U41&lt;0,error,0)</f>
        <v>0</v>
      </c>
    </row>
    <row r="42" spans="1:23" ht="36.75" customHeight="1" x14ac:dyDescent="0.2">
      <c r="A42" s="101" t="s">
        <v>1718</v>
      </c>
      <c r="B42" s="102"/>
      <c r="C42" s="73" t="s">
        <v>1719</v>
      </c>
      <c r="D42" s="65">
        <v>42514</v>
      </c>
      <c r="E42" s="66"/>
      <c r="F42" s="67"/>
      <c r="G42" s="67"/>
      <c r="H42" s="67">
        <v>945.45</v>
      </c>
      <c r="I42" s="354">
        <v>389.45000000000005</v>
      </c>
      <c r="J42" s="67">
        <v>0</v>
      </c>
      <c r="K42" s="68">
        <f t="shared" si="1"/>
        <v>0</v>
      </c>
      <c r="L42" s="68">
        <f t="shared" si="2"/>
        <v>0</v>
      </c>
      <c r="M42" s="69">
        <v>20</v>
      </c>
      <c r="N42" s="70" t="s">
        <v>289</v>
      </c>
      <c r="O42" s="68">
        <f t="shared" si="5"/>
        <v>0</v>
      </c>
      <c r="P42" s="68">
        <f t="shared" si="6"/>
        <v>0</v>
      </c>
      <c r="Q42" s="68">
        <f t="shared" si="7"/>
        <v>0</v>
      </c>
      <c r="R42" s="68">
        <f t="shared" si="3"/>
        <v>38</v>
      </c>
      <c r="S42" s="68">
        <f t="shared" si="4"/>
        <v>0</v>
      </c>
      <c r="T42" s="68">
        <f t="shared" si="11"/>
        <v>38</v>
      </c>
      <c r="U42" s="265">
        <f t="shared" si="9"/>
        <v>351.45000000000005</v>
      </c>
      <c r="V42" s="93">
        <f t="shared" si="10"/>
        <v>0</v>
      </c>
      <c r="W42" s="449" cm="1">
        <f t="array" ref="W42">+IF(U42&lt;0,error,0)</f>
        <v>0</v>
      </c>
    </row>
    <row r="43" spans="1:23" ht="36.75" customHeight="1" x14ac:dyDescent="0.2">
      <c r="A43" s="101" t="s">
        <v>1720</v>
      </c>
      <c r="B43" s="102"/>
      <c r="C43" s="72" t="s">
        <v>1721</v>
      </c>
      <c r="D43" s="65">
        <v>42514</v>
      </c>
      <c r="E43" s="66"/>
      <c r="F43" s="67"/>
      <c r="G43" s="67"/>
      <c r="H43" s="67">
        <v>7439</v>
      </c>
      <c r="I43" s="354">
        <v>6678</v>
      </c>
      <c r="J43" s="67">
        <v>0</v>
      </c>
      <c r="K43" s="68">
        <f t="shared" si="1"/>
        <v>0</v>
      </c>
      <c r="L43" s="68">
        <f t="shared" si="2"/>
        <v>0</v>
      </c>
      <c r="M43" s="69">
        <v>2.5</v>
      </c>
      <c r="N43" s="70" t="s">
        <v>17</v>
      </c>
      <c r="O43" s="68">
        <f t="shared" si="5"/>
        <v>0</v>
      </c>
      <c r="P43" s="68">
        <f t="shared" si="6"/>
        <v>0</v>
      </c>
      <c r="Q43" s="68">
        <f t="shared" si="7"/>
        <v>0</v>
      </c>
      <c r="R43" s="68">
        <f t="shared" si="3"/>
        <v>0</v>
      </c>
      <c r="S43" s="68">
        <f t="shared" si="4"/>
        <v>92</v>
      </c>
      <c r="T43" s="68">
        <f t="shared" si="11"/>
        <v>92</v>
      </c>
      <c r="U43" s="265">
        <f t="shared" si="9"/>
        <v>6586</v>
      </c>
      <c r="V43" s="93">
        <f t="shared" si="10"/>
        <v>0</v>
      </c>
      <c r="W43" s="449" cm="1">
        <f t="array" ref="W43">+IF(U43&lt;0,error,0)</f>
        <v>0</v>
      </c>
    </row>
    <row r="44" spans="1:23" ht="36.75" customHeight="1" x14ac:dyDescent="0.2">
      <c r="A44" s="101" t="s">
        <v>1722</v>
      </c>
      <c r="B44" s="102"/>
      <c r="C44" s="73" t="s">
        <v>1723</v>
      </c>
      <c r="D44" s="65">
        <v>42551</v>
      </c>
      <c r="E44" s="66"/>
      <c r="F44" s="67"/>
      <c r="G44" s="67"/>
      <c r="H44" s="67">
        <v>5339.55</v>
      </c>
      <c r="I44" s="354">
        <v>4807.55</v>
      </c>
      <c r="J44" s="67">
        <v>0</v>
      </c>
      <c r="K44" s="68">
        <f t="shared" si="1"/>
        <v>0</v>
      </c>
      <c r="L44" s="68">
        <f t="shared" si="2"/>
        <v>0</v>
      </c>
      <c r="M44" s="69">
        <v>2.5</v>
      </c>
      <c r="N44" s="70" t="s">
        <v>17</v>
      </c>
      <c r="O44" s="68">
        <f t="shared" si="5"/>
        <v>0</v>
      </c>
      <c r="P44" s="68">
        <f t="shared" si="6"/>
        <v>0</v>
      </c>
      <c r="Q44" s="68">
        <f t="shared" si="7"/>
        <v>0</v>
      </c>
      <c r="R44" s="68">
        <f t="shared" si="3"/>
        <v>0</v>
      </c>
      <c r="S44" s="68">
        <f t="shared" si="4"/>
        <v>66</v>
      </c>
      <c r="T44" s="68">
        <f t="shared" si="11"/>
        <v>66</v>
      </c>
      <c r="U44" s="265">
        <f t="shared" si="9"/>
        <v>4741.55</v>
      </c>
      <c r="V44" s="93">
        <f t="shared" si="10"/>
        <v>0</v>
      </c>
      <c r="W44" s="449" cm="1">
        <f t="array" ref="W44">+IF(U44&lt;0,error,0)</f>
        <v>0</v>
      </c>
    </row>
    <row r="45" spans="1:23" ht="36.75" customHeight="1" x14ac:dyDescent="0.2">
      <c r="A45" s="101" t="s">
        <v>1724</v>
      </c>
      <c r="B45" s="102"/>
      <c r="C45" s="73" t="s">
        <v>1725</v>
      </c>
      <c r="D45" s="65">
        <v>42592</v>
      </c>
      <c r="E45" s="66"/>
      <c r="F45" s="67"/>
      <c r="G45" s="67"/>
      <c r="H45" s="67">
        <v>1027.25</v>
      </c>
      <c r="I45" s="354">
        <v>929.25</v>
      </c>
      <c r="J45" s="67">
        <v>0</v>
      </c>
      <c r="K45" s="68">
        <f t="shared" si="1"/>
        <v>0</v>
      </c>
      <c r="L45" s="68">
        <f t="shared" si="2"/>
        <v>0</v>
      </c>
      <c r="M45" s="69">
        <v>2.5</v>
      </c>
      <c r="N45" s="70" t="s">
        <v>17</v>
      </c>
      <c r="O45" s="68">
        <f t="shared" si="5"/>
        <v>0</v>
      </c>
      <c r="P45" s="68">
        <f t="shared" si="6"/>
        <v>0</v>
      </c>
      <c r="Q45" s="68">
        <f t="shared" si="7"/>
        <v>0</v>
      </c>
      <c r="R45" s="68">
        <f t="shared" si="3"/>
        <v>0</v>
      </c>
      <c r="S45" s="68">
        <f t="shared" si="4"/>
        <v>12</v>
      </c>
      <c r="T45" s="68">
        <f t="shared" si="11"/>
        <v>12</v>
      </c>
      <c r="U45" s="265">
        <f t="shared" si="9"/>
        <v>917.25</v>
      </c>
      <c r="V45" s="93">
        <f t="shared" si="10"/>
        <v>0</v>
      </c>
      <c r="W45" s="449" cm="1">
        <f t="array" ref="W45">+IF(U45&lt;0,error,0)</f>
        <v>0</v>
      </c>
    </row>
    <row r="46" spans="1:23" ht="36.75" customHeight="1" x14ac:dyDescent="0.2">
      <c r="A46" s="101" t="s">
        <v>1726</v>
      </c>
      <c r="B46" s="102"/>
      <c r="C46" s="73" t="s">
        <v>1727</v>
      </c>
      <c r="D46" s="65">
        <v>42690</v>
      </c>
      <c r="E46" s="66"/>
      <c r="F46" s="67"/>
      <c r="G46" s="67"/>
      <c r="H46" s="67">
        <v>58590</v>
      </c>
      <c r="I46" s="354">
        <v>40266</v>
      </c>
      <c r="J46" s="67">
        <v>0</v>
      </c>
      <c r="K46" s="68">
        <f t="shared" si="1"/>
        <v>0</v>
      </c>
      <c r="L46" s="68">
        <f t="shared" si="2"/>
        <v>0</v>
      </c>
      <c r="M46" s="69">
        <v>10</v>
      </c>
      <c r="N46" s="70" t="s">
        <v>289</v>
      </c>
      <c r="O46" s="68">
        <f t="shared" si="5"/>
        <v>0</v>
      </c>
      <c r="P46" s="68">
        <f t="shared" si="6"/>
        <v>0</v>
      </c>
      <c r="Q46" s="68">
        <f t="shared" si="7"/>
        <v>0</v>
      </c>
      <c r="R46" s="68">
        <f t="shared" si="3"/>
        <v>2013</v>
      </c>
      <c r="S46" s="68">
        <f t="shared" si="4"/>
        <v>0</v>
      </c>
      <c r="T46" s="68">
        <f t="shared" si="11"/>
        <v>2013</v>
      </c>
      <c r="U46" s="265">
        <f t="shared" si="9"/>
        <v>38253</v>
      </c>
      <c r="V46" s="93">
        <f t="shared" si="10"/>
        <v>0</v>
      </c>
      <c r="W46" s="449" cm="1">
        <f t="array" ref="W46">+IF(U46&lt;0,error,0)</f>
        <v>0</v>
      </c>
    </row>
    <row r="47" spans="1:23" ht="36.75" customHeight="1" x14ac:dyDescent="0.2">
      <c r="A47" s="101" t="s">
        <v>1728</v>
      </c>
      <c r="B47" s="102"/>
      <c r="C47" s="72" t="s">
        <v>1729</v>
      </c>
      <c r="D47" s="65">
        <v>42704</v>
      </c>
      <c r="E47" s="66"/>
      <c r="F47" s="67"/>
      <c r="G47" s="67"/>
      <c r="H47" s="67">
        <v>2700</v>
      </c>
      <c r="I47" s="354">
        <v>2460</v>
      </c>
      <c r="J47" s="67">
        <v>0</v>
      </c>
      <c r="K47" s="68">
        <f t="shared" si="1"/>
        <v>0</v>
      </c>
      <c r="L47" s="68">
        <f t="shared" si="2"/>
        <v>0</v>
      </c>
      <c r="M47" s="69">
        <v>2.5</v>
      </c>
      <c r="N47" s="70" t="s">
        <v>17</v>
      </c>
      <c r="O47" s="68">
        <f t="shared" si="5"/>
        <v>0</v>
      </c>
      <c r="P47" s="68">
        <f t="shared" si="6"/>
        <v>0</v>
      </c>
      <c r="Q47" s="68">
        <f t="shared" si="7"/>
        <v>0</v>
      </c>
      <c r="R47" s="68">
        <f t="shared" si="3"/>
        <v>0</v>
      </c>
      <c r="S47" s="68">
        <f t="shared" si="4"/>
        <v>33</v>
      </c>
      <c r="T47" s="68">
        <f t="shared" si="11"/>
        <v>33</v>
      </c>
      <c r="U47" s="265">
        <f t="shared" si="9"/>
        <v>2427</v>
      </c>
      <c r="V47" s="93">
        <f t="shared" si="10"/>
        <v>0</v>
      </c>
      <c r="W47" s="449" cm="1">
        <f t="array" ref="W47">+IF(U47&lt;0,error,0)</f>
        <v>0</v>
      </c>
    </row>
    <row r="48" spans="1:23" ht="36.75" customHeight="1" x14ac:dyDescent="0.2">
      <c r="A48" s="101" t="s">
        <v>1730</v>
      </c>
      <c r="B48" s="102"/>
      <c r="C48" s="64" t="s">
        <v>1731</v>
      </c>
      <c r="D48" s="65">
        <v>42781</v>
      </c>
      <c r="E48" s="66"/>
      <c r="F48" s="67"/>
      <c r="G48" s="67"/>
      <c r="H48" s="67">
        <v>4582</v>
      </c>
      <c r="I48" s="354">
        <v>4196</v>
      </c>
      <c r="J48" s="67">
        <v>0</v>
      </c>
      <c r="K48" s="68">
        <f t="shared" si="1"/>
        <v>0</v>
      </c>
      <c r="L48" s="68">
        <f t="shared" si="2"/>
        <v>0</v>
      </c>
      <c r="M48" s="69">
        <v>2.5</v>
      </c>
      <c r="N48" s="70" t="s">
        <v>17</v>
      </c>
      <c r="O48" s="68">
        <f t="shared" si="5"/>
        <v>0</v>
      </c>
      <c r="P48" s="68">
        <f t="shared" si="6"/>
        <v>0</v>
      </c>
      <c r="Q48" s="68">
        <f t="shared" si="7"/>
        <v>0</v>
      </c>
      <c r="R48" s="68">
        <f t="shared" si="3"/>
        <v>0</v>
      </c>
      <c r="S48" s="68">
        <f t="shared" si="4"/>
        <v>57</v>
      </c>
      <c r="T48" s="68">
        <f t="shared" si="11"/>
        <v>57</v>
      </c>
      <c r="U48" s="265">
        <f t="shared" si="9"/>
        <v>4139</v>
      </c>
      <c r="V48" s="93">
        <f t="shared" si="10"/>
        <v>0</v>
      </c>
      <c r="W48" s="449" cm="1">
        <f t="array" ref="W48">+IF(U48&lt;0,error,0)</f>
        <v>0</v>
      </c>
    </row>
    <row r="49" spans="1:23" ht="36.75" customHeight="1" x14ac:dyDescent="0.2">
      <c r="A49" s="101" t="s">
        <v>1732</v>
      </c>
      <c r="B49" s="102"/>
      <c r="C49" s="64" t="s">
        <v>1733</v>
      </c>
      <c r="D49" s="65">
        <v>42794</v>
      </c>
      <c r="E49" s="66"/>
      <c r="F49" s="67"/>
      <c r="G49" s="67"/>
      <c r="H49" s="67">
        <v>4900</v>
      </c>
      <c r="I49" s="354">
        <v>4492</v>
      </c>
      <c r="J49" s="67">
        <v>0</v>
      </c>
      <c r="K49" s="68">
        <f t="shared" si="1"/>
        <v>0</v>
      </c>
      <c r="L49" s="68">
        <f t="shared" si="2"/>
        <v>0</v>
      </c>
      <c r="M49" s="69">
        <v>2.5</v>
      </c>
      <c r="N49" s="70" t="s">
        <v>17</v>
      </c>
      <c r="O49" s="68">
        <f t="shared" si="5"/>
        <v>0</v>
      </c>
      <c r="P49" s="68">
        <f t="shared" si="6"/>
        <v>0</v>
      </c>
      <c r="Q49" s="68">
        <f t="shared" si="7"/>
        <v>0</v>
      </c>
      <c r="R49" s="68">
        <f t="shared" si="3"/>
        <v>0</v>
      </c>
      <c r="S49" s="68">
        <f t="shared" si="4"/>
        <v>61</v>
      </c>
      <c r="T49" s="68">
        <f t="shared" si="11"/>
        <v>61</v>
      </c>
      <c r="U49" s="265">
        <f t="shared" si="9"/>
        <v>4431</v>
      </c>
      <c r="V49" s="93">
        <f t="shared" si="10"/>
        <v>0</v>
      </c>
      <c r="W49" s="449" cm="1">
        <f t="array" ref="W49">+IF(U49&lt;0,error,0)</f>
        <v>0</v>
      </c>
    </row>
    <row r="50" spans="1:23" ht="36.75" customHeight="1" x14ac:dyDescent="0.2">
      <c r="A50" s="101" t="s">
        <v>1734</v>
      </c>
      <c r="B50" s="102"/>
      <c r="C50" s="64" t="s">
        <v>1735</v>
      </c>
      <c r="D50" s="65">
        <v>42794</v>
      </c>
      <c r="E50" s="66"/>
      <c r="F50" s="67"/>
      <c r="G50" s="67"/>
      <c r="H50" s="67">
        <v>53058.36</v>
      </c>
      <c r="I50" s="354">
        <v>48630.36</v>
      </c>
      <c r="J50" s="67">
        <v>0</v>
      </c>
      <c r="K50" s="68">
        <f t="shared" si="1"/>
        <v>0</v>
      </c>
      <c r="L50" s="68">
        <f t="shared" si="2"/>
        <v>0</v>
      </c>
      <c r="M50" s="69">
        <v>2.5</v>
      </c>
      <c r="N50" s="70" t="s">
        <v>17</v>
      </c>
      <c r="O50" s="68">
        <f t="shared" si="5"/>
        <v>0</v>
      </c>
      <c r="P50" s="68">
        <f t="shared" si="6"/>
        <v>0</v>
      </c>
      <c r="Q50" s="68">
        <f t="shared" si="7"/>
        <v>0</v>
      </c>
      <c r="R50" s="68">
        <f t="shared" si="3"/>
        <v>0</v>
      </c>
      <c r="S50" s="68">
        <f t="shared" si="4"/>
        <v>663</v>
      </c>
      <c r="T50" s="68">
        <f t="shared" si="11"/>
        <v>663</v>
      </c>
      <c r="U50" s="265">
        <f t="shared" si="9"/>
        <v>47967.360000000001</v>
      </c>
      <c r="V50" s="93">
        <f t="shared" si="10"/>
        <v>0</v>
      </c>
      <c r="W50" s="449" cm="1">
        <f t="array" ref="W50">+IF(U50&lt;0,error,0)</f>
        <v>0</v>
      </c>
    </row>
    <row r="51" spans="1:23" ht="36.75" customHeight="1" x14ac:dyDescent="0.2">
      <c r="A51" s="101" t="s">
        <v>1736</v>
      </c>
      <c r="B51" s="102"/>
      <c r="C51" s="64" t="s">
        <v>1737</v>
      </c>
      <c r="D51" s="65">
        <v>42821</v>
      </c>
      <c r="E51" s="66"/>
      <c r="F51" s="67"/>
      <c r="G51" s="67"/>
      <c r="H51" s="67">
        <v>363</v>
      </c>
      <c r="I51" s="354">
        <v>335</v>
      </c>
      <c r="J51" s="67">
        <v>0</v>
      </c>
      <c r="K51" s="68">
        <f t="shared" si="1"/>
        <v>0</v>
      </c>
      <c r="L51" s="68">
        <f t="shared" si="2"/>
        <v>0</v>
      </c>
      <c r="M51" s="69">
        <v>2.5</v>
      </c>
      <c r="N51" s="70" t="s">
        <v>17</v>
      </c>
      <c r="O51" s="68">
        <f t="shared" si="5"/>
        <v>0</v>
      </c>
      <c r="P51" s="68">
        <f t="shared" si="6"/>
        <v>0</v>
      </c>
      <c r="Q51" s="68">
        <f t="shared" si="7"/>
        <v>0</v>
      </c>
      <c r="R51" s="68">
        <f t="shared" si="3"/>
        <v>0</v>
      </c>
      <c r="S51" s="68">
        <f t="shared" si="4"/>
        <v>4</v>
      </c>
      <c r="T51" s="68">
        <f t="shared" si="11"/>
        <v>4</v>
      </c>
      <c r="U51" s="265">
        <f t="shared" si="9"/>
        <v>331</v>
      </c>
      <c r="V51" s="93">
        <f t="shared" si="10"/>
        <v>0</v>
      </c>
      <c r="W51" s="449" cm="1">
        <f t="array" ref="W51">+IF(U51&lt;0,error,0)</f>
        <v>0</v>
      </c>
    </row>
    <row r="52" spans="1:23" ht="36.75" customHeight="1" x14ac:dyDescent="0.2">
      <c r="A52" s="101" t="s">
        <v>1738</v>
      </c>
      <c r="B52" s="102"/>
      <c r="C52" s="64" t="s">
        <v>1735</v>
      </c>
      <c r="D52" s="65">
        <v>42826</v>
      </c>
      <c r="E52" s="66"/>
      <c r="F52" s="67"/>
      <c r="G52" s="67"/>
      <c r="H52" s="67">
        <v>30767.5</v>
      </c>
      <c r="I52" s="354">
        <v>28268.5</v>
      </c>
      <c r="J52" s="67">
        <v>0</v>
      </c>
      <c r="K52" s="68">
        <f t="shared" si="1"/>
        <v>0</v>
      </c>
      <c r="L52" s="68">
        <f t="shared" si="2"/>
        <v>0</v>
      </c>
      <c r="M52" s="69">
        <v>2.5</v>
      </c>
      <c r="N52" s="70" t="s">
        <v>17</v>
      </c>
      <c r="O52" s="68">
        <f t="shared" si="5"/>
        <v>0</v>
      </c>
      <c r="P52" s="68">
        <f t="shared" si="6"/>
        <v>0</v>
      </c>
      <c r="Q52" s="68">
        <f t="shared" si="7"/>
        <v>0</v>
      </c>
      <c r="R52" s="68">
        <f t="shared" si="3"/>
        <v>0</v>
      </c>
      <c r="S52" s="68">
        <f t="shared" si="4"/>
        <v>384</v>
      </c>
      <c r="T52" s="68">
        <f t="shared" si="11"/>
        <v>384</v>
      </c>
      <c r="U52" s="265">
        <f t="shared" si="9"/>
        <v>27884.5</v>
      </c>
      <c r="V52" s="93">
        <f t="shared" si="10"/>
        <v>0</v>
      </c>
      <c r="W52" s="449" cm="1">
        <f t="array" ref="W52">+IF(U52&lt;0,error,0)</f>
        <v>0</v>
      </c>
    </row>
    <row r="53" spans="1:23" ht="36.75" customHeight="1" x14ac:dyDescent="0.2">
      <c r="A53" s="101" t="s">
        <v>1739</v>
      </c>
      <c r="B53" s="102"/>
      <c r="C53" s="64" t="s">
        <v>1735</v>
      </c>
      <c r="D53" s="65">
        <v>42828</v>
      </c>
      <c r="E53" s="66"/>
      <c r="F53" s="67"/>
      <c r="G53" s="67"/>
      <c r="H53" s="67">
        <v>3377.5</v>
      </c>
      <c r="I53" s="354">
        <v>3104.5</v>
      </c>
      <c r="J53" s="67">
        <v>0</v>
      </c>
      <c r="K53" s="68">
        <f t="shared" si="1"/>
        <v>0</v>
      </c>
      <c r="L53" s="68">
        <f t="shared" si="2"/>
        <v>0</v>
      </c>
      <c r="M53" s="69">
        <v>2.5</v>
      </c>
      <c r="N53" s="70" t="s">
        <v>17</v>
      </c>
      <c r="O53" s="68">
        <f t="shared" si="5"/>
        <v>0</v>
      </c>
      <c r="P53" s="68">
        <f t="shared" si="6"/>
        <v>0</v>
      </c>
      <c r="Q53" s="68">
        <f t="shared" si="7"/>
        <v>0</v>
      </c>
      <c r="R53" s="68">
        <f t="shared" si="3"/>
        <v>0</v>
      </c>
      <c r="S53" s="68">
        <f t="shared" si="4"/>
        <v>42</v>
      </c>
      <c r="T53" s="68">
        <f t="shared" si="11"/>
        <v>42</v>
      </c>
      <c r="U53" s="265">
        <f t="shared" si="9"/>
        <v>3062.5</v>
      </c>
      <c r="V53" s="93">
        <f t="shared" si="10"/>
        <v>0</v>
      </c>
      <c r="W53" s="449" cm="1">
        <f t="array" ref="W53">+IF(U53&lt;0,error,0)</f>
        <v>0</v>
      </c>
    </row>
    <row r="54" spans="1:23" ht="36.75" customHeight="1" x14ac:dyDescent="0.2">
      <c r="A54" s="101" t="s">
        <v>1740</v>
      </c>
      <c r="B54" s="102"/>
      <c r="C54" s="64" t="s">
        <v>1735</v>
      </c>
      <c r="D54" s="65">
        <v>42855</v>
      </c>
      <c r="E54" s="66"/>
      <c r="F54" s="67"/>
      <c r="G54" s="67"/>
      <c r="H54" s="67">
        <v>10177</v>
      </c>
      <c r="I54" s="354">
        <v>9371</v>
      </c>
      <c r="J54" s="67">
        <v>0</v>
      </c>
      <c r="K54" s="68">
        <f t="shared" si="1"/>
        <v>0</v>
      </c>
      <c r="L54" s="68">
        <f t="shared" si="2"/>
        <v>0</v>
      </c>
      <c r="M54" s="69">
        <v>2.5</v>
      </c>
      <c r="N54" s="70" t="s">
        <v>17</v>
      </c>
      <c r="O54" s="68">
        <f t="shared" si="5"/>
        <v>0</v>
      </c>
      <c r="P54" s="68">
        <f t="shared" si="6"/>
        <v>0</v>
      </c>
      <c r="Q54" s="68">
        <f t="shared" si="7"/>
        <v>0</v>
      </c>
      <c r="R54" s="68">
        <f t="shared" si="3"/>
        <v>0</v>
      </c>
      <c r="S54" s="68">
        <f t="shared" si="4"/>
        <v>127</v>
      </c>
      <c r="T54" s="68">
        <f t="shared" si="11"/>
        <v>127</v>
      </c>
      <c r="U54" s="265">
        <f t="shared" si="9"/>
        <v>9244</v>
      </c>
      <c r="V54" s="93">
        <f t="shared" si="10"/>
        <v>0</v>
      </c>
      <c r="W54" s="449" cm="1">
        <f t="array" ref="W54">+IF(U54&lt;0,error,0)</f>
        <v>0</v>
      </c>
    </row>
    <row r="55" spans="1:23" ht="36.75" customHeight="1" x14ac:dyDescent="0.2">
      <c r="A55" s="101" t="s">
        <v>1741</v>
      </c>
      <c r="B55" s="102"/>
      <c r="C55" s="73" t="s">
        <v>1742</v>
      </c>
      <c r="D55" s="65">
        <v>42884</v>
      </c>
      <c r="E55" s="66"/>
      <c r="F55" s="67"/>
      <c r="G55" s="67"/>
      <c r="H55" s="67">
        <v>1260</v>
      </c>
      <c r="I55" s="354">
        <v>1164</v>
      </c>
      <c r="J55" s="67">
        <v>0</v>
      </c>
      <c r="K55" s="68">
        <f t="shared" si="1"/>
        <v>0</v>
      </c>
      <c r="L55" s="68">
        <f t="shared" si="2"/>
        <v>0</v>
      </c>
      <c r="M55" s="69">
        <v>2.5</v>
      </c>
      <c r="N55" s="70" t="s">
        <v>17</v>
      </c>
      <c r="O55" s="68">
        <f t="shared" si="5"/>
        <v>0</v>
      </c>
      <c r="P55" s="68">
        <f t="shared" si="6"/>
        <v>0</v>
      </c>
      <c r="Q55" s="68">
        <f t="shared" si="7"/>
        <v>0</v>
      </c>
      <c r="R55" s="68">
        <f t="shared" si="3"/>
        <v>0</v>
      </c>
      <c r="S55" s="68">
        <f t="shared" si="4"/>
        <v>15</v>
      </c>
      <c r="T55" s="68">
        <f t="shared" si="11"/>
        <v>15</v>
      </c>
      <c r="U55" s="265">
        <f t="shared" si="9"/>
        <v>1149</v>
      </c>
      <c r="V55" s="93">
        <f t="shared" si="10"/>
        <v>0</v>
      </c>
      <c r="W55" s="449" cm="1">
        <f t="array" ref="W55">+IF(U55&lt;0,error,0)</f>
        <v>0</v>
      </c>
    </row>
    <row r="56" spans="1:23" ht="36.75" customHeight="1" x14ac:dyDescent="0.2">
      <c r="A56" s="101" t="s">
        <v>1743</v>
      </c>
      <c r="B56" s="102"/>
      <c r="C56" s="64" t="s">
        <v>1735</v>
      </c>
      <c r="D56" s="65">
        <v>42886</v>
      </c>
      <c r="E56" s="66"/>
      <c r="F56" s="67"/>
      <c r="G56" s="67"/>
      <c r="H56" s="67">
        <v>10975</v>
      </c>
      <c r="I56" s="354">
        <v>10129</v>
      </c>
      <c r="J56" s="67">
        <v>0</v>
      </c>
      <c r="K56" s="68">
        <f t="shared" si="1"/>
        <v>0</v>
      </c>
      <c r="L56" s="68">
        <f t="shared" si="2"/>
        <v>0</v>
      </c>
      <c r="M56" s="69">
        <v>2.5</v>
      </c>
      <c r="N56" s="70" t="s">
        <v>17</v>
      </c>
      <c r="O56" s="68">
        <f t="shared" si="5"/>
        <v>0</v>
      </c>
      <c r="P56" s="68">
        <f t="shared" si="6"/>
        <v>0</v>
      </c>
      <c r="Q56" s="68">
        <f t="shared" si="7"/>
        <v>0</v>
      </c>
      <c r="R56" s="68">
        <f t="shared" si="3"/>
        <v>0</v>
      </c>
      <c r="S56" s="68">
        <f t="shared" si="4"/>
        <v>137</v>
      </c>
      <c r="T56" s="68">
        <f t="shared" si="11"/>
        <v>137</v>
      </c>
      <c r="U56" s="265">
        <f t="shared" si="9"/>
        <v>9992</v>
      </c>
      <c r="V56" s="93">
        <f t="shared" si="10"/>
        <v>0</v>
      </c>
      <c r="W56" s="449" cm="1">
        <f t="array" ref="W56">+IF(U56&lt;0,error,0)</f>
        <v>0</v>
      </c>
    </row>
    <row r="57" spans="1:23" ht="36.75" customHeight="1" x14ac:dyDescent="0.2">
      <c r="A57" s="101" t="s">
        <v>1744</v>
      </c>
      <c r="B57" s="102"/>
      <c r="C57" s="64" t="s">
        <v>1735</v>
      </c>
      <c r="D57" s="65">
        <v>42886</v>
      </c>
      <c r="E57" s="66"/>
      <c r="F57" s="67"/>
      <c r="G57" s="67"/>
      <c r="H57" s="67">
        <v>15437.5</v>
      </c>
      <c r="I57" s="354">
        <v>14247.5</v>
      </c>
      <c r="J57" s="67">
        <v>0</v>
      </c>
      <c r="K57" s="68">
        <f t="shared" si="1"/>
        <v>0</v>
      </c>
      <c r="L57" s="68">
        <f t="shared" si="2"/>
        <v>0</v>
      </c>
      <c r="M57" s="69">
        <v>2.5</v>
      </c>
      <c r="N57" s="70" t="s">
        <v>17</v>
      </c>
      <c r="O57" s="68">
        <f t="shared" si="5"/>
        <v>0</v>
      </c>
      <c r="P57" s="68">
        <f t="shared" si="6"/>
        <v>0</v>
      </c>
      <c r="Q57" s="68">
        <f t="shared" si="7"/>
        <v>0</v>
      </c>
      <c r="R57" s="68">
        <f t="shared" si="3"/>
        <v>0</v>
      </c>
      <c r="S57" s="68">
        <f t="shared" si="4"/>
        <v>192</v>
      </c>
      <c r="T57" s="68">
        <f t="shared" si="11"/>
        <v>192</v>
      </c>
      <c r="U57" s="265">
        <f t="shared" si="9"/>
        <v>14055.5</v>
      </c>
      <c r="V57" s="93">
        <f t="shared" si="10"/>
        <v>0</v>
      </c>
      <c r="W57" s="449" cm="1">
        <f t="array" ref="W57">+IF(U57&lt;0,error,0)</f>
        <v>0</v>
      </c>
    </row>
    <row r="58" spans="1:23" ht="36.75" customHeight="1" x14ac:dyDescent="0.2">
      <c r="A58" s="101" t="s">
        <v>1745</v>
      </c>
      <c r="B58" s="102"/>
      <c r="C58" s="64" t="s">
        <v>1746</v>
      </c>
      <c r="D58" s="65">
        <v>42886</v>
      </c>
      <c r="E58" s="66"/>
      <c r="F58" s="67"/>
      <c r="G58" s="67"/>
      <c r="H58" s="67">
        <v>10656.25</v>
      </c>
      <c r="I58" s="354">
        <v>9834.25</v>
      </c>
      <c r="J58" s="67">
        <v>0</v>
      </c>
      <c r="K58" s="68">
        <f t="shared" si="1"/>
        <v>0</v>
      </c>
      <c r="L58" s="68">
        <f t="shared" si="2"/>
        <v>0</v>
      </c>
      <c r="M58" s="69">
        <v>2.5</v>
      </c>
      <c r="N58" s="70" t="s">
        <v>17</v>
      </c>
      <c r="O58" s="68">
        <f t="shared" si="5"/>
        <v>0</v>
      </c>
      <c r="P58" s="68">
        <f t="shared" si="6"/>
        <v>0</v>
      </c>
      <c r="Q58" s="68">
        <f t="shared" si="7"/>
        <v>0</v>
      </c>
      <c r="R58" s="68">
        <f t="shared" si="3"/>
        <v>0</v>
      </c>
      <c r="S58" s="68">
        <f t="shared" si="4"/>
        <v>133</v>
      </c>
      <c r="T58" s="68">
        <f t="shared" si="11"/>
        <v>133</v>
      </c>
      <c r="U58" s="265">
        <f t="shared" si="9"/>
        <v>9701.25</v>
      </c>
      <c r="V58" s="93">
        <f t="shared" si="10"/>
        <v>0</v>
      </c>
      <c r="W58" s="449" cm="1">
        <f t="array" ref="W58">+IF(U58&lt;0,error,0)</f>
        <v>0</v>
      </c>
    </row>
    <row r="59" spans="1:23" ht="36.75" customHeight="1" x14ac:dyDescent="0.2">
      <c r="A59" s="101" t="s">
        <v>1747</v>
      </c>
      <c r="B59" s="102"/>
      <c r="C59" s="64" t="s">
        <v>1748</v>
      </c>
      <c r="D59" s="65">
        <v>42887</v>
      </c>
      <c r="E59" s="66"/>
      <c r="F59" s="67"/>
      <c r="G59" s="67"/>
      <c r="H59" s="67">
        <v>437.5</v>
      </c>
      <c r="I59" s="354">
        <v>404.5</v>
      </c>
      <c r="J59" s="67">
        <v>0</v>
      </c>
      <c r="K59" s="68">
        <f t="shared" si="1"/>
        <v>0</v>
      </c>
      <c r="L59" s="68">
        <f t="shared" si="2"/>
        <v>0</v>
      </c>
      <c r="M59" s="69">
        <v>2.5</v>
      </c>
      <c r="N59" s="70" t="s">
        <v>17</v>
      </c>
      <c r="O59" s="68">
        <f t="shared" si="5"/>
        <v>0</v>
      </c>
      <c r="P59" s="68">
        <f t="shared" si="6"/>
        <v>0</v>
      </c>
      <c r="Q59" s="68">
        <f t="shared" si="7"/>
        <v>0</v>
      </c>
      <c r="R59" s="68">
        <f t="shared" si="3"/>
        <v>0</v>
      </c>
      <c r="S59" s="68">
        <f t="shared" si="4"/>
        <v>5</v>
      </c>
      <c r="T59" s="68">
        <f t="shared" si="11"/>
        <v>5</v>
      </c>
      <c r="U59" s="265">
        <f t="shared" si="9"/>
        <v>399.5</v>
      </c>
      <c r="V59" s="93">
        <f t="shared" si="10"/>
        <v>0</v>
      </c>
      <c r="W59" s="449" cm="1">
        <f t="array" ref="W59">+IF(U59&lt;0,error,0)</f>
        <v>0</v>
      </c>
    </row>
    <row r="60" spans="1:23" ht="36.75" customHeight="1" x14ac:dyDescent="0.2">
      <c r="A60" s="101" t="s">
        <v>1749</v>
      </c>
      <c r="B60" s="102"/>
      <c r="C60" s="64" t="s">
        <v>1750</v>
      </c>
      <c r="D60" s="65">
        <v>42894</v>
      </c>
      <c r="E60" s="66"/>
      <c r="F60" s="67"/>
      <c r="G60" s="67"/>
      <c r="H60" s="67">
        <v>16875</v>
      </c>
      <c r="I60" s="354">
        <v>15583</v>
      </c>
      <c r="J60" s="67">
        <v>0</v>
      </c>
      <c r="K60" s="68">
        <f t="shared" si="1"/>
        <v>0</v>
      </c>
      <c r="L60" s="68">
        <f t="shared" si="2"/>
        <v>0</v>
      </c>
      <c r="M60" s="69">
        <v>2.5</v>
      </c>
      <c r="N60" s="70" t="s">
        <v>17</v>
      </c>
      <c r="O60" s="68">
        <f t="shared" si="5"/>
        <v>0</v>
      </c>
      <c r="P60" s="68">
        <f t="shared" si="6"/>
        <v>0</v>
      </c>
      <c r="Q60" s="68">
        <f t="shared" si="7"/>
        <v>0</v>
      </c>
      <c r="R60" s="68">
        <f t="shared" si="3"/>
        <v>0</v>
      </c>
      <c r="S60" s="68">
        <f t="shared" si="4"/>
        <v>210</v>
      </c>
      <c r="T60" s="68">
        <f t="shared" si="11"/>
        <v>210</v>
      </c>
      <c r="U60" s="265">
        <f t="shared" si="9"/>
        <v>15373</v>
      </c>
      <c r="V60" s="93">
        <f t="shared" si="10"/>
        <v>0</v>
      </c>
      <c r="W60" s="449" cm="1">
        <f t="array" ref="W60">+IF(U60&lt;0,error,0)</f>
        <v>0</v>
      </c>
    </row>
    <row r="61" spans="1:23" ht="36.75" customHeight="1" x14ac:dyDescent="0.2">
      <c r="A61" s="101" t="s">
        <v>1751</v>
      </c>
      <c r="B61" s="102"/>
      <c r="C61" s="64" t="s">
        <v>1752</v>
      </c>
      <c r="D61" s="65">
        <v>42744</v>
      </c>
      <c r="E61" s="66"/>
      <c r="F61" s="67"/>
      <c r="G61" s="67"/>
      <c r="H61" s="67">
        <v>4150</v>
      </c>
      <c r="I61" s="354">
        <v>1971</v>
      </c>
      <c r="J61" s="67">
        <v>0</v>
      </c>
      <c r="K61" s="68">
        <f t="shared" si="1"/>
        <v>0</v>
      </c>
      <c r="L61" s="68">
        <f t="shared" si="2"/>
        <v>0</v>
      </c>
      <c r="M61" s="69">
        <v>20</v>
      </c>
      <c r="N61" s="70" t="s">
        <v>289</v>
      </c>
      <c r="O61" s="68">
        <f t="shared" si="5"/>
        <v>0</v>
      </c>
      <c r="P61" s="68">
        <f t="shared" si="6"/>
        <v>0</v>
      </c>
      <c r="Q61" s="68">
        <f t="shared" si="7"/>
        <v>0</v>
      </c>
      <c r="R61" s="68">
        <f t="shared" si="3"/>
        <v>197</v>
      </c>
      <c r="S61" s="68">
        <f t="shared" si="4"/>
        <v>0</v>
      </c>
      <c r="T61" s="68">
        <f t="shared" si="11"/>
        <v>197</v>
      </c>
      <c r="U61" s="265">
        <f t="shared" si="9"/>
        <v>1774</v>
      </c>
      <c r="V61" s="93">
        <f t="shared" si="10"/>
        <v>0</v>
      </c>
      <c r="W61" s="449" cm="1">
        <f t="array" ref="W61">+IF(U61&lt;0,error,0)</f>
        <v>0</v>
      </c>
    </row>
    <row r="62" spans="1:23" ht="36.75" customHeight="1" x14ac:dyDescent="0.2">
      <c r="A62" s="101" t="s">
        <v>1753</v>
      </c>
      <c r="B62" s="102"/>
      <c r="C62" s="64" t="s">
        <v>1754</v>
      </c>
      <c r="D62" s="65">
        <v>42754</v>
      </c>
      <c r="E62" s="66"/>
      <c r="F62" s="67"/>
      <c r="G62" s="67"/>
      <c r="H62" s="67">
        <v>90.91</v>
      </c>
      <c r="I62" s="354">
        <v>83.91</v>
      </c>
      <c r="J62" s="67">
        <v>0</v>
      </c>
      <c r="K62" s="68">
        <f t="shared" si="1"/>
        <v>0</v>
      </c>
      <c r="L62" s="68">
        <f t="shared" si="2"/>
        <v>0</v>
      </c>
      <c r="M62" s="69">
        <v>2.5</v>
      </c>
      <c r="N62" s="70" t="s">
        <v>17</v>
      </c>
      <c r="O62" s="68">
        <f t="shared" si="5"/>
        <v>0</v>
      </c>
      <c r="P62" s="68">
        <f t="shared" si="6"/>
        <v>0</v>
      </c>
      <c r="Q62" s="68">
        <f t="shared" si="7"/>
        <v>0</v>
      </c>
      <c r="R62" s="68">
        <f t="shared" si="3"/>
        <v>0</v>
      </c>
      <c r="S62" s="68">
        <f t="shared" si="4"/>
        <v>1</v>
      </c>
      <c r="T62" s="68">
        <f t="shared" si="11"/>
        <v>1</v>
      </c>
      <c r="U62" s="265">
        <f t="shared" si="9"/>
        <v>82.91</v>
      </c>
      <c r="V62" s="93">
        <f t="shared" si="10"/>
        <v>0</v>
      </c>
      <c r="W62" s="449" cm="1">
        <f t="array" ref="W62">+IF(U62&lt;0,error,0)</f>
        <v>0</v>
      </c>
    </row>
    <row r="63" spans="1:23" ht="36.75" customHeight="1" x14ac:dyDescent="0.2">
      <c r="A63" s="101" t="s">
        <v>1755</v>
      </c>
      <c r="B63" s="102"/>
      <c r="C63" s="64" t="s">
        <v>1756</v>
      </c>
      <c r="D63" s="65">
        <v>42552</v>
      </c>
      <c r="E63" s="66"/>
      <c r="F63" s="67"/>
      <c r="G63" s="67"/>
      <c r="H63" s="67">
        <v>19603</v>
      </c>
      <c r="I63" s="354">
        <v>17643</v>
      </c>
      <c r="J63" s="67">
        <v>0</v>
      </c>
      <c r="K63" s="68">
        <f t="shared" si="1"/>
        <v>0</v>
      </c>
      <c r="L63" s="68">
        <f t="shared" si="2"/>
        <v>0</v>
      </c>
      <c r="M63" s="69">
        <v>2.5</v>
      </c>
      <c r="N63" s="70" t="s">
        <v>17</v>
      </c>
      <c r="O63" s="68">
        <f t="shared" si="5"/>
        <v>0</v>
      </c>
      <c r="P63" s="68">
        <f t="shared" si="6"/>
        <v>0</v>
      </c>
      <c r="Q63" s="68">
        <f t="shared" si="7"/>
        <v>0</v>
      </c>
      <c r="R63" s="68">
        <f t="shared" si="3"/>
        <v>0</v>
      </c>
      <c r="S63" s="68">
        <f t="shared" si="4"/>
        <v>245</v>
      </c>
      <c r="T63" s="68">
        <f t="shared" si="11"/>
        <v>245</v>
      </c>
      <c r="U63" s="265">
        <f t="shared" si="9"/>
        <v>17398</v>
      </c>
      <c r="V63" s="93">
        <f t="shared" si="10"/>
        <v>0</v>
      </c>
      <c r="W63" s="449" cm="1">
        <f t="array" ref="W63">+IF(U63&lt;0,error,0)</f>
        <v>0</v>
      </c>
    </row>
    <row r="64" spans="1:23" ht="36.75" customHeight="1" x14ac:dyDescent="0.2">
      <c r="A64" s="101" t="s">
        <v>1757</v>
      </c>
      <c r="B64" s="102"/>
      <c r="C64" s="64" t="s">
        <v>1758</v>
      </c>
      <c r="D64" s="65">
        <v>42670</v>
      </c>
      <c r="E64" s="66"/>
      <c r="F64" s="67"/>
      <c r="G64" s="67"/>
      <c r="H64" s="67">
        <v>713</v>
      </c>
      <c r="I64" s="354">
        <v>650</v>
      </c>
      <c r="J64" s="67">
        <v>0</v>
      </c>
      <c r="K64" s="68">
        <f t="shared" si="1"/>
        <v>0</v>
      </c>
      <c r="L64" s="68">
        <f t="shared" si="2"/>
        <v>0</v>
      </c>
      <c r="M64" s="69">
        <v>2.5</v>
      </c>
      <c r="N64" s="70" t="s">
        <v>17</v>
      </c>
      <c r="O64" s="68">
        <f t="shared" si="5"/>
        <v>0</v>
      </c>
      <c r="P64" s="68">
        <f t="shared" si="6"/>
        <v>0</v>
      </c>
      <c r="Q64" s="68">
        <f t="shared" si="7"/>
        <v>0</v>
      </c>
      <c r="R64" s="68">
        <f t="shared" si="3"/>
        <v>0</v>
      </c>
      <c r="S64" s="68">
        <f t="shared" si="4"/>
        <v>8</v>
      </c>
      <c r="T64" s="68">
        <f t="shared" si="11"/>
        <v>8</v>
      </c>
      <c r="U64" s="265">
        <f t="shared" si="9"/>
        <v>642</v>
      </c>
      <c r="V64" s="93">
        <f t="shared" si="10"/>
        <v>0</v>
      </c>
      <c r="W64" s="449" cm="1">
        <f t="array" ref="W64">+IF(U64&lt;0,error,0)</f>
        <v>0</v>
      </c>
    </row>
    <row r="65" spans="1:23" ht="36.75" customHeight="1" x14ac:dyDescent="0.2">
      <c r="A65" s="101" t="s">
        <v>1759</v>
      </c>
      <c r="B65" s="102"/>
      <c r="C65" s="64" t="s">
        <v>1760</v>
      </c>
      <c r="D65" s="65">
        <v>42772</v>
      </c>
      <c r="E65" s="66"/>
      <c r="F65" s="67"/>
      <c r="G65" s="67"/>
      <c r="H65" s="67">
        <v>15000</v>
      </c>
      <c r="I65" s="354">
        <v>13727</v>
      </c>
      <c r="J65" s="67">
        <v>0</v>
      </c>
      <c r="K65" s="68">
        <f t="shared" si="1"/>
        <v>0</v>
      </c>
      <c r="L65" s="68">
        <f t="shared" si="2"/>
        <v>0</v>
      </c>
      <c r="M65" s="69">
        <v>2.5</v>
      </c>
      <c r="N65" s="70" t="s">
        <v>17</v>
      </c>
      <c r="O65" s="68">
        <f t="shared" si="5"/>
        <v>0</v>
      </c>
      <c r="P65" s="68">
        <f t="shared" si="6"/>
        <v>0</v>
      </c>
      <c r="Q65" s="68">
        <f t="shared" si="7"/>
        <v>0</v>
      </c>
      <c r="R65" s="68">
        <f t="shared" si="3"/>
        <v>0</v>
      </c>
      <c r="S65" s="68">
        <f t="shared" si="4"/>
        <v>187</v>
      </c>
      <c r="T65" s="68">
        <f t="shared" si="11"/>
        <v>187</v>
      </c>
      <c r="U65" s="265">
        <f t="shared" si="9"/>
        <v>13540</v>
      </c>
      <c r="V65" s="93">
        <f t="shared" si="10"/>
        <v>0</v>
      </c>
      <c r="W65" s="449" cm="1">
        <f t="array" ref="W65">+IF(U65&lt;0,error,0)</f>
        <v>0</v>
      </c>
    </row>
    <row r="66" spans="1:23" ht="36.75" customHeight="1" x14ac:dyDescent="0.2">
      <c r="A66" s="101" t="s">
        <v>1761</v>
      </c>
      <c r="B66" s="102"/>
      <c r="C66" s="64" t="s">
        <v>1762</v>
      </c>
      <c r="D66" s="65">
        <v>42801</v>
      </c>
      <c r="E66" s="66"/>
      <c r="F66" s="67"/>
      <c r="G66" s="67"/>
      <c r="H66" s="67">
        <v>102416.55</v>
      </c>
      <c r="I66" s="354">
        <v>72668.55</v>
      </c>
      <c r="J66" s="67">
        <v>0</v>
      </c>
      <c r="K66" s="68">
        <f t="shared" si="1"/>
        <v>0</v>
      </c>
      <c r="L66" s="68">
        <f t="shared" si="2"/>
        <v>0</v>
      </c>
      <c r="M66" s="69">
        <v>10</v>
      </c>
      <c r="N66" s="70" t="s">
        <v>289</v>
      </c>
      <c r="O66" s="68">
        <f t="shared" si="5"/>
        <v>0</v>
      </c>
      <c r="P66" s="68">
        <f t="shared" si="6"/>
        <v>0</v>
      </c>
      <c r="Q66" s="68">
        <f t="shared" si="7"/>
        <v>0</v>
      </c>
      <c r="R66" s="68">
        <f t="shared" si="3"/>
        <v>3633</v>
      </c>
      <c r="S66" s="68">
        <f t="shared" si="4"/>
        <v>0</v>
      </c>
      <c r="T66" s="68">
        <f t="shared" si="11"/>
        <v>3633</v>
      </c>
      <c r="U66" s="265">
        <f t="shared" si="9"/>
        <v>69035.55</v>
      </c>
      <c r="V66" s="93">
        <f t="shared" si="10"/>
        <v>0</v>
      </c>
      <c r="W66" s="449" cm="1">
        <f t="array" ref="W66">+IF(U66&lt;0,error,0)</f>
        <v>0</v>
      </c>
    </row>
    <row r="67" spans="1:23" ht="36.75" customHeight="1" x14ac:dyDescent="0.2">
      <c r="A67" s="101" t="s">
        <v>1763</v>
      </c>
      <c r="B67" s="102"/>
      <c r="C67" s="64" t="s">
        <v>1764</v>
      </c>
      <c r="D67" s="65">
        <v>42915</v>
      </c>
      <c r="E67" s="66"/>
      <c r="F67" s="67"/>
      <c r="G67" s="67"/>
      <c r="H67" s="67">
        <v>11342</v>
      </c>
      <c r="I67" s="354">
        <v>5943</v>
      </c>
      <c r="J67" s="67">
        <v>0</v>
      </c>
      <c r="K67" s="68">
        <f t="shared" si="1"/>
        <v>0</v>
      </c>
      <c r="L67" s="68">
        <f t="shared" si="2"/>
        <v>0</v>
      </c>
      <c r="M67" s="69">
        <v>20</v>
      </c>
      <c r="N67" s="70" t="s">
        <v>289</v>
      </c>
      <c r="O67" s="68">
        <f t="shared" si="5"/>
        <v>0</v>
      </c>
      <c r="P67" s="68">
        <f t="shared" si="6"/>
        <v>0</v>
      </c>
      <c r="Q67" s="68">
        <f t="shared" si="7"/>
        <v>0</v>
      </c>
      <c r="R67" s="68">
        <f t="shared" si="3"/>
        <v>594</v>
      </c>
      <c r="S67" s="68">
        <f t="shared" si="4"/>
        <v>0</v>
      </c>
      <c r="T67" s="68">
        <f t="shared" si="11"/>
        <v>594</v>
      </c>
      <c r="U67" s="265">
        <f t="shared" si="9"/>
        <v>5349</v>
      </c>
      <c r="V67" s="93">
        <f t="shared" si="10"/>
        <v>0</v>
      </c>
      <c r="W67" s="449" cm="1">
        <f t="array" ref="W67">+IF(U67&lt;0,error,0)</f>
        <v>0</v>
      </c>
    </row>
    <row r="68" spans="1:23" ht="36.75" customHeight="1" x14ac:dyDescent="0.2">
      <c r="A68" s="101" t="s">
        <v>1765</v>
      </c>
      <c r="B68" s="102"/>
      <c r="C68" s="73" t="s">
        <v>1766</v>
      </c>
      <c r="D68" s="65">
        <v>42947</v>
      </c>
      <c r="E68" s="66"/>
      <c r="F68" s="67"/>
      <c r="G68" s="67"/>
      <c r="H68" s="67">
        <v>180000</v>
      </c>
      <c r="I68" s="354">
        <v>166859</v>
      </c>
      <c r="J68" s="67">
        <v>0</v>
      </c>
      <c r="K68" s="68">
        <f t="shared" si="1"/>
        <v>0</v>
      </c>
      <c r="L68" s="68">
        <f t="shared" si="2"/>
        <v>0</v>
      </c>
      <c r="M68" s="69">
        <v>2.5</v>
      </c>
      <c r="N68" s="70" t="s">
        <v>17</v>
      </c>
      <c r="O68" s="68">
        <f t="shared" si="5"/>
        <v>0</v>
      </c>
      <c r="P68" s="68">
        <f t="shared" si="6"/>
        <v>0</v>
      </c>
      <c r="Q68" s="68">
        <f t="shared" si="7"/>
        <v>0</v>
      </c>
      <c r="R68" s="68">
        <f t="shared" si="3"/>
        <v>0</v>
      </c>
      <c r="S68" s="68">
        <f t="shared" si="4"/>
        <v>2250</v>
      </c>
      <c r="T68" s="68">
        <f t="shared" si="11"/>
        <v>2250</v>
      </c>
      <c r="U68" s="265">
        <f t="shared" si="9"/>
        <v>164609</v>
      </c>
      <c r="V68" s="93">
        <f t="shared" si="10"/>
        <v>0</v>
      </c>
      <c r="W68" s="449" cm="1">
        <f t="array" ref="W68">+IF(U68&lt;0,error,0)</f>
        <v>0</v>
      </c>
    </row>
    <row r="69" spans="1:23" ht="36.75" customHeight="1" x14ac:dyDescent="0.2">
      <c r="A69" s="101" t="s">
        <v>1767</v>
      </c>
      <c r="B69" s="102"/>
      <c r="C69" s="72" t="s">
        <v>1768</v>
      </c>
      <c r="D69" s="65">
        <v>43074</v>
      </c>
      <c r="E69" s="66"/>
      <c r="F69" s="67"/>
      <c r="G69" s="67"/>
      <c r="H69" s="67">
        <v>6596.1</v>
      </c>
      <c r="I69" s="354">
        <v>6173.1</v>
      </c>
      <c r="J69" s="67">
        <v>0</v>
      </c>
      <c r="K69" s="68">
        <f t="shared" si="1"/>
        <v>0</v>
      </c>
      <c r="L69" s="68">
        <f t="shared" si="2"/>
        <v>0</v>
      </c>
      <c r="M69" s="69">
        <v>2.5</v>
      </c>
      <c r="N69" s="70" t="s">
        <v>17</v>
      </c>
      <c r="O69" s="68">
        <f t="shared" si="5"/>
        <v>0</v>
      </c>
      <c r="P69" s="68">
        <f t="shared" si="6"/>
        <v>0</v>
      </c>
      <c r="Q69" s="68">
        <f t="shared" si="7"/>
        <v>0</v>
      </c>
      <c r="R69" s="68">
        <f t="shared" si="3"/>
        <v>0</v>
      </c>
      <c r="S69" s="68">
        <f t="shared" si="4"/>
        <v>82</v>
      </c>
      <c r="T69" s="68">
        <f t="shared" si="11"/>
        <v>82</v>
      </c>
      <c r="U69" s="265">
        <f t="shared" si="9"/>
        <v>6091.1</v>
      </c>
      <c r="V69" s="93">
        <f t="shared" si="10"/>
        <v>0</v>
      </c>
      <c r="W69" s="449" cm="1">
        <f t="array" ref="W69">+IF(U69&lt;0,error,0)</f>
        <v>0</v>
      </c>
    </row>
    <row r="70" spans="1:23" ht="36.75" customHeight="1" x14ac:dyDescent="0.2">
      <c r="A70" s="101" t="s">
        <v>1769</v>
      </c>
      <c r="B70" s="102"/>
      <c r="C70" s="73" t="s">
        <v>1770</v>
      </c>
      <c r="D70" s="65">
        <v>43009</v>
      </c>
      <c r="E70" s="66"/>
      <c r="F70" s="67"/>
      <c r="G70" s="67"/>
      <c r="H70" s="67">
        <v>5520</v>
      </c>
      <c r="I70" s="354">
        <v>5141</v>
      </c>
      <c r="J70" s="67">
        <v>0</v>
      </c>
      <c r="K70" s="68">
        <f t="shared" si="1"/>
        <v>0</v>
      </c>
      <c r="L70" s="68">
        <f t="shared" si="2"/>
        <v>0</v>
      </c>
      <c r="M70" s="69">
        <v>2.5</v>
      </c>
      <c r="N70" s="70" t="s">
        <v>17</v>
      </c>
      <c r="O70" s="68">
        <f t="shared" si="5"/>
        <v>0</v>
      </c>
      <c r="P70" s="68">
        <f t="shared" si="6"/>
        <v>0</v>
      </c>
      <c r="Q70" s="68">
        <f t="shared" si="7"/>
        <v>0</v>
      </c>
      <c r="R70" s="68">
        <f t="shared" si="3"/>
        <v>0</v>
      </c>
      <c r="S70" s="68">
        <f t="shared" si="4"/>
        <v>69</v>
      </c>
      <c r="T70" s="68">
        <f t="shared" si="11"/>
        <v>69</v>
      </c>
      <c r="U70" s="265">
        <f t="shared" si="9"/>
        <v>5072</v>
      </c>
      <c r="V70" s="93">
        <f t="shared" si="10"/>
        <v>0</v>
      </c>
      <c r="W70" s="449" cm="1">
        <f t="array" ref="W70">+IF(U70&lt;0,error,0)</f>
        <v>0</v>
      </c>
    </row>
    <row r="71" spans="1:23" ht="36.75" customHeight="1" x14ac:dyDescent="0.2">
      <c r="A71" s="101" t="s">
        <v>1771</v>
      </c>
      <c r="B71" s="102"/>
      <c r="C71" s="72" t="s">
        <v>1770</v>
      </c>
      <c r="D71" s="65">
        <v>43101</v>
      </c>
      <c r="E71" s="66"/>
      <c r="F71" s="67"/>
      <c r="G71" s="67"/>
      <c r="H71" s="67">
        <v>15432.130000000001</v>
      </c>
      <c r="I71" s="354">
        <v>14470.130000000001</v>
      </c>
      <c r="J71" s="67">
        <v>0</v>
      </c>
      <c r="K71" s="68">
        <f t="shared" si="1"/>
        <v>0</v>
      </c>
      <c r="L71" s="68">
        <f t="shared" si="2"/>
        <v>0</v>
      </c>
      <c r="M71" s="69">
        <v>2.5</v>
      </c>
      <c r="N71" s="70" t="s">
        <v>17</v>
      </c>
      <c r="O71" s="68">
        <f t="shared" si="5"/>
        <v>0</v>
      </c>
      <c r="P71" s="68">
        <f t="shared" si="6"/>
        <v>0</v>
      </c>
      <c r="Q71" s="68">
        <f t="shared" si="7"/>
        <v>0</v>
      </c>
      <c r="R71" s="68">
        <f t="shared" si="3"/>
        <v>0</v>
      </c>
      <c r="S71" s="68">
        <f t="shared" si="4"/>
        <v>192</v>
      </c>
      <c r="T71" s="68">
        <f t="shared" si="11"/>
        <v>192</v>
      </c>
      <c r="U71" s="265">
        <f t="shared" si="9"/>
        <v>14278.130000000001</v>
      </c>
      <c r="V71" s="93">
        <f t="shared" si="10"/>
        <v>0</v>
      </c>
      <c r="W71" s="449" cm="1">
        <f t="array" ref="W71">+IF(U71&lt;0,error,0)</f>
        <v>0</v>
      </c>
    </row>
    <row r="72" spans="1:23" ht="36.75" customHeight="1" x14ac:dyDescent="0.2">
      <c r="A72" s="101" t="s">
        <v>1772</v>
      </c>
      <c r="B72" s="102"/>
      <c r="C72" s="64" t="s">
        <v>1770</v>
      </c>
      <c r="D72" s="65">
        <v>43165</v>
      </c>
      <c r="E72" s="66"/>
      <c r="F72" s="67"/>
      <c r="G72" s="67"/>
      <c r="H72" s="67">
        <v>1125</v>
      </c>
      <c r="I72" s="354">
        <v>1060</v>
      </c>
      <c r="J72" s="67">
        <v>0</v>
      </c>
      <c r="K72" s="68">
        <f t="shared" si="1"/>
        <v>0</v>
      </c>
      <c r="L72" s="68">
        <f t="shared" si="2"/>
        <v>0</v>
      </c>
      <c r="M72" s="69">
        <v>2.5</v>
      </c>
      <c r="N72" s="70" t="s">
        <v>17</v>
      </c>
      <c r="O72" s="68">
        <f t="shared" si="5"/>
        <v>0</v>
      </c>
      <c r="P72" s="68">
        <f t="shared" si="6"/>
        <v>0</v>
      </c>
      <c r="Q72" s="68">
        <f t="shared" si="7"/>
        <v>0</v>
      </c>
      <c r="R72" s="68">
        <f t="shared" si="3"/>
        <v>0</v>
      </c>
      <c r="S72" s="68">
        <f t="shared" si="4"/>
        <v>14</v>
      </c>
      <c r="T72" s="68">
        <f t="shared" si="11"/>
        <v>14</v>
      </c>
      <c r="U72" s="265">
        <f t="shared" si="9"/>
        <v>1046</v>
      </c>
      <c r="V72" s="93">
        <f t="shared" si="10"/>
        <v>0</v>
      </c>
      <c r="W72" s="449" cm="1">
        <f t="array" ref="W72">+IF(U72&lt;0,error,0)</f>
        <v>0</v>
      </c>
    </row>
    <row r="73" spans="1:23" ht="36.75" customHeight="1" x14ac:dyDescent="0.2">
      <c r="A73" s="101" t="s">
        <v>1773</v>
      </c>
      <c r="B73" s="102"/>
      <c r="C73" s="64" t="s">
        <v>1770</v>
      </c>
      <c r="D73" s="65">
        <v>43168</v>
      </c>
      <c r="E73" s="66"/>
      <c r="F73" s="67"/>
      <c r="G73" s="67"/>
      <c r="H73" s="67">
        <v>10016.25</v>
      </c>
      <c r="I73" s="354">
        <v>9437.25</v>
      </c>
      <c r="J73" s="67">
        <v>0</v>
      </c>
      <c r="K73" s="68">
        <f t="shared" si="1"/>
        <v>0</v>
      </c>
      <c r="L73" s="68">
        <f t="shared" si="2"/>
        <v>0</v>
      </c>
      <c r="M73" s="69">
        <v>2.5</v>
      </c>
      <c r="N73" s="70" t="s">
        <v>17</v>
      </c>
      <c r="O73" s="68">
        <f t="shared" si="5"/>
        <v>0</v>
      </c>
      <c r="P73" s="68">
        <f t="shared" si="6"/>
        <v>0</v>
      </c>
      <c r="Q73" s="68">
        <f t="shared" si="7"/>
        <v>0</v>
      </c>
      <c r="R73" s="68">
        <f t="shared" si="3"/>
        <v>0</v>
      </c>
      <c r="S73" s="68">
        <f t="shared" si="4"/>
        <v>125</v>
      </c>
      <c r="T73" s="68">
        <f t="shared" si="11"/>
        <v>125</v>
      </c>
      <c r="U73" s="265">
        <f t="shared" si="9"/>
        <v>9312.25</v>
      </c>
      <c r="V73" s="93">
        <f t="shared" si="10"/>
        <v>0</v>
      </c>
      <c r="W73" s="449" cm="1">
        <f t="array" ref="W73">+IF(U73&lt;0,error,0)</f>
        <v>0</v>
      </c>
    </row>
    <row r="74" spans="1:23" ht="36.75" customHeight="1" x14ac:dyDescent="0.2">
      <c r="A74" s="101" t="s">
        <v>1774</v>
      </c>
      <c r="B74" s="102"/>
      <c r="C74" s="64" t="s">
        <v>1770</v>
      </c>
      <c r="D74" s="65">
        <v>43175</v>
      </c>
      <c r="E74" s="66"/>
      <c r="F74" s="67"/>
      <c r="G74" s="67"/>
      <c r="H74" s="67">
        <v>10222.5</v>
      </c>
      <c r="I74" s="354">
        <v>9637.5</v>
      </c>
      <c r="J74" s="67">
        <v>0</v>
      </c>
      <c r="K74" s="68">
        <f t="shared" si="1"/>
        <v>0</v>
      </c>
      <c r="L74" s="68">
        <f t="shared" si="2"/>
        <v>0</v>
      </c>
      <c r="M74" s="69">
        <v>2.5</v>
      </c>
      <c r="N74" s="70" t="s">
        <v>17</v>
      </c>
      <c r="O74" s="68">
        <f t="shared" si="5"/>
        <v>0</v>
      </c>
      <c r="P74" s="68">
        <f t="shared" si="6"/>
        <v>0</v>
      </c>
      <c r="Q74" s="68">
        <f t="shared" si="7"/>
        <v>0</v>
      </c>
      <c r="R74" s="68">
        <f t="shared" si="3"/>
        <v>0</v>
      </c>
      <c r="S74" s="68">
        <f t="shared" si="4"/>
        <v>127</v>
      </c>
      <c r="T74" s="68">
        <f t="shared" si="11"/>
        <v>127</v>
      </c>
      <c r="U74" s="265">
        <f t="shared" si="9"/>
        <v>9510.5</v>
      </c>
      <c r="V74" s="93">
        <f t="shared" si="10"/>
        <v>0</v>
      </c>
      <c r="W74" s="449" cm="1">
        <f t="array" ref="W74">+IF(U74&lt;0,error,0)</f>
        <v>0</v>
      </c>
    </row>
    <row r="75" spans="1:23" ht="36.75" customHeight="1" x14ac:dyDescent="0.2">
      <c r="A75" s="101" t="s">
        <v>1775</v>
      </c>
      <c r="B75" s="102"/>
      <c r="C75" s="64" t="s">
        <v>1770</v>
      </c>
      <c r="D75" s="65">
        <v>43178</v>
      </c>
      <c r="E75" s="66"/>
      <c r="F75" s="67"/>
      <c r="G75" s="67"/>
      <c r="H75" s="67">
        <v>12062.5</v>
      </c>
      <c r="I75" s="354">
        <v>11375.5</v>
      </c>
      <c r="J75" s="67">
        <v>0</v>
      </c>
      <c r="K75" s="68">
        <f t="shared" si="1"/>
        <v>0</v>
      </c>
      <c r="L75" s="68">
        <f t="shared" si="2"/>
        <v>0</v>
      </c>
      <c r="M75" s="69">
        <v>2.5</v>
      </c>
      <c r="N75" s="70" t="s">
        <v>17</v>
      </c>
      <c r="O75" s="68">
        <f t="shared" si="5"/>
        <v>0</v>
      </c>
      <c r="P75" s="68">
        <f t="shared" si="6"/>
        <v>0</v>
      </c>
      <c r="Q75" s="68">
        <f t="shared" si="7"/>
        <v>0</v>
      </c>
      <c r="R75" s="68">
        <f t="shared" si="3"/>
        <v>0</v>
      </c>
      <c r="S75" s="68">
        <f t="shared" si="4"/>
        <v>150</v>
      </c>
      <c r="T75" s="68">
        <f t="shared" si="11"/>
        <v>150</v>
      </c>
      <c r="U75" s="265">
        <f t="shared" si="9"/>
        <v>11225.5</v>
      </c>
      <c r="V75" s="93">
        <f t="shared" si="10"/>
        <v>0</v>
      </c>
      <c r="W75" s="449" cm="1">
        <f t="array" ref="W75">+IF(U75&lt;0,error,0)</f>
        <v>0</v>
      </c>
    </row>
    <row r="76" spans="1:23" ht="36.75" customHeight="1" x14ac:dyDescent="0.2">
      <c r="A76" s="101" t="s">
        <v>1776</v>
      </c>
      <c r="B76" s="102"/>
      <c r="C76" s="64" t="s">
        <v>1770</v>
      </c>
      <c r="D76" s="65">
        <v>43223</v>
      </c>
      <c r="E76" s="66"/>
      <c r="F76" s="67"/>
      <c r="G76" s="67"/>
      <c r="H76" s="67">
        <v>42609.42</v>
      </c>
      <c r="I76" s="354">
        <v>40305.42</v>
      </c>
      <c r="J76" s="67">
        <v>0</v>
      </c>
      <c r="K76" s="68">
        <f t="shared" si="1"/>
        <v>0</v>
      </c>
      <c r="L76" s="68">
        <f t="shared" si="2"/>
        <v>0</v>
      </c>
      <c r="M76" s="69">
        <v>2.5</v>
      </c>
      <c r="N76" s="70" t="s">
        <v>17</v>
      </c>
      <c r="O76" s="68">
        <f t="shared" si="5"/>
        <v>0</v>
      </c>
      <c r="P76" s="68">
        <f t="shared" si="6"/>
        <v>0</v>
      </c>
      <c r="Q76" s="68">
        <f t="shared" si="7"/>
        <v>0</v>
      </c>
      <c r="R76" s="68">
        <f t="shared" si="3"/>
        <v>0</v>
      </c>
      <c r="S76" s="68">
        <f t="shared" si="4"/>
        <v>532</v>
      </c>
      <c r="T76" s="68">
        <f t="shared" si="11"/>
        <v>532</v>
      </c>
      <c r="U76" s="265">
        <f t="shared" si="9"/>
        <v>39773.42</v>
      </c>
      <c r="V76" s="93">
        <f t="shared" si="10"/>
        <v>0</v>
      </c>
      <c r="W76" s="449" cm="1">
        <f t="array" ref="W76">+IF(U76&lt;0,error,0)</f>
        <v>0</v>
      </c>
    </row>
    <row r="77" spans="1:23" ht="36.75" customHeight="1" x14ac:dyDescent="0.2">
      <c r="A77" s="101" t="s">
        <v>1777</v>
      </c>
      <c r="B77" s="102"/>
      <c r="C77" s="64" t="s">
        <v>1770</v>
      </c>
      <c r="D77" s="65">
        <v>43229</v>
      </c>
      <c r="E77" s="66"/>
      <c r="F77" s="67"/>
      <c r="G77" s="67"/>
      <c r="H77" s="67">
        <v>51124.42</v>
      </c>
      <c r="I77" s="354">
        <v>48379.42</v>
      </c>
      <c r="J77" s="67">
        <v>0</v>
      </c>
      <c r="K77" s="68">
        <f t="shared" si="1"/>
        <v>0</v>
      </c>
      <c r="L77" s="68">
        <f t="shared" si="2"/>
        <v>0</v>
      </c>
      <c r="M77" s="69">
        <v>2.5</v>
      </c>
      <c r="N77" s="70" t="s">
        <v>17</v>
      </c>
      <c r="O77" s="68">
        <f t="shared" si="5"/>
        <v>0</v>
      </c>
      <c r="P77" s="68">
        <f t="shared" si="6"/>
        <v>0</v>
      </c>
      <c r="Q77" s="68">
        <f t="shared" si="7"/>
        <v>0</v>
      </c>
      <c r="R77" s="68">
        <f t="shared" si="3"/>
        <v>0</v>
      </c>
      <c r="S77" s="68">
        <f t="shared" si="4"/>
        <v>639</v>
      </c>
      <c r="T77" s="68">
        <f t="shared" si="11"/>
        <v>639</v>
      </c>
      <c r="U77" s="265">
        <f t="shared" si="9"/>
        <v>47740.42</v>
      </c>
      <c r="V77" s="93">
        <f t="shared" si="10"/>
        <v>0</v>
      </c>
      <c r="W77" s="449" cm="1">
        <f t="array" ref="W77">+IF(U77&lt;0,error,0)</f>
        <v>0</v>
      </c>
    </row>
    <row r="78" spans="1:23" ht="36.75" customHeight="1" x14ac:dyDescent="0.2">
      <c r="A78" s="101" t="s">
        <v>1778</v>
      </c>
      <c r="B78" s="102"/>
      <c r="C78" s="64" t="s">
        <v>1770</v>
      </c>
      <c r="D78" s="65">
        <v>43265</v>
      </c>
      <c r="E78" s="66"/>
      <c r="F78" s="67"/>
      <c r="G78" s="67"/>
      <c r="H78" s="67">
        <v>625</v>
      </c>
      <c r="I78" s="354">
        <v>594</v>
      </c>
      <c r="J78" s="67">
        <v>0</v>
      </c>
      <c r="K78" s="68">
        <f t="shared" si="1"/>
        <v>0</v>
      </c>
      <c r="L78" s="68">
        <f t="shared" si="2"/>
        <v>0</v>
      </c>
      <c r="M78" s="69">
        <v>2.5</v>
      </c>
      <c r="N78" s="70" t="s">
        <v>17</v>
      </c>
      <c r="O78" s="68">
        <f t="shared" si="5"/>
        <v>0</v>
      </c>
      <c r="P78" s="68">
        <f t="shared" si="6"/>
        <v>0</v>
      </c>
      <c r="Q78" s="68">
        <f t="shared" si="7"/>
        <v>0</v>
      </c>
      <c r="R78" s="68">
        <f t="shared" si="3"/>
        <v>0</v>
      </c>
      <c r="S78" s="68">
        <f t="shared" si="4"/>
        <v>7</v>
      </c>
      <c r="T78" s="68">
        <f t="shared" si="11"/>
        <v>7</v>
      </c>
      <c r="U78" s="265">
        <f t="shared" si="9"/>
        <v>587</v>
      </c>
      <c r="V78" s="93">
        <f t="shared" si="10"/>
        <v>0</v>
      </c>
      <c r="W78" s="449" cm="1">
        <f t="array" ref="W78">+IF(U78&lt;0,error,0)</f>
        <v>0</v>
      </c>
    </row>
    <row r="79" spans="1:23" ht="36.75" customHeight="1" x14ac:dyDescent="0.2">
      <c r="A79" s="101" t="s">
        <v>1779</v>
      </c>
      <c r="B79" s="102"/>
      <c r="C79" s="73" t="s">
        <v>1780</v>
      </c>
      <c r="D79" s="65">
        <v>43311</v>
      </c>
      <c r="E79" s="66"/>
      <c r="F79" s="67"/>
      <c r="G79" s="67"/>
      <c r="H79" s="67">
        <v>66926</v>
      </c>
      <c r="I79" s="354">
        <v>63710</v>
      </c>
      <c r="J79" s="67">
        <v>0</v>
      </c>
      <c r="K79" s="68">
        <f t="shared" si="1"/>
        <v>0</v>
      </c>
      <c r="L79" s="68">
        <f t="shared" si="2"/>
        <v>0</v>
      </c>
      <c r="M79" s="69">
        <v>2.5</v>
      </c>
      <c r="N79" s="70" t="s">
        <v>17</v>
      </c>
      <c r="O79" s="68">
        <f t="shared" si="5"/>
        <v>0</v>
      </c>
      <c r="P79" s="68">
        <f t="shared" si="6"/>
        <v>0</v>
      </c>
      <c r="Q79" s="68">
        <f t="shared" si="7"/>
        <v>0</v>
      </c>
      <c r="R79" s="68">
        <f t="shared" si="3"/>
        <v>0</v>
      </c>
      <c r="S79" s="68">
        <f t="shared" si="4"/>
        <v>836</v>
      </c>
      <c r="T79" s="68">
        <f t="shared" si="11"/>
        <v>836</v>
      </c>
      <c r="U79" s="265">
        <f t="shared" si="9"/>
        <v>62874</v>
      </c>
      <c r="V79" s="93">
        <f t="shared" si="10"/>
        <v>0</v>
      </c>
      <c r="W79" s="449" cm="1">
        <f t="array" ref="W79">+IF(U79&lt;0,error,0)</f>
        <v>0</v>
      </c>
    </row>
    <row r="80" spans="1:23" ht="36.75" customHeight="1" x14ac:dyDescent="0.2">
      <c r="A80" s="101" t="s">
        <v>1781</v>
      </c>
      <c r="B80" s="102"/>
      <c r="C80" s="72" t="s">
        <v>1780</v>
      </c>
      <c r="D80" s="65">
        <v>43343</v>
      </c>
      <c r="E80" s="66"/>
      <c r="F80" s="67"/>
      <c r="G80" s="67"/>
      <c r="H80" s="67">
        <v>251248</v>
      </c>
      <c r="I80" s="354">
        <v>239721</v>
      </c>
      <c r="J80" s="67">
        <v>0</v>
      </c>
      <c r="K80" s="68">
        <f t="shared" ref="K80:K95" si="12">INT(IF($E80&gt;0,IF(+F80-I80+Q80&lt;0,0,+F80-I80+Q80),0))</f>
        <v>0</v>
      </c>
      <c r="L80" s="68">
        <f t="shared" ref="L80:L95" si="13">INT(IF($E80&gt;0,IF(K80=0,-F80+I80-Q80,0),0))</f>
        <v>0</v>
      </c>
      <c r="M80" s="69">
        <v>2.5</v>
      </c>
      <c r="N80" s="70" t="s">
        <v>17</v>
      </c>
      <c r="O80" s="68">
        <f t="shared" si="5"/>
        <v>0</v>
      </c>
      <c r="P80" s="68">
        <f t="shared" si="6"/>
        <v>0</v>
      </c>
      <c r="Q80" s="68">
        <f t="shared" si="7"/>
        <v>0</v>
      </c>
      <c r="R80" s="68">
        <f t="shared" ref="R80:R108" si="14">INT(IF($E80&gt;0,0,(IF($N80="D",IF($D80&lt;$H$3,$I80*($M80/100)*$U$3/12,$J80*($M80/100)*($J$3-$D80)/365),0))))</f>
        <v>0</v>
      </c>
      <c r="S80" s="68">
        <f t="shared" ref="S80:S108" si="15">INT(IF($E80&gt;0,0,(IF($N80="P",IF($D80&lt;$H$3,$H80*($M80/100)*$U$3/12,$J80*($M80/100)*($J$3-$D80)/365),0))))</f>
        <v>3140</v>
      </c>
      <c r="T80" s="68">
        <f t="shared" si="11"/>
        <v>3140</v>
      </c>
      <c r="U80" s="265">
        <f t="shared" si="9"/>
        <v>236581</v>
      </c>
      <c r="V80" s="93">
        <f t="shared" si="10"/>
        <v>0</v>
      </c>
      <c r="W80" s="449" cm="1">
        <f t="array" ref="W80">+IF(U80&lt;0,error,0)</f>
        <v>0</v>
      </c>
    </row>
    <row r="81" spans="1:23" ht="36.75" customHeight="1" x14ac:dyDescent="0.2">
      <c r="A81" s="101" t="s">
        <v>1782</v>
      </c>
      <c r="B81" s="102"/>
      <c r="C81" s="64" t="s">
        <v>1783</v>
      </c>
      <c r="D81" s="65">
        <v>43345</v>
      </c>
      <c r="E81" s="66"/>
      <c r="F81" s="67"/>
      <c r="G81" s="67"/>
      <c r="H81" s="67">
        <v>6368</v>
      </c>
      <c r="I81" s="354">
        <v>6079</v>
      </c>
      <c r="J81" s="67">
        <v>0</v>
      </c>
      <c r="K81" s="68">
        <f t="shared" si="12"/>
        <v>0</v>
      </c>
      <c r="L81" s="68">
        <f t="shared" si="13"/>
        <v>0</v>
      </c>
      <c r="M81" s="69">
        <v>2.5</v>
      </c>
      <c r="N81" s="70" t="s">
        <v>17</v>
      </c>
      <c r="O81" s="68">
        <f t="shared" ref="O81:O95" si="16">IF(E81&gt;0,INT(IF($N81="D",IF($D81&lt;$H$3,$I81*($M81/100)*((E81-$H$3)/365),$J81*($M81/100)*($J$3-$D81)/365),0)),0)</f>
        <v>0</v>
      </c>
      <c r="P81" s="68">
        <f t="shared" ref="P81:P95" si="17">IF(E81&gt;0,INT(IF($N81="P",IF($D81&lt;$H$3,$H81*($M81/100)*(E81-$H$3)/365,$J81*($M81/100)*($J$3-$D81)/365),0)),0)</f>
        <v>0</v>
      </c>
      <c r="Q81" s="68">
        <f t="shared" ref="Q81:Q95" si="18">+O81+P81</f>
        <v>0</v>
      </c>
      <c r="R81" s="68">
        <f t="shared" si="14"/>
        <v>0</v>
      </c>
      <c r="S81" s="68">
        <f t="shared" si="15"/>
        <v>79</v>
      </c>
      <c r="T81" s="68">
        <f t="shared" si="11"/>
        <v>79</v>
      </c>
      <c r="U81" s="265">
        <f t="shared" ref="U81:U95" si="19">+I81+J81-T81</f>
        <v>6000</v>
      </c>
      <c r="V81" s="93">
        <f t="shared" ref="V81:V95" si="20">IF(E81&gt;0,+H81+J81,0)</f>
        <v>0</v>
      </c>
      <c r="W81" s="449" cm="1">
        <f t="array" ref="W81">+IF(U81&lt;0,error,0)</f>
        <v>0</v>
      </c>
    </row>
    <row r="82" spans="1:23" ht="36.75" customHeight="1" x14ac:dyDescent="0.2">
      <c r="A82" s="101" t="s">
        <v>1784</v>
      </c>
      <c r="B82" s="102"/>
      <c r="C82" s="64" t="s">
        <v>1785</v>
      </c>
      <c r="D82" s="65">
        <v>43345</v>
      </c>
      <c r="E82" s="66"/>
      <c r="F82" s="67"/>
      <c r="G82" s="67"/>
      <c r="H82" s="67">
        <v>4524.2</v>
      </c>
      <c r="I82" s="354">
        <v>4319.2</v>
      </c>
      <c r="J82" s="67">
        <v>0</v>
      </c>
      <c r="K82" s="68">
        <f t="shared" si="12"/>
        <v>0</v>
      </c>
      <c r="L82" s="68">
        <f t="shared" si="13"/>
        <v>0</v>
      </c>
      <c r="M82" s="69">
        <v>2.5</v>
      </c>
      <c r="N82" s="70" t="s">
        <v>17</v>
      </c>
      <c r="O82" s="68">
        <f t="shared" si="16"/>
        <v>0</v>
      </c>
      <c r="P82" s="68">
        <f t="shared" si="17"/>
        <v>0</v>
      </c>
      <c r="Q82" s="68">
        <f t="shared" si="18"/>
        <v>0</v>
      </c>
      <c r="R82" s="68">
        <f t="shared" si="14"/>
        <v>0</v>
      </c>
      <c r="S82" s="68">
        <f t="shared" si="15"/>
        <v>56</v>
      </c>
      <c r="T82" s="68">
        <f t="shared" si="11"/>
        <v>56</v>
      </c>
      <c r="U82" s="265">
        <f t="shared" si="19"/>
        <v>4263.2</v>
      </c>
      <c r="V82" s="93">
        <f t="shared" si="20"/>
        <v>0</v>
      </c>
      <c r="W82" s="449" cm="1">
        <f t="array" ref="W82">+IF(U82&lt;0,error,0)</f>
        <v>0</v>
      </c>
    </row>
    <row r="83" spans="1:23" ht="36.75" customHeight="1" x14ac:dyDescent="0.2">
      <c r="A83" s="101" t="s">
        <v>1786</v>
      </c>
      <c r="B83" s="102"/>
      <c r="C83" s="73" t="s">
        <v>1787</v>
      </c>
      <c r="D83" s="65">
        <v>43345</v>
      </c>
      <c r="E83" s="66"/>
      <c r="F83" s="67"/>
      <c r="G83" s="67"/>
      <c r="H83" s="67">
        <v>3120</v>
      </c>
      <c r="I83" s="354">
        <v>2978</v>
      </c>
      <c r="J83" s="67">
        <v>0</v>
      </c>
      <c r="K83" s="68">
        <f t="shared" si="12"/>
        <v>0</v>
      </c>
      <c r="L83" s="68">
        <f t="shared" si="13"/>
        <v>0</v>
      </c>
      <c r="M83" s="69">
        <v>2.5</v>
      </c>
      <c r="N83" s="70" t="s">
        <v>17</v>
      </c>
      <c r="O83" s="68">
        <f t="shared" si="16"/>
        <v>0</v>
      </c>
      <c r="P83" s="68">
        <f t="shared" si="17"/>
        <v>0</v>
      </c>
      <c r="Q83" s="68">
        <f t="shared" si="18"/>
        <v>0</v>
      </c>
      <c r="R83" s="68">
        <f t="shared" si="14"/>
        <v>0</v>
      </c>
      <c r="S83" s="68">
        <f t="shared" si="15"/>
        <v>39</v>
      </c>
      <c r="T83" s="68">
        <f t="shared" si="11"/>
        <v>39</v>
      </c>
      <c r="U83" s="265">
        <f t="shared" si="19"/>
        <v>2939</v>
      </c>
      <c r="V83" s="93">
        <f t="shared" si="20"/>
        <v>0</v>
      </c>
      <c r="W83" s="449" cm="1">
        <f t="array" ref="W83">+IF(U83&lt;0,error,0)</f>
        <v>0</v>
      </c>
    </row>
    <row r="84" spans="1:23" ht="36.75" customHeight="1" x14ac:dyDescent="0.2">
      <c r="A84" s="101" t="s">
        <v>1788</v>
      </c>
      <c r="B84" s="102"/>
      <c r="C84" s="72" t="s">
        <v>1789</v>
      </c>
      <c r="D84" s="65">
        <v>43345</v>
      </c>
      <c r="E84" s="66"/>
      <c r="F84" s="67"/>
      <c r="G84" s="67"/>
      <c r="H84" s="67">
        <v>8877.8000000000011</v>
      </c>
      <c r="I84" s="354">
        <v>8473.8000000000011</v>
      </c>
      <c r="J84" s="67">
        <v>0</v>
      </c>
      <c r="K84" s="68">
        <f t="shared" si="12"/>
        <v>0</v>
      </c>
      <c r="L84" s="68">
        <f t="shared" si="13"/>
        <v>0</v>
      </c>
      <c r="M84" s="69">
        <v>2.5</v>
      </c>
      <c r="N84" s="70" t="s">
        <v>17</v>
      </c>
      <c r="O84" s="68">
        <f t="shared" si="16"/>
        <v>0</v>
      </c>
      <c r="P84" s="68">
        <f t="shared" si="17"/>
        <v>0</v>
      </c>
      <c r="Q84" s="68">
        <f t="shared" si="18"/>
        <v>0</v>
      </c>
      <c r="R84" s="68">
        <f t="shared" si="14"/>
        <v>0</v>
      </c>
      <c r="S84" s="68">
        <f t="shared" si="15"/>
        <v>110</v>
      </c>
      <c r="T84" s="68">
        <f t="shared" si="11"/>
        <v>110</v>
      </c>
      <c r="U84" s="265">
        <f t="shared" si="19"/>
        <v>8363.8000000000011</v>
      </c>
      <c r="V84" s="93">
        <f t="shared" si="20"/>
        <v>0</v>
      </c>
      <c r="W84" s="449" cm="1">
        <f t="array" ref="W84">+IF(U84&lt;0,error,0)</f>
        <v>0</v>
      </c>
    </row>
    <row r="85" spans="1:23" ht="36.75" customHeight="1" x14ac:dyDescent="0.2">
      <c r="A85" s="101" t="s">
        <v>1790</v>
      </c>
      <c r="B85" s="102"/>
      <c r="C85" s="64" t="s">
        <v>1791</v>
      </c>
      <c r="D85" s="65">
        <v>43370</v>
      </c>
      <c r="E85" s="66"/>
      <c r="F85" s="67"/>
      <c r="G85" s="67"/>
      <c r="H85" s="67">
        <v>42733</v>
      </c>
      <c r="I85" s="354">
        <v>40852</v>
      </c>
      <c r="J85" s="67">
        <v>0</v>
      </c>
      <c r="K85" s="68">
        <f t="shared" si="12"/>
        <v>0</v>
      </c>
      <c r="L85" s="68">
        <f t="shared" si="13"/>
        <v>0</v>
      </c>
      <c r="M85" s="69">
        <v>2.5</v>
      </c>
      <c r="N85" s="70" t="s">
        <v>17</v>
      </c>
      <c r="O85" s="68">
        <f t="shared" si="16"/>
        <v>0</v>
      </c>
      <c r="P85" s="68">
        <f t="shared" si="17"/>
        <v>0</v>
      </c>
      <c r="Q85" s="68">
        <f t="shared" si="18"/>
        <v>0</v>
      </c>
      <c r="R85" s="68">
        <f t="shared" si="14"/>
        <v>0</v>
      </c>
      <c r="S85" s="68">
        <f t="shared" si="15"/>
        <v>534</v>
      </c>
      <c r="T85" s="68">
        <f t="shared" si="11"/>
        <v>534</v>
      </c>
      <c r="U85" s="265">
        <f t="shared" si="19"/>
        <v>40318</v>
      </c>
      <c r="V85" s="93">
        <f t="shared" si="20"/>
        <v>0</v>
      </c>
      <c r="W85" s="449" cm="1">
        <f t="array" ref="W85">+IF(U85&lt;0,error,0)</f>
        <v>0</v>
      </c>
    </row>
    <row r="86" spans="1:23" ht="36.75" customHeight="1" x14ac:dyDescent="0.2">
      <c r="A86" s="101" t="s">
        <v>1792</v>
      </c>
      <c r="B86" s="102"/>
      <c r="C86" s="64" t="s">
        <v>1789</v>
      </c>
      <c r="D86" s="65">
        <v>43374</v>
      </c>
      <c r="E86" s="66"/>
      <c r="F86" s="67"/>
      <c r="G86" s="67"/>
      <c r="H86" s="67">
        <v>6718.4000000000005</v>
      </c>
      <c r="I86" s="354">
        <v>6427.4000000000005</v>
      </c>
      <c r="J86" s="67">
        <v>0</v>
      </c>
      <c r="K86" s="68">
        <f t="shared" si="12"/>
        <v>0</v>
      </c>
      <c r="L86" s="68">
        <f t="shared" si="13"/>
        <v>0</v>
      </c>
      <c r="M86" s="69">
        <v>2.5</v>
      </c>
      <c r="N86" s="70" t="s">
        <v>17</v>
      </c>
      <c r="O86" s="68">
        <f t="shared" si="16"/>
        <v>0</v>
      </c>
      <c r="P86" s="68">
        <f t="shared" si="17"/>
        <v>0</v>
      </c>
      <c r="Q86" s="68">
        <f t="shared" si="18"/>
        <v>0</v>
      </c>
      <c r="R86" s="68">
        <f t="shared" si="14"/>
        <v>0</v>
      </c>
      <c r="S86" s="68">
        <f t="shared" si="15"/>
        <v>83</v>
      </c>
      <c r="T86" s="68">
        <f t="shared" si="11"/>
        <v>83</v>
      </c>
      <c r="U86" s="265">
        <f t="shared" si="19"/>
        <v>6344.4000000000005</v>
      </c>
      <c r="V86" s="93">
        <f t="shared" si="20"/>
        <v>0</v>
      </c>
      <c r="W86" s="449" cm="1">
        <f t="array" ref="W86">+IF(U86&lt;0,error,0)</f>
        <v>0</v>
      </c>
    </row>
    <row r="87" spans="1:23" ht="36.75" customHeight="1" x14ac:dyDescent="0.2">
      <c r="A87" s="101" t="s">
        <v>1793</v>
      </c>
      <c r="B87" s="102"/>
      <c r="C87" s="64" t="s">
        <v>1794</v>
      </c>
      <c r="D87" s="65">
        <v>43374</v>
      </c>
      <c r="E87" s="66"/>
      <c r="F87" s="67"/>
      <c r="G87" s="67"/>
      <c r="H87" s="67">
        <v>3739.9</v>
      </c>
      <c r="I87" s="354">
        <v>3577.9</v>
      </c>
      <c r="J87" s="67">
        <v>0</v>
      </c>
      <c r="K87" s="68">
        <f t="shared" si="12"/>
        <v>0</v>
      </c>
      <c r="L87" s="68">
        <f t="shared" si="13"/>
        <v>0</v>
      </c>
      <c r="M87" s="69">
        <v>2.5</v>
      </c>
      <c r="N87" s="70" t="s">
        <v>17</v>
      </c>
      <c r="O87" s="68">
        <f t="shared" si="16"/>
        <v>0</v>
      </c>
      <c r="P87" s="68">
        <f t="shared" si="17"/>
        <v>0</v>
      </c>
      <c r="Q87" s="68">
        <f t="shared" si="18"/>
        <v>0</v>
      </c>
      <c r="R87" s="68">
        <f t="shared" si="14"/>
        <v>0</v>
      </c>
      <c r="S87" s="68">
        <f t="shared" si="15"/>
        <v>46</v>
      </c>
      <c r="T87" s="68">
        <f t="shared" si="11"/>
        <v>46</v>
      </c>
      <c r="U87" s="265">
        <f t="shared" si="19"/>
        <v>3531.9</v>
      </c>
      <c r="V87" s="93">
        <f t="shared" si="20"/>
        <v>0</v>
      </c>
      <c r="W87" s="449" cm="1">
        <f t="array" ref="W87">+IF(U87&lt;0,error,0)</f>
        <v>0</v>
      </c>
    </row>
    <row r="88" spans="1:23" ht="36.75" customHeight="1" x14ac:dyDescent="0.2">
      <c r="A88" s="101" t="s">
        <v>1795</v>
      </c>
      <c r="B88" s="102"/>
      <c r="C88" s="64" t="s">
        <v>1796</v>
      </c>
      <c r="D88" s="65">
        <v>43385</v>
      </c>
      <c r="E88" s="66"/>
      <c r="F88" s="67"/>
      <c r="G88" s="67"/>
      <c r="H88" s="67">
        <v>16314</v>
      </c>
      <c r="I88" s="354">
        <v>15615</v>
      </c>
      <c r="J88" s="67">
        <v>0</v>
      </c>
      <c r="K88" s="68">
        <f t="shared" si="12"/>
        <v>0</v>
      </c>
      <c r="L88" s="68">
        <f t="shared" si="13"/>
        <v>0</v>
      </c>
      <c r="M88" s="69">
        <v>2.5</v>
      </c>
      <c r="N88" s="70" t="s">
        <v>17</v>
      </c>
      <c r="O88" s="68">
        <f t="shared" si="16"/>
        <v>0</v>
      </c>
      <c r="P88" s="68">
        <f t="shared" si="17"/>
        <v>0</v>
      </c>
      <c r="Q88" s="68">
        <f t="shared" si="18"/>
        <v>0</v>
      </c>
      <c r="R88" s="68">
        <f t="shared" si="14"/>
        <v>0</v>
      </c>
      <c r="S88" s="68">
        <f t="shared" si="15"/>
        <v>203</v>
      </c>
      <c r="T88" s="68">
        <f t="shared" si="11"/>
        <v>203</v>
      </c>
      <c r="U88" s="265">
        <f t="shared" si="19"/>
        <v>15412</v>
      </c>
      <c r="V88" s="93">
        <f t="shared" si="20"/>
        <v>0</v>
      </c>
      <c r="W88" s="449" cm="1">
        <f t="array" ref="W88">+IF(U88&lt;0,error,0)</f>
        <v>0</v>
      </c>
    </row>
    <row r="89" spans="1:23" ht="36.75" customHeight="1" x14ac:dyDescent="0.2">
      <c r="A89" s="101" t="s">
        <v>1797</v>
      </c>
      <c r="B89" s="102"/>
      <c r="C89" s="64" t="s">
        <v>1798</v>
      </c>
      <c r="D89" s="65">
        <v>43413</v>
      </c>
      <c r="E89" s="66"/>
      <c r="F89" s="67"/>
      <c r="G89" s="67"/>
      <c r="H89" s="67">
        <v>181818.18</v>
      </c>
      <c r="I89" s="354">
        <v>174349.18</v>
      </c>
      <c r="J89" s="67">
        <v>0</v>
      </c>
      <c r="K89" s="68">
        <f t="shared" si="12"/>
        <v>0</v>
      </c>
      <c r="L89" s="68">
        <f t="shared" si="13"/>
        <v>0</v>
      </c>
      <c r="M89" s="69">
        <v>2.5</v>
      </c>
      <c r="N89" s="70" t="s">
        <v>17</v>
      </c>
      <c r="O89" s="68">
        <f t="shared" si="16"/>
        <v>0</v>
      </c>
      <c r="P89" s="68">
        <f t="shared" si="17"/>
        <v>0</v>
      </c>
      <c r="Q89" s="68">
        <f t="shared" si="18"/>
        <v>0</v>
      </c>
      <c r="R89" s="68">
        <f t="shared" si="14"/>
        <v>0</v>
      </c>
      <c r="S89" s="68">
        <f t="shared" si="15"/>
        <v>2272</v>
      </c>
      <c r="T89" s="68">
        <f t="shared" si="11"/>
        <v>2272</v>
      </c>
      <c r="U89" s="265">
        <f t="shared" si="19"/>
        <v>172077.18</v>
      </c>
      <c r="V89" s="93">
        <f t="shared" si="20"/>
        <v>0</v>
      </c>
      <c r="W89" s="449" cm="1">
        <f t="array" ref="W89">+IF(U89&lt;0,error,0)</f>
        <v>0</v>
      </c>
    </row>
    <row r="90" spans="1:23" ht="36.75" customHeight="1" x14ac:dyDescent="0.2">
      <c r="A90" s="101" t="s">
        <v>1799</v>
      </c>
      <c r="B90" s="102"/>
      <c r="C90" s="64" t="s">
        <v>1800</v>
      </c>
      <c r="D90" s="65">
        <v>43374</v>
      </c>
      <c r="E90" s="66"/>
      <c r="F90" s="67"/>
      <c r="G90" s="67"/>
      <c r="H90" s="67">
        <v>10259.15</v>
      </c>
      <c r="I90" s="354">
        <v>9811.15</v>
      </c>
      <c r="J90" s="67">
        <v>0</v>
      </c>
      <c r="K90" s="68">
        <f t="shared" si="12"/>
        <v>0</v>
      </c>
      <c r="L90" s="68">
        <f t="shared" si="13"/>
        <v>0</v>
      </c>
      <c r="M90" s="69">
        <v>2.5</v>
      </c>
      <c r="N90" s="70" t="s">
        <v>17</v>
      </c>
      <c r="O90" s="68">
        <f t="shared" si="16"/>
        <v>0</v>
      </c>
      <c r="P90" s="68">
        <f t="shared" si="17"/>
        <v>0</v>
      </c>
      <c r="Q90" s="68">
        <f t="shared" si="18"/>
        <v>0</v>
      </c>
      <c r="R90" s="68">
        <f t="shared" si="14"/>
        <v>0</v>
      </c>
      <c r="S90" s="68">
        <f t="shared" si="15"/>
        <v>128</v>
      </c>
      <c r="T90" s="68">
        <f t="shared" si="11"/>
        <v>128</v>
      </c>
      <c r="U90" s="265">
        <f t="shared" si="19"/>
        <v>9683.15</v>
      </c>
      <c r="V90" s="93">
        <f t="shared" si="20"/>
        <v>0</v>
      </c>
      <c r="W90" s="449" cm="1">
        <f t="array" ref="W90">+IF(U90&lt;0,error,0)</f>
        <v>0</v>
      </c>
    </row>
    <row r="91" spans="1:23" ht="36.75" customHeight="1" x14ac:dyDescent="0.2">
      <c r="A91" s="101" t="s">
        <v>1801</v>
      </c>
      <c r="B91" s="102"/>
      <c r="C91" s="64" t="s">
        <v>1802</v>
      </c>
      <c r="D91" s="65">
        <v>43374</v>
      </c>
      <c r="E91" s="66"/>
      <c r="F91" s="67"/>
      <c r="G91" s="67"/>
      <c r="H91" s="67">
        <v>12387.5</v>
      </c>
      <c r="I91" s="354">
        <v>11847.5</v>
      </c>
      <c r="J91" s="67">
        <v>0</v>
      </c>
      <c r="K91" s="68">
        <f t="shared" si="12"/>
        <v>0</v>
      </c>
      <c r="L91" s="68">
        <f t="shared" si="13"/>
        <v>0</v>
      </c>
      <c r="M91" s="69">
        <v>2.5</v>
      </c>
      <c r="N91" s="70" t="s">
        <v>17</v>
      </c>
      <c r="O91" s="68">
        <f t="shared" si="16"/>
        <v>0</v>
      </c>
      <c r="P91" s="68">
        <f t="shared" si="17"/>
        <v>0</v>
      </c>
      <c r="Q91" s="68">
        <f t="shared" si="18"/>
        <v>0</v>
      </c>
      <c r="R91" s="68">
        <f t="shared" si="14"/>
        <v>0</v>
      </c>
      <c r="S91" s="68">
        <f t="shared" si="15"/>
        <v>154</v>
      </c>
      <c r="T91" s="68">
        <f t="shared" si="11"/>
        <v>154</v>
      </c>
      <c r="U91" s="265">
        <f t="shared" si="19"/>
        <v>11693.5</v>
      </c>
      <c r="V91" s="93">
        <f t="shared" si="20"/>
        <v>0</v>
      </c>
      <c r="W91" s="449" cm="1">
        <f t="array" ref="W91">+IF(U91&lt;0,error,0)</f>
        <v>0</v>
      </c>
    </row>
    <row r="92" spans="1:23" ht="36.75" customHeight="1" x14ac:dyDescent="0.2">
      <c r="A92" s="101" t="s">
        <v>1803</v>
      </c>
      <c r="B92" s="102"/>
      <c r="C92" s="64" t="s">
        <v>1804</v>
      </c>
      <c r="D92" s="65">
        <v>43412</v>
      </c>
      <c r="E92" s="66"/>
      <c r="F92" s="67"/>
      <c r="G92" s="67"/>
      <c r="H92" s="67">
        <v>22391.93</v>
      </c>
      <c r="I92" s="354">
        <v>21472.93</v>
      </c>
      <c r="J92" s="67">
        <v>0</v>
      </c>
      <c r="K92" s="68">
        <f t="shared" si="12"/>
        <v>0</v>
      </c>
      <c r="L92" s="68">
        <f t="shared" si="13"/>
        <v>0</v>
      </c>
      <c r="M92" s="69">
        <v>2.5</v>
      </c>
      <c r="N92" s="70" t="s">
        <v>17</v>
      </c>
      <c r="O92" s="68">
        <f t="shared" si="16"/>
        <v>0</v>
      </c>
      <c r="P92" s="68">
        <f t="shared" si="17"/>
        <v>0</v>
      </c>
      <c r="Q92" s="68">
        <f t="shared" si="18"/>
        <v>0</v>
      </c>
      <c r="R92" s="68">
        <f t="shared" si="14"/>
        <v>0</v>
      </c>
      <c r="S92" s="68">
        <f t="shared" si="15"/>
        <v>279</v>
      </c>
      <c r="T92" s="68">
        <f t="shared" ref="T92:T95" si="21">+R92+S92+Q92</f>
        <v>279</v>
      </c>
      <c r="U92" s="265">
        <f t="shared" si="19"/>
        <v>21193.93</v>
      </c>
      <c r="V92" s="93">
        <f t="shared" si="20"/>
        <v>0</v>
      </c>
      <c r="W92" s="449" cm="1">
        <f t="array" ref="W92">+IF(U92&lt;0,error,0)</f>
        <v>0</v>
      </c>
    </row>
    <row r="93" spans="1:23" ht="36.75" customHeight="1" x14ac:dyDescent="0.2">
      <c r="A93" s="101" t="s">
        <v>1805</v>
      </c>
      <c r="B93" s="102"/>
      <c r="C93" s="64" t="s">
        <v>1806</v>
      </c>
      <c r="D93" s="65">
        <v>43419</v>
      </c>
      <c r="E93" s="66"/>
      <c r="F93" s="67"/>
      <c r="G93" s="67"/>
      <c r="H93" s="67">
        <v>8732.85</v>
      </c>
      <c r="I93" s="354">
        <v>8377.85</v>
      </c>
      <c r="J93" s="67">
        <v>0</v>
      </c>
      <c r="K93" s="68">
        <f t="shared" si="12"/>
        <v>0</v>
      </c>
      <c r="L93" s="68">
        <f t="shared" si="13"/>
        <v>0</v>
      </c>
      <c r="M93" s="69">
        <v>2.5</v>
      </c>
      <c r="N93" s="70" t="s">
        <v>17</v>
      </c>
      <c r="O93" s="68">
        <f t="shared" si="16"/>
        <v>0</v>
      </c>
      <c r="P93" s="68">
        <f t="shared" si="17"/>
        <v>0</v>
      </c>
      <c r="Q93" s="68">
        <f t="shared" si="18"/>
        <v>0</v>
      </c>
      <c r="R93" s="68">
        <f t="shared" si="14"/>
        <v>0</v>
      </c>
      <c r="S93" s="68">
        <f t="shared" si="15"/>
        <v>109</v>
      </c>
      <c r="T93" s="68">
        <f t="shared" si="21"/>
        <v>109</v>
      </c>
      <c r="U93" s="265">
        <f t="shared" si="19"/>
        <v>8268.85</v>
      </c>
      <c r="V93" s="93">
        <f t="shared" si="20"/>
        <v>0</v>
      </c>
      <c r="W93" s="449" cm="1">
        <f t="array" ref="W93">+IF(U93&lt;0,error,0)</f>
        <v>0</v>
      </c>
    </row>
    <row r="94" spans="1:23" ht="36.75" customHeight="1" x14ac:dyDescent="0.2">
      <c r="A94" s="101" t="s">
        <v>1807</v>
      </c>
      <c r="B94" s="102"/>
      <c r="C94" s="64" t="s">
        <v>1808</v>
      </c>
      <c r="D94" s="65">
        <v>43425</v>
      </c>
      <c r="E94" s="66"/>
      <c r="F94" s="67"/>
      <c r="G94" s="67"/>
      <c r="H94" s="67">
        <v>972.6</v>
      </c>
      <c r="I94" s="354">
        <v>933.6</v>
      </c>
      <c r="J94" s="67">
        <v>0</v>
      </c>
      <c r="K94" s="68">
        <f t="shared" si="12"/>
        <v>0</v>
      </c>
      <c r="L94" s="68">
        <f t="shared" si="13"/>
        <v>0</v>
      </c>
      <c r="M94" s="69">
        <v>2.5</v>
      </c>
      <c r="N94" s="70" t="s">
        <v>17</v>
      </c>
      <c r="O94" s="68">
        <f t="shared" si="16"/>
        <v>0</v>
      </c>
      <c r="P94" s="68">
        <f t="shared" si="17"/>
        <v>0</v>
      </c>
      <c r="Q94" s="68">
        <f t="shared" si="18"/>
        <v>0</v>
      </c>
      <c r="R94" s="68">
        <f t="shared" si="14"/>
        <v>0</v>
      </c>
      <c r="S94" s="68">
        <f t="shared" si="15"/>
        <v>12</v>
      </c>
      <c r="T94" s="68">
        <f t="shared" si="21"/>
        <v>12</v>
      </c>
      <c r="U94" s="265">
        <f t="shared" si="19"/>
        <v>921.6</v>
      </c>
      <c r="V94" s="93">
        <f t="shared" si="20"/>
        <v>0</v>
      </c>
      <c r="W94" s="449" cm="1">
        <f t="array" ref="W94">+IF(U94&lt;0,error,0)</f>
        <v>0</v>
      </c>
    </row>
    <row r="95" spans="1:23" ht="36.75" customHeight="1" x14ac:dyDescent="0.2">
      <c r="A95" s="101" t="s">
        <v>1809</v>
      </c>
      <c r="B95" s="102"/>
      <c r="C95" s="64" t="s">
        <v>1810</v>
      </c>
      <c r="D95" s="65">
        <v>43430</v>
      </c>
      <c r="E95" s="66"/>
      <c r="F95" s="67"/>
      <c r="G95" s="67"/>
      <c r="H95" s="67">
        <v>1423</v>
      </c>
      <c r="I95" s="354">
        <v>1368</v>
      </c>
      <c r="J95" s="67">
        <v>0</v>
      </c>
      <c r="K95" s="68">
        <f t="shared" si="12"/>
        <v>0</v>
      </c>
      <c r="L95" s="68">
        <f t="shared" si="13"/>
        <v>0</v>
      </c>
      <c r="M95" s="69">
        <v>2.5</v>
      </c>
      <c r="N95" s="70" t="s">
        <v>17</v>
      </c>
      <c r="O95" s="68">
        <f t="shared" si="16"/>
        <v>0</v>
      </c>
      <c r="P95" s="68">
        <f t="shared" si="17"/>
        <v>0</v>
      </c>
      <c r="Q95" s="68">
        <f t="shared" si="18"/>
        <v>0</v>
      </c>
      <c r="R95" s="68">
        <f t="shared" si="14"/>
        <v>0</v>
      </c>
      <c r="S95" s="68">
        <f t="shared" si="15"/>
        <v>17</v>
      </c>
      <c r="T95" s="68">
        <f t="shared" si="21"/>
        <v>17</v>
      </c>
      <c r="U95" s="265">
        <f t="shared" si="19"/>
        <v>1351</v>
      </c>
      <c r="V95" s="93">
        <f t="shared" si="20"/>
        <v>0</v>
      </c>
      <c r="W95" s="449" cm="1">
        <f t="array" ref="W95">+IF(U95&lt;0,error,0)</f>
        <v>0</v>
      </c>
    </row>
    <row r="96" spans="1:23" ht="36.75" customHeight="1" x14ac:dyDescent="0.2">
      <c r="A96" s="101" t="s">
        <v>2091</v>
      </c>
      <c r="B96" s="102"/>
      <c r="C96" s="64" t="s">
        <v>2094</v>
      </c>
      <c r="D96" s="65">
        <v>43558</v>
      </c>
      <c r="E96" s="66"/>
      <c r="F96" s="67"/>
      <c r="G96" s="67"/>
      <c r="H96" s="67">
        <v>376794.89</v>
      </c>
      <c r="I96" s="354">
        <v>365105.89</v>
      </c>
      <c r="J96" s="67">
        <v>0</v>
      </c>
      <c r="K96" s="68">
        <f>INT(IF($E96&gt;0,IF(+F96-I96+Q96&lt;0,0,+F96-I96+Q96),0))</f>
        <v>0</v>
      </c>
      <c r="L96" s="68">
        <f>INT(IF($E96&gt;0,IF(K96=0,-F96+I96-Q96,0),0))</f>
        <v>0</v>
      </c>
      <c r="M96" s="69">
        <v>2.5</v>
      </c>
      <c r="N96" s="70" t="s">
        <v>17</v>
      </c>
      <c r="O96" s="68">
        <f>IF(E96&gt;0,INT(IF($N96="D",IF($D96&lt;$H$3,$I96*($M96/100)*((E96-$H$3)/365),$J96*($M96/100)*($J$3-$D96)/365),0)),0)</f>
        <v>0</v>
      </c>
      <c r="P96" s="68">
        <f>IF(E96&gt;0,INT(IF($N96="P",IF($D96&lt;$H$3,$H96*($M96/100)*(E96-$H$3)/365,$J96*($M96/100)*($J$3-$D96)/365),0)),0)</f>
        <v>0</v>
      </c>
      <c r="Q96" s="68">
        <f>+O96+P96</f>
        <v>0</v>
      </c>
      <c r="R96" s="68">
        <f t="shared" si="14"/>
        <v>0</v>
      </c>
      <c r="S96" s="68">
        <f t="shared" si="15"/>
        <v>4709</v>
      </c>
      <c r="T96" s="68">
        <f>+R96+S96+Q96</f>
        <v>4709</v>
      </c>
      <c r="U96" s="265">
        <f>+I96+J96-T96</f>
        <v>360396.89</v>
      </c>
      <c r="V96" s="93">
        <f>IF(E96&gt;0,+H96+J96,0)</f>
        <v>0</v>
      </c>
      <c r="W96" s="449" cm="1">
        <f t="array" ref="W96">+IF(U96&lt;0,error,0)</f>
        <v>0</v>
      </c>
    </row>
    <row r="97" spans="1:26" ht="36.75" customHeight="1" x14ac:dyDescent="0.2">
      <c r="A97" s="101" t="s">
        <v>2092</v>
      </c>
      <c r="B97" s="102"/>
      <c r="C97" s="64" t="s">
        <v>2095</v>
      </c>
      <c r="D97" s="65">
        <v>43558</v>
      </c>
      <c r="E97" s="66"/>
      <c r="F97" s="67"/>
      <c r="G97" s="67"/>
      <c r="H97" s="67">
        <v>131260.76</v>
      </c>
      <c r="I97" s="354">
        <v>127189.76000000001</v>
      </c>
      <c r="J97" s="67">
        <v>0</v>
      </c>
      <c r="K97" s="68">
        <f>INT(IF($E97&gt;0,IF(+F97-I97+Q97&lt;0,0,+F97-I97+Q97),0))</f>
        <v>0</v>
      </c>
      <c r="L97" s="68">
        <f>INT(IF($E97&gt;0,IF(K97=0,-F97+I97-Q97,0),0))</f>
        <v>0</v>
      </c>
      <c r="M97" s="69">
        <v>2.5</v>
      </c>
      <c r="N97" s="70" t="s">
        <v>17</v>
      </c>
      <c r="O97" s="68">
        <f>IF(E97&gt;0,INT(IF($N97="D",IF($D97&lt;$H$3,$I97*($M97/100)*((E97-$H$3)/365),$J97*($M97/100)*($J$3-$D97)/365),0)),0)</f>
        <v>0</v>
      </c>
      <c r="P97" s="68">
        <f>IF(E97&gt;0,INT(IF($N97="P",IF($D97&lt;$H$3,$H97*($M97/100)*(E97-$H$3)/365,$J97*($M97/100)*($J$3-$D97)/365),0)),0)</f>
        <v>0</v>
      </c>
      <c r="Q97" s="68">
        <f>+O97+P97</f>
        <v>0</v>
      </c>
      <c r="R97" s="68">
        <f t="shared" si="14"/>
        <v>0</v>
      </c>
      <c r="S97" s="68">
        <f t="shared" si="15"/>
        <v>1640</v>
      </c>
      <c r="T97" s="68">
        <f>+R97+S97+Q97</f>
        <v>1640</v>
      </c>
      <c r="U97" s="265">
        <f>+I97+J97-T97</f>
        <v>125549.76000000001</v>
      </c>
      <c r="V97" s="93">
        <f>IF(E97&gt;0,+H97+J97,0)</f>
        <v>0</v>
      </c>
      <c r="W97" s="449" cm="1">
        <f t="array" ref="W97">+IF(U97&lt;0,error,0)</f>
        <v>0</v>
      </c>
    </row>
    <row r="98" spans="1:26" ht="36.75" customHeight="1" x14ac:dyDescent="0.2">
      <c r="A98" s="101" t="s">
        <v>2093</v>
      </c>
      <c r="B98" s="102"/>
      <c r="C98" s="64" t="s">
        <v>2096</v>
      </c>
      <c r="D98" s="65">
        <v>43451</v>
      </c>
      <c r="E98" s="66"/>
      <c r="F98" s="67"/>
      <c r="G98" s="67"/>
      <c r="H98" s="67">
        <v>12814.55</v>
      </c>
      <c r="I98" s="354">
        <v>12323.55</v>
      </c>
      <c r="J98" s="67">
        <v>0</v>
      </c>
      <c r="K98" s="68">
        <f>INT(IF($E98&gt;0,IF(+F98-I98+Q98&lt;0,0,+F98-I98+Q98),0))</f>
        <v>0</v>
      </c>
      <c r="L98" s="68">
        <f>INT(IF($E98&gt;0,IF(K98=0,-F98+I98-Q98,0),0))</f>
        <v>0</v>
      </c>
      <c r="M98" s="69">
        <v>2.5</v>
      </c>
      <c r="N98" s="70" t="s">
        <v>17</v>
      </c>
      <c r="O98" s="68">
        <f>IF(E98&gt;0,INT(IF($N98="D",IF($D98&lt;$H$3,$I98*($M98/100)*((E98-$H$3)/365),$J98*($M98/100)*($J$3-$D98)/365),0)),0)</f>
        <v>0</v>
      </c>
      <c r="P98" s="68">
        <f>IF(E98&gt;0,INT(IF($N98="P",IF($D98&lt;$H$3,$H98*($M98/100)*(E98-$H$3)/365,$J98*($M98/100)*($J$3-$D98)/365),0)),0)</f>
        <v>0</v>
      </c>
      <c r="Q98" s="68">
        <f>+O98+P98</f>
        <v>0</v>
      </c>
      <c r="R98" s="68">
        <f t="shared" si="14"/>
        <v>0</v>
      </c>
      <c r="S98" s="68">
        <f t="shared" si="15"/>
        <v>160</v>
      </c>
      <c r="T98" s="68">
        <f>+R98+S98+Q98</f>
        <v>160</v>
      </c>
      <c r="U98" s="265">
        <f>+I98+J98-T98</f>
        <v>12163.55</v>
      </c>
      <c r="V98" s="93">
        <f>IF(E98&gt;0,+H98+J98,0)</f>
        <v>0</v>
      </c>
      <c r="W98" s="449" cm="1">
        <f t="array" ref="W98">+IF(U98&lt;0,error,0)</f>
        <v>0</v>
      </c>
    </row>
    <row r="99" spans="1:26" ht="36.75" customHeight="1" x14ac:dyDescent="0.2">
      <c r="A99" s="101" t="s">
        <v>2097</v>
      </c>
      <c r="B99" s="102"/>
      <c r="C99" s="64" t="s">
        <v>2107</v>
      </c>
      <c r="D99" s="65">
        <v>43646</v>
      </c>
      <c r="E99" s="66"/>
      <c r="F99" s="67"/>
      <c r="G99" s="67"/>
      <c r="H99" s="67">
        <f>19139.4+114836.4</f>
        <v>133975.79999999999</v>
      </c>
      <c r="I99" s="354">
        <v>130627.79999999999</v>
      </c>
      <c r="J99" s="67">
        <v>0</v>
      </c>
      <c r="K99" s="68">
        <f>INT(IF($E99&gt;0,IF(+F99-I99+Q99&lt;0,0,+F99-I99+Q99),0))</f>
        <v>0</v>
      </c>
      <c r="L99" s="68">
        <f>INT(IF($E99&gt;0,IF(K99=0,-F99+I99-Q99,0),0))</f>
        <v>0</v>
      </c>
      <c r="M99" s="69">
        <v>2.5</v>
      </c>
      <c r="N99" s="70" t="s">
        <v>17</v>
      </c>
      <c r="O99" s="68">
        <f>IF(E99&gt;0,INT(IF($N99="D",IF($D99&lt;$H$3,$I99*($M99/100)*((E99-$H$3)/365),$J99*($M99/100)*($J$3-$D99)/365),0)),0)</f>
        <v>0</v>
      </c>
      <c r="P99" s="68">
        <f>IF(E99&gt;0,INT(IF($N99="P",IF($D99&lt;$H$3,$H99*($M99/100)*(E99-$H$3)/365,$J99*($M99/100)*($J$3-$D99)/365),0)),0)</f>
        <v>0</v>
      </c>
      <c r="Q99" s="68">
        <f>+O99+P99</f>
        <v>0</v>
      </c>
      <c r="R99" s="68">
        <f t="shared" si="14"/>
        <v>0</v>
      </c>
      <c r="S99" s="68">
        <f t="shared" si="15"/>
        <v>1674</v>
      </c>
      <c r="T99" s="68">
        <f>+R99+S99+Q99</f>
        <v>1674</v>
      </c>
      <c r="U99" s="265">
        <f>+I99+J99-T99</f>
        <v>128953.79999999999</v>
      </c>
      <c r="V99" s="93">
        <f>IF(E99&gt;0,+H99+J99,0)</f>
        <v>0</v>
      </c>
      <c r="W99" s="449" cm="1">
        <f t="array" ref="W99">+IF(U99&lt;0,error,0)</f>
        <v>0</v>
      </c>
    </row>
    <row r="100" spans="1:26" ht="36.75" customHeight="1" x14ac:dyDescent="0.2">
      <c r="A100" s="101" t="s">
        <v>2157</v>
      </c>
      <c r="B100" s="102"/>
      <c r="C100" s="64" t="s">
        <v>2165</v>
      </c>
      <c r="D100" s="65">
        <v>43733</v>
      </c>
      <c r="E100" s="66"/>
      <c r="F100" s="67"/>
      <c r="G100" s="67"/>
      <c r="H100" s="67">
        <v>72418.2</v>
      </c>
      <c r="I100" s="354">
        <v>71032.2</v>
      </c>
      <c r="J100" s="67">
        <v>0</v>
      </c>
      <c r="K100" s="68">
        <f t="shared" ref="K100:K107" si="22">INT(IF($E100&gt;0,IF(+F100-I100+Q100&lt;0,0,+F100-I100+Q100),0))</f>
        <v>0</v>
      </c>
      <c r="L100" s="68">
        <f t="shared" ref="L100:L107" si="23">INT(IF($E100&gt;0,IF(K100=0,-F100+I100-Q100,0),0))</f>
        <v>0</v>
      </c>
      <c r="M100" s="69">
        <v>2.5</v>
      </c>
      <c r="N100" s="70" t="s">
        <v>17</v>
      </c>
      <c r="O100" s="68">
        <f>IF(E100&gt;0,INT(IF($N100="D",IF($D100&lt;$H$3,$I100*($M100/100)*((E100-$H$3)/365),$J100*($M100/100)*($J$3-$D100)/365),0)),0)</f>
        <v>0</v>
      </c>
      <c r="P100" s="68">
        <f>IF(E100&gt;0,INT(IF($N100="P",IF($D100&lt;$H$3,$H100*($M100/100)*(E100-$H$3)/365,$J100*($M100/100)*($J$3-$D100)/365),0)),0)</f>
        <v>0</v>
      </c>
      <c r="Q100" s="68">
        <f>+O100+P100</f>
        <v>0</v>
      </c>
      <c r="R100" s="68">
        <f t="shared" si="14"/>
        <v>0</v>
      </c>
      <c r="S100" s="68">
        <f t="shared" si="15"/>
        <v>905</v>
      </c>
      <c r="T100" s="68">
        <f>+R100+S100+Q100</f>
        <v>905</v>
      </c>
      <c r="U100" s="265">
        <f>+I100+J100-T100</f>
        <v>70127.199999999997</v>
      </c>
      <c r="V100" s="93">
        <f>IF(E100&gt;0,+H100+J100,0)</f>
        <v>0</v>
      </c>
      <c r="W100" s="449" cm="1">
        <f t="array" ref="W100">+IF(U100&lt;0,error,0)</f>
        <v>0</v>
      </c>
    </row>
    <row r="101" spans="1:26" ht="36.75" customHeight="1" x14ac:dyDescent="0.2">
      <c r="A101" s="101" t="s">
        <v>2155</v>
      </c>
      <c r="B101" s="102"/>
      <c r="C101" s="64" t="s">
        <v>2162</v>
      </c>
      <c r="D101" s="65">
        <v>43717</v>
      </c>
      <c r="E101" s="66"/>
      <c r="F101" s="67"/>
      <c r="G101" s="67"/>
      <c r="H101" s="67">
        <v>24709.56</v>
      </c>
      <c r="I101" s="354">
        <v>24210.560000000001</v>
      </c>
      <c r="J101" s="67">
        <v>0</v>
      </c>
      <c r="K101" s="68">
        <f t="shared" si="22"/>
        <v>0</v>
      </c>
      <c r="L101" s="68">
        <f t="shared" si="23"/>
        <v>0</v>
      </c>
      <c r="M101" s="69">
        <v>2.5</v>
      </c>
      <c r="N101" s="70" t="s">
        <v>17</v>
      </c>
      <c r="O101" s="68">
        <f t="shared" ref="O101:O107" si="24">IF(E101&gt;0,INT(IF($N101="D",IF($D101&lt;$H$3,$I101*($M101/100)*((E101-$H$3)/365),$J101*($M101/100)*($J$3-$D101)/365),0)),0)</f>
        <v>0</v>
      </c>
      <c r="P101" s="68">
        <f t="shared" ref="P101:P107" si="25">IF(E101&gt;0,INT(IF($N101="P",IF($D101&lt;$H$3,$H101*($M101/100)*(E101-$H$3)/365,$J101*($M101/100)*($J$3-$D101)/365),0)),0)</f>
        <v>0</v>
      </c>
      <c r="Q101" s="68">
        <f t="shared" ref="Q101:Q107" si="26">+O101+P101</f>
        <v>0</v>
      </c>
      <c r="R101" s="68">
        <f t="shared" si="14"/>
        <v>0</v>
      </c>
      <c r="S101" s="68">
        <f t="shared" si="15"/>
        <v>308</v>
      </c>
      <c r="T101" s="68">
        <f t="shared" ref="T101:T107" si="27">+R101+S101+Q101</f>
        <v>308</v>
      </c>
      <c r="U101" s="265">
        <f t="shared" ref="U101:U107" si="28">+I101+J101-T101</f>
        <v>23902.560000000001</v>
      </c>
      <c r="V101" s="93">
        <f t="shared" ref="V101:V107" si="29">IF(E101&gt;0,+H101+J101,0)</f>
        <v>0</v>
      </c>
      <c r="W101" s="449" cm="1">
        <f t="array" ref="W101">+IF(U101&lt;0,error,0)</f>
        <v>0</v>
      </c>
    </row>
    <row r="102" spans="1:26" ht="36.75" customHeight="1" x14ac:dyDescent="0.2">
      <c r="A102" s="101" t="s">
        <v>2156</v>
      </c>
      <c r="B102" s="102"/>
      <c r="C102" s="64" t="s">
        <v>2163</v>
      </c>
      <c r="D102" s="65">
        <v>43732</v>
      </c>
      <c r="E102" s="66"/>
      <c r="F102" s="67"/>
      <c r="G102" s="67"/>
      <c r="H102" s="67">
        <v>30950</v>
      </c>
      <c r="I102" s="354">
        <v>30357</v>
      </c>
      <c r="J102" s="67">
        <v>0</v>
      </c>
      <c r="K102" s="68">
        <f t="shared" si="22"/>
        <v>0</v>
      </c>
      <c r="L102" s="68">
        <f t="shared" si="23"/>
        <v>0</v>
      </c>
      <c r="M102" s="69">
        <v>2.5</v>
      </c>
      <c r="N102" s="70" t="s">
        <v>17</v>
      </c>
      <c r="O102" s="68">
        <f t="shared" si="24"/>
        <v>0</v>
      </c>
      <c r="P102" s="68">
        <f t="shared" si="25"/>
        <v>0</v>
      </c>
      <c r="Q102" s="68">
        <f t="shared" si="26"/>
        <v>0</v>
      </c>
      <c r="R102" s="68">
        <f t="shared" si="14"/>
        <v>0</v>
      </c>
      <c r="S102" s="68">
        <f t="shared" si="15"/>
        <v>386</v>
      </c>
      <c r="T102" s="68">
        <f t="shared" si="27"/>
        <v>386</v>
      </c>
      <c r="U102" s="265">
        <f t="shared" si="28"/>
        <v>29971</v>
      </c>
      <c r="V102" s="93">
        <f t="shared" si="29"/>
        <v>0</v>
      </c>
      <c r="W102" s="449" cm="1">
        <f t="array" ref="W102">+IF(U102&lt;0,error,0)</f>
        <v>0</v>
      </c>
    </row>
    <row r="103" spans="1:26" ht="36.75" customHeight="1" x14ac:dyDescent="0.2">
      <c r="A103" s="101" t="s">
        <v>2158</v>
      </c>
      <c r="B103" s="102"/>
      <c r="C103" s="64" t="s">
        <v>2167</v>
      </c>
      <c r="D103" s="65">
        <v>43753</v>
      </c>
      <c r="E103" s="66"/>
      <c r="F103" s="67"/>
      <c r="G103" s="67"/>
      <c r="H103" s="67">
        <v>13863.64</v>
      </c>
      <c r="I103" s="354">
        <v>13617.64</v>
      </c>
      <c r="J103" s="67">
        <v>0</v>
      </c>
      <c r="K103" s="68">
        <f t="shared" si="22"/>
        <v>0</v>
      </c>
      <c r="L103" s="68">
        <f t="shared" si="23"/>
        <v>0</v>
      </c>
      <c r="M103" s="69">
        <v>2.5</v>
      </c>
      <c r="N103" s="70" t="s">
        <v>17</v>
      </c>
      <c r="O103" s="68">
        <f t="shared" si="24"/>
        <v>0</v>
      </c>
      <c r="P103" s="68">
        <f t="shared" si="25"/>
        <v>0</v>
      </c>
      <c r="Q103" s="68">
        <f t="shared" si="26"/>
        <v>0</v>
      </c>
      <c r="R103" s="68">
        <f t="shared" si="14"/>
        <v>0</v>
      </c>
      <c r="S103" s="68">
        <f t="shared" si="15"/>
        <v>173</v>
      </c>
      <c r="T103" s="68">
        <f t="shared" si="27"/>
        <v>173</v>
      </c>
      <c r="U103" s="265">
        <f t="shared" si="28"/>
        <v>13444.64</v>
      </c>
      <c r="V103" s="93">
        <f t="shared" si="29"/>
        <v>0</v>
      </c>
      <c r="W103" s="449" cm="1">
        <f t="array" ref="W103">+IF(U103&lt;0,error,0)</f>
        <v>0</v>
      </c>
    </row>
    <row r="104" spans="1:26" ht="36.75" customHeight="1" x14ac:dyDescent="0.2">
      <c r="A104" s="101" t="s">
        <v>2159</v>
      </c>
      <c r="B104" s="102"/>
      <c r="C104" s="64" t="s">
        <v>2164</v>
      </c>
      <c r="D104" s="65">
        <v>43753</v>
      </c>
      <c r="E104" s="66"/>
      <c r="F104" s="67"/>
      <c r="G104" s="67"/>
      <c r="H104" s="67">
        <v>4454.54</v>
      </c>
      <c r="I104" s="354">
        <v>4376.54</v>
      </c>
      <c r="J104" s="67">
        <v>0</v>
      </c>
      <c r="K104" s="68">
        <f t="shared" si="22"/>
        <v>0</v>
      </c>
      <c r="L104" s="68">
        <f t="shared" si="23"/>
        <v>0</v>
      </c>
      <c r="M104" s="69">
        <v>2.5</v>
      </c>
      <c r="N104" s="70" t="s">
        <v>17</v>
      </c>
      <c r="O104" s="68">
        <f t="shared" si="24"/>
        <v>0</v>
      </c>
      <c r="P104" s="68">
        <f t="shared" si="25"/>
        <v>0</v>
      </c>
      <c r="Q104" s="68">
        <f t="shared" si="26"/>
        <v>0</v>
      </c>
      <c r="R104" s="68">
        <f t="shared" si="14"/>
        <v>0</v>
      </c>
      <c r="S104" s="68">
        <f t="shared" si="15"/>
        <v>55</v>
      </c>
      <c r="T104" s="68">
        <f t="shared" si="27"/>
        <v>55</v>
      </c>
      <c r="U104" s="265">
        <f t="shared" si="28"/>
        <v>4321.54</v>
      </c>
      <c r="V104" s="93">
        <f t="shared" si="29"/>
        <v>0</v>
      </c>
      <c r="W104" s="449" cm="1">
        <f t="array" ref="W104">+IF(U104&lt;0,error,0)</f>
        <v>0</v>
      </c>
    </row>
    <row r="105" spans="1:26" ht="36.75" customHeight="1" x14ac:dyDescent="0.2">
      <c r="A105" s="101" t="s">
        <v>2160</v>
      </c>
      <c r="B105" s="102"/>
      <c r="C105" s="64" t="s">
        <v>2168</v>
      </c>
      <c r="D105" s="65">
        <v>43753</v>
      </c>
      <c r="E105" s="66"/>
      <c r="F105" s="67"/>
      <c r="G105" s="67"/>
      <c r="H105" s="67">
        <v>2363.64</v>
      </c>
      <c r="I105" s="354">
        <v>2322.64</v>
      </c>
      <c r="J105" s="67">
        <v>0</v>
      </c>
      <c r="K105" s="68">
        <f t="shared" si="22"/>
        <v>0</v>
      </c>
      <c r="L105" s="68">
        <f t="shared" si="23"/>
        <v>0</v>
      </c>
      <c r="M105" s="69">
        <v>2.5</v>
      </c>
      <c r="N105" s="70" t="s">
        <v>17</v>
      </c>
      <c r="O105" s="68">
        <f t="shared" si="24"/>
        <v>0</v>
      </c>
      <c r="P105" s="68">
        <f t="shared" si="25"/>
        <v>0</v>
      </c>
      <c r="Q105" s="68">
        <f t="shared" si="26"/>
        <v>0</v>
      </c>
      <c r="R105" s="68">
        <f t="shared" si="14"/>
        <v>0</v>
      </c>
      <c r="S105" s="68">
        <f t="shared" si="15"/>
        <v>29</v>
      </c>
      <c r="T105" s="68">
        <f t="shared" si="27"/>
        <v>29</v>
      </c>
      <c r="U105" s="265">
        <f t="shared" si="28"/>
        <v>2293.64</v>
      </c>
      <c r="V105" s="93">
        <f t="shared" si="29"/>
        <v>0</v>
      </c>
      <c r="W105" s="449" cm="1">
        <f t="array" ref="W105">+IF(U105&lt;0,error,0)</f>
        <v>0</v>
      </c>
    </row>
    <row r="106" spans="1:26" ht="36.75" customHeight="1" x14ac:dyDescent="0.2">
      <c r="A106" s="101" t="s">
        <v>2161</v>
      </c>
      <c r="B106" s="102"/>
      <c r="C106" s="64" t="s">
        <v>2166</v>
      </c>
      <c r="D106" s="65">
        <v>43788</v>
      </c>
      <c r="E106" s="66"/>
      <c r="F106" s="67"/>
      <c r="G106" s="67"/>
      <c r="H106" s="67">
        <v>25737.57</v>
      </c>
      <c r="I106" s="354">
        <v>25342.57</v>
      </c>
      <c r="J106" s="67">
        <v>0</v>
      </c>
      <c r="K106" s="68">
        <f t="shared" si="22"/>
        <v>0</v>
      </c>
      <c r="L106" s="68">
        <f t="shared" si="23"/>
        <v>0</v>
      </c>
      <c r="M106" s="69">
        <v>2.5</v>
      </c>
      <c r="N106" s="70" t="s">
        <v>17</v>
      </c>
      <c r="O106" s="68">
        <f t="shared" si="24"/>
        <v>0</v>
      </c>
      <c r="P106" s="68">
        <f t="shared" si="25"/>
        <v>0</v>
      </c>
      <c r="Q106" s="68">
        <f t="shared" si="26"/>
        <v>0</v>
      </c>
      <c r="R106" s="68">
        <f t="shared" si="14"/>
        <v>0</v>
      </c>
      <c r="S106" s="68">
        <f t="shared" si="15"/>
        <v>321</v>
      </c>
      <c r="T106" s="68">
        <f t="shared" si="27"/>
        <v>321</v>
      </c>
      <c r="U106" s="265">
        <f t="shared" si="28"/>
        <v>25021.57</v>
      </c>
      <c r="V106" s="93">
        <f t="shared" si="29"/>
        <v>0</v>
      </c>
      <c r="W106" s="449" cm="1">
        <f t="array" ref="W106">+IF(U106&lt;0,error,0)</f>
        <v>0</v>
      </c>
    </row>
    <row r="107" spans="1:26" ht="36.75" customHeight="1" x14ac:dyDescent="0.2">
      <c r="A107" s="101">
        <v>738094</v>
      </c>
      <c r="B107" s="102"/>
      <c r="C107" s="326" t="s">
        <v>2386</v>
      </c>
      <c r="D107" s="65">
        <v>43878</v>
      </c>
      <c r="E107" s="66"/>
      <c r="F107" s="67"/>
      <c r="G107" s="67"/>
      <c r="H107" s="67">
        <v>10761.7</v>
      </c>
      <c r="I107" s="354">
        <v>10663.7</v>
      </c>
      <c r="J107" s="67"/>
      <c r="K107" s="68">
        <f t="shared" si="22"/>
        <v>0</v>
      </c>
      <c r="L107" s="68">
        <f t="shared" si="23"/>
        <v>0</v>
      </c>
      <c r="M107" s="69">
        <v>2.5</v>
      </c>
      <c r="N107" s="70" t="s">
        <v>17</v>
      </c>
      <c r="O107" s="68">
        <f t="shared" si="24"/>
        <v>0</v>
      </c>
      <c r="P107" s="68">
        <f t="shared" si="25"/>
        <v>0</v>
      </c>
      <c r="Q107" s="68">
        <f t="shared" si="26"/>
        <v>0</v>
      </c>
      <c r="R107" s="68">
        <f t="shared" si="14"/>
        <v>0</v>
      </c>
      <c r="S107" s="68">
        <f t="shared" si="15"/>
        <v>134</v>
      </c>
      <c r="T107" s="68">
        <f t="shared" si="27"/>
        <v>134</v>
      </c>
      <c r="U107" s="265">
        <f t="shared" si="28"/>
        <v>10529.7</v>
      </c>
      <c r="V107" s="93">
        <f t="shared" si="29"/>
        <v>0</v>
      </c>
      <c r="W107" s="449" cm="1">
        <f t="array" ref="W107">+IF(U107&lt;0,error,0)</f>
        <v>0</v>
      </c>
    </row>
    <row r="108" spans="1:26" ht="36.75" customHeight="1" x14ac:dyDescent="0.2">
      <c r="A108" s="101">
        <v>738095</v>
      </c>
      <c r="B108" s="102"/>
      <c r="C108" s="326" t="s">
        <v>2399</v>
      </c>
      <c r="D108" s="65">
        <v>44092</v>
      </c>
      <c r="E108" s="66"/>
      <c r="F108" s="67"/>
      <c r="G108" s="67"/>
      <c r="H108" s="67"/>
      <c r="I108" s="354"/>
      <c r="J108" s="67">
        <v>2592</v>
      </c>
      <c r="K108" s="68">
        <f t="shared" ref="K108" si="30">INT(IF($E108&gt;0,IF(+F108-I108+Q108&lt;0,0,+F108-I108+Q108),0))</f>
        <v>0</v>
      </c>
      <c r="L108" s="68">
        <f t="shared" ref="L108" si="31">INT(IF($E108&gt;0,IF(K108=0,-F108+I108-Q108,0),0))</f>
        <v>0</v>
      </c>
      <c r="M108" s="69">
        <v>2.5</v>
      </c>
      <c r="N108" s="70" t="s">
        <v>17</v>
      </c>
      <c r="O108" s="68">
        <f t="shared" ref="O108" si="32">IF(E108&gt;0,INT(IF($N108="D",IF($D108&lt;$H$3,$I108*($M108/100)*((E108-$H$3)/365),$J108*($M108/100)*($J$3-$D108)/365),0)),0)</f>
        <v>0</v>
      </c>
      <c r="P108" s="68">
        <f t="shared" ref="P108" si="33">IF(E108&gt;0,INT(IF($N108="P",IF($D108&lt;$H$3,$H108*($M108/100)*(E108-$H$3)/365,$J108*($M108/100)*($J$3-$D108)/365),0)),0)</f>
        <v>0</v>
      </c>
      <c r="Q108" s="68">
        <f t="shared" ref="Q108" si="34">+O108+P108</f>
        <v>0</v>
      </c>
      <c r="R108" s="68">
        <f t="shared" si="14"/>
        <v>0</v>
      </c>
      <c r="S108" s="68">
        <f t="shared" si="15"/>
        <v>18</v>
      </c>
      <c r="T108" s="68">
        <f t="shared" ref="T108" si="35">+R108+S108+Q108</f>
        <v>18</v>
      </c>
      <c r="U108" s="265">
        <f t="shared" ref="U108" si="36">+I108+J108-T108</f>
        <v>2574</v>
      </c>
      <c r="V108" s="93">
        <f t="shared" ref="V108" si="37">IF(E108&gt;0,+H108+J108,0)</f>
        <v>0</v>
      </c>
      <c r="W108" s="449" cm="1">
        <f t="array" ref="W108">+IF(U108&lt;0,error,0)</f>
        <v>0</v>
      </c>
    </row>
    <row r="109" spans="1:26" ht="36.75" customHeight="1" x14ac:dyDescent="0.2">
      <c r="A109" s="101"/>
      <c r="B109" s="102"/>
      <c r="C109" s="64"/>
      <c r="D109" s="65"/>
      <c r="E109" s="66"/>
      <c r="F109" s="67"/>
      <c r="G109" s="67"/>
      <c r="H109" s="67"/>
      <c r="I109" s="354"/>
      <c r="J109" s="67"/>
      <c r="K109" s="68"/>
      <c r="L109" s="68"/>
      <c r="M109" s="69"/>
      <c r="N109" s="70"/>
      <c r="O109" s="68"/>
      <c r="P109" s="68"/>
      <c r="Q109" s="68"/>
      <c r="R109" s="68"/>
      <c r="S109" s="68"/>
      <c r="T109" s="68"/>
      <c r="U109" s="265"/>
      <c r="V109" s="93"/>
      <c r="W109" s="449" cm="1">
        <f t="array" ref="W109">+IF(U109&lt;0,error,0)</f>
        <v>0</v>
      </c>
    </row>
    <row r="110" spans="1:26" ht="36.75" customHeight="1" x14ac:dyDescent="0.2">
      <c r="A110" s="103"/>
      <c r="B110" s="104"/>
      <c r="C110" s="83" t="s">
        <v>2043</v>
      </c>
      <c r="D110" s="63"/>
      <c r="E110" s="66"/>
      <c r="F110" s="67"/>
      <c r="G110" s="67"/>
      <c r="H110" s="79">
        <f>+J111-V111</f>
        <v>2592</v>
      </c>
      <c r="I110" s="355"/>
      <c r="J110" s="75"/>
      <c r="K110" s="75"/>
      <c r="L110" s="75"/>
      <c r="M110" s="74"/>
      <c r="N110" s="70"/>
      <c r="O110" s="70"/>
      <c r="P110" s="75"/>
      <c r="Q110" s="75"/>
      <c r="R110" s="70"/>
      <c r="S110" s="75"/>
      <c r="T110" s="75"/>
      <c r="U110" s="266"/>
      <c r="V110" s="93"/>
      <c r="W110" s="449" cm="1">
        <f t="array" ref="W110">+IF(U110&lt;0,error,0)</f>
        <v>0</v>
      </c>
    </row>
    <row r="111" spans="1:26" s="14" customFormat="1" ht="36.75" customHeight="1" x14ac:dyDescent="0.2">
      <c r="A111" s="105"/>
      <c r="B111" s="106"/>
      <c r="C111" s="77" t="s">
        <v>1825</v>
      </c>
      <c r="D111" s="76"/>
      <c r="E111" s="78"/>
      <c r="F111" s="79">
        <f>SUM(F16:F109)</f>
        <v>0</v>
      </c>
      <c r="G111" s="79">
        <f>SUM(G16:G109)</f>
        <v>0</v>
      </c>
      <c r="H111" s="268">
        <f>SUM(H16:H110)</f>
        <v>2398761.9400000004</v>
      </c>
      <c r="I111" s="495">
        <f>SUM(I16:I109)</f>
        <v>2202475.9400000004</v>
      </c>
      <c r="J111" s="268">
        <f>SUM(J16:J109)</f>
        <v>2592</v>
      </c>
      <c r="K111" s="79">
        <f>SUM(K16:K109)</f>
        <v>0</v>
      </c>
      <c r="L111" s="79">
        <f>SUM(L16:L109)</f>
        <v>0</v>
      </c>
      <c r="M111" s="80"/>
      <c r="N111" s="81"/>
      <c r="O111" s="79">
        <f>SUM(O16:O99)</f>
        <v>0</v>
      </c>
      <c r="P111" s="79">
        <f>SUM(P16:P99)</f>
        <v>0</v>
      </c>
      <c r="Q111" s="79"/>
      <c r="R111" s="79">
        <f>SUM(R16:R99)</f>
        <v>6689</v>
      </c>
      <c r="S111" s="79">
        <f>SUM(S16:S99)</f>
        <v>27073</v>
      </c>
      <c r="T111" s="268">
        <f>SUM(T16:T109)</f>
        <v>34059</v>
      </c>
      <c r="U111" s="268">
        <f>SUM(U16:U109)</f>
        <v>2171008.9400000004</v>
      </c>
      <c r="V111" s="79">
        <f>SUM(V16:V99)</f>
        <v>0</v>
      </c>
      <c r="W111" s="449" cm="1">
        <f t="array" ref="W111">+IF(U111&lt;0,error,0)</f>
        <v>0</v>
      </c>
      <c r="X111" s="292"/>
      <c r="Z111" s="291"/>
    </row>
    <row r="112" spans="1:26" s="14" customFormat="1" ht="36.75" customHeight="1" x14ac:dyDescent="0.2">
      <c r="A112" s="105"/>
      <c r="B112" s="106"/>
      <c r="C112" s="82"/>
      <c r="D112" s="83"/>
      <c r="E112" s="84"/>
      <c r="F112" s="79"/>
      <c r="G112" s="79"/>
      <c r="H112" s="85"/>
      <c r="I112" s="356"/>
      <c r="J112" s="79"/>
      <c r="K112" s="79"/>
      <c r="L112" s="85"/>
      <c r="M112" s="80"/>
      <c r="N112" s="81"/>
      <c r="O112" s="81"/>
      <c r="P112" s="79"/>
      <c r="Q112" s="79"/>
      <c r="R112" s="81"/>
      <c r="S112" s="79">
        <v>18420</v>
      </c>
      <c r="T112" s="79"/>
      <c r="U112" s="267"/>
      <c r="V112" s="93"/>
      <c r="W112" s="449" cm="1">
        <f t="array" ref="W112">+IF(U112&lt;0,error,0)</f>
        <v>0</v>
      </c>
    </row>
    <row r="113" spans="1:23" ht="36.75" customHeight="1" x14ac:dyDescent="0.2">
      <c r="A113" s="107">
        <v>740</v>
      </c>
      <c r="B113" s="108"/>
      <c r="C113" s="74"/>
      <c r="D113" s="82"/>
      <c r="E113" s="86"/>
      <c r="F113" s="87"/>
      <c r="G113" s="87"/>
      <c r="H113" s="87"/>
      <c r="I113" s="357"/>
      <c r="J113" s="87"/>
      <c r="K113" s="87"/>
      <c r="L113" s="87"/>
      <c r="M113" s="82"/>
      <c r="N113" s="88"/>
      <c r="O113" s="88"/>
      <c r="P113" s="87"/>
      <c r="Q113" s="87"/>
      <c r="R113" s="88"/>
      <c r="S113" s="87"/>
      <c r="T113" s="87"/>
      <c r="U113" s="266"/>
      <c r="V113" s="93"/>
      <c r="W113" s="449" cm="1">
        <f t="array" ref="W113">+IF(U113&lt;0,error,0)</f>
        <v>0</v>
      </c>
    </row>
    <row r="114" spans="1:23" ht="36.75" customHeight="1" x14ac:dyDescent="0.2">
      <c r="A114" s="109" t="s">
        <v>2388</v>
      </c>
      <c r="B114" s="104"/>
      <c r="C114" s="74"/>
      <c r="D114" s="74"/>
      <c r="E114" s="89"/>
      <c r="F114" s="75"/>
      <c r="G114" s="75"/>
      <c r="H114" s="75"/>
      <c r="I114" s="355"/>
      <c r="J114" s="75"/>
      <c r="K114" s="75"/>
      <c r="L114" s="75"/>
      <c r="M114" s="74"/>
      <c r="N114" s="70"/>
      <c r="O114" s="70"/>
      <c r="P114" s="75"/>
      <c r="Q114" s="75"/>
      <c r="R114" s="70"/>
      <c r="S114" s="75"/>
      <c r="T114" s="75"/>
      <c r="U114" s="266"/>
      <c r="V114" s="93"/>
      <c r="W114" s="449" cm="1">
        <f t="array" ref="W114">+IF(U114&lt;0,error,0)</f>
        <v>0</v>
      </c>
    </row>
    <row r="115" spans="1:23" ht="36.75" customHeight="1" x14ac:dyDescent="0.2">
      <c r="A115" s="101" t="s">
        <v>1811</v>
      </c>
      <c r="B115" s="102"/>
      <c r="C115" s="72" t="s">
        <v>1812</v>
      </c>
      <c r="D115" s="65">
        <v>41913</v>
      </c>
      <c r="E115" s="66"/>
      <c r="F115" s="67"/>
      <c r="G115" s="75"/>
      <c r="H115" s="67">
        <v>14536.36</v>
      </c>
      <c r="I115" s="354">
        <v>0.36000000000012733</v>
      </c>
      <c r="J115" s="67"/>
      <c r="K115" s="68">
        <f t="shared" ref="K115:K120" si="38">INT(IF($E115&gt;0,IF(+F115-I115+Q115&lt;0,0,+F115-I115+Q115),0))</f>
        <v>0</v>
      </c>
      <c r="L115" s="68">
        <f t="shared" ref="L115:L120" si="39">INT(IF($E115&gt;0,IF(K115=0,-F115+I115-Q115,0),0))</f>
        <v>0</v>
      </c>
      <c r="M115" s="69">
        <v>20</v>
      </c>
      <c r="N115" s="70" t="s">
        <v>17</v>
      </c>
      <c r="O115" s="68">
        <f t="shared" ref="O115:O120" si="40">IF(E115&gt;0,INT(IF($N115="D",IF($D115&lt;$H$3,$I115*($M115/100)*((E115-$H$3)/365),$J115*($M115/100)*($J$3-$D115)/365),0)),0)</f>
        <v>0</v>
      </c>
      <c r="P115" s="68">
        <f t="shared" ref="P115:P120" si="41">IF(E115&gt;0,INT(IF($N115="P",IF($D115&lt;$H$3,$H115*($M115/100)*(E115-$H$3)/365,$J115*($M115/100)*($J$3-$D115)/365),0)),0)</f>
        <v>0</v>
      </c>
      <c r="Q115" s="68">
        <f t="shared" ref="Q115:Q120" si="42">+O115+P115</f>
        <v>0</v>
      </c>
      <c r="R115" s="68">
        <f t="shared" ref="R115:R120" si="43">INT(IF($E115&gt;0,0,(IF($N115="D",IF($D115&lt;$H$3,$I115*($M115/100)*$U$3/12,$J115*($M115/100)*($J$3-$D115)/365),0))))</f>
        <v>0</v>
      </c>
      <c r="S115" s="68">
        <f t="shared" ref="S115:S120" si="44">INT(IF($E115&gt;0,0,(IF($N115="P",IF($D115&lt;$H$3,$H115*($M115/100)*$U$3/12,$J115*($M115/100)*($J$3-$D115)/365),0))))</f>
        <v>1453</v>
      </c>
      <c r="T115" s="68">
        <v>0</v>
      </c>
      <c r="U115" s="265">
        <f t="shared" ref="U115:U120" si="45">+I115+J115-T115</f>
        <v>0.36000000000012733</v>
      </c>
      <c r="V115" s="93">
        <f t="shared" ref="V115:V120" si="46">IF(E115&gt;0,+H115+J115,0)</f>
        <v>0</v>
      </c>
      <c r="W115" s="449" cm="1">
        <f t="array" ref="W115">+IF(U115&lt;0,error,0)</f>
        <v>0</v>
      </c>
    </row>
    <row r="116" spans="1:23" ht="36.75" customHeight="1" x14ac:dyDescent="0.2">
      <c r="A116" s="101" t="s">
        <v>1813</v>
      </c>
      <c r="B116" s="102"/>
      <c r="C116" s="64" t="s">
        <v>1814</v>
      </c>
      <c r="D116" s="65">
        <v>42664</v>
      </c>
      <c r="E116" s="66"/>
      <c r="F116" s="67"/>
      <c r="G116" s="67"/>
      <c r="H116" s="67">
        <v>7409.09</v>
      </c>
      <c r="I116" s="354">
        <v>3348.09</v>
      </c>
      <c r="J116" s="67"/>
      <c r="K116" s="68">
        <f t="shared" si="38"/>
        <v>0</v>
      </c>
      <c r="L116" s="68">
        <f t="shared" si="39"/>
        <v>0</v>
      </c>
      <c r="M116" s="69">
        <v>20</v>
      </c>
      <c r="N116" s="70" t="s">
        <v>289</v>
      </c>
      <c r="O116" s="68">
        <f t="shared" si="40"/>
        <v>0</v>
      </c>
      <c r="P116" s="68">
        <f t="shared" si="41"/>
        <v>0</v>
      </c>
      <c r="Q116" s="68">
        <f t="shared" si="42"/>
        <v>0</v>
      </c>
      <c r="R116" s="68">
        <f t="shared" si="43"/>
        <v>334</v>
      </c>
      <c r="S116" s="68">
        <f t="shared" si="44"/>
        <v>0</v>
      </c>
      <c r="T116" s="68">
        <f>+R116+S116+Q116</f>
        <v>334</v>
      </c>
      <c r="U116" s="265">
        <f t="shared" si="45"/>
        <v>3014.09</v>
      </c>
      <c r="V116" s="93">
        <f t="shared" si="46"/>
        <v>0</v>
      </c>
      <c r="W116" s="449" cm="1">
        <f t="array" ref="W116">+IF(U116&lt;0,error,0)</f>
        <v>0</v>
      </c>
    </row>
    <row r="117" spans="1:23" ht="36.75" customHeight="1" x14ac:dyDescent="0.2">
      <c r="A117" s="101" t="s">
        <v>1815</v>
      </c>
      <c r="B117" s="102"/>
      <c r="C117" s="64" t="s">
        <v>1816</v>
      </c>
      <c r="D117" s="65">
        <v>42664</v>
      </c>
      <c r="E117" s="66"/>
      <c r="F117" s="67"/>
      <c r="G117" s="67"/>
      <c r="H117" s="67">
        <v>1227.27</v>
      </c>
      <c r="I117" s="354">
        <v>556.27</v>
      </c>
      <c r="J117" s="67"/>
      <c r="K117" s="68">
        <f t="shared" si="38"/>
        <v>0</v>
      </c>
      <c r="L117" s="68">
        <f t="shared" si="39"/>
        <v>0</v>
      </c>
      <c r="M117" s="69">
        <v>20</v>
      </c>
      <c r="N117" s="70" t="s">
        <v>289</v>
      </c>
      <c r="O117" s="68">
        <f t="shared" si="40"/>
        <v>0</v>
      </c>
      <c r="P117" s="68">
        <f t="shared" si="41"/>
        <v>0</v>
      </c>
      <c r="Q117" s="68">
        <f t="shared" si="42"/>
        <v>0</v>
      </c>
      <c r="R117" s="68">
        <f t="shared" si="43"/>
        <v>55</v>
      </c>
      <c r="S117" s="68">
        <f t="shared" si="44"/>
        <v>0</v>
      </c>
      <c r="T117" s="68">
        <f>+R117+S117+Q117</f>
        <v>55</v>
      </c>
      <c r="U117" s="265">
        <f t="shared" si="45"/>
        <v>501.27</v>
      </c>
      <c r="V117" s="93">
        <f t="shared" si="46"/>
        <v>0</v>
      </c>
      <c r="W117" s="449" cm="1">
        <f t="array" ref="W117">+IF(U117&lt;0,error,0)</f>
        <v>0</v>
      </c>
    </row>
    <row r="118" spans="1:23" ht="36.75" customHeight="1" x14ac:dyDescent="0.2">
      <c r="A118" s="101" t="s">
        <v>1817</v>
      </c>
      <c r="B118" s="102"/>
      <c r="C118" s="64" t="s">
        <v>1818</v>
      </c>
      <c r="D118" s="65">
        <v>42990</v>
      </c>
      <c r="E118" s="66"/>
      <c r="F118" s="67"/>
      <c r="G118" s="67"/>
      <c r="H118" s="67">
        <v>1471.43</v>
      </c>
      <c r="I118" s="354">
        <v>810.43000000000006</v>
      </c>
      <c r="J118" s="67"/>
      <c r="K118" s="68">
        <f t="shared" si="38"/>
        <v>0</v>
      </c>
      <c r="L118" s="68">
        <f t="shared" si="39"/>
        <v>0</v>
      </c>
      <c r="M118" s="69">
        <v>20</v>
      </c>
      <c r="N118" s="70" t="s">
        <v>289</v>
      </c>
      <c r="O118" s="68">
        <f t="shared" si="40"/>
        <v>0</v>
      </c>
      <c r="P118" s="68">
        <f t="shared" si="41"/>
        <v>0</v>
      </c>
      <c r="Q118" s="68">
        <f t="shared" si="42"/>
        <v>0</v>
      </c>
      <c r="R118" s="68">
        <f t="shared" si="43"/>
        <v>81</v>
      </c>
      <c r="S118" s="68">
        <f t="shared" si="44"/>
        <v>0</v>
      </c>
      <c r="T118" s="68">
        <f>+R118+S118+Q118</f>
        <v>81</v>
      </c>
      <c r="U118" s="265">
        <f t="shared" si="45"/>
        <v>729.43000000000006</v>
      </c>
      <c r="V118" s="93">
        <f t="shared" si="46"/>
        <v>0</v>
      </c>
      <c r="W118" s="449" cm="1">
        <f t="array" ref="W118">+IF(U118&lt;0,error,0)</f>
        <v>0</v>
      </c>
    </row>
    <row r="119" spans="1:23" ht="36.75" customHeight="1" x14ac:dyDescent="0.2">
      <c r="A119" s="101" t="s">
        <v>1819</v>
      </c>
      <c r="B119" s="102"/>
      <c r="C119" s="64" t="s">
        <v>1820</v>
      </c>
      <c r="D119" s="65">
        <v>43139</v>
      </c>
      <c r="E119" s="66"/>
      <c r="F119" s="67"/>
      <c r="G119" s="67"/>
      <c r="H119" s="67">
        <v>2500</v>
      </c>
      <c r="I119" s="354">
        <v>1512</v>
      </c>
      <c r="J119" s="67"/>
      <c r="K119" s="68">
        <f t="shared" si="38"/>
        <v>0</v>
      </c>
      <c r="L119" s="68">
        <f t="shared" si="39"/>
        <v>0</v>
      </c>
      <c r="M119" s="69">
        <v>20</v>
      </c>
      <c r="N119" s="70" t="s">
        <v>289</v>
      </c>
      <c r="O119" s="68">
        <f t="shared" si="40"/>
        <v>0</v>
      </c>
      <c r="P119" s="68">
        <f t="shared" si="41"/>
        <v>0</v>
      </c>
      <c r="Q119" s="68">
        <f t="shared" si="42"/>
        <v>0</v>
      </c>
      <c r="R119" s="68">
        <f t="shared" si="43"/>
        <v>151</v>
      </c>
      <c r="S119" s="68">
        <f t="shared" si="44"/>
        <v>0</v>
      </c>
      <c r="T119" s="68">
        <f>+R119+S119+Q119</f>
        <v>151</v>
      </c>
      <c r="U119" s="265">
        <f t="shared" si="45"/>
        <v>1361</v>
      </c>
      <c r="V119" s="93">
        <f t="shared" si="46"/>
        <v>0</v>
      </c>
      <c r="W119" s="449" cm="1">
        <f t="array" ref="W119">+IF(U119&lt;0,error,0)</f>
        <v>0</v>
      </c>
    </row>
    <row r="120" spans="1:23" ht="36.75" customHeight="1" x14ac:dyDescent="0.2">
      <c r="A120" s="101">
        <v>740006</v>
      </c>
      <c r="B120" s="102"/>
      <c r="C120" s="326" t="s">
        <v>2389</v>
      </c>
      <c r="D120" s="65">
        <v>43873</v>
      </c>
      <c r="E120" s="66"/>
      <c r="F120" s="67"/>
      <c r="G120" s="67"/>
      <c r="H120" s="67">
        <v>4909.09</v>
      </c>
      <c r="I120" s="354">
        <v>4536.09</v>
      </c>
      <c r="J120" s="67"/>
      <c r="K120" s="68">
        <f t="shared" si="38"/>
        <v>0</v>
      </c>
      <c r="L120" s="68">
        <f t="shared" si="39"/>
        <v>0</v>
      </c>
      <c r="M120" s="69">
        <v>20</v>
      </c>
      <c r="N120" s="70" t="s">
        <v>289</v>
      </c>
      <c r="O120" s="68">
        <f t="shared" si="40"/>
        <v>0</v>
      </c>
      <c r="P120" s="68">
        <f t="shared" si="41"/>
        <v>0</v>
      </c>
      <c r="Q120" s="68">
        <f t="shared" si="42"/>
        <v>0</v>
      </c>
      <c r="R120" s="68">
        <f t="shared" si="43"/>
        <v>453</v>
      </c>
      <c r="S120" s="68">
        <f t="shared" si="44"/>
        <v>0</v>
      </c>
      <c r="T120" s="68">
        <f>+R120+S120+Q120</f>
        <v>453</v>
      </c>
      <c r="U120" s="265">
        <f t="shared" si="45"/>
        <v>4083.09</v>
      </c>
      <c r="V120" s="93">
        <f t="shared" si="46"/>
        <v>0</v>
      </c>
      <c r="W120" s="449" cm="1">
        <f t="array" ref="W120">+IF(U120&lt;0,error,0)</f>
        <v>0</v>
      </c>
    </row>
    <row r="121" spans="1:23" ht="36.75" customHeight="1" x14ac:dyDescent="0.2">
      <c r="A121" s="101"/>
      <c r="B121" s="102"/>
      <c r="C121" s="64"/>
      <c r="D121" s="65"/>
      <c r="E121" s="66"/>
      <c r="F121" s="67"/>
      <c r="G121" s="67"/>
      <c r="H121" s="67"/>
      <c r="I121" s="354"/>
      <c r="J121" s="67"/>
      <c r="K121" s="68"/>
      <c r="L121" s="68"/>
      <c r="M121" s="69"/>
      <c r="N121" s="70"/>
      <c r="O121" s="68"/>
      <c r="P121" s="68"/>
      <c r="Q121" s="68"/>
      <c r="R121" s="68"/>
      <c r="S121" s="68"/>
      <c r="T121" s="68"/>
      <c r="U121" s="265"/>
      <c r="V121" s="93"/>
      <c r="W121" s="449" cm="1">
        <f t="array" ref="W121">+IF(U121&lt;0,error,0)</f>
        <v>0</v>
      </c>
    </row>
    <row r="122" spans="1:23" ht="36.75" customHeight="1" x14ac:dyDescent="0.2">
      <c r="A122" s="103"/>
      <c r="B122" s="104"/>
      <c r="C122" s="63"/>
      <c r="D122" s="63"/>
      <c r="E122" s="66"/>
      <c r="F122" s="67"/>
      <c r="G122" s="67"/>
      <c r="H122" s="67"/>
      <c r="I122" s="355"/>
      <c r="J122" s="75"/>
      <c r="K122" s="75"/>
      <c r="L122" s="75"/>
      <c r="M122" s="74"/>
      <c r="N122" s="70"/>
      <c r="O122" s="70"/>
      <c r="P122" s="75"/>
      <c r="Q122" s="75"/>
      <c r="R122" s="70"/>
      <c r="S122" s="75"/>
      <c r="T122" s="75"/>
      <c r="U122" s="266"/>
      <c r="V122" s="93"/>
      <c r="W122" s="449" cm="1">
        <f t="array" ref="W122">+IF(U122&lt;0,error,0)</f>
        <v>0</v>
      </c>
    </row>
    <row r="123" spans="1:23" ht="36.75" customHeight="1" x14ac:dyDescent="0.2">
      <c r="A123" s="103"/>
      <c r="B123" s="104"/>
      <c r="C123" s="83" t="s">
        <v>2043</v>
      </c>
      <c r="D123" s="63"/>
      <c r="E123" s="66"/>
      <c r="F123" s="67"/>
      <c r="G123" s="67"/>
      <c r="H123" s="79">
        <f>+J124-V124</f>
        <v>0</v>
      </c>
      <c r="I123" s="355"/>
      <c r="J123" s="75"/>
      <c r="K123" s="75"/>
      <c r="L123" s="75"/>
      <c r="M123" s="74"/>
      <c r="N123" s="70"/>
      <c r="O123" s="70"/>
      <c r="P123" s="75"/>
      <c r="Q123" s="75"/>
      <c r="R123" s="70"/>
      <c r="S123" s="75"/>
      <c r="T123" s="75"/>
      <c r="U123" s="266"/>
      <c r="V123" s="93"/>
      <c r="W123" s="449" cm="1">
        <f t="array" ref="W123">+IF(U123&lt;0,error,0)</f>
        <v>0</v>
      </c>
    </row>
    <row r="124" spans="1:23" s="14" customFormat="1" ht="36.75" customHeight="1" x14ac:dyDescent="0.2">
      <c r="A124" s="105"/>
      <c r="B124" s="106"/>
      <c r="C124" s="77" t="s">
        <v>1657</v>
      </c>
      <c r="D124" s="83"/>
      <c r="E124" s="84"/>
      <c r="F124" s="79">
        <f t="shared" ref="F124:L124" si="47">SUM(F115:F122)</f>
        <v>0</v>
      </c>
      <c r="G124" s="79">
        <f t="shared" si="47"/>
        <v>0</v>
      </c>
      <c r="H124" s="268">
        <f>SUM(H115:H123)</f>
        <v>32053.24</v>
      </c>
      <c r="I124" s="495">
        <f>SUM(I115:I122)</f>
        <v>10763.240000000002</v>
      </c>
      <c r="J124" s="79">
        <f t="shared" si="47"/>
        <v>0</v>
      </c>
      <c r="K124" s="79">
        <f t="shared" si="47"/>
        <v>0</v>
      </c>
      <c r="L124" s="79">
        <f t="shared" si="47"/>
        <v>0</v>
      </c>
      <c r="M124" s="83"/>
      <c r="N124" s="81"/>
      <c r="O124" s="79">
        <f t="shared" ref="O124:S124" si="48">SUM(O115:O119)</f>
        <v>0</v>
      </c>
      <c r="P124" s="79">
        <f t="shared" si="48"/>
        <v>0</v>
      </c>
      <c r="Q124" s="79">
        <f t="shared" si="48"/>
        <v>0</v>
      </c>
      <c r="R124" s="79">
        <f t="shared" si="48"/>
        <v>621</v>
      </c>
      <c r="S124" s="79">
        <f t="shared" si="48"/>
        <v>1453</v>
      </c>
      <c r="T124" s="268">
        <f>SUM(T115:T122)</f>
        <v>1074</v>
      </c>
      <c r="U124" s="268">
        <f>SUM(U115:U122)</f>
        <v>9689.2400000000016</v>
      </c>
      <c r="V124" s="93">
        <f>SUM(V115:V123)</f>
        <v>0</v>
      </c>
      <c r="W124" s="449" cm="1">
        <f t="array" ref="W124">+IF(U124&lt;0,error,0)</f>
        <v>0</v>
      </c>
    </row>
    <row r="125" spans="1:23" ht="36.75" customHeight="1" x14ac:dyDescent="0.2">
      <c r="A125" s="101"/>
      <c r="B125" s="102"/>
      <c r="C125" s="63"/>
      <c r="D125" s="63"/>
      <c r="E125" s="66"/>
      <c r="F125" s="67"/>
      <c r="G125" s="67"/>
      <c r="H125" s="67"/>
      <c r="I125" s="354"/>
      <c r="J125" s="67"/>
      <c r="K125" s="67"/>
      <c r="L125" s="67"/>
      <c r="M125" s="63"/>
      <c r="N125" s="63"/>
      <c r="O125" s="63">
        <v>17647</v>
      </c>
      <c r="P125" s="67">
        <v>0</v>
      </c>
      <c r="Q125" s="67"/>
      <c r="R125" s="63">
        <v>131255</v>
      </c>
      <c r="S125" s="67">
        <v>337</v>
      </c>
      <c r="T125" s="67"/>
      <c r="U125" s="265"/>
      <c r="V125" s="93"/>
      <c r="W125" s="449" cm="1">
        <f t="array" ref="W125">+IF(U125&lt;0,error,0)</f>
        <v>0</v>
      </c>
    </row>
    <row r="126" spans="1:23" ht="36.75" customHeight="1" x14ac:dyDescent="0.2">
      <c r="A126" s="103"/>
      <c r="B126" s="104"/>
      <c r="C126" s="63"/>
      <c r="D126" s="63"/>
      <c r="E126" s="66"/>
      <c r="F126" s="67"/>
      <c r="G126" s="67"/>
      <c r="H126" s="67"/>
      <c r="I126" s="355"/>
      <c r="J126" s="75"/>
      <c r="K126" s="75"/>
      <c r="L126" s="75"/>
      <c r="M126" s="74"/>
      <c r="N126" s="70"/>
      <c r="O126" s="70"/>
      <c r="P126" s="75"/>
      <c r="Q126" s="75"/>
      <c r="R126" s="70"/>
      <c r="S126" s="75"/>
      <c r="T126" s="75"/>
      <c r="U126" s="266"/>
      <c r="V126" s="93"/>
      <c r="W126" s="449" cm="1">
        <f t="array" ref="W126">+IF(U126&lt;0,error,0)</f>
        <v>0</v>
      </c>
    </row>
    <row r="127" spans="1:23" ht="36.75" customHeight="1" x14ac:dyDescent="0.2">
      <c r="A127" s="103"/>
      <c r="B127" s="104"/>
      <c r="C127" s="63"/>
      <c r="D127" s="63"/>
      <c r="E127" s="66"/>
      <c r="F127" s="67"/>
      <c r="G127" s="67"/>
      <c r="H127" s="67"/>
      <c r="I127" s="355"/>
      <c r="J127" s="75"/>
      <c r="K127" s="75"/>
      <c r="L127" s="75"/>
      <c r="M127" s="74"/>
      <c r="N127" s="70"/>
      <c r="O127" s="70"/>
      <c r="P127" s="75"/>
      <c r="Q127" s="75"/>
      <c r="R127" s="70"/>
      <c r="S127" s="75"/>
      <c r="T127" s="75"/>
      <c r="U127" s="266"/>
      <c r="V127" s="93"/>
      <c r="W127" s="449" cm="1">
        <f t="array" ref="W127">+IF(U127&lt;0,error,0)</f>
        <v>0</v>
      </c>
    </row>
    <row r="128" spans="1:23" s="14" customFormat="1" ht="36.75" customHeight="1" x14ac:dyDescent="0.2">
      <c r="A128" s="112"/>
      <c r="B128" s="113"/>
      <c r="C128" s="97" t="s">
        <v>1658</v>
      </c>
      <c r="D128" s="97"/>
      <c r="E128" s="98"/>
      <c r="F128" s="99">
        <f t="shared" ref="F128:L128" si="49">+F111+F124+F13</f>
        <v>0</v>
      </c>
      <c r="G128" s="99">
        <f t="shared" si="49"/>
        <v>0</v>
      </c>
      <c r="H128" s="99">
        <f t="shared" si="49"/>
        <v>4355878.3900000006</v>
      </c>
      <c r="I128" s="496">
        <f t="shared" si="49"/>
        <v>4138302.3900000006</v>
      </c>
      <c r="J128" s="99">
        <f t="shared" si="49"/>
        <v>2592</v>
      </c>
      <c r="K128" s="99">
        <f t="shared" si="49"/>
        <v>0</v>
      </c>
      <c r="L128" s="99">
        <f t="shared" si="49"/>
        <v>0</v>
      </c>
      <c r="M128" s="96"/>
      <c r="N128" s="100"/>
      <c r="O128" s="99" t="e">
        <f>+O111+O124+#REF!+#REF!+#REF!</f>
        <v>#REF!</v>
      </c>
      <c r="P128" s="99" t="e">
        <f>+P111+P124+#REF!+#REF!+#REF!</f>
        <v>#REF!</v>
      </c>
      <c r="Q128" s="99"/>
      <c r="R128" s="99" t="e">
        <f>+R111+R124+#REF!+#REF!+#REF!</f>
        <v>#REF!</v>
      </c>
      <c r="S128" s="99" t="e">
        <f>+S111+S124+#REF!+#REF!+#REF!</f>
        <v>#REF!</v>
      </c>
      <c r="T128" s="99">
        <f>+T111+T124+T13</f>
        <v>35133</v>
      </c>
      <c r="U128" s="322">
        <f>+U111+U124+U13</f>
        <v>4105761.3900000006</v>
      </c>
      <c r="V128" s="99">
        <f>+V111+V124+V13</f>
        <v>0</v>
      </c>
      <c r="W128" s="449" cm="1">
        <f t="array" ref="W128">+IF(U128&lt;0,error,0)</f>
        <v>0</v>
      </c>
    </row>
    <row r="129" spans="1:22" ht="18" customHeight="1" x14ac:dyDescent="0.2">
      <c r="A129" s="41"/>
      <c r="B129" s="41"/>
      <c r="C129" s="41" t="s">
        <v>1659</v>
      </c>
      <c r="D129" s="42"/>
      <c r="E129" s="43"/>
      <c r="F129" s="9"/>
      <c r="G129" s="9"/>
      <c r="H129" s="9"/>
      <c r="I129" s="497">
        <f>4074093.46+64208.93</f>
        <v>4138302.39</v>
      </c>
      <c r="J129" s="9"/>
      <c r="K129" s="9"/>
      <c r="L129" s="9"/>
      <c r="N129" s="46"/>
      <c r="O129" s="46"/>
      <c r="P129" s="9"/>
      <c r="Q129" s="9"/>
      <c r="R129" s="46"/>
      <c r="S129" s="9"/>
      <c r="T129" s="9"/>
      <c r="U129" s="259">
        <f>4041552.46+64208.93</f>
        <v>4105761.39</v>
      </c>
      <c r="V129" s="10"/>
    </row>
    <row r="130" spans="1:22" ht="18" hidden="1" customHeight="1" x14ac:dyDescent="0.2">
      <c r="C130" s="42"/>
      <c r="D130" s="42"/>
      <c r="E130" s="43"/>
      <c r="F130" s="9"/>
      <c r="G130" s="9"/>
      <c r="H130" s="9">
        <f>+H128-H129</f>
        <v>4355878.3900000006</v>
      </c>
      <c r="I130" s="360"/>
      <c r="J130" s="10">
        <f>+J128-J129</f>
        <v>2592</v>
      </c>
      <c r="K130" s="10"/>
      <c r="L130" s="10">
        <f>+K128-L128</f>
        <v>0</v>
      </c>
      <c r="P130" s="10"/>
      <c r="Q130" s="10"/>
      <c r="S130" s="10"/>
      <c r="T130" s="10"/>
      <c r="U130" s="257"/>
      <c r="V130" s="10"/>
    </row>
    <row r="131" spans="1:22" ht="18" customHeight="1" x14ac:dyDescent="0.2">
      <c r="A131" s="41"/>
      <c r="B131" s="41"/>
      <c r="C131" s="41"/>
      <c r="D131" s="41"/>
      <c r="E131" s="47"/>
      <c r="F131" s="48"/>
      <c r="G131" s="48"/>
      <c r="H131" s="48"/>
      <c r="I131" s="361" t="s">
        <v>1668</v>
      </c>
      <c r="J131" s="49"/>
      <c r="K131" s="10"/>
      <c r="L131" s="10">
        <f>+L129-L130</f>
        <v>0</v>
      </c>
      <c r="P131" s="10"/>
      <c r="Q131" s="10"/>
      <c r="S131" s="10"/>
      <c r="T131" s="10"/>
      <c r="U131" s="320"/>
      <c r="V131" s="10"/>
    </row>
    <row r="132" spans="1:22" ht="18" customHeight="1" x14ac:dyDescent="0.2">
      <c r="C132" s="42"/>
      <c r="D132" s="42"/>
      <c r="E132" s="50"/>
      <c r="F132" s="51"/>
      <c r="G132" s="51"/>
      <c r="H132" s="42"/>
      <c r="I132" s="320" t="s">
        <v>1669</v>
      </c>
      <c r="P132" s="10"/>
      <c r="Q132" s="10"/>
      <c r="S132" s="10"/>
      <c r="T132" s="10"/>
      <c r="U132" s="320" t="s">
        <v>1669</v>
      </c>
      <c r="V132" s="10"/>
    </row>
    <row r="133" spans="1:22" ht="18" customHeight="1" x14ac:dyDescent="0.2">
      <c r="C133" s="15" t="s">
        <v>1663</v>
      </c>
      <c r="D133" s="42"/>
      <c r="E133" s="50"/>
      <c r="F133" s="51"/>
      <c r="G133" s="51"/>
      <c r="H133" s="42"/>
      <c r="I133" s="53">
        <v>44012</v>
      </c>
      <c r="P133" s="10"/>
      <c r="Q133" s="10"/>
      <c r="S133" s="10"/>
      <c r="T133" s="10"/>
      <c r="U133" s="53">
        <v>44196</v>
      </c>
      <c r="V133" s="10"/>
    </row>
    <row r="134" spans="1:22" ht="18" customHeight="1" x14ac:dyDescent="0.2">
      <c r="C134" s="42"/>
      <c r="D134" s="42"/>
      <c r="E134" s="50"/>
      <c r="F134" s="51"/>
      <c r="G134" s="51"/>
      <c r="H134" s="42"/>
      <c r="P134" s="10"/>
      <c r="Q134" s="10"/>
      <c r="S134" s="10"/>
      <c r="T134" s="10"/>
      <c r="U134" s="257">
        <f>+U128-U129</f>
        <v>0</v>
      </c>
      <c r="V134" s="10"/>
    </row>
    <row r="135" spans="1:22" x14ac:dyDescent="0.2">
      <c r="C135" s="42"/>
      <c r="D135" s="42"/>
      <c r="E135" s="50"/>
      <c r="F135" s="51"/>
      <c r="G135" s="51"/>
      <c r="H135" s="42"/>
      <c r="P135" s="10"/>
      <c r="Q135" s="10"/>
      <c r="S135" s="10"/>
      <c r="T135" s="10"/>
      <c r="U135" s="257"/>
      <c r="V135" s="10"/>
    </row>
    <row r="136" spans="1:22" x14ac:dyDescent="0.2">
      <c r="C136" s="42"/>
      <c r="D136" s="42"/>
      <c r="E136" s="50"/>
      <c r="F136" s="51"/>
      <c r="G136" s="51"/>
      <c r="H136" s="42"/>
      <c r="P136" s="10"/>
      <c r="Q136" s="10"/>
      <c r="S136" s="10"/>
      <c r="T136" s="10"/>
      <c r="U136" s="257"/>
      <c r="V136" s="10"/>
    </row>
    <row r="137" spans="1:22" x14ac:dyDescent="0.2">
      <c r="C137" s="42"/>
      <c r="D137" s="42"/>
      <c r="E137" s="50"/>
      <c r="F137" s="51"/>
      <c r="G137" s="51"/>
      <c r="H137" s="42"/>
      <c r="P137" s="10"/>
      <c r="Q137" s="10"/>
      <c r="S137" s="10"/>
      <c r="T137" s="10"/>
      <c r="U137" s="257"/>
      <c r="V137" s="10"/>
    </row>
    <row r="138" spans="1:22" x14ac:dyDescent="0.2">
      <c r="C138" s="42"/>
      <c r="D138" s="42"/>
      <c r="E138" s="50"/>
      <c r="F138" s="51"/>
      <c r="G138" s="51"/>
      <c r="H138" s="42"/>
      <c r="P138" s="10"/>
      <c r="Q138" s="10"/>
      <c r="S138" s="10"/>
      <c r="T138" s="10"/>
      <c r="U138" s="257"/>
      <c r="V138" s="10"/>
    </row>
    <row r="139" spans="1:22" x14ac:dyDescent="0.2">
      <c r="C139" s="42"/>
      <c r="D139" s="42"/>
      <c r="E139" s="50"/>
      <c r="F139" s="51"/>
      <c r="G139" s="51"/>
      <c r="H139" s="42"/>
      <c r="P139" s="10"/>
      <c r="Q139" s="10"/>
      <c r="S139" s="10"/>
      <c r="T139" s="10"/>
      <c r="U139" s="257"/>
      <c r="V139" s="10"/>
    </row>
    <row r="140" spans="1:22" x14ac:dyDescent="0.2">
      <c r="C140" s="42"/>
      <c r="D140" s="42"/>
      <c r="E140" s="50"/>
      <c r="F140" s="51"/>
      <c r="G140" s="51"/>
      <c r="H140" s="42"/>
      <c r="P140" s="10"/>
      <c r="Q140" s="10"/>
      <c r="S140" s="10"/>
      <c r="T140" s="10"/>
      <c r="U140" s="257"/>
      <c r="V140" s="10"/>
    </row>
    <row r="141" spans="1:22" x14ac:dyDescent="0.2">
      <c r="C141" s="42"/>
      <c r="D141" s="42"/>
      <c r="E141" s="50"/>
      <c r="F141" s="51"/>
      <c r="G141" s="51"/>
      <c r="H141" s="42"/>
      <c r="P141" s="10"/>
      <c r="Q141" s="10"/>
      <c r="S141" s="10"/>
      <c r="T141" s="10"/>
      <c r="U141" s="257"/>
      <c r="V141" s="10"/>
    </row>
    <row r="142" spans="1:22" x14ac:dyDescent="0.2">
      <c r="C142" s="42"/>
      <c r="D142" s="42"/>
      <c r="E142" s="50"/>
      <c r="F142" s="51"/>
      <c r="G142" s="51"/>
      <c r="H142" s="42"/>
      <c r="P142" s="10"/>
      <c r="Q142" s="10"/>
      <c r="S142" s="10"/>
      <c r="T142" s="10"/>
      <c r="U142" s="257"/>
      <c r="V142" s="10"/>
    </row>
    <row r="143" spans="1:22" x14ac:dyDescent="0.2">
      <c r="C143" s="42"/>
      <c r="D143" s="42"/>
      <c r="E143" s="50"/>
      <c r="F143" s="51"/>
      <c r="G143" s="51"/>
      <c r="H143" s="42"/>
      <c r="P143" s="10"/>
      <c r="Q143" s="10"/>
      <c r="S143" s="10"/>
      <c r="T143" s="10"/>
      <c r="U143" s="257"/>
      <c r="V143" s="10"/>
    </row>
    <row r="144" spans="1:22" x14ac:dyDescent="0.2">
      <c r="C144" s="42"/>
      <c r="D144" s="42"/>
      <c r="E144" s="50"/>
      <c r="F144" s="51"/>
      <c r="G144" s="51"/>
      <c r="H144" s="42"/>
      <c r="P144" s="10"/>
      <c r="Q144" s="10"/>
      <c r="S144" s="10"/>
      <c r="T144" s="10"/>
      <c r="U144" s="257"/>
      <c r="V144" s="10"/>
    </row>
    <row r="145" spans="3:22" x14ac:dyDescent="0.2">
      <c r="C145" s="42"/>
      <c r="D145" s="42"/>
      <c r="E145" s="50"/>
      <c r="F145" s="51"/>
      <c r="G145" s="51"/>
      <c r="H145" s="42"/>
      <c r="P145" s="10"/>
      <c r="Q145" s="10"/>
      <c r="S145" s="10"/>
      <c r="T145" s="10"/>
      <c r="U145" s="257"/>
      <c r="V145" s="10"/>
    </row>
    <row r="146" spans="3:22" x14ac:dyDescent="0.2">
      <c r="C146" s="42"/>
      <c r="D146" s="42"/>
      <c r="E146" s="50"/>
      <c r="F146" s="51"/>
      <c r="G146" s="51"/>
      <c r="H146" s="42"/>
      <c r="P146" s="10"/>
      <c r="Q146" s="10"/>
      <c r="S146" s="10"/>
      <c r="T146" s="10"/>
      <c r="U146" s="257"/>
      <c r="V146" s="10"/>
    </row>
    <row r="147" spans="3:22" x14ac:dyDescent="0.2">
      <c r="C147" s="42"/>
      <c r="D147" s="42"/>
      <c r="E147" s="50"/>
      <c r="F147" s="51"/>
      <c r="G147" s="51"/>
      <c r="H147" s="42"/>
      <c r="P147" s="10"/>
      <c r="Q147" s="10"/>
      <c r="S147" s="10"/>
      <c r="T147" s="10"/>
      <c r="U147" s="257"/>
      <c r="V147" s="10"/>
    </row>
    <row r="148" spans="3:22" x14ac:dyDescent="0.2">
      <c r="C148" s="42"/>
      <c r="D148" s="42"/>
      <c r="E148" s="50"/>
      <c r="F148" s="51"/>
      <c r="G148" s="51"/>
      <c r="P148" s="10"/>
      <c r="Q148" s="10"/>
      <c r="S148" s="10"/>
      <c r="T148" s="10"/>
      <c r="U148" s="257"/>
      <c r="V148" s="10"/>
    </row>
    <row r="149" spans="3:22" x14ac:dyDescent="0.2">
      <c r="C149" s="42"/>
      <c r="D149" s="42"/>
      <c r="E149" s="50"/>
      <c r="F149" s="51"/>
      <c r="G149" s="51"/>
      <c r="H149" s="42"/>
      <c r="P149" s="10"/>
      <c r="Q149" s="10"/>
      <c r="S149" s="10"/>
      <c r="T149" s="10"/>
      <c r="U149" s="257"/>
      <c r="V149" s="10"/>
    </row>
    <row r="150" spans="3:22" x14ac:dyDescent="0.2">
      <c r="P150" s="10"/>
      <c r="Q150" s="10"/>
      <c r="S150" s="10"/>
      <c r="T150" s="10"/>
      <c r="U150" s="257"/>
      <c r="V150" s="10"/>
    </row>
    <row r="151" spans="3:22" x14ac:dyDescent="0.2">
      <c r="P151" s="10"/>
      <c r="Q151" s="10"/>
      <c r="S151" s="10"/>
      <c r="T151" s="10"/>
      <c r="U151" s="257"/>
      <c r="V151" s="10"/>
    </row>
    <row r="152" spans="3:22" x14ac:dyDescent="0.2">
      <c r="F152" s="51"/>
      <c r="G152" s="51"/>
      <c r="H152" s="42"/>
      <c r="P152" s="10"/>
      <c r="Q152" s="10"/>
      <c r="S152" s="10"/>
      <c r="T152" s="10"/>
      <c r="U152" s="257"/>
      <c r="V152" s="10"/>
    </row>
    <row r="153" spans="3:22" x14ac:dyDescent="0.2">
      <c r="P153" s="10"/>
      <c r="Q153" s="10"/>
      <c r="S153" s="10"/>
      <c r="T153" s="10"/>
      <c r="U153" s="257"/>
      <c r="V153" s="10"/>
    </row>
    <row r="154" spans="3:22" x14ac:dyDescent="0.2">
      <c r="P154" s="10"/>
      <c r="Q154" s="10"/>
      <c r="S154" s="10"/>
      <c r="T154" s="10"/>
      <c r="U154" s="257"/>
      <c r="V154" s="10"/>
    </row>
    <row r="155" spans="3:22" x14ac:dyDescent="0.2">
      <c r="P155" s="10"/>
      <c r="Q155" s="10"/>
      <c r="S155" s="10"/>
      <c r="T155" s="10"/>
      <c r="U155" s="257"/>
      <c r="V155" s="10"/>
    </row>
    <row r="156" spans="3:22" x14ac:dyDescent="0.2">
      <c r="P156" s="10"/>
      <c r="Q156" s="10"/>
      <c r="S156" s="10"/>
      <c r="T156" s="10"/>
      <c r="U156" s="257"/>
      <c r="V156" s="10"/>
    </row>
    <row r="157" spans="3:22" x14ac:dyDescent="0.2">
      <c r="P157" s="10"/>
      <c r="Q157" s="10"/>
      <c r="S157" s="10"/>
      <c r="T157" s="10"/>
      <c r="U157" s="257"/>
      <c r="V157" s="10"/>
    </row>
    <row r="158" spans="3:22" x14ac:dyDescent="0.2">
      <c r="P158" s="10"/>
      <c r="Q158" s="10"/>
      <c r="S158" s="10"/>
      <c r="T158" s="10"/>
      <c r="U158" s="257"/>
      <c r="V158" s="10"/>
    </row>
    <row r="159" spans="3:22" x14ac:dyDescent="0.2">
      <c r="P159" s="10"/>
      <c r="Q159" s="10"/>
      <c r="S159" s="10"/>
      <c r="T159" s="10"/>
      <c r="U159" s="257"/>
      <c r="V159" s="10"/>
    </row>
    <row r="160" spans="3:22" x14ac:dyDescent="0.2">
      <c r="P160" s="10"/>
      <c r="Q160" s="10"/>
      <c r="S160" s="10"/>
      <c r="T160" s="10"/>
      <c r="U160" s="257"/>
      <c r="V160" s="10"/>
    </row>
    <row r="161" spans="16:22" x14ac:dyDescent="0.2">
      <c r="P161" s="10"/>
      <c r="Q161" s="10"/>
      <c r="S161" s="10"/>
      <c r="T161" s="10"/>
      <c r="U161" s="257"/>
      <c r="V161" s="10"/>
    </row>
    <row r="162" spans="16:22" x14ac:dyDescent="0.2">
      <c r="P162" s="10"/>
      <c r="Q162" s="10"/>
      <c r="S162" s="10"/>
      <c r="T162" s="10"/>
      <c r="U162" s="257"/>
      <c r="V162" s="10"/>
    </row>
    <row r="163" spans="16:22" x14ac:dyDescent="0.2">
      <c r="P163" s="10"/>
      <c r="Q163" s="10"/>
      <c r="S163" s="10"/>
      <c r="T163" s="10"/>
      <c r="U163" s="257"/>
      <c r="V163" s="10"/>
    </row>
    <row r="164" spans="16:22" x14ac:dyDescent="0.2">
      <c r="P164" s="10"/>
      <c r="Q164" s="10"/>
      <c r="S164" s="10"/>
      <c r="T164" s="10"/>
      <c r="U164" s="257"/>
      <c r="V164" s="10"/>
    </row>
    <row r="165" spans="16:22" x14ac:dyDescent="0.2">
      <c r="P165" s="10"/>
      <c r="Q165" s="10"/>
      <c r="S165" s="10"/>
      <c r="T165" s="10"/>
      <c r="U165" s="257"/>
      <c r="V165" s="10"/>
    </row>
    <row r="166" spans="16:22" x14ac:dyDescent="0.2">
      <c r="P166" s="10"/>
      <c r="Q166" s="10"/>
      <c r="S166" s="10"/>
      <c r="T166" s="10"/>
      <c r="U166" s="257"/>
      <c r="V166" s="10"/>
    </row>
    <row r="167" spans="16:22" x14ac:dyDescent="0.2">
      <c r="P167" s="10"/>
      <c r="Q167" s="10"/>
      <c r="S167" s="10"/>
      <c r="T167" s="10"/>
      <c r="U167" s="257"/>
      <c r="V167" s="10"/>
    </row>
    <row r="168" spans="16:22" x14ac:dyDescent="0.2">
      <c r="P168" s="10"/>
      <c r="Q168" s="10"/>
      <c r="S168" s="10"/>
      <c r="T168" s="10"/>
      <c r="U168" s="257"/>
      <c r="V168" s="10"/>
    </row>
    <row r="169" spans="16:22" x14ac:dyDescent="0.2">
      <c r="P169" s="10"/>
      <c r="Q169" s="10"/>
      <c r="S169" s="10"/>
      <c r="T169" s="10"/>
      <c r="U169" s="257"/>
      <c r="V169" s="10"/>
    </row>
    <row r="170" spans="16:22" x14ac:dyDescent="0.2">
      <c r="P170" s="10"/>
      <c r="Q170" s="10"/>
      <c r="S170" s="10"/>
      <c r="T170" s="10"/>
      <c r="U170" s="257"/>
      <c r="V170" s="10"/>
    </row>
    <row r="171" spans="16:22" x14ac:dyDescent="0.2">
      <c r="P171" s="10"/>
      <c r="Q171" s="10"/>
      <c r="S171" s="10"/>
      <c r="T171" s="10"/>
      <c r="U171" s="257"/>
      <c r="V171" s="10"/>
    </row>
    <row r="172" spans="16:22" x14ac:dyDescent="0.2">
      <c r="P172" s="10"/>
      <c r="Q172" s="10"/>
      <c r="S172" s="10"/>
      <c r="T172" s="10"/>
      <c r="U172" s="257"/>
      <c r="V172" s="10"/>
    </row>
    <row r="173" spans="16:22" x14ac:dyDescent="0.2">
      <c r="P173" s="10"/>
      <c r="Q173" s="10"/>
      <c r="S173" s="10"/>
      <c r="T173" s="10"/>
      <c r="U173" s="257"/>
      <c r="V173" s="10"/>
    </row>
    <row r="174" spans="16:22" x14ac:dyDescent="0.2">
      <c r="P174" s="10"/>
      <c r="Q174" s="10"/>
      <c r="S174" s="10"/>
      <c r="T174" s="10"/>
      <c r="U174" s="257"/>
      <c r="V174" s="10"/>
    </row>
    <row r="175" spans="16:22" x14ac:dyDescent="0.2">
      <c r="P175" s="10"/>
      <c r="Q175" s="10"/>
      <c r="S175" s="10"/>
      <c r="T175" s="10"/>
      <c r="U175" s="257"/>
    </row>
    <row r="176" spans="16:22" x14ac:dyDescent="0.2">
      <c r="P176" s="10"/>
      <c r="Q176" s="10"/>
      <c r="S176" s="10"/>
      <c r="T176" s="10"/>
      <c r="U176" s="257"/>
    </row>
    <row r="177" spans="16:21" x14ac:dyDescent="0.2">
      <c r="P177" s="10"/>
      <c r="Q177" s="10"/>
      <c r="S177" s="10"/>
      <c r="T177" s="10"/>
      <c r="U177" s="257"/>
    </row>
    <row r="178" spans="16:21" x14ac:dyDescent="0.2">
      <c r="P178" s="10"/>
      <c r="Q178" s="10"/>
      <c r="S178" s="10"/>
      <c r="T178" s="10"/>
      <c r="U178" s="257"/>
    </row>
    <row r="179" spans="16:21" x14ac:dyDescent="0.2">
      <c r="P179" s="10"/>
      <c r="Q179" s="10"/>
      <c r="S179" s="10"/>
      <c r="T179" s="10"/>
      <c r="U179" s="257"/>
    </row>
    <row r="180" spans="16:21" x14ac:dyDescent="0.2">
      <c r="P180" s="10"/>
      <c r="Q180" s="10"/>
      <c r="S180" s="10"/>
      <c r="T180" s="10"/>
      <c r="U180" s="257"/>
    </row>
    <row r="181" spans="16:21" x14ac:dyDescent="0.2">
      <c r="P181" s="10"/>
      <c r="Q181" s="10"/>
      <c r="S181" s="10"/>
      <c r="T181" s="10"/>
      <c r="U181" s="257"/>
    </row>
    <row r="182" spans="16:21" x14ac:dyDescent="0.2">
      <c r="P182" s="10"/>
      <c r="Q182" s="10"/>
      <c r="S182" s="10"/>
      <c r="T182" s="10"/>
      <c r="U182" s="257"/>
    </row>
  </sheetData>
  <mergeCells count="2">
    <mergeCell ref="D1:U1"/>
    <mergeCell ref="D2:U2"/>
  </mergeCells>
  <pageMargins left="0.23622047244094491" right="0.23622047244094491" top="0.74803149606299213" bottom="0.74803149606299213" header="0.31496062992125984" footer="0.31496062992125984"/>
  <pageSetup paperSize="9" scale="54" fitToHeight="5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A21D1-C02D-4C03-823E-84397B9784E5}">
  <dimension ref="A1"/>
  <sheetViews>
    <sheetView workbookViewId="0">
      <selection activeCell="F31" sqref="F31"/>
    </sheetView>
  </sheetViews>
  <sheetFormatPr defaultRowHeight="12.75" x14ac:dyDescent="0.2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530F6-1C52-4831-A06A-B901A5D2441F}">
  <sheetPr>
    <pageSetUpPr fitToPage="1"/>
  </sheetPr>
  <dimension ref="A1:AC893"/>
  <sheetViews>
    <sheetView workbookViewId="0">
      <pane ySplit="1770" topLeftCell="A769" activePane="bottomLeft"/>
      <selection sqref="A1:XFD1048576"/>
      <selection pane="bottomLeft" activeCell="J778" sqref="J778"/>
    </sheetView>
  </sheetViews>
  <sheetFormatPr defaultColWidth="6.85546875" defaultRowHeight="12.75" x14ac:dyDescent="0.2"/>
  <cols>
    <col min="1" max="2" width="6.85546875" style="343"/>
    <col min="3" max="3" width="59.7109375" style="343" bestFit="1" customWidth="1"/>
    <col min="4" max="4" width="10.28515625" style="343" bestFit="1" customWidth="1"/>
    <col min="5" max="5" width="10.140625" style="484" bestFit="1" customWidth="1"/>
    <col min="6" max="6" width="10.28515625" style="449" bestFit="1" customWidth="1"/>
    <col min="7" max="7" width="11.28515625" style="449" bestFit="1" customWidth="1"/>
    <col min="8" max="10" width="12.85546875" style="343" bestFit="1" customWidth="1"/>
    <col min="11" max="11" width="10.28515625" style="343" bestFit="1" customWidth="1"/>
    <col min="12" max="12" width="8.28515625" style="343" bestFit="1" customWidth="1"/>
    <col min="13" max="13" width="7" style="343" bestFit="1" customWidth="1"/>
    <col min="14" max="14" width="6.85546875" style="473"/>
    <col min="15" max="15" width="8.7109375" style="473" hidden="1" customWidth="1"/>
    <col min="16" max="16" width="8.7109375" style="343" hidden="1" customWidth="1"/>
    <col min="17" max="17" width="9.85546875" style="343" hidden="1" customWidth="1"/>
    <col min="18" max="18" width="8.7109375" style="473" hidden="1" customWidth="1"/>
    <col min="19" max="19" width="8.7109375" style="343" hidden="1" customWidth="1"/>
    <col min="20" max="20" width="11.28515625" style="343" bestFit="1" customWidth="1"/>
    <col min="21" max="21" width="14" style="485" bestFit="1" customWidth="1"/>
    <col min="22" max="22" width="12.85546875" style="343" bestFit="1" customWidth="1"/>
    <col min="23" max="23" width="10.28515625" style="343" bestFit="1" customWidth="1"/>
    <col min="24" max="24" width="12.85546875" style="343" bestFit="1" customWidth="1"/>
    <col min="25" max="28" width="6.85546875" style="343"/>
    <col min="29" max="29" width="10.28515625" style="343" bestFit="1" customWidth="1"/>
    <col min="30" max="16384" width="6.85546875" style="343"/>
  </cols>
  <sheetData>
    <row r="1" spans="1:23" ht="18" x14ac:dyDescent="0.2">
      <c r="A1" s="329"/>
      <c r="B1" s="363"/>
      <c r="C1" s="364"/>
      <c r="D1" s="517" t="s">
        <v>0</v>
      </c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365"/>
    </row>
    <row r="2" spans="1:23" ht="15.75" customHeight="1" x14ac:dyDescent="0.2">
      <c r="A2" s="329"/>
      <c r="B2" s="366"/>
      <c r="C2" s="366"/>
      <c r="D2" s="518" t="s">
        <v>1</v>
      </c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  <c r="R2" s="518"/>
      <c r="S2" s="518"/>
      <c r="T2" s="518"/>
      <c r="U2" s="518"/>
      <c r="V2" s="365"/>
    </row>
    <row r="3" spans="1:23" ht="13.5" customHeight="1" x14ac:dyDescent="0.2">
      <c r="A3" s="329"/>
      <c r="B3" s="367"/>
      <c r="C3" s="367"/>
      <c r="D3" s="367"/>
      <c r="E3" s="368"/>
      <c r="F3" s="365"/>
      <c r="G3" s="365"/>
      <c r="H3" s="344">
        <v>43831</v>
      </c>
      <c r="I3" s="328"/>
      <c r="J3" s="344">
        <v>44012</v>
      </c>
      <c r="K3" s="367"/>
      <c r="L3" s="367"/>
      <c r="M3" s="367"/>
      <c r="N3" s="369"/>
      <c r="O3" s="369"/>
      <c r="P3" s="367"/>
      <c r="Q3" s="367"/>
      <c r="R3" s="369"/>
      <c r="S3" s="367"/>
      <c r="T3" s="367" t="s">
        <v>1639</v>
      </c>
      <c r="U3" s="370">
        <f>ROUND((+J3-H3)/365*12,0)</f>
        <v>6</v>
      </c>
      <c r="V3" s="371"/>
    </row>
    <row r="4" spans="1:23" ht="3" customHeight="1" x14ac:dyDescent="0.2">
      <c r="A4" s="329"/>
      <c r="B4" s="329"/>
      <c r="C4" s="329"/>
      <c r="D4" s="329"/>
      <c r="E4" s="372"/>
      <c r="F4" s="371"/>
      <c r="G4" s="371"/>
      <c r="H4" s="329"/>
      <c r="I4" s="329"/>
      <c r="J4" s="329"/>
      <c r="K4" s="329"/>
      <c r="L4" s="329"/>
      <c r="M4" s="329"/>
      <c r="N4" s="373"/>
      <c r="O4" s="373"/>
      <c r="P4" s="329"/>
      <c r="Q4" s="329"/>
      <c r="R4" s="373"/>
      <c r="S4" s="329"/>
      <c r="T4" s="329"/>
      <c r="U4" s="374"/>
      <c r="V4" s="329"/>
    </row>
    <row r="5" spans="1:23" ht="15" customHeight="1" x14ac:dyDescent="0.2">
      <c r="A5" s="375"/>
      <c r="B5" s="376"/>
      <c r="C5" s="376"/>
      <c r="D5" s="377" t="s">
        <v>4</v>
      </c>
      <c r="E5" s="378" t="s">
        <v>1641</v>
      </c>
      <c r="F5" s="379"/>
      <c r="G5" s="380"/>
      <c r="H5" s="381" t="s">
        <v>1643</v>
      </c>
      <c r="I5" s="330" t="s">
        <v>1646</v>
      </c>
      <c r="J5" s="382" t="s">
        <v>1647</v>
      </c>
      <c r="K5" s="330" t="s">
        <v>1649</v>
      </c>
      <c r="L5" s="330" t="s">
        <v>1650</v>
      </c>
      <c r="M5" s="330" t="s">
        <v>1634</v>
      </c>
      <c r="N5" s="383" t="s">
        <v>1634</v>
      </c>
      <c r="O5" s="383" t="s">
        <v>1664</v>
      </c>
      <c r="P5" s="330" t="s">
        <v>1665</v>
      </c>
      <c r="Q5" s="330" t="s">
        <v>1666</v>
      </c>
      <c r="R5" s="383" t="s">
        <v>1661</v>
      </c>
      <c r="S5" s="330" t="s">
        <v>1660</v>
      </c>
      <c r="T5" s="330" t="s">
        <v>1662</v>
      </c>
      <c r="U5" s="384" t="s">
        <v>1653</v>
      </c>
      <c r="V5" s="383" t="s">
        <v>2086</v>
      </c>
    </row>
    <row r="6" spans="1:23" ht="15" customHeight="1" x14ac:dyDescent="0.2">
      <c r="A6" s="385" t="s">
        <v>1636</v>
      </c>
      <c r="B6" s="386"/>
      <c r="C6" s="386" t="s">
        <v>12</v>
      </c>
      <c r="D6" s="387" t="s">
        <v>1640</v>
      </c>
      <c r="E6" s="388" t="s">
        <v>1640</v>
      </c>
      <c r="F6" s="389" t="s">
        <v>1642</v>
      </c>
      <c r="G6" s="390" t="s">
        <v>1644</v>
      </c>
      <c r="H6" s="391" t="s">
        <v>1644</v>
      </c>
      <c r="I6" s="331" t="s">
        <v>1645</v>
      </c>
      <c r="J6" s="387"/>
      <c r="K6" s="387"/>
      <c r="L6" s="387"/>
      <c r="M6" s="331" t="s">
        <v>1651</v>
      </c>
      <c r="N6" s="392" t="s">
        <v>1633</v>
      </c>
      <c r="O6" s="392" t="s">
        <v>1634</v>
      </c>
      <c r="P6" s="392" t="s">
        <v>1634</v>
      </c>
      <c r="Q6" s="392" t="s">
        <v>1667</v>
      </c>
      <c r="R6" s="392" t="s">
        <v>1634</v>
      </c>
      <c r="S6" s="392" t="s">
        <v>1634</v>
      </c>
      <c r="T6" s="392" t="s">
        <v>1634</v>
      </c>
      <c r="U6" s="393" t="s">
        <v>1652</v>
      </c>
      <c r="V6" s="392" t="s">
        <v>2087</v>
      </c>
      <c r="W6" s="487" t="s">
        <v>2390</v>
      </c>
    </row>
    <row r="7" spans="1:23" ht="15.75" customHeight="1" x14ac:dyDescent="0.2">
      <c r="A7" s="394" t="s">
        <v>14</v>
      </c>
      <c r="B7" s="395"/>
      <c r="C7" s="395"/>
      <c r="D7" s="396"/>
      <c r="E7" s="397"/>
      <c r="F7" s="332"/>
      <c r="G7" s="398"/>
      <c r="H7" s="332"/>
      <c r="I7" s="332"/>
      <c r="J7" s="332"/>
      <c r="K7" s="332"/>
      <c r="L7" s="332"/>
      <c r="M7" s="396"/>
      <c r="N7" s="399"/>
      <c r="O7" s="399"/>
      <c r="P7" s="396"/>
      <c r="Q7" s="396"/>
      <c r="R7" s="399"/>
      <c r="S7" s="396"/>
      <c r="T7" s="396"/>
      <c r="U7" s="400"/>
      <c r="V7" s="401"/>
    </row>
    <row r="8" spans="1:23" ht="15.75" customHeight="1" x14ac:dyDescent="0.2">
      <c r="A8" s="402" t="s">
        <v>15</v>
      </c>
      <c r="B8" s="403"/>
      <c r="C8" s="404" t="s">
        <v>16</v>
      </c>
      <c r="D8" s="405">
        <v>41878</v>
      </c>
      <c r="E8" s="406"/>
      <c r="F8" s="325"/>
      <c r="G8" s="324"/>
      <c r="H8" s="324">
        <v>1000</v>
      </c>
      <c r="I8" s="325">
        <v>868</v>
      </c>
      <c r="J8" s="325">
        <v>0</v>
      </c>
      <c r="K8" s="325">
        <f t="shared" ref="K8:K71" si="0">INT(IF($E8&gt;0,IF(+F8-I8+Q8&lt;0,0,+F8-I8+Q8),0))</f>
        <v>0</v>
      </c>
      <c r="L8" s="325">
        <f t="shared" ref="L8:L71" si="1">INT(IF($E8&gt;0,IF(K8=0,-F8+I8-Q8,0),0))</f>
        <v>0</v>
      </c>
      <c r="M8" s="407">
        <v>2.5</v>
      </c>
      <c r="N8" s="408" t="s">
        <v>17</v>
      </c>
      <c r="O8" s="325">
        <f>IF(E8&gt;0,INT(IF($N8="D",IF($D8&lt;$H$3,$I8*($M8/100)*((E8-$H$3)/365),$J8*($M8/100)*($J$3-$D8)/365),0)),0)</f>
        <v>0</v>
      </c>
      <c r="P8" s="325">
        <f>IF(E8&gt;0,INT(IF($N8="P",IF($D8&lt;$H$3,$H8*($M8/100)*(E8-$H$3)/365,$J8*($M8/100)*($J$3-$D8)/365),0)),0)</f>
        <v>0</v>
      </c>
      <c r="Q8" s="325">
        <f>+O8+P8</f>
        <v>0</v>
      </c>
      <c r="R8" s="325">
        <f t="shared" ref="R8:R71" si="2">INT(IF($E8&gt;0,0,(IF($N8="D",IF($D8&lt;$H$3,$I8*($M8/100)*$U$3/12,$J8*($M8/100)*($J$3-$D8)/365),0))))</f>
        <v>0</v>
      </c>
      <c r="S8" s="325">
        <f t="shared" ref="S8:S71" si="3">INT(IF($E8&gt;0,0,(IF($N8="P",IF($D8&lt;$H$3,$H8*($M8/100)*$U$3/12,$J8*($M8/100)*($J$3-$D8)/365),0))))</f>
        <v>12</v>
      </c>
      <c r="T8" s="325">
        <f>+R8+S8+Q8</f>
        <v>12</v>
      </c>
      <c r="U8" s="409">
        <f t="shared" ref="U8:U71" si="4">+I8+J8-T8-F8+K8-L8</f>
        <v>856</v>
      </c>
      <c r="V8" s="325">
        <f>IF(E8&gt;0,+H8+J8,0)</f>
        <v>0</v>
      </c>
      <c r="W8" s="449" cm="1">
        <f t="array" ref="W8">+IF(U8&lt;0,error,0)</f>
        <v>0</v>
      </c>
    </row>
    <row r="9" spans="1:23" ht="18" customHeight="1" x14ac:dyDescent="0.2">
      <c r="A9" s="402" t="s">
        <v>18</v>
      </c>
      <c r="B9" s="403"/>
      <c r="C9" s="410" t="s">
        <v>19</v>
      </c>
      <c r="D9" s="405">
        <v>41831</v>
      </c>
      <c r="E9" s="406"/>
      <c r="F9" s="325"/>
      <c r="G9" s="324"/>
      <c r="H9" s="324">
        <v>2660</v>
      </c>
      <c r="I9" s="325">
        <v>2295</v>
      </c>
      <c r="J9" s="325">
        <v>0</v>
      </c>
      <c r="K9" s="325">
        <f t="shared" si="0"/>
        <v>0</v>
      </c>
      <c r="L9" s="325">
        <f t="shared" si="1"/>
        <v>0</v>
      </c>
      <c r="M9" s="407">
        <v>2.5</v>
      </c>
      <c r="N9" s="408" t="s">
        <v>17</v>
      </c>
      <c r="O9" s="325">
        <f t="shared" ref="O9:O72" si="5">IF(E9&gt;0,INT(IF($N9="D",IF($D9&lt;$H$3,$I9*($M9/100)*((E9-$H$3)/365),$J9*($M9/100)*($J$3-$D9)/365),0)),0)</f>
        <v>0</v>
      </c>
      <c r="P9" s="325">
        <f t="shared" ref="P9:P72" si="6">IF(E9&gt;0,INT(IF($N9="P",IF($D9&lt;$H$3,$H9*($M9/100)*(E9-$H$3)/365,$J9*($M9/100)*($J$3-$D9)/365),0)),0)</f>
        <v>0</v>
      </c>
      <c r="Q9" s="325">
        <f t="shared" ref="Q9:Q72" si="7">+O9+P9</f>
        <v>0</v>
      </c>
      <c r="R9" s="325">
        <f t="shared" si="2"/>
        <v>0</v>
      </c>
      <c r="S9" s="325">
        <f t="shared" si="3"/>
        <v>33</v>
      </c>
      <c r="T9" s="325">
        <f t="shared" ref="T9:T72" si="8">+R9+S9+Q9</f>
        <v>33</v>
      </c>
      <c r="U9" s="409">
        <f t="shared" si="4"/>
        <v>2262</v>
      </c>
      <c r="V9" s="325">
        <f t="shared" ref="V9:V72" si="9">IF(E9&gt;0,+H9+J9,0)</f>
        <v>0</v>
      </c>
      <c r="W9" s="449" cm="1">
        <f t="array" ref="W9">+IF(U9&lt;0,error,0)</f>
        <v>0</v>
      </c>
    </row>
    <row r="10" spans="1:23" ht="18" customHeight="1" x14ac:dyDescent="0.2">
      <c r="A10" s="402" t="s">
        <v>20</v>
      </c>
      <c r="B10" s="403"/>
      <c r="C10" s="410" t="s">
        <v>21</v>
      </c>
      <c r="D10" s="405">
        <v>41850</v>
      </c>
      <c r="E10" s="406"/>
      <c r="F10" s="325"/>
      <c r="G10" s="324"/>
      <c r="H10" s="324">
        <v>2584</v>
      </c>
      <c r="I10" s="325">
        <v>2234</v>
      </c>
      <c r="J10" s="325">
        <v>0</v>
      </c>
      <c r="K10" s="325">
        <f t="shared" si="0"/>
        <v>0</v>
      </c>
      <c r="L10" s="325">
        <f t="shared" si="1"/>
        <v>0</v>
      </c>
      <c r="M10" s="407">
        <v>2.5</v>
      </c>
      <c r="N10" s="408" t="s">
        <v>17</v>
      </c>
      <c r="O10" s="325">
        <f t="shared" si="5"/>
        <v>0</v>
      </c>
      <c r="P10" s="325">
        <f t="shared" si="6"/>
        <v>0</v>
      </c>
      <c r="Q10" s="325">
        <f t="shared" si="7"/>
        <v>0</v>
      </c>
      <c r="R10" s="325">
        <f t="shared" si="2"/>
        <v>0</v>
      </c>
      <c r="S10" s="325">
        <f t="shared" si="3"/>
        <v>32</v>
      </c>
      <c r="T10" s="325">
        <f t="shared" si="8"/>
        <v>32</v>
      </c>
      <c r="U10" s="409">
        <f t="shared" si="4"/>
        <v>2202</v>
      </c>
      <c r="V10" s="325">
        <f t="shared" si="9"/>
        <v>0</v>
      </c>
      <c r="W10" s="449" cm="1">
        <f t="array" ref="W10">+IF(U10&lt;0,error,0)</f>
        <v>0</v>
      </c>
    </row>
    <row r="11" spans="1:23" ht="18" customHeight="1" x14ac:dyDescent="0.2">
      <c r="A11" s="402" t="s">
        <v>22</v>
      </c>
      <c r="B11" s="403"/>
      <c r="C11" s="410" t="s">
        <v>23</v>
      </c>
      <c r="D11" s="405">
        <v>42033</v>
      </c>
      <c r="E11" s="406"/>
      <c r="F11" s="325"/>
      <c r="G11" s="324"/>
      <c r="H11" s="324">
        <v>3332</v>
      </c>
      <c r="I11" s="325">
        <v>2923</v>
      </c>
      <c r="J11" s="325">
        <v>0</v>
      </c>
      <c r="K11" s="325">
        <f t="shared" si="0"/>
        <v>0</v>
      </c>
      <c r="L11" s="325">
        <f t="shared" si="1"/>
        <v>0</v>
      </c>
      <c r="M11" s="407">
        <v>2.5</v>
      </c>
      <c r="N11" s="408" t="s">
        <v>17</v>
      </c>
      <c r="O11" s="325">
        <f t="shared" si="5"/>
        <v>0</v>
      </c>
      <c r="P11" s="325">
        <f t="shared" si="6"/>
        <v>0</v>
      </c>
      <c r="Q11" s="325">
        <f t="shared" si="7"/>
        <v>0</v>
      </c>
      <c r="R11" s="325">
        <f t="shared" si="2"/>
        <v>0</v>
      </c>
      <c r="S11" s="325">
        <f t="shared" si="3"/>
        <v>41</v>
      </c>
      <c r="T11" s="325">
        <f t="shared" si="8"/>
        <v>41</v>
      </c>
      <c r="U11" s="409">
        <f t="shared" si="4"/>
        <v>2882</v>
      </c>
      <c r="V11" s="325">
        <f t="shared" si="9"/>
        <v>0</v>
      </c>
      <c r="W11" s="449" cm="1">
        <f t="array" ref="W11">+IF(U11&lt;0,error,0)</f>
        <v>0</v>
      </c>
    </row>
    <row r="12" spans="1:23" ht="18" customHeight="1" x14ac:dyDescent="0.2">
      <c r="A12" s="402" t="s">
        <v>24</v>
      </c>
      <c r="B12" s="403"/>
      <c r="C12" s="410" t="s">
        <v>25</v>
      </c>
      <c r="D12" s="405">
        <v>42067</v>
      </c>
      <c r="E12" s="406"/>
      <c r="F12" s="325"/>
      <c r="G12" s="324"/>
      <c r="H12" s="324">
        <v>3036</v>
      </c>
      <c r="I12" s="325">
        <v>2670</v>
      </c>
      <c r="J12" s="325">
        <v>0</v>
      </c>
      <c r="K12" s="325">
        <f t="shared" si="0"/>
        <v>0</v>
      </c>
      <c r="L12" s="325">
        <f t="shared" si="1"/>
        <v>0</v>
      </c>
      <c r="M12" s="407">
        <v>2.5</v>
      </c>
      <c r="N12" s="408" t="s">
        <v>17</v>
      </c>
      <c r="O12" s="325">
        <f t="shared" si="5"/>
        <v>0</v>
      </c>
      <c r="P12" s="325">
        <f t="shared" si="6"/>
        <v>0</v>
      </c>
      <c r="Q12" s="325">
        <f t="shared" si="7"/>
        <v>0</v>
      </c>
      <c r="R12" s="325">
        <f t="shared" si="2"/>
        <v>0</v>
      </c>
      <c r="S12" s="325">
        <f t="shared" si="3"/>
        <v>37</v>
      </c>
      <c r="T12" s="325">
        <f t="shared" si="8"/>
        <v>37</v>
      </c>
      <c r="U12" s="409">
        <f t="shared" si="4"/>
        <v>2633</v>
      </c>
      <c r="V12" s="325">
        <f t="shared" si="9"/>
        <v>0</v>
      </c>
      <c r="W12" s="449" cm="1">
        <f t="array" ref="W12">+IF(U12&lt;0,error,0)</f>
        <v>0</v>
      </c>
    </row>
    <row r="13" spans="1:23" ht="18" customHeight="1" x14ac:dyDescent="0.2">
      <c r="A13" s="402" t="s">
        <v>26</v>
      </c>
      <c r="B13" s="403"/>
      <c r="C13" s="411" t="s">
        <v>27</v>
      </c>
      <c r="D13" s="405">
        <v>42475</v>
      </c>
      <c r="E13" s="406"/>
      <c r="F13" s="325"/>
      <c r="G13" s="324"/>
      <c r="H13" s="324">
        <v>67371.570000000007</v>
      </c>
      <c r="I13" s="325">
        <v>61118.57</v>
      </c>
      <c r="J13" s="325">
        <v>0</v>
      </c>
      <c r="K13" s="325">
        <f t="shared" si="0"/>
        <v>0</v>
      </c>
      <c r="L13" s="325">
        <f t="shared" si="1"/>
        <v>0</v>
      </c>
      <c r="M13" s="407">
        <v>2.5</v>
      </c>
      <c r="N13" s="408" t="s">
        <v>17</v>
      </c>
      <c r="O13" s="325">
        <f t="shared" si="5"/>
        <v>0</v>
      </c>
      <c r="P13" s="325">
        <f t="shared" si="6"/>
        <v>0</v>
      </c>
      <c r="Q13" s="325">
        <f t="shared" si="7"/>
        <v>0</v>
      </c>
      <c r="R13" s="325">
        <f t="shared" si="2"/>
        <v>0</v>
      </c>
      <c r="S13" s="325">
        <f t="shared" si="3"/>
        <v>842</v>
      </c>
      <c r="T13" s="325">
        <f t="shared" si="8"/>
        <v>842</v>
      </c>
      <c r="U13" s="409">
        <f t="shared" si="4"/>
        <v>60276.57</v>
      </c>
      <c r="V13" s="325">
        <f t="shared" si="9"/>
        <v>0</v>
      </c>
      <c r="W13" s="449" cm="1">
        <f t="array" ref="W13">+IF(U13&lt;0,error,0)</f>
        <v>0</v>
      </c>
    </row>
    <row r="14" spans="1:23" ht="18" customHeight="1" x14ac:dyDescent="0.2">
      <c r="A14" s="402" t="s">
        <v>28</v>
      </c>
      <c r="B14" s="403"/>
      <c r="C14" s="404" t="s">
        <v>29</v>
      </c>
      <c r="D14" s="405">
        <v>42429</v>
      </c>
      <c r="E14" s="406"/>
      <c r="F14" s="325"/>
      <c r="G14" s="324"/>
      <c r="H14" s="324">
        <v>4933.6400000000003</v>
      </c>
      <c r="I14" s="325">
        <v>4461.6400000000003</v>
      </c>
      <c r="J14" s="325">
        <v>0</v>
      </c>
      <c r="K14" s="325">
        <f t="shared" si="0"/>
        <v>0</v>
      </c>
      <c r="L14" s="325">
        <f t="shared" si="1"/>
        <v>0</v>
      </c>
      <c r="M14" s="407">
        <v>2.5</v>
      </c>
      <c r="N14" s="408" t="s">
        <v>17</v>
      </c>
      <c r="O14" s="325">
        <f t="shared" si="5"/>
        <v>0</v>
      </c>
      <c r="P14" s="325">
        <f t="shared" si="6"/>
        <v>0</v>
      </c>
      <c r="Q14" s="325">
        <f t="shared" si="7"/>
        <v>0</v>
      </c>
      <c r="R14" s="325">
        <f t="shared" si="2"/>
        <v>0</v>
      </c>
      <c r="S14" s="325">
        <f t="shared" si="3"/>
        <v>61</v>
      </c>
      <c r="T14" s="325">
        <f t="shared" si="8"/>
        <v>61</v>
      </c>
      <c r="U14" s="409">
        <f t="shared" si="4"/>
        <v>4400.6400000000003</v>
      </c>
      <c r="V14" s="325">
        <f t="shared" si="9"/>
        <v>0</v>
      </c>
      <c r="W14" s="449" cm="1">
        <f t="array" ref="W14">+IF(U14&lt;0,error,0)</f>
        <v>0</v>
      </c>
    </row>
    <row r="15" spans="1:23" ht="18" customHeight="1" x14ac:dyDescent="0.2">
      <c r="A15" s="402" t="s">
        <v>30</v>
      </c>
      <c r="B15" s="403"/>
      <c r="C15" s="404" t="s">
        <v>31</v>
      </c>
      <c r="D15" s="405">
        <v>42551</v>
      </c>
      <c r="E15" s="406"/>
      <c r="F15" s="325"/>
      <c r="G15" s="324"/>
      <c r="H15" s="324">
        <v>96714.930000000008</v>
      </c>
      <c r="I15" s="325">
        <v>88239.930000000008</v>
      </c>
      <c r="J15" s="325">
        <v>0</v>
      </c>
      <c r="K15" s="325">
        <f t="shared" si="0"/>
        <v>0</v>
      </c>
      <c r="L15" s="325">
        <f t="shared" si="1"/>
        <v>0</v>
      </c>
      <c r="M15" s="407">
        <v>2.5</v>
      </c>
      <c r="N15" s="408" t="s">
        <v>17</v>
      </c>
      <c r="O15" s="325">
        <f t="shared" si="5"/>
        <v>0</v>
      </c>
      <c r="P15" s="325">
        <f t="shared" si="6"/>
        <v>0</v>
      </c>
      <c r="Q15" s="325">
        <f t="shared" si="7"/>
        <v>0</v>
      </c>
      <c r="R15" s="325">
        <f t="shared" si="2"/>
        <v>0</v>
      </c>
      <c r="S15" s="325">
        <f t="shared" si="3"/>
        <v>1208</v>
      </c>
      <c r="T15" s="325">
        <f t="shared" si="8"/>
        <v>1208</v>
      </c>
      <c r="U15" s="409">
        <f t="shared" si="4"/>
        <v>87031.930000000008</v>
      </c>
      <c r="V15" s="325">
        <f t="shared" si="9"/>
        <v>0</v>
      </c>
      <c r="W15" s="449" cm="1">
        <f t="array" ref="W15">+IF(U15&lt;0,error,0)</f>
        <v>0</v>
      </c>
    </row>
    <row r="16" spans="1:23" ht="18" customHeight="1" x14ac:dyDescent="0.2">
      <c r="A16" s="402" t="s">
        <v>32</v>
      </c>
      <c r="B16" s="403"/>
      <c r="C16" s="410" t="s">
        <v>33</v>
      </c>
      <c r="D16" s="405">
        <v>42377</v>
      </c>
      <c r="E16" s="406"/>
      <c r="F16" s="325"/>
      <c r="G16" s="324"/>
      <c r="H16" s="324">
        <v>2975</v>
      </c>
      <c r="I16" s="325">
        <v>2680</v>
      </c>
      <c r="J16" s="325">
        <v>0</v>
      </c>
      <c r="K16" s="325">
        <f t="shared" si="0"/>
        <v>0</v>
      </c>
      <c r="L16" s="325">
        <f t="shared" si="1"/>
        <v>0</v>
      </c>
      <c r="M16" s="407">
        <v>2.5</v>
      </c>
      <c r="N16" s="408" t="s">
        <v>17</v>
      </c>
      <c r="O16" s="325">
        <f t="shared" si="5"/>
        <v>0</v>
      </c>
      <c r="P16" s="325">
        <f t="shared" si="6"/>
        <v>0</v>
      </c>
      <c r="Q16" s="325">
        <f t="shared" si="7"/>
        <v>0</v>
      </c>
      <c r="R16" s="325">
        <f t="shared" si="2"/>
        <v>0</v>
      </c>
      <c r="S16" s="325">
        <f t="shared" si="3"/>
        <v>37</v>
      </c>
      <c r="T16" s="325">
        <f t="shared" si="8"/>
        <v>37</v>
      </c>
      <c r="U16" s="409">
        <f t="shared" si="4"/>
        <v>2643</v>
      </c>
      <c r="V16" s="325">
        <f t="shared" si="9"/>
        <v>0</v>
      </c>
      <c r="W16" s="449" cm="1">
        <f t="array" ref="W16">+IF(U16&lt;0,error,0)</f>
        <v>0</v>
      </c>
    </row>
    <row r="17" spans="1:23" ht="18" customHeight="1" x14ac:dyDescent="0.2">
      <c r="A17" s="402" t="s">
        <v>34</v>
      </c>
      <c r="B17" s="403"/>
      <c r="C17" s="411" t="s">
        <v>35</v>
      </c>
      <c r="D17" s="405">
        <v>42385</v>
      </c>
      <c r="E17" s="406"/>
      <c r="F17" s="325"/>
      <c r="G17" s="324"/>
      <c r="H17" s="324">
        <v>51063.4</v>
      </c>
      <c r="I17" s="325">
        <v>46008.4</v>
      </c>
      <c r="J17" s="325">
        <v>0</v>
      </c>
      <c r="K17" s="325">
        <f t="shared" si="0"/>
        <v>0</v>
      </c>
      <c r="L17" s="325">
        <f t="shared" si="1"/>
        <v>0</v>
      </c>
      <c r="M17" s="407">
        <v>2.5</v>
      </c>
      <c r="N17" s="408" t="s">
        <v>17</v>
      </c>
      <c r="O17" s="325">
        <f t="shared" si="5"/>
        <v>0</v>
      </c>
      <c r="P17" s="325">
        <f t="shared" si="6"/>
        <v>0</v>
      </c>
      <c r="Q17" s="325">
        <f t="shared" si="7"/>
        <v>0</v>
      </c>
      <c r="R17" s="325">
        <f t="shared" si="2"/>
        <v>0</v>
      </c>
      <c r="S17" s="325">
        <f t="shared" si="3"/>
        <v>638</v>
      </c>
      <c r="T17" s="325">
        <f t="shared" si="8"/>
        <v>638</v>
      </c>
      <c r="U17" s="409">
        <f t="shared" si="4"/>
        <v>45370.400000000001</v>
      </c>
      <c r="V17" s="325">
        <f t="shared" si="9"/>
        <v>0</v>
      </c>
      <c r="W17" s="449" cm="1">
        <f t="array" ref="W17">+IF(U17&lt;0,error,0)</f>
        <v>0</v>
      </c>
    </row>
    <row r="18" spans="1:23" ht="18" customHeight="1" x14ac:dyDescent="0.2">
      <c r="A18" s="402" t="s">
        <v>36</v>
      </c>
      <c r="B18" s="403"/>
      <c r="C18" s="410" t="s">
        <v>37</v>
      </c>
      <c r="D18" s="405">
        <v>42428</v>
      </c>
      <c r="E18" s="406"/>
      <c r="F18" s="325"/>
      <c r="G18" s="324"/>
      <c r="H18" s="324">
        <v>25219.350000000002</v>
      </c>
      <c r="I18" s="325">
        <v>22799.350000000002</v>
      </c>
      <c r="J18" s="325">
        <v>0</v>
      </c>
      <c r="K18" s="325">
        <f t="shared" si="0"/>
        <v>0</v>
      </c>
      <c r="L18" s="325">
        <f t="shared" si="1"/>
        <v>0</v>
      </c>
      <c r="M18" s="407">
        <v>2.5</v>
      </c>
      <c r="N18" s="408" t="s">
        <v>17</v>
      </c>
      <c r="O18" s="325">
        <f t="shared" si="5"/>
        <v>0</v>
      </c>
      <c r="P18" s="325">
        <f t="shared" si="6"/>
        <v>0</v>
      </c>
      <c r="Q18" s="325">
        <f t="shared" si="7"/>
        <v>0</v>
      </c>
      <c r="R18" s="325">
        <f t="shared" si="2"/>
        <v>0</v>
      </c>
      <c r="S18" s="325">
        <f t="shared" si="3"/>
        <v>315</v>
      </c>
      <c r="T18" s="325">
        <f t="shared" si="8"/>
        <v>315</v>
      </c>
      <c r="U18" s="409">
        <f t="shared" si="4"/>
        <v>22484.350000000002</v>
      </c>
      <c r="V18" s="325">
        <f t="shared" si="9"/>
        <v>0</v>
      </c>
      <c r="W18" s="449" cm="1">
        <f t="array" ref="W18">+IF(U18&lt;0,error,0)</f>
        <v>0</v>
      </c>
    </row>
    <row r="19" spans="1:23" ht="18" customHeight="1" x14ac:dyDescent="0.2">
      <c r="A19" s="402" t="s">
        <v>38</v>
      </c>
      <c r="B19" s="403"/>
      <c r="C19" s="410" t="s">
        <v>39</v>
      </c>
      <c r="D19" s="405">
        <v>42428</v>
      </c>
      <c r="E19" s="406"/>
      <c r="F19" s="325"/>
      <c r="G19" s="324"/>
      <c r="H19" s="324">
        <v>499182.86</v>
      </c>
      <c r="I19" s="325">
        <v>451233.86</v>
      </c>
      <c r="J19" s="325">
        <v>0</v>
      </c>
      <c r="K19" s="325">
        <f t="shared" si="0"/>
        <v>0</v>
      </c>
      <c r="L19" s="325">
        <f t="shared" si="1"/>
        <v>0</v>
      </c>
      <c r="M19" s="407">
        <v>2.5</v>
      </c>
      <c r="N19" s="408" t="s">
        <v>17</v>
      </c>
      <c r="O19" s="325">
        <f t="shared" si="5"/>
        <v>0</v>
      </c>
      <c r="P19" s="325">
        <f t="shared" si="6"/>
        <v>0</v>
      </c>
      <c r="Q19" s="325">
        <f t="shared" si="7"/>
        <v>0</v>
      </c>
      <c r="R19" s="325">
        <f t="shared" si="2"/>
        <v>0</v>
      </c>
      <c r="S19" s="325">
        <f t="shared" si="3"/>
        <v>6239</v>
      </c>
      <c r="T19" s="325">
        <f t="shared" si="8"/>
        <v>6239</v>
      </c>
      <c r="U19" s="409">
        <f t="shared" si="4"/>
        <v>444994.86</v>
      </c>
      <c r="V19" s="325">
        <f t="shared" si="9"/>
        <v>0</v>
      </c>
      <c r="W19" s="449" cm="1">
        <f t="array" ref="W19">+IF(U19&lt;0,error,0)</f>
        <v>0</v>
      </c>
    </row>
    <row r="20" spans="1:23" ht="18" customHeight="1" x14ac:dyDescent="0.2">
      <c r="A20" s="402" t="s">
        <v>40</v>
      </c>
      <c r="B20" s="403"/>
      <c r="C20" s="412" t="s">
        <v>41</v>
      </c>
      <c r="D20" s="405">
        <v>42274</v>
      </c>
      <c r="E20" s="406"/>
      <c r="F20" s="325"/>
      <c r="G20" s="324"/>
      <c r="H20" s="324">
        <v>76772.05</v>
      </c>
      <c r="I20" s="325">
        <v>68589.05</v>
      </c>
      <c r="J20" s="325">
        <v>0</v>
      </c>
      <c r="K20" s="325">
        <f t="shared" si="0"/>
        <v>0</v>
      </c>
      <c r="L20" s="325">
        <f t="shared" si="1"/>
        <v>0</v>
      </c>
      <c r="M20" s="407">
        <v>2.5</v>
      </c>
      <c r="N20" s="408" t="s">
        <v>17</v>
      </c>
      <c r="O20" s="325">
        <f t="shared" si="5"/>
        <v>0</v>
      </c>
      <c r="P20" s="325">
        <f t="shared" si="6"/>
        <v>0</v>
      </c>
      <c r="Q20" s="325">
        <f t="shared" si="7"/>
        <v>0</v>
      </c>
      <c r="R20" s="325">
        <f t="shared" si="2"/>
        <v>0</v>
      </c>
      <c r="S20" s="325">
        <f t="shared" si="3"/>
        <v>959</v>
      </c>
      <c r="T20" s="325">
        <f t="shared" si="8"/>
        <v>959</v>
      </c>
      <c r="U20" s="409">
        <f t="shared" si="4"/>
        <v>67630.05</v>
      </c>
      <c r="V20" s="325">
        <f t="shared" si="9"/>
        <v>0</v>
      </c>
      <c r="W20" s="449" cm="1">
        <f t="array" ref="W20">+IF(U20&lt;0,error,0)</f>
        <v>0</v>
      </c>
    </row>
    <row r="21" spans="1:23" ht="18" customHeight="1" x14ac:dyDescent="0.2">
      <c r="A21" s="402" t="s">
        <v>42</v>
      </c>
      <c r="B21" s="403"/>
      <c r="C21" s="411" t="s">
        <v>43</v>
      </c>
      <c r="D21" s="405">
        <v>42415</v>
      </c>
      <c r="E21" s="406"/>
      <c r="F21" s="325"/>
      <c r="G21" s="324"/>
      <c r="H21" s="324">
        <v>3300</v>
      </c>
      <c r="I21" s="325">
        <v>2979</v>
      </c>
      <c r="J21" s="325">
        <v>0</v>
      </c>
      <c r="K21" s="325">
        <f t="shared" si="0"/>
        <v>0</v>
      </c>
      <c r="L21" s="325">
        <f t="shared" si="1"/>
        <v>0</v>
      </c>
      <c r="M21" s="407">
        <v>2.5</v>
      </c>
      <c r="N21" s="408" t="s">
        <v>17</v>
      </c>
      <c r="O21" s="325">
        <f t="shared" si="5"/>
        <v>0</v>
      </c>
      <c r="P21" s="325">
        <f t="shared" si="6"/>
        <v>0</v>
      </c>
      <c r="Q21" s="325">
        <f t="shared" si="7"/>
        <v>0</v>
      </c>
      <c r="R21" s="325">
        <f t="shared" si="2"/>
        <v>0</v>
      </c>
      <c r="S21" s="325">
        <f t="shared" si="3"/>
        <v>41</v>
      </c>
      <c r="T21" s="325">
        <f t="shared" si="8"/>
        <v>41</v>
      </c>
      <c r="U21" s="409">
        <f t="shared" si="4"/>
        <v>2938</v>
      </c>
      <c r="V21" s="325">
        <f t="shared" si="9"/>
        <v>0</v>
      </c>
      <c r="W21" s="449" cm="1">
        <f t="array" ref="W21">+IF(U21&lt;0,error,0)</f>
        <v>0</v>
      </c>
    </row>
    <row r="22" spans="1:23" ht="18" customHeight="1" x14ac:dyDescent="0.2">
      <c r="A22" s="402" t="s">
        <v>44</v>
      </c>
      <c r="B22" s="403"/>
      <c r="C22" s="412" t="s">
        <v>45</v>
      </c>
      <c r="D22" s="405">
        <v>42319</v>
      </c>
      <c r="E22" s="406"/>
      <c r="F22" s="325"/>
      <c r="G22" s="324"/>
      <c r="H22" s="324">
        <v>80345.240000000005</v>
      </c>
      <c r="I22" s="325">
        <v>72028.240000000005</v>
      </c>
      <c r="J22" s="325">
        <v>0</v>
      </c>
      <c r="K22" s="325">
        <f t="shared" si="0"/>
        <v>0</v>
      </c>
      <c r="L22" s="325">
        <f t="shared" si="1"/>
        <v>0</v>
      </c>
      <c r="M22" s="407">
        <v>2.5</v>
      </c>
      <c r="N22" s="408" t="s">
        <v>17</v>
      </c>
      <c r="O22" s="325">
        <f t="shared" si="5"/>
        <v>0</v>
      </c>
      <c r="P22" s="325">
        <f t="shared" si="6"/>
        <v>0</v>
      </c>
      <c r="Q22" s="325">
        <f t="shared" si="7"/>
        <v>0</v>
      </c>
      <c r="R22" s="325">
        <f t="shared" si="2"/>
        <v>0</v>
      </c>
      <c r="S22" s="325">
        <f t="shared" si="3"/>
        <v>1004</v>
      </c>
      <c r="T22" s="325">
        <f t="shared" si="8"/>
        <v>1004</v>
      </c>
      <c r="U22" s="409">
        <f t="shared" si="4"/>
        <v>71024.240000000005</v>
      </c>
      <c r="V22" s="325">
        <f t="shared" si="9"/>
        <v>0</v>
      </c>
      <c r="W22" s="449" cm="1">
        <f t="array" ref="W22">+IF(U22&lt;0,error,0)</f>
        <v>0</v>
      </c>
    </row>
    <row r="23" spans="1:23" ht="18" customHeight="1" x14ac:dyDescent="0.2">
      <c r="A23" s="402" t="s">
        <v>46</v>
      </c>
      <c r="B23" s="403"/>
      <c r="C23" s="411" t="s">
        <v>47</v>
      </c>
      <c r="D23" s="405">
        <v>42556</v>
      </c>
      <c r="E23" s="406"/>
      <c r="F23" s="325"/>
      <c r="G23" s="324"/>
      <c r="H23" s="324">
        <v>876.25</v>
      </c>
      <c r="I23" s="325">
        <v>801.25</v>
      </c>
      <c r="J23" s="325">
        <v>0</v>
      </c>
      <c r="K23" s="325">
        <f t="shared" si="0"/>
        <v>0</v>
      </c>
      <c r="L23" s="325">
        <f t="shared" si="1"/>
        <v>0</v>
      </c>
      <c r="M23" s="407">
        <v>2.5</v>
      </c>
      <c r="N23" s="408" t="s">
        <v>17</v>
      </c>
      <c r="O23" s="325">
        <f t="shared" si="5"/>
        <v>0</v>
      </c>
      <c r="P23" s="325">
        <f t="shared" si="6"/>
        <v>0</v>
      </c>
      <c r="Q23" s="325">
        <f t="shared" si="7"/>
        <v>0</v>
      </c>
      <c r="R23" s="325">
        <f t="shared" si="2"/>
        <v>0</v>
      </c>
      <c r="S23" s="325">
        <f t="shared" si="3"/>
        <v>10</v>
      </c>
      <c r="T23" s="325">
        <f t="shared" si="8"/>
        <v>10</v>
      </c>
      <c r="U23" s="409">
        <f t="shared" si="4"/>
        <v>791.25</v>
      </c>
      <c r="V23" s="325">
        <f t="shared" si="9"/>
        <v>0</v>
      </c>
      <c r="W23" s="449" cm="1">
        <f t="array" ref="W23">+IF(U23&lt;0,error,0)</f>
        <v>0</v>
      </c>
    </row>
    <row r="24" spans="1:23" ht="18" customHeight="1" x14ac:dyDescent="0.2">
      <c r="A24" s="402" t="s">
        <v>48</v>
      </c>
      <c r="B24" s="403"/>
      <c r="C24" s="404" t="s">
        <v>49</v>
      </c>
      <c r="D24" s="405">
        <v>42704</v>
      </c>
      <c r="E24" s="406"/>
      <c r="F24" s="325"/>
      <c r="G24" s="324"/>
      <c r="H24" s="324">
        <v>1950</v>
      </c>
      <c r="I24" s="325">
        <v>1801</v>
      </c>
      <c r="J24" s="325">
        <v>0</v>
      </c>
      <c r="K24" s="325">
        <f t="shared" si="0"/>
        <v>0</v>
      </c>
      <c r="L24" s="325">
        <f t="shared" si="1"/>
        <v>0</v>
      </c>
      <c r="M24" s="407">
        <v>2.5</v>
      </c>
      <c r="N24" s="408" t="s">
        <v>17</v>
      </c>
      <c r="O24" s="325">
        <f t="shared" si="5"/>
        <v>0</v>
      </c>
      <c r="P24" s="325">
        <f t="shared" si="6"/>
        <v>0</v>
      </c>
      <c r="Q24" s="325">
        <f t="shared" si="7"/>
        <v>0</v>
      </c>
      <c r="R24" s="325">
        <f t="shared" si="2"/>
        <v>0</v>
      </c>
      <c r="S24" s="325">
        <f t="shared" si="3"/>
        <v>24</v>
      </c>
      <c r="T24" s="325">
        <f t="shared" si="8"/>
        <v>24</v>
      </c>
      <c r="U24" s="409">
        <f t="shared" si="4"/>
        <v>1777</v>
      </c>
      <c r="V24" s="325">
        <f t="shared" si="9"/>
        <v>0</v>
      </c>
      <c r="W24" s="449" cm="1">
        <f t="array" ref="W24">+IF(U24&lt;0,error,0)</f>
        <v>0</v>
      </c>
    </row>
    <row r="25" spans="1:23" ht="18" customHeight="1" x14ac:dyDescent="0.2">
      <c r="A25" s="402" t="s">
        <v>50</v>
      </c>
      <c r="B25" s="403"/>
      <c r="C25" s="404" t="s">
        <v>51</v>
      </c>
      <c r="D25" s="405">
        <v>42821</v>
      </c>
      <c r="E25" s="406"/>
      <c r="F25" s="325"/>
      <c r="G25" s="324"/>
      <c r="H25" s="324">
        <v>62109</v>
      </c>
      <c r="I25" s="325">
        <v>57816</v>
      </c>
      <c r="J25" s="325">
        <v>0</v>
      </c>
      <c r="K25" s="325">
        <f t="shared" si="0"/>
        <v>0</v>
      </c>
      <c r="L25" s="325">
        <f t="shared" si="1"/>
        <v>0</v>
      </c>
      <c r="M25" s="407">
        <v>2.5</v>
      </c>
      <c r="N25" s="408" t="s">
        <v>17</v>
      </c>
      <c r="O25" s="325">
        <f t="shared" si="5"/>
        <v>0</v>
      </c>
      <c r="P25" s="325">
        <f t="shared" si="6"/>
        <v>0</v>
      </c>
      <c r="Q25" s="325">
        <f t="shared" si="7"/>
        <v>0</v>
      </c>
      <c r="R25" s="325">
        <f t="shared" si="2"/>
        <v>0</v>
      </c>
      <c r="S25" s="325">
        <f t="shared" si="3"/>
        <v>776</v>
      </c>
      <c r="T25" s="325">
        <f t="shared" si="8"/>
        <v>776</v>
      </c>
      <c r="U25" s="409">
        <f t="shared" si="4"/>
        <v>57040</v>
      </c>
      <c r="V25" s="325">
        <f t="shared" si="9"/>
        <v>0</v>
      </c>
      <c r="W25" s="449" cm="1">
        <f t="array" ref="W25">+IF(U25&lt;0,error,0)</f>
        <v>0</v>
      </c>
    </row>
    <row r="26" spans="1:23" ht="18" customHeight="1" x14ac:dyDescent="0.2">
      <c r="A26" s="402" t="s">
        <v>52</v>
      </c>
      <c r="B26" s="403"/>
      <c r="C26" s="404" t="s">
        <v>53</v>
      </c>
      <c r="D26" s="405">
        <v>42916</v>
      </c>
      <c r="E26" s="406"/>
      <c r="F26" s="325"/>
      <c r="G26" s="324"/>
      <c r="H26" s="324">
        <v>69675.72</v>
      </c>
      <c r="I26" s="325">
        <v>65312.72</v>
      </c>
      <c r="J26" s="325">
        <v>0</v>
      </c>
      <c r="K26" s="325">
        <f t="shared" si="0"/>
        <v>0</v>
      </c>
      <c r="L26" s="325">
        <f t="shared" si="1"/>
        <v>0</v>
      </c>
      <c r="M26" s="407">
        <v>2.5</v>
      </c>
      <c r="N26" s="408" t="s">
        <v>17</v>
      </c>
      <c r="O26" s="325">
        <f t="shared" si="5"/>
        <v>0</v>
      </c>
      <c r="P26" s="325">
        <f t="shared" si="6"/>
        <v>0</v>
      </c>
      <c r="Q26" s="325">
        <f t="shared" si="7"/>
        <v>0</v>
      </c>
      <c r="R26" s="325">
        <f t="shared" si="2"/>
        <v>0</v>
      </c>
      <c r="S26" s="325">
        <f t="shared" si="3"/>
        <v>870</v>
      </c>
      <c r="T26" s="325">
        <f t="shared" si="8"/>
        <v>870</v>
      </c>
      <c r="U26" s="409">
        <f t="shared" si="4"/>
        <v>64442.720000000001</v>
      </c>
      <c r="V26" s="325">
        <f t="shared" si="9"/>
        <v>0</v>
      </c>
      <c r="W26" s="449" cm="1">
        <f t="array" ref="W26">+IF(U26&lt;0,error,0)</f>
        <v>0</v>
      </c>
    </row>
    <row r="27" spans="1:23" ht="18" customHeight="1" x14ac:dyDescent="0.2">
      <c r="A27" s="402" t="s">
        <v>54</v>
      </c>
      <c r="B27" s="403"/>
      <c r="C27" s="404" t="s">
        <v>55</v>
      </c>
      <c r="D27" s="405">
        <v>42664</v>
      </c>
      <c r="E27" s="406"/>
      <c r="F27" s="325"/>
      <c r="G27" s="324"/>
      <c r="H27" s="324">
        <v>28247.11</v>
      </c>
      <c r="I27" s="325">
        <v>25992.11</v>
      </c>
      <c r="J27" s="325">
        <v>0</v>
      </c>
      <c r="K27" s="325">
        <f t="shared" si="0"/>
        <v>0</v>
      </c>
      <c r="L27" s="325">
        <f t="shared" si="1"/>
        <v>0</v>
      </c>
      <c r="M27" s="407">
        <v>2.5</v>
      </c>
      <c r="N27" s="408" t="s">
        <v>17</v>
      </c>
      <c r="O27" s="325">
        <f t="shared" si="5"/>
        <v>0</v>
      </c>
      <c r="P27" s="325">
        <f t="shared" si="6"/>
        <v>0</v>
      </c>
      <c r="Q27" s="325">
        <f t="shared" si="7"/>
        <v>0</v>
      </c>
      <c r="R27" s="325">
        <f t="shared" si="2"/>
        <v>0</v>
      </c>
      <c r="S27" s="325">
        <f t="shared" si="3"/>
        <v>353</v>
      </c>
      <c r="T27" s="325">
        <f t="shared" si="8"/>
        <v>353</v>
      </c>
      <c r="U27" s="409">
        <f t="shared" si="4"/>
        <v>25639.11</v>
      </c>
      <c r="V27" s="325">
        <f t="shared" si="9"/>
        <v>0</v>
      </c>
      <c r="W27" s="449" cm="1">
        <f t="array" ref="W27">+IF(U27&lt;0,error,0)</f>
        <v>0</v>
      </c>
    </row>
    <row r="28" spans="1:23" ht="18" customHeight="1" x14ac:dyDescent="0.2">
      <c r="A28" s="402" t="s">
        <v>56</v>
      </c>
      <c r="B28" s="403"/>
      <c r="C28" s="404" t="s">
        <v>57</v>
      </c>
      <c r="D28" s="405">
        <v>42916</v>
      </c>
      <c r="E28" s="406"/>
      <c r="F28" s="325"/>
      <c r="G28" s="324"/>
      <c r="H28" s="324">
        <v>37437.360000000001</v>
      </c>
      <c r="I28" s="325">
        <v>35094.36</v>
      </c>
      <c r="J28" s="325">
        <v>0</v>
      </c>
      <c r="K28" s="325">
        <f t="shared" si="0"/>
        <v>0</v>
      </c>
      <c r="L28" s="325">
        <f t="shared" si="1"/>
        <v>0</v>
      </c>
      <c r="M28" s="407">
        <v>2.5</v>
      </c>
      <c r="N28" s="408" t="s">
        <v>17</v>
      </c>
      <c r="O28" s="325">
        <f t="shared" si="5"/>
        <v>0</v>
      </c>
      <c r="P28" s="325">
        <f t="shared" si="6"/>
        <v>0</v>
      </c>
      <c r="Q28" s="325">
        <f t="shared" si="7"/>
        <v>0</v>
      </c>
      <c r="R28" s="325">
        <f t="shared" si="2"/>
        <v>0</v>
      </c>
      <c r="S28" s="325">
        <f t="shared" si="3"/>
        <v>467</v>
      </c>
      <c r="T28" s="325">
        <f t="shared" si="8"/>
        <v>467</v>
      </c>
      <c r="U28" s="409">
        <f t="shared" si="4"/>
        <v>34627.360000000001</v>
      </c>
      <c r="V28" s="325">
        <f t="shared" si="9"/>
        <v>0</v>
      </c>
      <c r="W28" s="449" cm="1">
        <f t="array" ref="W28">+IF(U28&lt;0,error,0)</f>
        <v>0</v>
      </c>
    </row>
    <row r="29" spans="1:23" ht="18" customHeight="1" x14ac:dyDescent="0.2">
      <c r="A29" s="402" t="s">
        <v>58</v>
      </c>
      <c r="B29" s="403"/>
      <c r="C29" s="404" t="s">
        <v>59</v>
      </c>
      <c r="D29" s="405">
        <v>42759</v>
      </c>
      <c r="E29" s="406"/>
      <c r="F29" s="325"/>
      <c r="G29" s="324"/>
      <c r="H29" s="324">
        <v>1391</v>
      </c>
      <c r="I29" s="325">
        <v>1289</v>
      </c>
      <c r="J29" s="325">
        <v>0</v>
      </c>
      <c r="K29" s="325">
        <f t="shared" si="0"/>
        <v>0</v>
      </c>
      <c r="L29" s="325">
        <f t="shared" si="1"/>
        <v>0</v>
      </c>
      <c r="M29" s="407">
        <v>2.5</v>
      </c>
      <c r="N29" s="408" t="s">
        <v>17</v>
      </c>
      <c r="O29" s="325">
        <f t="shared" si="5"/>
        <v>0</v>
      </c>
      <c r="P29" s="325">
        <f t="shared" si="6"/>
        <v>0</v>
      </c>
      <c r="Q29" s="325">
        <f t="shared" si="7"/>
        <v>0</v>
      </c>
      <c r="R29" s="325">
        <f t="shared" si="2"/>
        <v>0</v>
      </c>
      <c r="S29" s="325">
        <f t="shared" si="3"/>
        <v>17</v>
      </c>
      <c r="T29" s="325">
        <f t="shared" si="8"/>
        <v>17</v>
      </c>
      <c r="U29" s="409">
        <f t="shared" si="4"/>
        <v>1272</v>
      </c>
      <c r="V29" s="325">
        <f t="shared" si="9"/>
        <v>0</v>
      </c>
      <c r="W29" s="449" cm="1">
        <f t="array" ref="W29">+IF(U29&lt;0,error,0)</f>
        <v>0</v>
      </c>
    </row>
    <row r="30" spans="1:23" ht="18" customHeight="1" x14ac:dyDescent="0.2">
      <c r="A30" s="402" t="s">
        <v>60</v>
      </c>
      <c r="B30" s="403"/>
      <c r="C30" s="404" t="s">
        <v>61</v>
      </c>
      <c r="D30" s="405">
        <v>42916</v>
      </c>
      <c r="E30" s="406"/>
      <c r="F30" s="325"/>
      <c r="G30" s="324"/>
      <c r="H30" s="324">
        <v>4441.5</v>
      </c>
      <c r="I30" s="325">
        <v>4163.5</v>
      </c>
      <c r="J30" s="325">
        <v>0</v>
      </c>
      <c r="K30" s="325">
        <f t="shared" si="0"/>
        <v>0</v>
      </c>
      <c r="L30" s="325">
        <f t="shared" si="1"/>
        <v>0</v>
      </c>
      <c r="M30" s="407">
        <v>2.5</v>
      </c>
      <c r="N30" s="408" t="s">
        <v>17</v>
      </c>
      <c r="O30" s="325">
        <f t="shared" si="5"/>
        <v>0</v>
      </c>
      <c r="P30" s="325">
        <f t="shared" si="6"/>
        <v>0</v>
      </c>
      <c r="Q30" s="325">
        <f t="shared" si="7"/>
        <v>0</v>
      </c>
      <c r="R30" s="325">
        <f t="shared" si="2"/>
        <v>0</v>
      </c>
      <c r="S30" s="325">
        <f t="shared" si="3"/>
        <v>55</v>
      </c>
      <c r="T30" s="325">
        <f t="shared" si="8"/>
        <v>55</v>
      </c>
      <c r="U30" s="409">
        <f t="shared" si="4"/>
        <v>4108.5</v>
      </c>
      <c r="V30" s="325">
        <f t="shared" si="9"/>
        <v>0</v>
      </c>
      <c r="W30" s="449" cm="1">
        <f t="array" ref="W30">+IF(U30&lt;0,error,0)</f>
        <v>0</v>
      </c>
    </row>
    <row r="31" spans="1:23" ht="18" customHeight="1" x14ac:dyDescent="0.2">
      <c r="A31" s="402" t="s">
        <v>62</v>
      </c>
      <c r="B31" s="403"/>
      <c r="C31" s="412" t="s">
        <v>63</v>
      </c>
      <c r="D31" s="405">
        <v>42552</v>
      </c>
      <c r="E31" s="406"/>
      <c r="F31" s="325"/>
      <c r="G31" s="324"/>
      <c r="H31" s="324">
        <v>1728.33</v>
      </c>
      <c r="I31" s="325">
        <v>1578.33</v>
      </c>
      <c r="J31" s="325">
        <v>0</v>
      </c>
      <c r="K31" s="325">
        <f t="shared" si="0"/>
        <v>0</v>
      </c>
      <c r="L31" s="325">
        <f t="shared" si="1"/>
        <v>0</v>
      </c>
      <c r="M31" s="407">
        <v>2.5</v>
      </c>
      <c r="N31" s="408" t="s">
        <v>17</v>
      </c>
      <c r="O31" s="325">
        <f t="shared" si="5"/>
        <v>0</v>
      </c>
      <c r="P31" s="325">
        <f t="shared" si="6"/>
        <v>0</v>
      </c>
      <c r="Q31" s="325">
        <f t="shared" si="7"/>
        <v>0</v>
      </c>
      <c r="R31" s="325">
        <f t="shared" si="2"/>
        <v>0</v>
      </c>
      <c r="S31" s="325">
        <f t="shared" si="3"/>
        <v>21</v>
      </c>
      <c r="T31" s="325">
        <f t="shared" si="8"/>
        <v>21</v>
      </c>
      <c r="U31" s="409">
        <f t="shared" si="4"/>
        <v>1557.33</v>
      </c>
      <c r="V31" s="325">
        <f t="shared" si="9"/>
        <v>0</v>
      </c>
      <c r="W31" s="449" cm="1">
        <f t="array" ref="W31">+IF(U31&lt;0,error,0)</f>
        <v>0</v>
      </c>
    </row>
    <row r="32" spans="1:23" ht="18" customHeight="1" x14ac:dyDescent="0.2">
      <c r="A32" s="402" t="s">
        <v>64</v>
      </c>
      <c r="B32" s="403"/>
      <c r="C32" s="411" t="s">
        <v>65</v>
      </c>
      <c r="D32" s="405">
        <v>42552</v>
      </c>
      <c r="E32" s="406"/>
      <c r="F32" s="325"/>
      <c r="G32" s="324"/>
      <c r="H32" s="324">
        <v>1939.3700000000001</v>
      </c>
      <c r="I32" s="325">
        <v>1771.3700000000001</v>
      </c>
      <c r="J32" s="325">
        <v>0</v>
      </c>
      <c r="K32" s="325">
        <f t="shared" si="0"/>
        <v>0</v>
      </c>
      <c r="L32" s="325">
        <f t="shared" si="1"/>
        <v>0</v>
      </c>
      <c r="M32" s="407">
        <v>2.5</v>
      </c>
      <c r="N32" s="408" t="s">
        <v>17</v>
      </c>
      <c r="O32" s="325">
        <f t="shared" si="5"/>
        <v>0</v>
      </c>
      <c r="P32" s="325">
        <f t="shared" si="6"/>
        <v>0</v>
      </c>
      <c r="Q32" s="325">
        <f t="shared" si="7"/>
        <v>0</v>
      </c>
      <c r="R32" s="325">
        <f t="shared" si="2"/>
        <v>0</v>
      </c>
      <c r="S32" s="325">
        <f t="shared" si="3"/>
        <v>24</v>
      </c>
      <c r="T32" s="325">
        <f t="shared" si="8"/>
        <v>24</v>
      </c>
      <c r="U32" s="409">
        <f t="shared" si="4"/>
        <v>1747.3700000000001</v>
      </c>
      <c r="V32" s="325">
        <f t="shared" si="9"/>
        <v>0</v>
      </c>
      <c r="W32" s="449" cm="1">
        <f t="array" ref="W32">+IF(U32&lt;0,error,0)</f>
        <v>0</v>
      </c>
    </row>
    <row r="33" spans="1:23" ht="18" customHeight="1" x14ac:dyDescent="0.2">
      <c r="A33" s="402" t="s">
        <v>66</v>
      </c>
      <c r="B33" s="403"/>
      <c r="C33" s="412" t="s">
        <v>67</v>
      </c>
      <c r="D33" s="405">
        <v>42552</v>
      </c>
      <c r="E33" s="406"/>
      <c r="F33" s="325"/>
      <c r="G33" s="324"/>
      <c r="H33" s="324">
        <v>4654.43</v>
      </c>
      <c r="I33" s="325">
        <v>4248.43</v>
      </c>
      <c r="J33" s="325">
        <v>0</v>
      </c>
      <c r="K33" s="325">
        <f t="shared" si="0"/>
        <v>0</v>
      </c>
      <c r="L33" s="325">
        <f t="shared" si="1"/>
        <v>0</v>
      </c>
      <c r="M33" s="407">
        <v>2.5</v>
      </c>
      <c r="N33" s="408" t="s">
        <v>17</v>
      </c>
      <c r="O33" s="325">
        <f t="shared" si="5"/>
        <v>0</v>
      </c>
      <c r="P33" s="325">
        <f t="shared" si="6"/>
        <v>0</v>
      </c>
      <c r="Q33" s="325">
        <f t="shared" si="7"/>
        <v>0</v>
      </c>
      <c r="R33" s="325">
        <f t="shared" si="2"/>
        <v>0</v>
      </c>
      <c r="S33" s="325">
        <f t="shared" si="3"/>
        <v>58</v>
      </c>
      <c r="T33" s="325">
        <f t="shared" si="8"/>
        <v>58</v>
      </c>
      <c r="U33" s="409">
        <f t="shared" si="4"/>
        <v>4190.43</v>
      </c>
      <c r="V33" s="325">
        <f t="shared" si="9"/>
        <v>0</v>
      </c>
      <c r="W33" s="449" cm="1">
        <f t="array" ref="W33">+IF(U33&lt;0,error,0)</f>
        <v>0</v>
      </c>
    </row>
    <row r="34" spans="1:23" ht="18" customHeight="1" x14ac:dyDescent="0.2">
      <c r="A34" s="402" t="s">
        <v>68</v>
      </c>
      <c r="B34" s="403"/>
      <c r="C34" s="412" t="s">
        <v>69</v>
      </c>
      <c r="D34" s="405">
        <v>42552</v>
      </c>
      <c r="E34" s="406"/>
      <c r="F34" s="325"/>
      <c r="G34" s="324"/>
      <c r="H34" s="324">
        <v>8058.1</v>
      </c>
      <c r="I34" s="325">
        <v>7355.1</v>
      </c>
      <c r="J34" s="325">
        <v>0</v>
      </c>
      <c r="K34" s="325">
        <f t="shared" si="0"/>
        <v>0</v>
      </c>
      <c r="L34" s="325">
        <f t="shared" si="1"/>
        <v>0</v>
      </c>
      <c r="M34" s="407">
        <v>2.5</v>
      </c>
      <c r="N34" s="408" t="s">
        <v>17</v>
      </c>
      <c r="O34" s="325">
        <f t="shared" si="5"/>
        <v>0</v>
      </c>
      <c r="P34" s="325">
        <f t="shared" si="6"/>
        <v>0</v>
      </c>
      <c r="Q34" s="325">
        <f t="shared" si="7"/>
        <v>0</v>
      </c>
      <c r="R34" s="325">
        <f t="shared" si="2"/>
        <v>0</v>
      </c>
      <c r="S34" s="325">
        <f t="shared" si="3"/>
        <v>100</v>
      </c>
      <c r="T34" s="325">
        <f t="shared" si="8"/>
        <v>100</v>
      </c>
      <c r="U34" s="409">
        <f t="shared" si="4"/>
        <v>7255.1</v>
      </c>
      <c r="V34" s="325">
        <f t="shared" si="9"/>
        <v>0</v>
      </c>
      <c r="W34" s="449" cm="1">
        <f t="array" ref="W34">+IF(U34&lt;0,error,0)</f>
        <v>0</v>
      </c>
    </row>
    <row r="35" spans="1:23" ht="18" customHeight="1" x14ac:dyDescent="0.2">
      <c r="A35" s="402" t="s">
        <v>70</v>
      </c>
      <c r="B35" s="403"/>
      <c r="C35" s="411" t="s">
        <v>71</v>
      </c>
      <c r="D35" s="405">
        <v>42821</v>
      </c>
      <c r="E35" s="406"/>
      <c r="F35" s="325"/>
      <c r="G35" s="324"/>
      <c r="H35" s="324">
        <v>17489.650000000001</v>
      </c>
      <c r="I35" s="325">
        <v>16281.650000000001</v>
      </c>
      <c r="J35" s="325">
        <v>0</v>
      </c>
      <c r="K35" s="325">
        <f t="shared" si="0"/>
        <v>0</v>
      </c>
      <c r="L35" s="325">
        <f t="shared" si="1"/>
        <v>0</v>
      </c>
      <c r="M35" s="407">
        <v>2.5</v>
      </c>
      <c r="N35" s="408" t="s">
        <v>17</v>
      </c>
      <c r="O35" s="325">
        <f t="shared" si="5"/>
        <v>0</v>
      </c>
      <c r="P35" s="325">
        <f t="shared" si="6"/>
        <v>0</v>
      </c>
      <c r="Q35" s="325">
        <f t="shared" si="7"/>
        <v>0</v>
      </c>
      <c r="R35" s="325">
        <f t="shared" si="2"/>
        <v>0</v>
      </c>
      <c r="S35" s="325">
        <f t="shared" si="3"/>
        <v>218</v>
      </c>
      <c r="T35" s="325">
        <f t="shared" si="8"/>
        <v>218</v>
      </c>
      <c r="U35" s="409">
        <f t="shared" si="4"/>
        <v>16063.650000000001</v>
      </c>
      <c r="V35" s="325">
        <f t="shared" si="9"/>
        <v>0</v>
      </c>
      <c r="W35" s="449" cm="1">
        <f t="array" ref="W35">+IF(U35&lt;0,error,0)</f>
        <v>0</v>
      </c>
    </row>
    <row r="36" spans="1:23" ht="18" customHeight="1" x14ac:dyDescent="0.2">
      <c r="A36" s="402" t="s">
        <v>72</v>
      </c>
      <c r="B36" s="403"/>
      <c r="C36" s="412" t="s">
        <v>73</v>
      </c>
      <c r="D36" s="405">
        <v>42821</v>
      </c>
      <c r="E36" s="406"/>
      <c r="F36" s="325"/>
      <c r="G36" s="324"/>
      <c r="H36" s="324">
        <v>5347.05</v>
      </c>
      <c r="I36" s="325">
        <v>4979.05</v>
      </c>
      <c r="J36" s="325">
        <v>0</v>
      </c>
      <c r="K36" s="325">
        <f t="shared" si="0"/>
        <v>0</v>
      </c>
      <c r="L36" s="325">
        <f t="shared" si="1"/>
        <v>0</v>
      </c>
      <c r="M36" s="407">
        <v>2.5</v>
      </c>
      <c r="N36" s="408" t="s">
        <v>17</v>
      </c>
      <c r="O36" s="325">
        <f t="shared" si="5"/>
        <v>0</v>
      </c>
      <c r="P36" s="325">
        <f t="shared" si="6"/>
        <v>0</v>
      </c>
      <c r="Q36" s="325">
        <f t="shared" si="7"/>
        <v>0</v>
      </c>
      <c r="R36" s="325">
        <f t="shared" si="2"/>
        <v>0</v>
      </c>
      <c r="S36" s="325">
        <f t="shared" si="3"/>
        <v>66</v>
      </c>
      <c r="T36" s="325">
        <f t="shared" si="8"/>
        <v>66</v>
      </c>
      <c r="U36" s="409">
        <f t="shared" si="4"/>
        <v>4913.05</v>
      </c>
      <c r="V36" s="325">
        <f t="shared" si="9"/>
        <v>0</v>
      </c>
      <c r="W36" s="449" cm="1">
        <f t="array" ref="W36">+IF(U36&lt;0,error,0)</f>
        <v>0</v>
      </c>
    </row>
    <row r="37" spans="1:23" ht="18" customHeight="1" x14ac:dyDescent="0.2">
      <c r="A37" s="402" t="s">
        <v>74</v>
      </c>
      <c r="B37" s="403"/>
      <c r="C37" s="412" t="s">
        <v>75</v>
      </c>
      <c r="D37" s="405">
        <v>42822</v>
      </c>
      <c r="E37" s="406"/>
      <c r="F37" s="325"/>
      <c r="G37" s="324"/>
      <c r="H37" s="324">
        <v>2312.66</v>
      </c>
      <c r="I37" s="325">
        <v>2154.66</v>
      </c>
      <c r="J37" s="325">
        <v>0</v>
      </c>
      <c r="K37" s="325">
        <f t="shared" si="0"/>
        <v>0</v>
      </c>
      <c r="L37" s="325">
        <f t="shared" si="1"/>
        <v>0</v>
      </c>
      <c r="M37" s="407">
        <v>2.5</v>
      </c>
      <c r="N37" s="408" t="s">
        <v>17</v>
      </c>
      <c r="O37" s="325">
        <f t="shared" si="5"/>
        <v>0</v>
      </c>
      <c r="P37" s="325">
        <f t="shared" si="6"/>
        <v>0</v>
      </c>
      <c r="Q37" s="325">
        <f t="shared" si="7"/>
        <v>0</v>
      </c>
      <c r="R37" s="325">
        <f t="shared" si="2"/>
        <v>0</v>
      </c>
      <c r="S37" s="325">
        <f t="shared" si="3"/>
        <v>28</v>
      </c>
      <c r="T37" s="325">
        <f t="shared" si="8"/>
        <v>28</v>
      </c>
      <c r="U37" s="409">
        <f t="shared" si="4"/>
        <v>2126.66</v>
      </c>
      <c r="V37" s="325">
        <f t="shared" si="9"/>
        <v>0</v>
      </c>
      <c r="W37" s="449" cm="1">
        <f t="array" ref="W37">+IF(U37&lt;0,error,0)</f>
        <v>0</v>
      </c>
    </row>
    <row r="38" spans="1:23" ht="18" customHeight="1" x14ac:dyDescent="0.2">
      <c r="A38" s="402" t="s">
        <v>76</v>
      </c>
      <c r="B38" s="403"/>
      <c r="C38" s="412" t="s">
        <v>77</v>
      </c>
      <c r="D38" s="405">
        <v>42618</v>
      </c>
      <c r="E38" s="406"/>
      <c r="F38" s="325"/>
      <c r="G38" s="324"/>
      <c r="H38" s="324">
        <v>1354.5</v>
      </c>
      <c r="I38" s="325">
        <v>1243.5</v>
      </c>
      <c r="J38" s="325">
        <v>0</v>
      </c>
      <c r="K38" s="325">
        <f t="shared" si="0"/>
        <v>0</v>
      </c>
      <c r="L38" s="325">
        <f t="shared" si="1"/>
        <v>0</v>
      </c>
      <c r="M38" s="407">
        <v>2.5</v>
      </c>
      <c r="N38" s="408" t="s">
        <v>17</v>
      </c>
      <c r="O38" s="325">
        <f t="shared" si="5"/>
        <v>0</v>
      </c>
      <c r="P38" s="325">
        <f t="shared" si="6"/>
        <v>0</v>
      </c>
      <c r="Q38" s="325">
        <f t="shared" si="7"/>
        <v>0</v>
      </c>
      <c r="R38" s="325">
        <f t="shared" si="2"/>
        <v>0</v>
      </c>
      <c r="S38" s="325">
        <f t="shared" si="3"/>
        <v>16</v>
      </c>
      <c r="T38" s="325">
        <f t="shared" si="8"/>
        <v>16</v>
      </c>
      <c r="U38" s="409">
        <f t="shared" si="4"/>
        <v>1227.5</v>
      </c>
      <c r="V38" s="325">
        <f t="shared" si="9"/>
        <v>0</v>
      </c>
      <c r="W38" s="449" cm="1">
        <f t="array" ref="W38">+IF(U38&lt;0,error,0)</f>
        <v>0</v>
      </c>
    </row>
    <row r="39" spans="1:23" ht="18" customHeight="1" x14ac:dyDescent="0.2">
      <c r="A39" s="402" t="s">
        <v>78</v>
      </c>
      <c r="B39" s="403"/>
      <c r="C39" s="411" t="s">
        <v>79</v>
      </c>
      <c r="D39" s="405">
        <v>42715</v>
      </c>
      <c r="E39" s="406"/>
      <c r="F39" s="325"/>
      <c r="G39" s="324"/>
      <c r="H39" s="324">
        <v>708</v>
      </c>
      <c r="I39" s="325">
        <v>655</v>
      </c>
      <c r="J39" s="325">
        <v>0</v>
      </c>
      <c r="K39" s="325">
        <f t="shared" si="0"/>
        <v>0</v>
      </c>
      <c r="L39" s="325">
        <f t="shared" si="1"/>
        <v>0</v>
      </c>
      <c r="M39" s="407">
        <v>2.5</v>
      </c>
      <c r="N39" s="408" t="s">
        <v>17</v>
      </c>
      <c r="O39" s="325">
        <f t="shared" si="5"/>
        <v>0</v>
      </c>
      <c r="P39" s="325">
        <f t="shared" si="6"/>
        <v>0</v>
      </c>
      <c r="Q39" s="325">
        <f t="shared" si="7"/>
        <v>0</v>
      </c>
      <c r="R39" s="325">
        <f t="shared" si="2"/>
        <v>0</v>
      </c>
      <c r="S39" s="325">
        <f t="shared" si="3"/>
        <v>8</v>
      </c>
      <c r="T39" s="325">
        <f t="shared" si="8"/>
        <v>8</v>
      </c>
      <c r="U39" s="409">
        <f t="shared" si="4"/>
        <v>647</v>
      </c>
      <c r="V39" s="325">
        <f t="shared" si="9"/>
        <v>0</v>
      </c>
      <c r="W39" s="449" cm="1">
        <f t="array" ref="W39">+IF(U39&lt;0,error,0)</f>
        <v>0</v>
      </c>
    </row>
    <row r="40" spans="1:23" ht="18" customHeight="1" x14ac:dyDescent="0.2">
      <c r="A40" s="402" t="s">
        <v>80</v>
      </c>
      <c r="B40" s="403"/>
      <c r="C40" s="404" t="s">
        <v>81</v>
      </c>
      <c r="D40" s="405">
        <v>42715</v>
      </c>
      <c r="E40" s="406"/>
      <c r="F40" s="325"/>
      <c r="G40" s="324"/>
      <c r="H40" s="324">
        <v>1638</v>
      </c>
      <c r="I40" s="325">
        <v>1514</v>
      </c>
      <c r="J40" s="325">
        <v>0</v>
      </c>
      <c r="K40" s="325">
        <f t="shared" si="0"/>
        <v>0</v>
      </c>
      <c r="L40" s="325">
        <f t="shared" si="1"/>
        <v>0</v>
      </c>
      <c r="M40" s="407">
        <v>2.5</v>
      </c>
      <c r="N40" s="408" t="s">
        <v>17</v>
      </c>
      <c r="O40" s="325">
        <f t="shared" si="5"/>
        <v>0</v>
      </c>
      <c r="P40" s="325">
        <f t="shared" si="6"/>
        <v>0</v>
      </c>
      <c r="Q40" s="325">
        <f t="shared" si="7"/>
        <v>0</v>
      </c>
      <c r="R40" s="325">
        <f t="shared" si="2"/>
        <v>0</v>
      </c>
      <c r="S40" s="325">
        <f t="shared" si="3"/>
        <v>20</v>
      </c>
      <c r="T40" s="325">
        <f t="shared" si="8"/>
        <v>20</v>
      </c>
      <c r="U40" s="409">
        <f t="shared" si="4"/>
        <v>1494</v>
      </c>
      <c r="V40" s="325">
        <f t="shared" si="9"/>
        <v>0</v>
      </c>
      <c r="W40" s="449" cm="1">
        <f t="array" ref="W40">+IF(U40&lt;0,error,0)</f>
        <v>0</v>
      </c>
    </row>
    <row r="41" spans="1:23" ht="18" customHeight="1" x14ac:dyDescent="0.2">
      <c r="A41" s="402" t="s">
        <v>82</v>
      </c>
      <c r="B41" s="403"/>
      <c r="C41" s="404" t="s">
        <v>83</v>
      </c>
      <c r="D41" s="405">
        <v>42978</v>
      </c>
      <c r="E41" s="406"/>
      <c r="F41" s="325"/>
      <c r="G41" s="324"/>
      <c r="H41" s="324">
        <v>1606.5</v>
      </c>
      <c r="I41" s="325">
        <v>1513.5</v>
      </c>
      <c r="J41" s="325">
        <v>0</v>
      </c>
      <c r="K41" s="325">
        <f t="shared" si="0"/>
        <v>0</v>
      </c>
      <c r="L41" s="325">
        <f t="shared" si="1"/>
        <v>0</v>
      </c>
      <c r="M41" s="407">
        <v>2.5</v>
      </c>
      <c r="N41" s="408" t="s">
        <v>17</v>
      </c>
      <c r="O41" s="325">
        <f t="shared" si="5"/>
        <v>0</v>
      </c>
      <c r="P41" s="325">
        <f t="shared" si="6"/>
        <v>0</v>
      </c>
      <c r="Q41" s="325">
        <f t="shared" si="7"/>
        <v>0</v>
      </c>
      <c r="R41" s="325">
        <f t="shared" si="2"/>
        <v>0</v>
      </c>
      <c r="S41" s="325">
        <f t="shared" si="3"/>
        <v>20</v>
      </c>
      <c r="T41" s="325">
        <f t="shared" si="8"/>
        <v>20</v>
      </c>
      <c r="U41" s="409">
        <f t="shared" si="4"/>
        <v>1493.5</v>
      </c>
      <c r="V41" s="325">
        <f t="shared" si="9"/>
        <v>0</v>
      </c>
      <c r="W41" s="449" cm="1">
        <f t="array" ref="W41">+IF(U41&lt;0,error,0)</f>
        <v>0</v>
      </c>
    </row>
    <row r="42" spans="1:23" ht="18" customHeight="1" x14ac:dyDescent="0.2">
      <c r="A42" s="402" t="s">
        <v>84</v>
      </c>
      <c r="B42" s="403"/>
      <c r="C42" s="404" t="s">
        <v>85</v>
      </c>
      <c r="D42" s="405">
        <v>43052</v>
      </c>
      <c r="E42" s="406"/>
      <c r="F42" s="325"/>
      <c r="G42" s="324"/>
      <c r="H42" s="324">
        <v>4693.5</v>
      </c>
      <c r="I42" s="325">
        <v>4444.5</v>
      </c>
      <c r="J42" s="325">
        <v>0</v>
      </c>
      <c r="K42" s="325">
        <f t="shared" si="0"/>
        <v>0</v>
      </c>
      <c r="L42" s="325">
        <f t="shared" si="1"/>
        <v>0</v>
      </c>
      <c r="M42" s="407">
        <v>2.5</v>
      </c>
      <c r="N42" s="408" t="s">
        <v>17</v>
      </c>
      <c r="O42" s="325">
        <f t="shared" si="5"/>
        <v>0</v>
      </c>
      <c r="P42" s="325">
        <f t="shared" si="6"/>
        <v>0</v>
      </c>
      <c r="Q42" s="325">
        <f t="shared" si="7"/>
        <v>0</v>
      </c>
      <c r="R42" s="325">
        <f t="shared" si="2"/>
        <v>0</v>
      </c>
      <c r="S42" s="325">
        <f t="shared" si="3"/>
        <v>58</v>
      </c>
      <c r="T42" s="325">
        <f t="shared" si="8"/>
        <v>58</v>
      </c>
      <c r="U42" s="409">
        <f t="shared" si="4"/>
        <v>4386.5</v>
      </c>
      <c r="V42" s="325">
        <f t="shared" si="9"/>
        <v>0</v>
      </c>
      <c r="W42" s="449" cm="1">
        <f t="array" ref="W42">+IF(U42&lt;0,error,0)</f>
        <v>0</v>
      </c>
    </row>
    <row r="43" spans="1:23" ht="18" customHeight="1" x14ac:dyDescent="0.2">
      <c r="A43" s="402" t="s">
        <v>86</v>
      </c>
      <c r="B43" s="403"/>
      <c r="C43" s="404" t="s">
        <v>87</v>
      </c>
      <c r="D43" s="405">
        <v>43221</v>
      </c>
      <c r="E43" s="406"/>
      <c r="F43" s="325"/>
      <c r="G43" s="324"/>
      <c r="H43" s="324">
        <v>5525</v>
      </c>
      <c r="I43" s="325">
        <v>5295</v>
      </c>
      <c r="J43" s="325">
        <v>0</v>
      </c>
      <c r="K43" s="325">
        <f t="shared" si="0"/>
        <v>0</v>
      </c>
      <c r="L43" s="325">
        <f t="shared" si="1"/>
        <v>0</v>
      </c>
      <c r="M43" s="407">
        <v>2.5</v>
      </c>
      <c r="N43" s="408" t="s">
        <v>17</v>
      </c>
      <c r="O43" s="325">
        <f t="shared" si="5"/>
        <v>0</v>
      </c>
      <c r="P43" s="325">
        <f t="shared" si="6"/>
        <v>0</v>
      </c>
      <c r="Q43" s="325">
        <f t="shared" si="7"/>
        <v>0</v>
      </c>
      <c r="R43" s="325">
        <f t="shared" si="2"/>
        <v>0</v>
      </c>
      <c r="S43" s="325">
        <f t="shared" si="3"/>
        <v>69</v>
      </c>
      <c r="T43" s="325">
        <f t="shared" si="8"/>
        <v>69</v>
      </c>
      <c r="U43" s="409">
        <f t="shared" si="4"/>
        <v>5226</v>
      </c>
      <c r="V43" s="325">
        <f t="shared" si="9"/>
        <v>0</v>
      </c>
      <c r="W43" s="449" cm="1">
        <f t="array" ref="W43">+IF(U43&lt;0,error,0)</f>
        <v>0</v>
      </c>
    </row>
    <row r="44" spans="1:23" ht="18" customHeight="1" x14ac:dyDescent="0.2">
      <c r="A44" s="402" t="s">
        <v>88</v>
      </c>
      <c r="B44" s="403"/>
      <c r="C44" s="404" t="s">
        <v>89</v>
      </c>
      <c r="D44" s="405">
        <v>43281</v>
      </c>
      <c r="E44" s="406"/>
      <c r="F44" s="325"/>
      <c r="G44" s="324"/>
      <c r="H44" s="324">
        <v>1798</v>
      </c>
      <c r="I44" s="325">
        <v>1730</v>
      </c>
      <c r="J44" s="325">
        <v>0</v>
      </c>
      <c r="K44" s="325">
        <f t="shared" si="0"/>
        <v>0</v>
      </c>
      <c r="L44" s="325">
        <f t="shared" si="1"/>
        <v>0</v>
      </c>
      <c r="M44" s="407">
        <v>2.5</v>
      </c>
      <c r="N44" s="408" t="s">
        <v>17</v>
      </c>
      <c r="O44" s="325">
        <f t="shared" si="5"/>
        <v>0</v>
      </c>
      <c r="P44" s="325">
        <f t="shared" si="6"/>
        <v>0</v>
      </c>
      <c r="Q44" s="325">
        <f t="shared" si="7"/>
        <v>0</v>
      </c>
      <c r="R44" s="325">
        <f t="shared" si="2"/>
        <v>0</v>
      </c>
      <c r="S44" s="325">
        <f t="shared" si="3"/>
        <v>22</v>
      </c>
      <c r="T44" s="325">
        <f t="shared" si="8"/>
        <v>22</v>
      </c>
      <c r="U44" s="409">
        <f t="shared" si="4"/>
        <v>1708</v>
      </c>
      <c r="V44" s="325">
        <f t="shared" si="9"/>
        <v>0</v>
      </c>
      <c r="W44" s="449" cm="1">
        <f t="array" ref="W44">+IF(U44&lt;0,error,0)</f>
        <v>0</v>
      </c>
    </row>
    <row r="45" spans="1:23" ht="18" customHeight="1" x14ac:dyDescent="0.2">
      <c r="A45" s="402" t="s">
        <v>90</v>
      </c>
      <c r="B45" s="403"/>
      <c r="C45" s="404" t="s">
        <v>91</v>
      </c>
      <c r="D45" s="405">
        <v>43248</v>
      </c>
      <c r="E45" s="406"/>
      <c r="F45" s="325"/>
      <c r="G45" s="324"/>
      <c r="H45" s="324">
        <v>1153.18</v>
      </c>
      <c r="I45" s="325">
        <v>1108.18</v>
      </c>
      <c r="J45" s="325">
        <v>0</v>
      </c>
      <c r="K45" s="325">
        <f t="shared" si="0"/>
        <v>0</v>
      </c>
      <c r="L45" s="325">
        <f t="shared" si="1"/>
        <v>0</v>
      </c>
      <c r="M45" s="407">
        <v>2.5</v>
      </c>
      <c r="N45" s="408" t="s">
        <v>17</v>
      </c>
      <c r="O45" s="325">
        <f t="shared" si="5"/>
        <v>0</v>
      </c>
      <c r="P45" s="325">
        <f t="shared" si="6"/>
        <v>0</v>
      </c>
      <c r="Q45" s="325">
        <f t="shared" si="7"/>
        <v>0</v>
      </c>
      <c r="R45" s="325">
        <f t="shared" si="2"/>
        <v>0</v>
      </c>
      <c r="S45" s="325">
        <f t="shared" si="3"/>
        <v>14</v>
      </c>
      <c r="T45" s="325">
        <f t="shared" si="8"/>
        <v>14</v>
      </c>
      <c r="U45" s="409">
        <f t="shared" si="4"/>
        <v>1094.18</v>
      </c>
      <c r="V45" s="325">
        <f t="shared" si="9"/>
        <v>0</v>
      </c>
      <c r="W45" s="449" cm="1">
        <f t="array" ref="W45">+IF(U45&lt;0,error,0)</f>
        <v>0</v>
      </c>
    </row>
    <row r="46" spans="1:23" ht="18" customHeight="1" x14ac:dyDescent="0.2">
      <c r="A46" s="402" t="s">
        <v>92</v>
      </c>
      <c r="B46" s="403"/>
      <c r="C46" s="404" t="s">
        <v>93</v>
      </c>
      <c r="D46" s="405">
        <v>43236</v>
      </c>
      <c r="E46" s="406"/>
      <c r="F46" s="325"/>
      <c r="G46" s="324"/>
      <c r="H46" s="324">
        <v>1855</v>
      </c>
      <c r="I46" s="325">
        <v>1780</v>
      </c>
      <c r="J46" s="325">
        <v>0</v>
      </c>
      <c r="K46" s="325">
        <f t="shared" si="0"/>
        <v>0</v>
      </c>
      <c r="L46" s="325">
        <f t="shared" si="1"/>
        <v>0</v>
      </c>
      <c r="M46" s="407">
        <v>2.5</v>
      </c>
      <c r="N46" s="408" t="s">
        <v>17</v>
      </c>
      <c r="O46" s="325">
        <f t="shared" si="5"/>
        <v>0</v>
      </c>
      <c r="P46" s="325">
        <f t="shared" si="6"/>
        <v>0</v>
      </c>
      <c r="Q46" s="325">
        <f t="shared" si="7"/>
        <v>0</v>
      </c>
      <c r="R46" s="325">
        <f t="shared" si="2"/>
        <v>0</v>
      </c>
      <c r="S46" s="325">
        <f t="shared" si="3"/>
        <v>23</v>
      </c>
      <c r="T46" s="325">
        <f t="shared" si="8"/>
        <v>23</v>
      </c>
      <c r="U46" s="409">
        <f t="shared" si="4"/>
        <v>1757</v>
      </c>
      <c r="V46" s="325">
        <f t="shared" si="9"/>
        <v>0</v>
      </c>
      <c r="W46" s="449" cm="1">
        <f t="array" ref="W46">+IF(U46&lt;0,error,0)</f>
        <v>0</v>
      </c>
    </row>
    <row r="47" spans="1:23" ht="18" customHeight="1" x14ac:dyDescent="0.2">
      <c r="A47" s="402" t="s">
        <v>94</v>
      </c>
      <c r="B47" s="403"/>
      <c r="C47" s="412" t="s">
        <v>95</v>
      </c>
      <c r="D47" s="405">
        <v>42978</v>
      </c>
      <c r="E47" s="406"/>
      <c r="F47" s="325"/>
      <c r="G47" s="324"/>
      <c r="H47" s="324">
        <v>6331.5</v>
      </c>
      <c r="I47" s="325">
        <v>5962.5</v>
      </c>
      <c r="J47" s="325">
        <v>0</v>
      </c>
      <c r="K47" s="325">
        <f t="shared" si="0"/>
        <v>0</v>
      </c>
      <c r="L47" s="325">
        <f t="shared" si="1"/>
        <v>0</v>
      </c>
      <c r="M47" s="407">
        <v>2.5</v>
      </c>
      <c r="N47" s="408" t="s">
        <v>17</v>
      </c>
      <c r="O47" s="325">
        <f t="shared" si="5"/>
        <v>0</v>
      </c>
      <c r="P47" s="325">
        <f t="shared" si="6"/>
        <v>0</v>
      </c>
      <c r="Q47" s="325">
        <f t="shared" si="7"/>
        <v>0</v>
      </c>
      <c r="R47" s="325">
        <f t="shared" si="2"/>
        <v>0</v>
      </c>
      <c r="S47" s="325">
        <f t="shared" si="3"/>
        <v>79</v>
      </c>
      <c r="T47" s="325">
        <f t="shared" si="8"/>
        <v>79</v>
      </c>
      <c r="U47" s="409">
        <f t="shared" si="4"/>
        <v>5883.5</v>
      </c>
      <c r="V47" s="325">
        <f t="shared" si="9"/>
        <v>0</v>
      </c>
      <c r="W47" s="449" cm="1">
        <f t="array" ref="W47">+IF(U47&lt;0,error,0)</f>
        <v>0</v>
      </c>
    </row>
    <row r="48" spans="1:23" ht="18" customHeight="1" x14ac:dyDescent="0.2">
      <c r="A48" s="402" t="s">
        <v>96</v>
      </c>
      <c r="B48" s="403"/>
      <c r="C48" s="404" t="s">
        <v>97</v>
      </c>
      <c r="D48" s="405">
        <v>42999</v>
      </c>
      <c r="E48" s="406"/>
      <c r="F48" s="325"/>
      <c r="G48" s="324"/>
      <c r="H48" s="324">
        <v>2335.2000000000003</v>
      </c>
      <c r="I48" s="325">
        <v>2203.2000000000003</v>
      </c>
      <c r="J48" s="325">
        <v>0</v>
      </c>
      <c r="K48" s="325">
        <f t="shared" si="0"/>
        <v>0</v>
      </c>
      <c r="L48" s="325">
        <f t="shared" si="1"/>
        <v>0</v>
      </c>
      <c r="M48" s="407">
        <v>2.5</v>
      </c>
      <c r="N48" s="408" t="s">
        <v>17</v>
      </c>
      <c r="O48" s="325">
        <f t="shared" si="5"/>
        <v>0</v>
      </c>
      <c r="P48" s="325">
        <f t="shared" si="6"/>
        <v>0</v>
      </c>
      <c r="Q48" s="325">
        <f t="shared" si="7"/>
        <v>0</v>
      </c>
      <c r="R48" s="325">
        <f t="shared" si="2"/>
        <v>0</v>
      </c>
      <c r="S48" s="325">
        <f t="shared" si="3"/>
        <v>29</v>
      </c>
      <c r="T48" s="325">
        <f t="shared" si="8"/>
        <v>29</v>
      </c>
      <c r="U48" s="409">
        <f t="shared" si="4"/>
        <v>2174.2000000000003</v>
      </c>
      <c r="V48" s="325">
        <f t="shared" si="9"/>
        <v>0</v>
      </c>
      <c r="W48" s="449" cm="1">
        <f t="array" ref="W48">+IF(U48&lt;0,error,0)</f>
        <v>0</v>
      </c>
    </row>
    <row r="49" spans="1:23" ht="18" customHeight="1" x14ac:dyDescent="0.2">
      <c r="A49" s="402" t="s">
        <v>98</v>
      </c>
      <c r="B49" s="403"/>
      <c r="C49" s="404" t="s">
        <v>99</v>
      </c>
      <c r="D49" s="405">
        <v>43008</v>
      </c>
      <c r="E49" s="406"/>
      <c r="F49" s="325"/>
      <c r="G49" s="324"/>
      <c r="H49" s="324">
        <v>5544</v>
      </c>
      <c r="I49" s="325">
        <v>5233</v>
      </c>
      <c r="J49" s="325">
        <v>0</v>
      </c>
      <c r="K49" s="325">
        <f t="shared" si="0"/>
        <v>0</v>
      </c>
      <c r="L49" s="325">
        <f t="shared" si="1"/>
        <v>0</v>
      </c>
      <c r="M49" s="407">
        <v>2.5</v>
      </c>
      <c r="N49" s="408" t="s">
        <v>17</v>
      </c>
      <c r="O49" s="325">
        <f t="shared" si="5"/>
        <v>0</v>
      </c>
      <c r="P49" s="325">
        <f t="shared" si="6"/>
        <v>0</v>
      </c>
      <c r="Q49" s="325">
        <f t="shared" si="7"/>
        <v>0</v>
      </c>
      <c r="R49" s="325">
        <f t="shared" si="2"/>
        <v>0</v>
      </c>
      <c r="S49" s="325">
        <f t="shared" si="3"/>
        <v>69</v>
      </c>
      <c r="T49" s="325">
        <f t="shared" si="8"/>
        <v>69</v>
      </c>
      <c r="U49" s="409">
        <f t="shared" si="4"/>
        <v>5164</v>
      </c>
      <c r="V49" s="325">
        <f t="shared" si="9"/>
        <v>0</v>
      </c>
      <c r="W49" s="449" cm="1">
        <f t="array" ref="W49">+IF(U49&lt;0,error,0)</f>
        <v>0</v>
      </c>
    </row>
    <row r="50" spans="1:23" ht="18" customHeight="1" x14ac:dyDescent="0.2">
      <c r="A50" s="402" t="s">
        <v>100</v>
      </c>
      <c r="B50" s="403"/>
      <c r="C50" s="404" t="s">
        <v>101</v>
      </c>
      <c r="D50" s="405">
        <v>43013</v>
      </c>
      <c r="E50" s="406"/>
      <c r="F50" s="325"/>
      <c r="G50" s="324"/>
      <c r="H50" s="324">
        <v>2712.9700000000003</v>
      </c>
      <c r="I50" s="325">
        <v>2562.9700000000003</v>
      </c>
      <c r="J50" s="325">
        <v>0</v>
      </c>
      <c r="K50" s="325">
        <f t="shared" si="0"/>
        <v>0</v>
      </c>
      <c r="L50" s="325">
        <f t="shared" si="1"/>
        <v>0</v>
      </c>
      <c r="M50" s="407">
        <v>2.5</v>
      </c>
      <c r="N50" s="408" t="s">
        <v>17</v>
      </c>
      <c r="O50" s="325">
        <f t="shared" si="5"/>
        <v>0</v>
      </c>
      <c r="P50" s="325">
        <f t="shared" si="6"/>
        <v>0</v>
      </c>
      <c r="Q50" s="325">
        <f t="shared" si="7"/>
        <v>0</v>
      </c>
      <c r="R50" s="325">
        <f t="shared" si="2"/>
        <v>0</v>
      </c>
      <c r="S50" s="325">
        <f t="shared" si="3"/>
        <v>33</v>
      </c>
      <c r="T50" s="325">
        <f t="shared" si="8"/>
        <v>33</v>
      </c>
      <c r="U50" s="409">
        <f t="shared" si="4"/>
        <v>2529.9700000000003</v>
      </c>
      <c r="V50" s="325">
        <f t="shared" si="9"/>
        <v>0</v>
      </c>
      <c r="W50" s="449" cm="1">
        <f t="array" ref="W50">+IF(U50&lt;0,error,0)</f>
        <v>0</v>
      </c>
    </row>
    <row r="51" spans="1:23" ht="18" customHeight="1" x14ac:dyDescent="0.2">
      <c r="A51" s="402" t="s">
        <v>102</v>
      </c>
      <c r="B51" s="403"/>
      <c r="C51" s="404" t="s">
        <v>103</v>
      </c>
      <c r="D51" s="405">
        <v>43122</v>
      </c>
      <c r="E51" s="406"/>
      <c r="F51" s="325"/>
      <c r="G51" s="324"/>
      <c r="H51" s="324">
        <v>1562.96</v>
      </c>
      <c r="I51" s="325">
        <v>1488.96</v>
      </c>
      <c r="J51" s="325">
        <v>0</v>
      </c>
      <c r="K51" s="325">
        <f t="shared" si="0"/>
        <v>0</v>
      </c>
      <c r="L51" s="325">
        <f t="shared" si="1"/>
        <v>0</v>
      </c>
      <c r="M51" s="407">
        <v>2.5</v>
      </c>
      <c r="N51" s="408" t="s">
        <v>17</v>
      </c>
      <c r="O51" s="325">
        <f t="shared" si="5"/>
        <v>0</v>
      </c>
      <c r="P51" s="325">
        <f t="shared" si="6"/>
        <v>0</v>
      </c>
      <c r="Q51" s="325">
        <f t="shared" si="7"/>
        <v>0</v>
      </c>
      <c r="R51" s="325">
        <f t="shared" si="2"/>
        <v>0</v>
      </c>
      <c r="S51" s="325">
        <f t="shared" si="3"/>
        <v>19</v>
      </c>
      <c r="T51" s="325">
        <f t="shared" si="8"/>
        <v>19</v>
      </c>
      <c r="U51" s="409">
        <f t="shared" si="4"/>
        <v>1469.96</v>
      </c>
      <c r="V51" s="325">
        <f t="shared" si="9"/>
        <v>0</v>
      </c>
      <c r="W51" s="449" cm="1">
        <f t="array" ref="W51">+IF(U51&lt;0,error,0)</f>
        <v>0</v>
      </c>
    </row>
    <row r="52" spans="1:23" ht="18" customHeight="1" x14ac:dyDescent="0.2">
      <c r="A52" s="402" t="s">
        <v>104</v>
      </c>
      <c r="B52" s="403"/>
      <c r="C52" s="404" t="s">
        <v>105</v>
      </c>
      <c r="D52" s="405">
        <v>43122</v>
      </c>
      <c r="E52" s="406"/>
      <c r="F52" s="325"/>
      <c r="G52" s="324"/>
      <c r="H52" s="324">
        <v>2460</v>
      </c>
      <c r="I52" s="325">
        <v>2342</v>
      </c>
      <c r="J52" s="325">
        <v>0</v>
      </c>
      <c r="K52" s="325">
        <f t="shared" si="0"/>
        <v>0</v>
      </c>
      <c r="L52" s="325">
        <f t="shared" si="1"/>
        <v>0</v>
      </c>
      <c r="M52" s="407">
        <v>2.5</v>
      </c>
      <c r="N52" s="408" t="s">
        <v>17</v>
      </c>
      <c r="O52" s="325">
        <f t="shared" si="5"/>
        <v>0</v>
      </c>
      <c r="P52" s="325">
        <f t="shared" si="6"/>
        <v>0</v>
      </c>
      <c r="Q52" s="325">
        <f t="shared" si="7"/>
        <v>0</v>
      </c>
      <c r="R52" s="325">
        <f t="shared" si="2"/>
        <v>0</v>
      </c>
      <c r="S52" s="325">
        <f t="shared" si="3"/>
        <v>30</v>
      </c>
      <c r="T52" s="325">
        <f t="shared" si="8"/>
        <v>30</v>
      </c>
      <c r="U52" s="409">
        <f t="shared" si="4"/>
        <v>2312</v>
      </c>
      <c r="V52" s="325">
        <f t="shared" si="9"/>
        <v>0</v>
      </c>
      <c r="W52" s="449" cm="1">
        <f t="array" ref="W52">+IF(U52&lt;0,error,0)</f>
        <v>0</v>
      </c>
    </row>
    <row r="53" spans="1:23" ht="18" customHeight="1" x14ac:dyDescent="0.2">
      <c r="A53" s="402" t="s">
        <v>106</v>
      </c>
      <c r="B53" s="403"/>
      <c r="C53" s="404" t="s">
        <v>107</v>
      </c>
      <c r="D53" s="405">
        <v>43131</v>
      </c>
      <c r="E53" s="406"/>
      <c r="F53" s="325"/>
      <c r="G53" s="324"/>
      <c r="H53" s="324">
        <v>3969</v>
      </c>
      <c r="I53" s="325">
        <v>3780</v>
      </c>
      <c r="J53" s="325">
        <v>0</v>
      </c>
      <c r="K53" s="325">
        <f t="shared" si="0"/>
        <v>0</v>
      </c>
      <c r="L53" s="325">
        <f t="shared" si="1"/>
        <v>0</v>
      </c>
      <c r="M53" s="407">
        <v>2.5</v>
      </c>
      <c r="N53" s="408" t="s">
        <v>17</v>
      </c>
      <c r="O53" s="325">
        <f t="shared" si="5"/>
        <v>0</v>
      </c>
      <c r="P53" s="325">
        <f t="shared" si="6"/>
        <v>0</v>
      </c>
      <c r="Q53" s="325">
        <f t="shared" si="7"/>
        <v>0</v>
      </c>
      <c r="R53" s="325">
        <f t="shared" si="2"/>
        <v>0</v>
      </c>
      <c r="S53" s="325">
        <f t="shared" si="3"/>
        <v>49</v>
      </c>
      <c r="T53" s="325">
        <f t="shared" si="8"/>
        <v>49</v>
      </c>
      <c r="U53" s="409">
        <f t="shared" si="4"/>
        <v>3731</v>
      </c>
      <c r="V53" s="325">
        <f t="shared" si="9"/>
        <v>0</v>
      </c>
      <c r="W53" s="449" cm="1">
        <f t="array" ref="W53">+IF(U53&lt;0,error,0)</f>
        <v>0</v>
      </c>
    </row>
    <row r="54" spans="1:23" ht="18" customHeight="1" x14ac:dyDescent="0.2">
      <c r="A54" s="402" t="s">
        <v>108</v>
      </c>
      <c r="B54" s="403"/>
      <c r="C54" s="404" t="s">
        <v>109</v>
      </c>
      <c r="D54" s="405">
        <v>43159</v>
      </c>
      <c r="E54" s="406"/>
      <c r="F54" s="325"/>
      <c r="G54" s="324"/>
      <c r="H54" s="324">
        <v>3720</v>
      </c>
      <c r="I54" s="325">
        <v>3550</v>
      </c>
      <c r="J54" s="325">
        <v>0</v>
      </c>
      <c r="K54" s="325">
        <f t="shared" si="0"/>
        <v>0</v>
      </c>
      <c r="L54" s="325">
        <f t="shared" si="1"/>
        <v>0</v>
      </c>
      <c r="M54" s="407">
        <v>2.5</v>
      </c>
      <c r="N54" s="408" t="s">
        <v>17</v>
      </c>
      <c r="O54" s="325">
        <f t="shared" si="5"/>
        <v>0</v>
      </c>
      <c r="P54" s="325">
        <f t="shared" si="6"/>
        <v>0</v>
      </c>
      <c r="Q54" s="325">
        <f t="shared" si="7"/>
        <v>0</v>
      </c>
      <c r="R54" s="325">
        <f t="shared" si="2"/>
        <v>0</v>
      </c>
      <c r="S54" s="325">
        <f t="shared" si="3"/>
        <v>46</v>
      </c>
      <c r="T54" s="325">
        <f t="shared" si="8"/>
        <v>46</v>
      </c>
      <c r="U54" s="409">
        <f t="shared" si="4"/>
        <v>3504</v>
      </c>
      <c r="V54" s="325">
        <f t="shared" si="9"/>
        <v>0</v>
      </c>
      <c r="W54" s="449" cm="1">
        <f t="array" ref="W54">+IF(U54&lt;0,error,0)</f>
        <v>0</v>
      </c>
    </row>
    <row r="55" spans="1:23" ht="18" customHeight="1" x14ac:dyDescent="0.2">
      <c r="A55" s="402" t="s">
        <v>110</v>
      </c>
      <c r="B55" s="403"/>
      <c r="C55" s="404" t="s">
        <v>111</v>
      </c>
      <c r="D55" s="405">
        <v>43009</v>
      </c>
      <c r="E55" s="406"/>
      <c r="F55" s="325"/>
      <c r="G55" s="324"/>
      <c r="H55" s="324">
        <v>6250</v>
      </c>
      <c r="I55" s="325">
        <v>5899</v>
      </c>
      <c r="J55" s="325">
        <v>0</v>
      </c>
      <c r="K55" s="325">
        <f t="shared" si="0"/>
        <v>0</v>
      </c>
      <c r="L55" s="325">
        <f t="shared" si="1"/>
        <v>0</v>
      </c>
      <c r="M55" s="407">
        <v>2.5</v>
      </c>
      <c r="N55" s="408" t="s">
        <v>17</v>
      </c>
      <c r="O55" s="325">
        <f t="shared" si="5"/>
        <v>0</v>
      </c>
      <c r="P55" s="325">
        <f t="shared" si="6"/>
        <v>0</v>
      </c>
      <c r="Q55" s="325">
        <f t="shared" si="7"/>
        <v>0</v>
      </c>
      <c r="R55" s="325">
        <f t="shared" si="2"/>
        <v>0</v>
      </c>
      <c r="S55" s="325">
        <f t="shared" si="3"/>
        <v>78</v>
      </c>
      <c r="T55" s="325">
        <f t="shared" si="8"/>
        <v>78</v>
      </c>
      <c r="U55" s="409">
        <f t="shared" si="4"/>
        <v>5821</v>
      </c>
      <c r="V55" s="325">
        <f t="shared" si="9"/>
        <v>0</v>
      </c>
      <c r="W55" s="449" cm="1">
        <f t="array" ref="W55">+IF(U55&lt;0,error,0)</f>
        <v>0</v>
      </c>
    </row>
    <row r="56" spans="1:23" ht="18" customHeight="1" x14ac:dyDescent="0.2">
      <c r="A56" s="402" t="s">
        <v>112</v>
      </c>
      <c r="B56" s="403"/>
      <c r="C56" s="404" t="s">
        <v>113</v>
      </c>
      <c r="D56" s="405">
        <v>43009</v>
      </c>
      <c r="E56" s="406"/>
      <c r="F56" s="325"/>
      <c r="G56" s="324"/>
      <c r="H56" s="324">
        <v>1702.31</v>
      </c>
      <c r="I56" s="325">
        <v>1607.31</v>
      </c>
      <c r="J56" s="325">
        <v>0</v>
      </c>
      <c r="K56" s="325">
        <f t="shared" si="0"/>
        <v>0</v>
      </c>
      <c r="L56" s="325">
        <f t="shared" si="1"/>
        <v>0</v>
      </c>
      <c r="M56" s="407">
        <v>2.5</v>
      </c>
      <c r="N56" s="408" t="s">
        <v>17</v>
      </c>
      <c r="O56" s="325">
        <f t="shared" si="5"/>
        <v>0</v>
      </c>
      <c r="P56" s="325">
        <f t="shared" si="6"/>
        <v>0</v>
      </c>
      <c r="Q56" s="325">
        <f t="shared" si="7"/>
        <v>0</v>
      </c>
      <c r="R56" s="325">
        <f t="shared" si="2"/>
        <v>0</v>
      </c>
      <c r="S56" s="325">
        <f t="shared" si="3"/>
        <v>21</v>
      </c>
      <c r="T56" s="325">
        <f t="shared" si="8"/>
        <v>21</v>
      </c>
      <c r="U56" s="409">
        <f t="shared" si="4"/>
        <v>1586.31</v>
      </c>
      <c r="V56" s="325">
        <f t="shared" si="9"/>
        <v>0</v>
      </c>
      <c r="W56" s="449" cm="1">
        <f t="array" ref="W56">+IF(U56&lt;0,error,0)</f>
        <v>0</v>
      </c>
    </row>
    <row r="57" spans="1:23" ht="18" customHeight="1" x14ac:dyDescent="0.2">
      <c r="A57" s="402" t="s">
        <v>114</v>
      </c>
      <c r="B57" s="403"/>
      <c r="C57" s="404" t="s">
        <v>115</v>
      </c>
      <c r="D57" s="405">
        <v>43109</v>
      </c>
      <c r="E57" s="406"/>
      <c r="F57" s="325"/>
      <c r="G57" s="324"/>
      <c r="H57" s="324">
        <v>1108</v>
      </c>
      <c r="I57" s="325">
        <v>1054</v>
      </c>
      <c r="J57" s="325">
        <v>0</v>
      </c>
      <c r="K57" s="325">
        <f t="shared" si="0"/>
        <v>0</v>
      </c>
      <c r="L57" s="325">
        <f t="shared" si="1"/>
        <v>0</v>
      </c>
      <c r="M57" s="407">
        <v>2.5</v>
      </c>
      <c r="N57" s="408" t="s">
        <v>17</v>
      </c>
      <c r="O57" s="325">
        <f t="shared" si="5"/>
        <v>0</v>
      </c>
      <c r="P57" s="325">
        <f t="shared" si="6"/>
        <v>0</v>
      </c>
      <c r="Q57" s="325">
        <f t="shared" si="7"/>
        <v>0</v>
      </c>
      <c r="R57" s="325">
        <f t="shared" si="2"/>
        <v>0</v>
      </c>
      <c r="S57" s="325">
        <f t="shared" si="3"/>
        <v>13</v>
      </c>
      <c r="T57" s="325">
        <f t="shared" si="8"/>
        <v>13</v>
      </c>
      <c r="U57" s="409">
        <f t="shared" si="4"/>
        <v>1041</v>
      </c>
      <c r="V57" s="325">
        <f t="shared" si="9"/>
        <v>0</v>
      </c>
      <c r="W57" s="449" cm="1">
        <f t="array" ref="W57">+IF(U57&lt;0,error,0)</f>
        <v>0</v>
      </c>
    </row>
    <row r="58" spans="1:23" ht="18" customHeight="1" x14ac:dyDescent="0.2">
      <c r="A58" s="402" t="s">
        <v>116</v>
      </c>
      <c r="B58" s="403"/>
      <c r="C58" s="404" t="s">
        <v>117</v>
      </c>
      <c r="D58" s="405">
        <v>43112</v>
      </c>
      <c r="E58" s="406"/>
      <c r="F58" s="325"/>
      <c r="G58" s="324"/>
      <c r="H58" s="324">
        <v>2399.88</v>
      </c>
      <c r="I58" s="325">
        <v>2283.88</v>
      </c>
      <c r="J58" s="325">
        <v>0</v>
      </c>
      <c r="K58" s="325">
        <f t="shared" si="0"/>
        <v>0</v>
      </c>
      <c r="L58" s="325">
        <f t="shared" si="1"/>
        <v>0</v>
      </c>
      <c r="M58" s="407">
        <v>2.5</v>
      </c>
      <c r="N58" s="408" t="s">
        <v>17</v>
      </c>
      <c r="O58" s="325">
        <f t="shared" si="5"/>
        <v>0</v>
      </c>
      <c r="P58" s="325">
        <f t="shared" si="6"/>
        <v>0</v>
      </c>
      <c r="Q58" s="325">
        <f t="shared" si="7"/>
        <v>0</v>
      </c>
      <c r="R58" s="325">
        <f t="shared" si="2"/>
        <v>0</v>
      </c>
      <c r="S58" s="325">
        <f t="shared" si="3"/>
        <v>29</v>
      </c>
      <c r="T58" s="325">
        <f t="shared" si="8"/>
        <v>29</v>
      </c>
      <c r="U58" s="409">
        <f t="shared" si="4"/>
        <v>2254.88</v>
      </c>
      <c r="V58" s="325">
        <f t="shared" si="9"/>
        <v>0</v>
      </c>
      <c r="W58" s="449" cm="1">
        <f t="array" ref="W58">+IF(U58&lt;0,error,0)</f>
        <v>0</v>
      </c>
    </row>
    <row r="59" spans="1:23" ht="18" customHeight="1" x14ac:dyDescent="0.2">
      <c r="A59" s="402" t="s">
        <v>118</v>
      </c>
      <c r="B59" s="403"/>
      <c r="C59" s="404" t="s">
        <v>119</v>
      </c>
      <c r="D59" s="405">
        <v>43116</v>
      </c>
      <c r="E59" s="406"/>
      <c r="F59" s="325"/>
      <c r="G59" s="324"/>
      <c r="H59" s="324">
        <v>15330</v>
      </c>
      <c r="I59" s="325">
        <v>14581</v>
      </c>
      <c r="J59" s="325">
        <v>0</v>
      </c>
      <c r="K59" s="325">
        <f t="shared" si="0"/>
        <v>0</v>
      </c>
      <c r="L59" s="325">
        <f t="shared" si="1"/>
        <v>0</v>
      </c>
      <c r="M59" s="407">
        <v>2.5</v>
      </c>
      <c r="N59" s="408" t="s">
        <v>17</v>
      </c>
      <c r="O59" s="325">
        <f t="shared" si="5"/>
        <v>0</v>
      </c>
      <c r="P59" s="325">
        <f t="shared" si="6"/>
        <v>0</v>
      </c>
      <c r="Q59" s="325">
        <f t="shared" si="7"/>
        <v>0</v>
      </c>
      <c r="R59" s="325">
        <f t="shared" si="2"/>
        <v>0</v>
      </c>
      <c r="S59" s="325">
        <f t="shared" si="3"/>
        <v>191</v>
      </c>
      <c r="T59" s="325">
        <f t="shared" si="8"/>
        <v>191</v>
      </c>
      <c r="U59" s="409">
        <f t="shared" si="4"/>
        <v>14390</v>
      </c>
      <c r="V59" s="325">
        <f t="shared" si="9"/>
        <v>0</v>
      </c>
      <c r="W59" s="449" cm="1">
        <f t="array" ref="W59">+IF(U59&lt;0,error,0)</f>
        <v>0</v>
      </c>
    </row>
    <row r="60" spans="1:23" ht="18" customHeight="1" x14ac:dyDescent="0.2">
      <c r="A60" s="402" t="s">
        <v>120</v>
      </c>
      <c r="B60" s="403"/>
      <c r="C60" s="412" t="s">
        <v>121</v>
      </c>
      <c r="D60" s="405">
        <v>43117</v>
      </c>
      <c r="E60" s="406"/>
      <c r="F60" s="325"/>
      <c r="G60" s="324"/>
      <c r="H60" s="324">
        <v>45454.55</v>
      </c>
      <c r="I60" s="325">
        <v>43234.55</v>
      </c>
      <c r="J60" s="325">
        <v>0</v>
      </c>
      <c r="K60" s="325">
        <f t="shared" si="0"/>
        <v>0</v>
      </c>
      <c r="L60" s="325">
        <f t="shared" si="1"/>
        <v>0</v>
      </c>
      <c r="M60" s="407">
        <v>2.5</v>
      </c>
      <c r="N60" s="408" t="s">
        <v>17</v>
      </c>
      <c r="O60" s="325">
        <f t="shared" si="5"/>
        <v>0</v>
      </c>
      <c r="P60" s="325">
        <f t="shared" si="6"/>
        <v>0</v>
      </c>
      <c r="Q60" s="325">
        <f t="shared" si="7"/>
        <v>0</v>
      </c>
      <c r="R60" s="325">
        <f t="shared" si="2"/>
        <v>0</v>
      </c>
      <c r="S60" s="325">
        <f t="shared" si="3"/>
        <v>568</v>
      </c>
      <c r="T60" s="325">
        <f t="shared" si="8"/>
        <v>568</v>
      </c>
      <c r="U60" s="409">
        <f t="shared" si="4"/>
        <v>42666.55</v>
      </c>
      <c r="V60" s="325">
        <f t="shared" si="9"/>
        <v>0</v>
      </c>
      <c r="W60" s="449" cm="1">
        <f t="array" ref="W60">+IF(U60&lt;0,error,0)</f>
        <v>0</v>
      </c>
    </row>
    <row r="61" spans="1:23" ht="18" customHeight="1" x14ac:dyDescent="0.2">
      <c r="A61" s="402" t="s">
        <v>122</v>
      </c>
      <c r="B61" s="403"/>
      <c r="C61" s="411" t="s">
        <v>123</v>
      </c>
      <c r="D61" s="405">
        <v>43131</v>
      </c>
      <c r="E61" s="406"/>
      <c r="F61" s="325"/>
      <c r="G61" s="324"/>
      <c r="H61" s="324">
        <v>1953</v>
      </c>
      <c r="I61" s="325">
        <v>1861</v>
      </c>
      <c r="J61" s="325">
        <v>0</v>
      </c>
      <c r="K61" s="325">
        <f t="shared" si="0"/>
        <v>0</v>
      </c>
      <c r="L61" s="325">
        <f t="shared" si="1"/>
        <v>0</v>
      </c>
      <c r="M61" s="407">
        <v>2.5</v>
      </c>
      <c r="N61" s="408" t="s">
        <v>17</v>
      </c>
      <c r="O61" s="325">
        <f t="shared" si="5"/>
        <v>0</v>
      </c>
      <c r="P61" s="325">
        <f t="shared" si="6"/>
        <v>0</v>
      </c>
      <c r="Q61" s="325">
        <f t="shared" si="7"/>
        <v>0</v>
      </c>
      <c r="R61" s="325">
        <f t="shared" si="2"/>
        <v>0</v>
      </c>
      <c r="S61" s="325">
        <f t="shared" si="3"/>
        <v>24</v>
      </c>
      <c r="T61" s="325">
        <f t="shared" si="8"/>
        <v>24</v>
      </c>
      <c r="U61" s="409">
        <f t="shared" si="4"/>
        <v>1837</v>
      </c>
      <c r="V61" s="325">
        <f t="shared" si="9"/>
        <v>0</v>
      </c>
      <c r="W61" s="449" cm="1">
        <f t="array" ref="W61">+IF(U61&lt;0,error,0)</f>
        <v>0</v>
      </c>
    </row>
    <row r="62" spans="1:23" ht="18" customHeight="1" x14ac:dyDescent="0.2">
      <c r="A62" s="402" t="s">
        <v>124</v>
      </c>
      <c r="B62" s="403"/>
      <c r="C62" s="412" t="s">
        <v>125</v>
      </c>
      <c r="D62" s="405">
        <v>42917</v>
      </c>
      <c r="E62" s="406"/>
      <c r="F62" s="325"/>
      <c r="G62" s="324"/>
      <c r="H62" s="324">
        <v>16448.25</v>
      </c>
      <c r="I62" s="325">
        <v>15421.25</v>
      </c>
      <c r="J62" s="325">
        <v>0</v>
      </c>
      <c r="K62" s="325">
        <f t="shared" si="0"/>
        <v>0</v>
      </c>
      <c r="L62" s="325">
        <f t="shared" si="1"/>
        <v>0</v>
      </c>
      <c r="M62" s="407">
        <v>2.5</v>
      </c>
      <c r="N62" s="408" t="s">
        <v>17</v>
      </c>
      <c r="O62" s="325">
        <f t="shared" si="5"/>
        <v>0</v>
      </c>
      <c r="P62" s="325">
        <f t="shared" si="6"/>
        <v>0</v>
      </c>
      <c r="Q62" s="325">
        <f t="shared" si="7"/>
        <v>0</v>
      </c>
      <c r="R62" s="325">
        <f t="shared" si="2"/>
        <v>0</v>
      </c>
      <c r="S62" s="325">
        <f t="shared" si="3"/>
        <v>205</v>
      </c>
      <c r="T62" s="325">
        <f t="shared" si="8"/>
        <v>205</v>
      </c>
      <c r="U62" s="409">
        <f t="shared" si="4"/>
        <v>15216.25</v>
      </c>
      <c r="V62" s="325">
        <f t="shared" si="9"/>
        <v>0</v>
      </c>
      <c r="W62" s="449" cm="1">
        <f t="array" ref="W62">+IF(U62&lt;0,error,0)</f>
        <v>0</v>
      </c>
    </row>
    <row r="63" spans="1:23" ht="18" customHeight="1" x14ac:dyDescent="0.2">
      <c r="A63" s="402" t="s">
        <v>126</v>
      </c>
      <c r="B63" s="403"/>
      <c r="C63" s="411" t="s">
        <v>127</v>
      </c>
      <c r="D63" s="405">
        <v>43153</v>
      </c>
      <c r="E63" s="406"/>
      <c r="F63" s="325"/>
      <c r="G63" s="324"/>
      <c r="H63" s="324">
        <v>1829.8400000000001</v>
      </c>
      <c r="I63" s="325">
        <v>1746.8400000000001</v>
      </c>
      <c r="J63" s="325">
        <v>0</v>
      </c>
      <c r="K63" s="325">
        <f t="shared" si="0"/>
        <v>0</v>
      </c>
      <c r="L63" s="325">
        <f t="shared" si="1"/>
        <v>0</v>
      </c>
      <c r="M63" s="407">
        <v>2.5</v>
      </c>
      <c r="N63" s="408" t="s">
        <v>17</v>
      </c>
      <c r="O63" s="325">
        <f t="shared" si="5"/>
        <v>0</v>
      </c>
      <c r="P63" s="325">
        <f t="shared" si="6"/>
        <v>0</v>
      </c>
      <c r="Q63" s="325">
        <f t="shared" si="7"/>
        <v>0</v>
      </c>
      <c r="R63" s="325">
        <f t="shared" si="2"/>
        <v>0</v>
      </c>
      <c r="S63" s="325">
        <f t="shared" si="3"/>
        <v>22</v>
      </c>
      <c r="T63" s="325">
        <f t="shared" si="8"/>
        <v>22</v>
      </c>
      <c r="U63" s="409">
        <f t="shared" si="4"/>
        <v>1724.8400000000001</v>
      </c>
      <c r="V63" s="325">
        <f t="shared" si="9"/>
        <v>0</v>
      </c>
      <c r="W63" s="449" cm="1">
        <f t="array" ref="W63">+IF(U63&lt;0,error,0)</f>
        <v>0</v>
      </c>
    </row>
    <row r="64" spans="1:23" ht="18" customHeight="1" x14ac:dyDescent="0.2">
      <c r="A64" s="402" t="s">
        <v>128</v>
      </c>
      <c r="B64" s="403"/>
      <c r="C64" s="404" t="s">
        <v>129</v>
      </c>
      <c r="D64" s="405">
        <v>43165</v>
      </c>
      <c r="E64" s="406"/>
      <c r="F64" s="325"/>
      <c r="G64" s="324"/>
      <c r="H64" s="324">
        <v>104545.45</v>
      </c>
      <c r="I64" s="325">
        <v>99781.45</v>
      </c>
      <c r="J64" s="325">
        <v>0</v>
      </c>
      <c r="K64" s="325">
        <f t="shared" si="0"/>
        <v>0</v>
      </c>
      <c r="L64" s="325">
        <f t="shared" si="1"/>
        <v>0</v>
      </c>
      <c r="M64" s="407">
        <v>2.5</v>
      </c>
      <c r="N64" s="408" t="s">
        <v>17</v>
      </c>
      <c r="O64" s="325">
        <f t="shared" si="5"/>
        <v>0</v>
      </c>
      <c r="P64" s="325">
        <f t="shared" si="6"/>
        <v>0</v>
      </c>
      <c r="Q64" s="325">
        <f t="shared" si="7"/>
        <v>0</v>
      </c>
      <c r="R64" s="325">
        <f t="shared" si="2"/>
        <v>0</v>
      </c>
      <c r="S64" s="325">
        <f t="shared" si="3"/>
        <v>1306</v>
      </c>
      <c r="T64" s="325">
        <f t="shared" si="8"/>
        <v>1306</v>
      </c>
      <c r="U64" s="409">
        <f t="shared" si="4"/>
        <v>98475.45</v>
      </c>
      <c r="V64" s="325">
        <f t="shared" si="9"/>
        <v>0</v>
      </c>
      <c r="W64" s="449" cm="1">
        <f t="array" ref="W64">+IF(U64&lt;0,error,0)</f>
        <v>0</v>
      </c>
    </row>
    <row r="65" spans="1:23" ht="18" customHeight="1" x14ac:dyDescent="0.2">
      <c r="A65" s="402" t="s">
        <v>130</v>
      </c>
      <c r="B65" s="403"/>
      <c r="C65" s="404" t="s">
        <v>131</v>
      </c>
      <c r="D65" s="405">
        <v>42975</v>
      </c>
      <c r="E65" s="406"/>
      <c r="F65" s="325"/>
      <c r="G65" s="324"/>
      <c r="H65" s="324">
        <v>4404.3</v>
      </c>
      <c r="I65" s="325">
        <v>4146.3</v>
      </c>
      <c r="J65" s="325">
        <v>0</v>
      </c>
      <c r="K65" s="325">
        <f t="shared" si="0"/>
        <v>0</v>
      </c>
      <c r="L65" s="325">
        <f t="shared" si="1"/>
        <v>0</v>
      </c>
      <c r="M65" s="407">
        <v>2.5</v>
      </c>
      <c r="N65" s="408" t="s">
        <v>17</v>
      </c>
      <c r="O65" s="325">
        <f t="shared" si="5"/>
        <v>0</v>
      </c>
      <c r="P65" s="325">
        <f t="shared" si="6"/>
        <v>0</v>
      </c>
      <c r="Q65" s="325">
        <f t="shared" si="7"/>
        <v>0</v>
      </c>
      <c r="R65" s="325">
        <f t="shared" si="2"/>
        <v>0</v>
      </c>
      <c r="S65" s="325">
        <f t="shared" si="3"/>
        <v>55</v>
      </c>
      <c r="T65" s="325">
        <f t="shared" si="8"/>
        <v>55</v>
      </c>
      <c r="U65" s="409">
        <f t="shared" si="4"/>
        <v>4091.3</v>
      </c>
      <c r="V65" s="325">
        <f t="shared" si="9"/>
        <v>0</v>
      </c>
      <c r="W65" s="449" cm="1">
        <f t="array" ref="W65">+IF(U65&lt;0,error,0)</f>
        <v>0</v>
      </c>
    </row>
    <row r="66" spans="1:23" ht="18" customHeight="1" x14ac:dyDescent="0.2">
      <c r="A66" s="402" t="s">
        <v>132</v>
      </c>
      <c r="B66" s="403"/>
      <c r="C66" s="404" t="s">
        <v>133</v>
      </c>
      <c r="D66" s="405">
        <v>43007</v>
      </c>
      <c r="E66" s="406"/>
      <c r="F66" s="325"/>
      <c r="G66" s="324"/>
      <c r="H66" s="324">
        <v>3528.4</v>
      </c>
      <c r="I66" s="325">
        <v>3330.4</v>
      </c>
      <c r="J66" s="325">
        <v>0</v>
      </c>
      <c r="K66" s="325">
        <f t="shared" si="0"/>
        <v>0</v>
      </c>
      <c r="L66" s="325">
        <f t="shared" si="1"/>
        <v>0</v>
      </c>
      <c r="M66" s="407">
        <v>2.5</v>
      </c>
      <c r="N66" s="408" t="s">
        <v>17</v>
      </c>
      <c r="O66" s="325">
        <f t="shared" si="5"/>
        <v>0</v>
      </c>
      <c r="P66" s="325">
        <f t="shared" si="6"/>
        <v>0</v>
      </c>
      <c r="Q66" s="325">
        <f t="shared" si="7"/>
        <v>0</v>
      </c>
      <c r="R66" s="325">
        <f t="shared" si="2"/>
        <v>0</v>
      </c>
      <c r="S66" s="325">
        <f t="shared" si="3"/>
        <v>44</v>
      </c>
      <c r="T66" s="325">
        <f t="shared" si="8"/>
        <v>44</v>
      </c>
      <c r="U66" s="409">
        <f t="shared" si="4"/>
        <v>3286.4</v>
      </c>
      <c r="V66" s="325">
        <f t="shared" si="9"/>
        <v>0</v>
      </c>
      <c r="W66" s="449" cm="1">
        <f t="array" ref="W66">+IF(U66&lt;0,error,0)</f>
        <v>0</v>
      </c>
    </row>
    <row r="67" spans="1:23" ht="18" customHeight="1" x14ac:dyDescent="0.2">
      <c r="A67" s="402" t="s">
        <v>134</v>
      </c>
      <c r="B67" s="403"/>
      <c r="C67" s="404" t="s">
        <v>135</v>
      </c>
      <c r="D67" s="405">
        <v>43008</v>
      </c>
      <c r="E67" s="406"/>
      <c r="F67" s="325"/>
      <c r="G67" s="324"/>
      <c r="H67" s="324">
        <v>1260</v>
      </c>
      <c r="I67" s="325">
        <v>1190</v>
      </c>
      <c r="J67" s="325">
        <v>0</v>
      </c>
      <c r="K67" s="325">
        <f t="shared" si="0"/>
        <v>0</v>
      </c>
      <c r="L67" s="325">
        <f t="shared" si="1"/>
        <v>0</v>
      </c>
      <c r="M67" s="407">
        <v>2.5</v>
      </c>
      <c r="N67" s="408" t="s">
        <v>17</v>
      </c>
      <c r="O67" s="325">
        <f t="shared" si="5"/>
        <v>0</v>
      </c>
      <c r="P67" s="325">
        <f t="shared" si="6"/>
        <v>0</v>
      </c>
      <c r="Q67" s="325">
        <f t="shared" si="7"/>
        <v>0</v>
      </c>
      <c r="R67" s="325">
        <f t="shared" si="2"/>
        <v>0</v>
      </c>
      <c r="S67" s="325">
        <f t="shared" si="3"/>
        <v>15</v>
      </c>
      <c r="T67" s="325">
        <f t="shared" si="8"/>
        <v>15</v>
      </c>
      <c r="U67" s="409">
        <f t="shared" si="4"/>
        <v>1175</v>
      </c>
      <c r="V67" s="325">
        <f t="shared" si="9"/>
        <v>0</v>
      </c>
      <c r="W67" s="449" cm="1">
        <f t="array" ref="W67">+IF(U67&lt;0,error,0)</f>
        <v>0</v>
      </c>
    </row>
    <row r="68" spans="1:23" ht="18" customHeight="1" x14ac:dyDescent="0.2">
      <c r="A68" s="402" t="s">
        <v>136</v>
      </c>
      <c r="B68" s="403"/>
      <c r="C68" s="404" t="s">
        <v>137</v>
      </c>
      <c r="D68" s="405">
        <v>43013</v>
      </c>
      <c r="E68" s="406"/>
      <c r="F68" s="325"/>
      <c r="G68" s="324"/>
      <c r="H68" s="324">
        <v>3521.9900000000002</v>
      </c>
      <c r="I68" s="325">
        <v>3324.9900000000002</v>
      </c>
      <c r="J68" s="325">
        <v>0</v>
      </c>
      <c r="K68" s="325">
        <f t="shared" si="0"/>
        <v>0</v>
      </c>
      <c r="L68" s="325">
        <f t="shared" si="1"/>
        <v>0</v>
      </c>
      <c r="M68" s="407">
        <v>2.5</v>
      </c>
      <c r="N68" s="408" t="s">
        <v>17</v>
      </c>
      <c r="O68" s="325">
        <f t="shared" si="5"/>
        <v>0</v>
      </c>
      <c r="P68" s="325">
        <f t="shared" si="6"/>
        <v>0</v>
      </c>
      <c r="Q68" s="325">
        <f t="shared" si="7"/>
        <v>0</v>
      </c>
      <c r="R68" s="325">
        <f t="shared" si="2"/>
        <v>0</v>
      </c>
      <c r="S68" s="325">
        <f t="shared" si="3"/>
        <v>44</v>
      </c>
      <c r="T68" s="325">
        <f t="shared" si="8"/>
        <v>44</v>
      </c>
      <c r="U68" s="409">
        <f t="shared" si="4"/>
        <v>3280.9900000000002</v>
      </c>
      <c r="V68" s="325">
        <f t="shared" si="9"/>
        <v>0</v>
      </c>
      <c r="W68" s="449" cm="1">
        <f t="array" ref="W68">+IF(U68&lt;0,error,0)</f>
        <v>0</v>
      </c>
    </row>
    <row r="69" spans="1:23" ht="18" customHeight="1" x14ac:dyDescent="0.2">
      <c r="A69" s="402" t="s">
        <v>138</v>
      </c>
      <c r="B69" s="403"/>
      <c r="C69" s="404" t="s">
        <v>133</v>
      </c>
      <c r="D69" s="405">
        <v>43059</v>
      </c>
      <c r="E69" s="406"/>
      <c r="F69" s="325"/>
      <c r="G69" s="324"/>
      <c r="H69" s="324">
        <v>3019.37</v>
      </c>
      <c r="I69" s="325">
        <v>2860.37</v>
      </c>
      <c r="J69" s="325">
        <v>0</v>
      </c>
      <c r="K69" s="325">
        <f t="shared" si="0"/>
        <v>0</v>
      </c>
      <c r="L69" s="325">
        <f t="shared" si="1"/>
        <v>0</v>
      </c>
      <c r="M69" s="407">
        <v>2.5</v>
      </c>
      <c r="N69" s="408" t="s">
        <v>17</v>
      </c>
      <c r="O69" s="325">
        <f t="shared" si="5"/>
        <v>0</v>
      </c>
      <c r="P69" s="325">
        <f t="shared" si="6"/>
        <v>0</v>
      </c>
      <c r="Q69" s="325">
        <f t="shared" si="7"/>
        <v>0</v>
      </c>
      <c r="R69" s="325">
        <f t="shared" si="2"/>
        <v>0</v>
      </c>
      <c r="S69" s="325">
        <f t="shared" si="3"/>
        <v>37</v>
      </c>
      <c r="T69" s="325">
        <f t="shared" si="8"/>
        <v>37</v>
      </c>
      <c r="U69" s="409">
        <f t="shared" si="4"/>
        <v>2823.37</v>
      </c>
      <c r="V69" s="325">
        <f t="shared" si="9"/>
        <v>0</v>
      </c>
      <c r="W69" s="449" cm="1">
        <f t="array" ref="W69">+IF(U69&lt;0,error,0)</f>
        <v>0</v>
      </c>
    </row>
    <row r="70" spans="1:23" ht="18" customHeight="1" x14ac:dyDescent="0.2">
      <c r="A70" s="402" t="s">
        <v>139</v>
      </c>
      <c r="B70" s="403"/>
      <c r="C70" s="404" t="s">
        <v>133</v>
      </c>
      <c r="D70" s="405">
        <v>43059</v>
      </c>
      <c r="E70" s="406"/>
      <c r="F70" s="325"/>
      <c r="G70" s="324"/>
      <c r="H70" s="324">
        <v>5210.82</v>
      </c>
      <c r="I70" s="325">
        <v>4935.82</v>
      </c>
      <c r="J70" s="325">
        <v>0</v>
      </c>
      <c r="K70" s="325">
        <f t="shared" si="0"/>
        <v>0</v>
      </c>
      <c r="L70" s="325">
        <f t="shared" si="1"/>
        <v>0</v>
      </c>
      <c r="M70" s="407">
        <v>2.5</v>
      </c>
      <c r="N70" s="408" t="s">
        <v>17</v>
      </c>
      <c r="O70" s="325">
        <f t="shared" si="5"/>
        <v>0</v>
      </c>
      <c r="P70" s="325">
        <f t="shared" si="6"/>
        <v>0</v>
      </c>
      <c r="Q70" s="325">
        <f t="shared" si="7"/>
        <v>0</v>
      </c>
      <c r="R70" s="325">
        <f t="shared" si="2"/>
        <v>0</v>
      </c>
      <c r="S70" s="325">
        <f t="shared" si="3"/>
        <v>65</v>
      </c>
      <c r="T70" s="325">
        <f t="shared" si="8"/>
        <v>65</v>
      </c>
      <c r="U70" s="409">
        <f t="shared" si="4"/>
        <v>4870.82</v>
      </c>
      <c r="V70" s="325">
        <f t="shared" si="9"/>
        <v>0</v>
      </c>
      <c r="W70" s="449" cm="1">
        <f t="array" ref="W70">+IF(U70&lt;0,error,0)</f>
        <v>0</v>
      </c>
    </row>
    <row r="71" spans="1:23" ht="18" customHeight="1" x14ac:dyDescent="0.2">
      <c r="A71" s="402" t="s">
        <v>140</v>
      </c>
      <c r="B71" s="403"/>
      <c r="C71" s="412" t="s">
        <v>141</v>
      </c>
      <c r="D71" s="405">
        <v>43069</v>
      </c>
      <c r="E71" s="406"/>
      <c r="F71" s="325"/>
      <c r="G71" s="324"/>
      <c r="H71" s="324">
        <v>2679.5</v>
      </c>
      <c r="I71" s="325">
        <v>2540.5</v>
      </c>
      <c r="J71" s="325">
        <v>0</v>
      </c>
      <c r="K71" s="325">
        <f t="shared" si="0"/>
        <v>0</v>
      </c>
      <c r="L71" s="325">
        <f t="shared" si="1"/>
        <v>0</v>
      </c>
      <c r="M71" s="407">
        <v>2.5</v>
      </c>
      <c r="N71" s="408" t="s">
        <v>17</v>
      </c>
      <c r="O71" s="325">
        <f t="shared" si="5"/>
        <v>0</v>
      </c>
      <c r="P71" s="325">
        <f t="shared" si="6"/>
        <v>0</v>
      </c>
      <c r="Q71" s="325">
        <f t="shared" si="7"/>
        <v>0</v>
      </c>
      <c r="R71" s="325">
        <f t="shared" si="2"/>
        <v>0</v>
      </c>
      <c r="S71" s="325">
        <f t="shared" si="3"/>
        <v>33</v>
      </c>
      <c r="T71" s="325">
        <f t="shared" si="8"/>
        <v>33</v>
      </c>
      <c r="U71" s="409">
        <f t="shared" si="4"/>
        <v>2507.5</v>
      </c>
      <c r="V71" s="325">
        <f t="shared" si="9"/>
        <v>0</v>
      </c>
      <c r="W71" s="449" cm="1">
        <f t="array" ref="W71">+IF(U71&lt;0,error,0)</f>
        <v>0</v>
      </c>
    </row>
    <row r="72" spans="1:23" ht="18" customHeight="1" x14ac:dyDescent="0.2">
      <c r="A72" s="402" t="s">
        <v>142</v>
      </c>
      <c r="B72" s="403"/>
      <c r="C72" s="411" t="s">
        <v>143</v>
      </c>
      <c r="D72" s="405">
        <v>43100</v>
      </c>
      <c r="E72" s="406"/>
      <c r="F72" s="325"/>
      <c r="G72" s="324"/>
      <c r="H72" s="324">
        <v>4158</v>
      </c>
      <c r="I72" s="325">
        <v>3951</v>
      </c>
      <c r="J72" s="325">
        <v>0</v>
      </c>
      <c r="K72" s="325">
        <f t="shared" ref="K72:K135" si="10">INT(IF($E72&gt;0,IF(+F72-I72+Q72&lt;0,0,+F72-I72+Q72),0))</f>
        <v>0</v>
      </c>
      <c r="L72" s="325">
        <f t="shared" ref="L72:L135" si="11">INT(IF($E72&gt;0,IF(K72=0,-F72+I72-Q72,0),0))</f>
        <v>0</v>
      </c>
      <c r="M72" s="407">
        <v>2.5</v>
      </c>
      <c r="N72" s="408" t="s">
        <v>17</v>
      </c>
      <c r="O72" s="325">
        <f t="shared" si="5"/>
        <v>0</v>
      </c>
      <c r="P72" s="325">
        <f t="shared" si="6"/>
        <v>0</v>
      </c>
      <c r="Q72" s="325">
        <f t="shared" si="7"/>
        <v>0</v>
      </c>
      <c r="R72" s="325">
        <f t="shared" ref="R72:R135" si="12">INT(IF($E72&gt;0,0,(IF($N72="D",IF($D72&lt;$H$3,$I72*($M72/100)*$U$3/12,$J72*($M72/100)*($J$3-$D72)/365),0))))</f>
        <v>0</v>
      </c>
      <c r="S72" s="325">
        <f t="shared" ref="S72:S135" si="13">INT(IF($E72&gt;0,0,(IF($N72="P",IF($D72&lt;$H$3,$H72*($M72/100)*$U$3/12,$J72*($M72/100)*($J$3-$D72)/365),0))))</f>
        <v>51</v>
      </c>
      <c r="T72" s="325">
        <f t="shared" si="8"/>
        <v>51</v>
      </c>
      <c r="U72" s="409">
        <f t="shared" ref="U72:U135" si="14">+I72+J72-T72-F72+K72-L72</f>
        <v>3900</v>
      </c>
      <c r="V72" s="325">
        <f t="shared" si="9"/>
        <v>0</v>
      </c>
      <c r="W72" s="449" cm="1">
        <f t="array" ref="W72">+IF(U72&lt;0,error,0)</f>
        <v>0</v>
      </c>
    </row>
    <row r="73" spans="1:23" ht="18" customHeight="1" x14ac:dyDescent="0.2">
      <c r="A73" s="402" t="s">
        <v>144</v>
      </c>
      <c r="B73" s="403"/>
      <c r="C73" s="404" t="s">
        <v>145</v>
      </c>
      <c r="D73" s="405">
        <v>43146</v>
      </c>
      <c r="E73" s="406"/>
      <c r="F73" s="325"/>
      <c r="G73" s="324"/>
      <c r="H73" s="324">
        <v>1217.99</v>
      </c>
      <c r="I73" s="325">
        <v>1161.99</v>
      </c>
      <c r="J73" s="325">
        <v>0</v>
      </c>
      <c r="K73" s="325">
        <f t="shared" si="10"/>
        <v>0</v>
      </c>
      <c r="L73" s="325">
        <f t="shared" si="11"/>
        <v>0</v>
      </c>
      <c r="M73" s="407">
        <v>2.5</v>
      </c>
      <c r="N73" s="408" t="s">
        <v>17</v>
      </c>
      <c r="O73" s="325">
        <f t="shared" ref="O73:O136" si="15">IF(E73&gt;0,INT(IF($N73="D",IF($D73&lt;$H$3,$I73*($M73/100)*((E73-$H$3)/365),$J73*($M73/100)*($J$3-$D73)/365),0)),0)</f>
        <v>0</v>
      </c>
      <c r="P73" s="325">
        <f t="shared" ref="P73:P136" si="16">IF(E73&gt;0,INT(IF($N73="P",IF($D73&lt;$H$3,$H73*($M73/100)*(E73-$H$3)/365,$J73*($M73/100)*($J$3-$D73)/365),0)),0)</f>
        <v>0</v>
      </c>
      <c r="Q73" s="325">
        <f t="shared" ref="Q73:Q136" si="17">+O73+P73</f>
        <v>0</v>
      </c>
      <c r="R73" s="325">
        <f t="shared" si="12"/>
        <v>0</v>
      </c>
      <c r="S73" s="325">
        <f t="shared" si="13"/>
        <v>15</v>
      </c>
      <c r="T73" s="325">
        <f t="shared" ref="T73:T136" si="18">+R73+S73+Q73</f>
        <v>15</v>
      </c>
      <c r="U73" s="409">
        <f t="shared" si="14"/>
        <v>1146.99</v>
      </c>
      <c r="V73" s="325">
        <f t="shared" ref="V73:V136" si="19">IF(E73&gt;0,+H73+J73,0)</f>
        <v>0</v>
      </c>
      <c r="W73" s="449" cm="1">
        <f t="array" ref="W73">+IF(U73&lt;0,error,0)</f>
        <v>0</v>
      </c>
    </row>
    <row r="74" spans="1:23" ht="18" customHeight="1" x14ac:dyDescent="0.2">
      <c r="A74" s="402" t="s">
        <v>146</v>
      </c>
      <c r="B74" s="403"/>
      <c r="C74" s="404" t="s">
        <v>147</v>
      </c>
      <c r="D74" s="405">
        <v>42917</v>
      </c>
      <c r="E74" s="406"/>
      <c r="F74" s="325"/>
      <c r="G74" s="324"/>
      <c r="H74" s="324">
        <v>4836</v>
      </c>
      <c r="I74" s="325">
        <v>4534</v>
      </c>
      <c r="J74" s="325">
        <v>0</v>
      </c>
      <c r="K74" s="325">
        <f t="shared" si="10"/>
        <v>0</v>
      </c>
      <c r="L74" s="325">
        <f t="shared" si="11"/>
        <v>0</v>
      </c>
      <c r="M74" s="407">
        <v>2.5</v>
      </c>
      <c r="N74" s="408" t="s">
        <v>17</v>
      </c>
      <c r="O74" s="325">
        <f t="shared" si="15"/>
        <v>0</v>
      </c>
      <c r="P74" s="325">
        <f t="shared" si="16"/>
        <v>0</v>
      </c>
      <c r="Q74" s="325">
        <f t="shared" si="17"/>
        <v>0</v>
      </c>
      <c r="R74" s="325">
        <f t="shared" si="12"/>
        <v>0</v>
      </c>
      <c r="S74" s="325">
        <f t="shared" si="13"/>
        <v>60</v>
      </c>
      <c r="T74" s="325">
        <f t="shared" si="18"/>
        <v>60</v>
      </c>
      <c r="U74" s="409">
        <f t="shared" si="14"/>
        <v>4474</v>
      </c>
      <c r="V74" s="325">
        <f t="shared" si="19"/>
        <v>0</v>
      </c>
      <c r="W74" s="449" cm="1">
        <f t="array" ref="W74">+IF(U74&lt;0,error,0)</f>
        <v>0</v>
      </c>
    </row>
    <row r="75" spans="1:23" ht="18" customHeight="1" x14ac:dyDescent="0.2">
      <c r="A75" s="402" t="s">
        <v>148</v>
      </c>
      <c r="B75" s="403"/>
      <c r="C75" s="412" t="s">
        <v>149</v>
      </c>
      <c r="D75" s="405">
        <v>43220</v>
      </c>
      <c r="E75" s="406"/>
      <c r="F75" s="325"/>
      <c r="G75" s="324"/>
      <c r="H75" s="324">
        <v>2542</v>
      </c>
      <c r="I75" s="325">
        <v>2436</v>
      </c>
      <c r="J75" s="325">
        <v>0</v>
      </c>
      <c r="K75" s="325">
        <f t="shared" si="10"/>
        <v>0</v>
      </c>
      <c r="L75" s="325">
        <f t="shared" si="11"/>
        <v>0</v>
      </c>
      <c r="M75" s="407">
        <v>2.5</v>
      </c>
      <c r="N75" s="408" t="s">
        <v>17</v>
      </c>
      <c r="O75" s="325">
        <f t="shared" si="15"/>
        <v>0</v>
      </c>
      <c r="P75" s="325">
        <f t="shared" si="16"/>
        <v>0</v>
      </c>
      <c r="Q75" s="325">
        <f t="shared" si="17"/>
        <v>0</v>
      </c>
      <c r="R75" s="325">
        <f t="shared" si="12"/>
        <v>0</v>
      </c>
      <c r="S75" s="325">
        <f t="shared" si="13"/>
        <v>31</v>
      </c>
      <c r="T75" s="325">
        <f t="shared" si="18"/>
        <v>31</v>
      </c>
      <c r="U75" s="409">
        <f t="shared" si="14"/>
        <v>2405</v>
      </c>
      <c r="V75" s="325">
        <f t="shared" si="19"/>
        <v>0</v>
      </c>
      <c r="W75" s="449" cm="1">
        <f t="array" ref="W75">+IF(U75&lt;0,error,0)</f>
        <v>0</v>
      </c>
    </row>
    <row r="76" spans="1:23" ht="18" customHeight="1" x14ac:dyDescent="0.2">
      <c r="A76" s="402" t="s">
        <v>150</v>
      </c>
      <c r="B76" s="403"/>
      <c r="C76" s="411" t="s">
        <v>151</v>
      </c>
      <c r="D76" s="405">
        <v>43220</v>
      </c>
      <c r="E76" s="406"/>
      <c r="F76" s="325"/>
      <c r="G76" s="324"/>
      <c r="H76" s="324">
        <v>1848</v>
      </c>
      <c r="I76" s="325">
        <v>1772</v>
      </c>
      <c r="J76" s="325">
        <v>0</v>
      </c>
      <c r="K76" s="325">
        <f t="shared" si="10"/>
        <v>0</v>
      </c>
      <c r="L76" s="325">
        <f t="shared" si="11"/>
        <v>0</v>
      </c>
      <c r="M76" s="407">
        <v>2.5</v>
      </c>
      <c r="N76" s="408" t="s">
        <v>17</v>
      </c>
      <c r="O76" s="325">
        <f t="shared" si="15"/>
        <v>0</v>
      </c>
      <c r="P76" s="325">
        <f t="shared" si="16"/>
        <v>0</v>
      </c>
      <c r="Q76" s="325">
        <f t="shared" si="17"/>
        <v>0</v>
      </c>
      <c r="R76" s="325">
        <f t="shared" si="12"/>
        <v>0</v>
      </c>
      <c r="S76" s="325">
        <f t="shared" si="13"/>
        <v>23</v>
      </c>
      <c r="T76" s="325">
        <f t="shared" si="18"/>
        <v>23</v>
      </c>
      <c r="U76" s="409">
        <f t="shared" si="14"/>
        <v>1749</v>
      </c>
      <c r="V76" s="325">
        <f t="shared" si="19"/>
        <v>0</v>
      </c>
      <c r="W76" s="449" cm="1">
        <f t="array" ref="W76">+IF(U76&lt;0,error,0)</f>
        <v>0</v>
      </c>
    </row>
    <row r="77" spans="1:23" ht="18" customHeight="1" x14ac:dyDescent="0.2">
      <c r="A77" s="402" t="s">
        <v>152</v>
      </c>
      <c r="B77" s="403"/>
      <c r="C77" s="404" t="s">
        <v>153</v>
      </c>
      <c r="D77" s="405">
        <v>43220</v>
      </c>
      <c r="E77" s="406"/>
      <c r="F77" s="325"/>
      <c r="G77" s="324"/>
      <c r="H77" s="324">
        <v>3342.07</v>
      </c>
      <c r="I77" s="325">
        <v>3204.07</v>
      </c>
      <c r="J77" s="325">
        <v>0</v>
      </c>
      <c r="K77" s="325">
        <f t="shared" si="10"/>
        <v>0</v>
      </c>
      <c r="L77" s="325">
        <f t="shared" si="11"/>
        <v>0</v>
      </c>
      <c r="M77" s="407">
        <v>2.5</v>
      </c>
      <c r="N77" s="408" t="s">
        <v>17</v>
      </c>
      <c r="O77" s="325">
        <f t="shared" si="15"/>
        <v>0</v>
      </c>
      <c r="P77" s="325">
        <f t="shared" si="16"/>
        <v>0</v>
      </c>
      <c r="Q77" s="325">
        <f t="shared" si="17"/>
        <v>0</v>
      </c>
      <c r="R77" s="325">
        <f t="shared" si="12"/>
        <v>0</v>
      </c>
      <c r="S77" s="325">
        <f t="shared" si="13"/>
        <v>41</v>
      </c>
      <c r="T77" s="325">
        <f t="shared" si="18"/>
        <v>41</v>
      </c>
      <c r="U77" s="409">
        <f t="shared" si="14"/>
        <v>3163.07</v>
      </c>
      <c r="V77" s="325">
        <f t="shared" si="19"/>
        <v>0</v>
      </c>
      <c r="W77" s="449" cm="1">
        <f t="array" ref="W77">+IF(U77&lt;0,error,0)</f>
        <v>0</v>
      </c>
    </row>
    <row r="78" spans="1:23" ht="18" customHeight="1" x14ac:dyDescent="0.2">
      <c r="A78" s="402" t="s">
        <v>154</v>
      </c>
      <c r="B78" s="403"/>
      <c r="C78" s="404" t="s">
        <v>155</v>
      </c>
      <c r="D78" s="405">
        <v>43251</v>
      </c>
      <c r="E78" s="406"/>
      <c r="F78" s="325"/>
      <c r="G78" s="324"/>
      <c r="H78" s="324">
        <v>2883</v>
      </c>
      <c r="I78" s="325">
        <v>2769</v>
      </c>
      <c r="J78" s="325">
        <v>0</v>
      </c>
      <c r="K78" s="325">
        <f t="shared" si="10"/>
        <v>0</v>
      </c>
      <c r="L78" s="325">
        <f t="shared" si="11"/>
        <v>0</v>
      </c>
      <c r="M78" s="407">
        <v>2.5</v>
      </c>
      <c r="N78" s="408" t="s">
        <v>17</v>
      </c>
      <c r="O78" s="325">
        <f t="shared" si="15"/>
        <v>0</v>
      </c>
      <c r="P78" s="325">
        <f t="shared" si="16"/>
        <v>0</v>
      </c>
      <c r="Q78" s="325">
        <f t="shared" si="17"/>
        <v>0</v>
      </c>
      <c r="R78" s="325">
        <f t="shared" si="12"/>
        <v>0</v>
      </c>
      <c r="S78" s="325">
        <f t="shared" si="13"/>
        <v>36</v>
      </c>
      <c r="T78" s="325">
        <f t="shared" si="18"/>
        <v>36</v>
      </c>
      <c r="U78" s="409">
        <f t="shared" si="14"/>
        <v>2733</v>
      </c>
      <c r="V78" s="325">
        <f t="shared" si="19"/>
        <v>0</v>
      </c>
      <c r="W78" s="449" cm="1">
        <f t="array" ref="W78">+IF(U78&lt;0,error,0)</f>
        <v>0</v>
      </c>
    </row>
    <row r="79" spans="1:23" ht="18" customHeight="1" x14ac:dyDescent="0.2">
      <c r="A79" s="402" t="s">
        <v>156</v>
      </c>
      <c r="B79" s="403"/>
      <c r="C79" s="404" t="s">
        <v>157</v>
      </c>
      <c r="D79" s="405">
        <v>43251</v>
      </c>
      <c r="E79" s="406"/>
      <c r="F79" s="325"/>
      <c r="G79" s="324"/>
      <c r="H79" s="324">
        <v>2108</v>
      </c>
      <c r="I79" s="325">
        <v>2026</v>
      </c>
      <c r="J79" s="325">
        <v>0</v>
      </c>
      <c r="K79" s="325">
        <f t="shared" si="10"/>
        <v>0</v>
      </c>
      <c r="L79" s="325">
        <f t="shared" si="11"/>
        <v>0</v>
      </c>
      <c r="M79" s="407">
        <v>2.5</v>
      </c>
      <c r="N79" s="408" t="s">
        <v>17</v>
      </c>
      <c r="O79" s="325">
        <f t="shared" si="15"/>
        <v>0</v>
      </c>
      <c r="P79" s="325">
        <f t="shared" si="16"/>
        <v>0</v>
      </c>
      <c r="Q79" s="325">
        <f t="shared" si="17"/>
        <v>0</v>
      </c>
      <c r="R79" s="325">
        <f t="shared" si="12"/>
        <v>0</v>
      </c>
      <c r="S79" s="325">
        <f t="shared" si="13"/>
        <v>26</v>
      </c>
      <c r="T79" s="325">
        <f t="shared" si="18"/>
        <v>26</v>
      </c>
      <c r="U79" s="409">
        <f t="shared" si="14"/>
        <v>2000</v>
      </c>
      <c r="V79" s="325">
        <f t="shared" si="19"/>
        <v>0</v>
      </c>
      <c r="W79" s="449" cm="1">
        <f t="array" ref="W79">+IF(U79&lt;0,error,0)</f>
        <v>0</v>
      </c>
    </row>
    <row r="80" spans="1:23" ht="18" customHeight="1" x14ac:dyDescent="0.2">
      <c r="A80" s="402" t="s">
        <v>158</v>
      </c>
      <c r="B80" s="403"/>
      <c r="C80" s="404" t="s">
        <v>53</v>
      </c>
      <c r="D80" s="405">
        <v>43281</v>
      </c>
      <c r="E80" s="406"/>
      <c r="F80" s="325"/>
      <c r="G80" s="324"/>
      <c r="H80" s="324">
        <v>2604</v>
      </c>
      <c r="I80" s="325">
        <v>2507</v>
      </c>
      <c r="J80" s="325">
        <v>0</v>
      </c>
      <c r="K80" s="325">
        <f t="shared" si="10"/>
        <v>0</v>
      </c>
      <c r="L80" s="325">
        <f t="shared" si="11"/>
        <v>0</v>
      </c>
      <c r="M80" s="407">
        <v>2.5</v>
      </c>
      <c r="N80" s="408" t="s">
        <v>17</v>
      </c>
      <c r="O80" s="325">
        <f t="shared" si="15"/>
        <v>0</v>
      </c>
      <c r="P80" s="325">
        <f t="shared" si="16"/>
        <v>0</v>
      </c>
      <c r="Q80" s="325">
        <f t="shared" si="17"/>
        <v>0</v>
      </c>
      <c r="R80" s="325">
        <f t="shared" si="12"/>
        <v>0</v>
      </c>
      <c r="S80" s="325">
        <f t="shared" si="13"/>
        <v>32</v>
      </c>
      <c r="T80" s="325">
        <f t="shared" si="18"/>
        <v>32</v>
      </c>
      <c r="U80" s="409">
        <f t="shared" si="14"/>
        <v>2475</v>
      </c>
      <c r="V80" s="325">
        <f t="shared" si="19"/>
        <v>0</v>
      </c>
      <c r="W80" s="449" cm="1">
        <f t="array" ref="W80">+IF(U80&lt;0,error,0)</f>
        <v>0</v>
      </c>
    </row>
    <row r="81" spans="1:23" ht="18" customHeight="1" x14ac:dyDescent="0.2">
      <c r="A81" s="402" t="s">
        <v>159</v>
      </c>
      <c r="B81" s="403"/>
      <c r="C81" s="404" t="s">
        <v>160</v>
      </c>
      <c r="D81" s="405">
        <v>43165</v>
      </c>
      <c r="E81" s="406"/>
      <c r="F81" s="325"/>
      <c r="G81" s="324"/>
      <c r="H81" s="324">
        <v>2315.2400000000002</v>
      </c>
      <c r="I81" s="325">
        <v>2211.2400000000002</v>
      </c>
      <c r="J81" s="325">
        <v>0</v>
      </c>
      <c r="K81" s="325">
        <f t="shared" si="10"/>
        <v>0</v>
      </c>
      <c r="L81" s="325">
        <f t="shared" si="11"/>
        <v>0</v>
      </c>
      <c r="M81" s="407">
        <v>2.5</v>
      </c>
      <c r="N81" s="408" t="s">
        <v>17</v>
      </c>
      <c r="O81" s="325">
        <f t="shared" si="15"/>
        <v>0</v>
      </c>
      <c r="P81" s="325">
        <f t="shared" si="16"/>
        <v>0</v>
      </c>
      <c r="Q81" s="325">
        <f t="shared" si="17"/>
        <v>0</v>
      </c>
      <c r="R81" s="325">
        <f t="shared" si="12"/>
        <v>0</v>
      </c>
      <c r="S81" s="325">
        <f t="shared" si="13"/>
        <v>28</v>
      </c>
      <c r="T81" s="325">
        <f t="shared" si="18"/>
        <v>28</v>
      </c>
      <c r="U81" s="409">
        <f t="shared" si="14"/>
        <v>2183.2400000000002</v>
      </c>
      <c r="V81" s="325">
        <f t="shared" si="19"/>
        <v>0</v>
      </c>
      <c r="W81" s="449" cm="1">
        <f t="array" ref="W81">+IF(U81&lt;0,error,0)</f>
        <v>0</v>
      </c>
    </row>
    <row r="82" spans="1:23" ht="18" customHeight="1" x14ac:dyDescent="0.2">
      <c r="A82" s="402" t="s">
        <v>161</v>
      </c>
      <c r="B82" s="403"/>
      <c r="C82" s="404" t="s">
        <v>162</v>
      </c>
      <c r="D82" s="405">
        <v>43186</v>
      </c>
      <c r="E82" s="406"/>
      <c r="F82" s="325"/>
      <c r="G82" s="324"/>
      <c r="H82" s="324">
        <v>6455.62</v>
      </c>
      <c r="I82" s="325">
        <v>6171.62</v>
      </c>
      <c r="J82" s="325">
        <v>0</v>
      </c>
      <c r="K82" s="325">
        <f t="shared" si="10"/>
        <v>0</v>
      </c>
      <c r="L82" s="325">
        <f t="shared" si="11"/>
        <v>0</v>
      </c>
      <c r="M82" s="407">
        <v>2.5</v>
      </c>
      <c r="N82" s="408" t="s">
        <v>17</v>
      </c>
      <c r="O82" s="325">
        <f t="shared" si="15"/>
        <v>0</v>
      </c>
      <c r="P82" s="325">
        <f t="shared" si="16"/>
        <v>0</v>
      </c>
      <c r="Q82" s="325">
        <f t="shared" si="17"/>
        <v>0</v>
      </c>
      <c r="R82" s="325">
        <f t="shared" si="12"/>
        <v>0</v>
      </c>
      <c r="S82" s="325">
        <f t="shared" si="13"/>
        <v>80</v>
      </c>
      <c r="T82" s="325">
        <f t="shared" si="18"/>
        <v>80</v>
      </c>
      <c r="U82" s="409">
        <f t="shared" si="14"/>
        <v>6091.62</v>
      </c>
      <c r="V82" s="325">
        <f t="shared" si="19"/>
        <v>0</v>
      </c>
      <c r="W82" s="449" cm="1">
        <f t="array" ref="W82">+IF(U82&lt;0,error,0)</f>
        <v>0</v>
      </c>
    </row>
    <row r="83" spans="1:23" ht="18" customHeight="1" x14ac:dyDescent="0.2">
      <c r="A83" s="402" t="s">
        <v>163</v>
      </c>
      <c r="B83" s="403"/>
      <c r="C83" s="404" t="s">
        <v>164</v>
      </c>
      <c r="D83" s="405">
        <v>43263</v>
      </c>
      <c r="E83" s="406"/>
      <c r="F83" s="325"/>
      <c r="G83" s="324"/>
      <c r="H83" s="324">
        <v>68376.94</v>
      </c>
      <c r="I83" s="325">
        <v>65719.94</v>
      </c>
      <c r="J83" s="325">
        <v>0</v>
      </c>
      <c r="K83" s="325">
        <f t="shared" si="10"/>
        <v>0</v>
      </c>
      <c r="L83" s="325">
        <f t="shared" si="11"/>
        <v>0</v>
      </c>
      <c r="M83" s="407">
        <v>2.5</v>
      </c>
      <c r="N83" s="408" t="s">
        <v>17</v>
      </c>
      <c r="O83" s="325">
        <f t="shared" si="15"/>
        <v>0</v>
      </c>
      <c r="P83" s="325">
        <f t="shared" si="16"/>
        <v>0</v>
      </c>
      <c r="Q83" s="325">
        <f t="shared" si="17"/>
        <v>0</v>
      </c>
      <c r="R83" s="325">
        <f t="shared" si="12"/>
        <v>0</v>
      </c>
      <c r="S83" s="325">
        <f t="shared" si="13"/>
        <v>854</v>
      </c>
      <c r="T83" s="325">
        <f t="shared" si="18"/>
        <v>854</v>
      </c>
      <c r="U83" s="409">
        <f t="shared" si="14"/>
        <v>64865.94</v>
      </c>
      <c r="V83" s="325">
        <f t="shared" si="19"/>
        <v>0</v>
      </c>
      <c r="W83" s="449" cm="1">
        <f t="array" ref="W83">+IF(U83&lt;0,error,0)</f>
        <v>0</v>
      </c>
    </row>
    <row r="84" spans="1:23" ht="18" customHeight="1" x14ac:dyDescent="0.2">
      <c r="A84" s="402" t="s">
        <v>165</v>
      </c>
      <c r="B84" s="403"/>
      <c r="C84" s="404" t="s">
        <v>166</v>
      </c>
      <c r="D84" s="405">
        <v>42989</v>
      </c>
      <c r="E84" s="406"/>
      <c r="F84" s="325"/>
      <c r="G84" s="324"/>
      <c r="H84" s="324">
        <v>805.6</v>
      </c>
      <c r="I84" s="325">
        <v>760.6</v>
      </c>
      <c r="J84" s="325">
        <v>0</v>
      </c>
      <c r="K84" s="325">
        <f t="shared" si="10"/>
        <v>0</v>
      </c>
      <c r="L84" s="325">
        <f t="shared" si="11"/>
        <v>0</v>
      </c>
      <c r="M84" s="407">
        <v>2.5</v>
      </c>
      <c r="N84" s="408" t="s">
        <v>17</v>
      </c>
      <c r="O84" s="325">
        <f t="shared" si="15"/>
        <v>0</v>
      </c>
      <c r="P84" s="325">
        <f t="shared" si="16"/>
        <v>0</v>
      </c>
      <c r="Q84" s="325">
        <f t="shared" si="17"/>
        <v>0</v>
      </c>
      <c r="R84" s="325">
        <f t="shared" si="12"/>
        <v>0</v>
      </c>
      <c r="S84" s="325">
        <f t="shared" si="13"/>
        <v>10</v>
      </c>
      <c r="T84" s="325">
        <f t="shared" si="18"/>
        <v>10</v>
      </c>
      <c r="U84" s="409">
        <f t="shared" si="14"/>
        <v>750.6</v>
      </c>
      <c r="V84" s="325">
        <f t="shared" si="19"/>
        <v>0</v>
      </c>
      <c r="W84" s="449" cm="1">
        <f t="array" ref="W84">+IF(U84&lt;0,error,0)</f>
        <v>0</v>
      </c>
    </row>
    <row r="85" spans="1:23" ht="18" customHeight="1" x14ac:dyDescent="0.2">
      <c r="A85" s="402" t="s">
        <v>167</v>
      </c>
      <c r="B85" s="403"/>
      <c r="C85" s="404" t="s">
        <v>168</v>
      </c>
      <c r="D85" s="405">
        <v>43019</v>
      </c>
      <c r="E85" s="406"/>
      <c r="F85" s="325"/>
      <c r="G85" s="324"/>
      <c r="H85" s="324">
        <v>636</v>
      </c>
      <c r="I85" s="325">
        <v>602</v>
      </c>
      <c r="J85" s="325">
        <v>0</v>
      </c>
      <c r="K85" s="325">
        <f t="shared" si="10"/>
        <v>0</v>
      </c>
      <c r="L85" s="325">
        <f t="shared" si="11"/>
        <v>0</v>
      </c>
      <c r="M85" s="407">
        <v>2.5</v>
      </c>
      <c r="N85" s="408" t="s">
        <v>17</v>
      </c>
      <c r="O85" s="325">
        <f t="shared" si="15"/>
        <v>0</v>
      </c>
      <c r="P85" s="325">
        <f t="shared" si="16"/>
        <v>0</v>
      </c>
      <c r="Q85" s="325">
        <f t="shared" si="17"/>
        <v>0</v>
      </c>
      <c r="R85" s="325">
        <f t="shared" si="12"/>
        <v>0</v>
      </c>
      <c r="S85" s="325">
        <f t="shared" si="13"/>
        <v>7</v>
      </c>
      <c r="T85" s="325">
        <f t="shared" si="18"/>
        <v>7</v>
      </c>
      <c r="U85" s="409">
        <f t="shared" si="14"/>
        <v>595</v>
      </c>
      <c r="V85" s="325">
        <f t="shared" si="19"/>
        <v>0</v>
      </c>
      <c r="W85" s="449" cm="1">
        <f t="array" ref="W85">+IF(U85&lt;0,error,0)</f>
        <v>0</v>
      </c>
    </row>
    <row r="86" spans="1:23" ht="18" customHeight="1" x14ac:dyDescent="0.2">
      <c r="A86" s="402" t="s">
        <v>169</v>
      </c>
      <c r="B86" s="403"/>
      <c r="C86" s="404" t="s">
        <v>170</v>
      </c>
      <c r="D86" s="405">
        <v>43069</v>
      </c>
      <c r="E86" s="406"/>
      <c r="F86" s="325"/>
      <c r="G86" s="324"/>
      <c r="H86" s="324">
        <v>472.5</v>
      </c>
      <c r="I86" s="325">
        <v>449.5</v>
      </c>
      <c r="J86" s="325">
        <v>0</v>
      </c>
      <c r="K86" s="325">
        <f t="shared" si="10"/>
        <v>0</v>
      </c>
      <c r="L86" s="325">
        <f t="shared" si="11"/>
        <v>0</v>
      </c>
      <c r="M86" s="407">
        <v>2.5</v>
      </c>
      <c r="N86" s="408" t="s">
        <v>17</v>
      </c>
      <c r="O86" s="325">
        <f t="shared" si="15"/>
        <v>0</v>
      </c>
      <c r="P86" s="325">
        <f t="shared" si="16"/>
        <v>0</v>
      </c>
      <c r="Q86" s="325">
        <f t="shared" si="17"/>
        <v>0</v>
      </c>
      <c r="R86" s="325">
        <f t="shared" si="12"/>
        <v>0</v>
      </c>
      <c r="S86" s="325">
        <f t="shared" si="13"/>
        <v>5</v>
      </c>
      <c r="T86" s="325">
        <f t="shared" si="18"/>
        <v>5</v>
      </c>
      <c r="U86" s="409">
        <f t="shared" si="14"/>
        <v>444.5</v>
      </c>
      <c r="V86" s="325">
        <f t="shared" si="19"/>
        <v>0</v>
      </c>
      <c r="W86" s="449" cm="1">
        <f t="array" ref="W86">+IF(U86&lt;0,error,0)</f>
        <v>0</v>
      </c>
    </row>
    <row r="87" spans="1:23" ht="18" customHeight="1" x14ac:dyDescent="0.2">
      <c r="A87" s="402" t="s">
        <v>171</v>
      </c>
      <c r="B87" s="403"/>
      <c r="C87" s="404" t="s">
        <v>172</v>
      </c>
      <c r="D87" s="405">
        <v>43008</v>
      </c>
      <c r="E87" s="406"/>
      <c r="F87" s="325"/>
      <c r="G87" s="324"/>
      <c r="H87" s="324">
        <v>945</v>
      </c>
      <c r="I87" s="325">
        <v>893</v>
      </c>
      <c r="J87" s="325">
        <v>0</v>
      </c>
      <c r="K87" s="325">
        <f t="shared" si="10"/>
        <v>0</v>
      </c>
      <c r="L87" s="325">
        <f t="shared" si="11"/>
        <v>0</v>
      </c>
      <c r="M87" s="407">
        <v>2.5</v>
      </c>
      <c r="N87" s="408" t="s">
        <v>17</v>
      </c>
      <c r="O87" s="325">
        <f t="shared" si="15"/>
        <v>0</v>
      </c>
      <c r="P87" s="325">
        <f t="shared" si="16"/>
        <v>0</v>
      </c>
      <c r="Q87" s="325">
        <f t="shared" si="17"/>
        <v>0</v>
      </c>
      <c r="R87" s="325">
        <f t="shared" si="12"/>
        <v>0</v>
      </c>
      <c r="S87" s="325">
        <f t="shared" si="13"/>
        <v>11</v>
      </c>
      <c r="T87" s="325">
        <f t="shared" si="18"/>
        <v>11</v>
      </c>
      <c r="U87" s="409">
        <f t="shared" si="14"/>
        <v>882</v>
      </c>
      <c r="V87" s="325">
        <f t="shared" si="19"/>
        <v>0</v>
      </c>
      <c r="W87" s="449" cm="1">
        <f t="array" ref="W87">+IF(U87&lt;0,error,0)</f>
        <v>0</v>
      </c>
    </row>
    <row r="88" spans="1:23" ht="18" customHeight="1" x14ac:dyDescent="0.2">
      <c r="A88" s="402" t="s">
        <v>173</v>
      </c>
      <c r="B88" s="403"/>
      <c r="C88" s="404" t="s">
        <v>174</v>
      </c>
      <c r="D88" s="405">
        <v>43077</v>
      </c>
      <c r="E88" s="406"/>
      <c r="F88" s="325"/>
      <c r="G88" s="324"/>
      <c r="H88" s="324">
        <v>650</v>
      </c>
      <c r="I88" s="325">
        <v>617</v>
      </c>
      <c r="J88" s="325">
        <v>0</v>
      </c>
      <c r="K88" s="325">
        <f t="shared" si="10"/>
        <v>0</v>
      </c>
      <c r="L88" s="325">
        <f t="shared" si="11"/>
        <v>0</v>
      </c>
      <c r="M88" s="407">
        <v>2.5</v>
      </c>
      <c r="N88" s="408" t="s">
        <v>17</v>
      </c>
      <c r="O88" s="325">
        <f t="shared" si="15"/>
        <v>0</v>
      </c>
      <c r="P88" s="325">
        <f t="shared" si="16"/>
        <v>0</v>
      </c>
      <c r="Q88" s="325">
        <f t="shared" si="17"/>
        <v>0</v>
      </c>
      <c r="R88" s="325">
        <f t="shared" si="12"/>
        <v>0</v>
      </c>
      <c r="S88" s="325">
        <f t="shared" si="13"/>
        <v>8</v>
      </c>
      <c r="T88" s="325">
        <f t="shared" si="18"/>
        <v>8</v>
      </c>
      <c r="U88" s="409">
        <f t="shared" si="14"/>
        <v>609</v>
      </c>
      <c r="V88" s="325">
        <f t="shared" si="19"/>
        <v>0</v>
      </c>
      <c r="W88" s="449" cm="1">
        <f t="array" ref="W88">+IF(U88&lt;0,error,0)</f>
        <v>0</v>
      </c>
    </row>
    <row r="89" spans="1:23" ht="18" customHeight="1" x14ac:dyDescent="0.2">
      <c r="A89" s="402" t="s">
        <v>175</v>
      </c>
      <c r="B89" s="403"/>
      <c r="C89" s="412" t="s">
        <v>176</v>
      </c>
      <c r="D89" s="405">
        <v>43116</v>
      </c>
      <c r="E89" s="406"/>
      <c r="F89" s="325"/>
      <c r="G89" s="324"/>
      <c r="H89" s="324">
        <v>420</v>
      </c>
      <c r="I89" s="325">
        <v>400</v>
      </c>
      <c r="J89" s="325">
        <v>0</v>
      </c>
      <c r="K89" s="325">
        <f t="shared" si="10"/>
        <v>0</v>
      </c>
      <c r="L89" s="325">
        <f t="shared" si="11"/>
        <v>0</v>
      </c>
      <c r="M89" s="407">
        <v>2.5</v>
      </c>
      <c r="N89" s="408" t="s">
        <v>17</v>
      </c>
      <c r="O89" s="325">
        <f t="shared" si="15"/>
        <v>0</v>
      </c>
      <c r="P89" s="325">
        <f t="shared" si="16"/>
        <v>0</v>
      </c>
      <c r="Q89" s="325">
        <f t="shared" si="17"/>
        <v>0</v>
      </c>
      <c r="R89" s="325">
        <f t="shared" si="12"/>
        <v>0</v>
      </c>
      <c r="S89" s="325">
        <f t="shared" si="13"/>
        <v>5</v>
      </c>
      <c r="T89" s="325">
        <f t="shared" si="18"/>
        <v>5</v>
      </c>
      <c r="U89" s="409">
        <f t="shared" si="14"/>
        <v>395</v>
      </c>
      <c r="V89" s="325">
        <f t="shared" si="19"/>
        <v>0</v>
      </c>
      <c r="W89" s="449" cm="1">
        <f t="array" ref="W89">+IF(U89&lt;0,error,0)</f>
        <v>0</v>
      </c>
    </row>
    <row r="90" spans="1:23" ht="18" customHeight="1" x14ac:dyDescent="0.2">
      <c r="A90" s="402" t="s">
        <v>177</v>
      </c>
      <c r="B90" s="403"/>
      <c r="C90" s="411" t="s">
        <v>178</v>
      </c>
      <c r="D90" s="405">
        <v>43182</v>
      </c>
      <c r="E90" s="406"/>
      <c r="F90" s="325"/>
      <c r="G90" s="324"/>
      <c r="H90" s="324">
        <v>740</v>
      </c>
      <c r="I90" s="325">
        <v>708</v>
      </c>
      <c r="J90" s="325">
        <v>0</v>
      </c>
      <c r="K90" s="325">
        <f t="shared" si="10"/>
        <v>0</v>
      </c>
      <c r="L90" s="325">
        <f t="shared" si="11"/>
        <v>0</v>
      </c>
      <c r="M90" s="407">
        <v>2.5</v>
      </c>
      <c r="N90" s="408" t="s">
        <v>17</v>
      </c>
      <c r="O90" s="325">
        <f t="shared" si="15"/>
        <v>0</v>
      </c>
      <c r="P90" s="325">
        <f t="shared" si="16"/>
        <v>0</v>
      </c>
      <c r="Q90" s="325">
        <f t="shared" si="17"/>
        <v>0</v>
      </c>
      <c r="R90" s="325">
        <f t="shared" si="12"/>
        <v>0</v>
      </c>
      <c r="S90" s="325">
        <f t="shared" si="13"/>
        <v>9</v>
      </c>
      <c r="T90" s="325">
        <f t="shared" si="18"/>
        <v>9</v>
      </c>
      <c r="U90" s="409">
        <f t="shared" si="14"/>
        <v>699</v>
      </c>
      <c r="V90" s="325">
        <f t="shared" si="19"/>
        <v>0</v>
      </c>
      <c r="W90" s="449" cm="1">
        <f t="array" ref="W90">+IF(U90&lt;0,error,0)</f>
        <v>0</v>
      </c>
    </row>
    <row r="91" spans="1:23" ht="18" customHeight="1" x14ac:dyDescent="0.2">
      <c r="A91" s="402" t="s">
        <v>179</v>
      </c>
      <c r="B91" s="403"/>
      <c r="C91" s="412" t="s">
        <v>180</v>
      </c>
      <c r="D91" s="405">
        <v>43034</v>
      </c>
      <c r="E91" s="406"/>
      <c r="F91" s="325"/>
      <c r="G91" s="324"/>
      <c r="H91" s="324">
        <v>910</v>
      </c>
      <c r="I91" s="325">
        <v>861</v>
      </c>
      <c r="J91" s="325">
        <v>0</v>
      </c>
      <c r="K91" s="325">
        <f t="shared" si="10"/>
        <v>0</v>
      </c>
      <c r="L91" s="325">
        <f t="shared" si="11"/>
        <v>0</v>
      </c>
      <c r="M91" s="407">
        <v>2.5</v>
      </c>
      <c r="N91" s="408" t="s">
        <v>17</v>
      </c>
      <c r="O91" s="325">
        <f t="shared" si="15"/>
        <v>0</v>
      </c>
      <c r="P91" s="325">
        <f t="shared" si="16"/>
        <v>0</v>
      </c>
      <c r="Q91" s="325">
        <f t="shared" si="17"/>
        <v>0</v>
      </c>
      <c r="R91" s="325">
        <f t="shared" si="12"/>
        <v>0</v>
      </c>
      <c r="S91" s="325">
        <f t="shared" si="13"/>
        <v>11</v>
      </c>
      <c r="T91" s="325">
        <f t="shared" si="18"/>
        <v>11</v>
      </c>
      <c r="U91" s="409">
        <f t="shared" si="14"/>
        <v>850</v>
      </c>
      <c r="V91" s="325">
        <f t="shared" si="19"/>
        <v>0</v>
      </c>
      <c r="W91" s="449" cm="1">
        <f t="array" ref="W91">+IF(U91&lt;0,error,0)</f>
        <v>0</v>
      </c>
    </row>
    <row r="92" spans="1:23" ht="18" customHeight="1" x14ac:dyDescent="0.2">
      <c r="A92" s="402" t="s">
        <v>181</v>
      </c>
      <c r="B92" s="403"/>
      <c r="C92" s="411" t="s">
        <v>145</v>
      </c>
      <c r="D92" s="405">
        <v>43068</v>
      </c>
      <c r="E92" s="406"/>
      <c r="F92" s="325"/>
      <c r="G92" s="324"/>
      <c r="H92" s="324">
        <v>499.40000000000003</v>
      </c>
      <c r="I92" s="325">
        <v>474.40000000000003</v>
      </c>
      <c r="J92" s="325">
        <v>0</v>
      </c>
      <c r="K92" s="325">
        <f t="shared" si="10"/>
        <v>0</v>
      </c>
      <c r="L92" s="325">
        <f t="shared" si="11"/>
        <v>0</v>
      </c>
      <c r="M92" s="407">
        <v>2.5</v>
      </c>
      <c r="N92" s="408" t="s">
        <v>17</v>
      </c>
      <c r="O92" s="325">
        <f t="shared" si="15"/>
        <v>0</v>
      </c>
      <c r="P92" s="325">
        <f t="shared" si="16"/>
        <v>0</v>
      </c>
      <c r="Q92" s="325">
        <f t="shared" si="17"/>
        <v>0</v>
      </c>
      <c r="R92" s="325">
        <f t="shared" si="12"/>
        <v>0</v>
      </c>
      <c r="S92" s="325">
        <f t="shared" si="13"/>
        <v>6</v>
      </c>
      <c r="T92" s="325">
        <f t="shared" si="18"/>
        <v>6</v>
      </c>
      <c r="U92" s="409">
        <f t="shared" si="14"/>
        <v>468.40000000000003</v>
      </c>
      <c r="V92" s="325">
        <f t="shared" si="19"/>
        <v>0</v>
      </c>
      <c r="W92" s="449" cm="1">
        <f t="array" ref="W92">+IF(U92&lt;0,error,0)</f>
        <v>0</v>
      </c>
    </row>
    <row r="93" spans="1:23" ht="18" customHeight="1" x14ac:dyDescent="0.2">
      <c r="A93" s="402" t="s">
        <v>182</v>
      </c>
      <c r="B93" s="403"/>
      <c r="C93" s="404" t="s">
        <v>183</v>
      </c>
      <c r="D93" s="405">
        <v>43152</v>
      </c>
      <c r="E93" s="406"/>
      <c r="F93" s="325"/>
      <c r="G93" s="324"/>
      <c r="H93" s="324">
        <v>810</v>
      </c>
      <c r="I93" s="325">
        <v>774</v>
      </c>
      <c r="J93" s="325">
        <v>0</v>
      </c>
      <c r="K93" s="325">
        <f t="shared" si="10"/>
        <v>0</v>
      </c>
      <c r="L93" s="325">
        <f t="shared" si="11"/>
        <v>0</v>
      </c>
      <c r="M93" s="407">
        <v>2.5</v>
      </c>
      <c r="N93" s="408" t="s">
        <v>17</v>
      </c>
      <c r="O93" s="325">
        <f t="shared" si="15"/>
        <v>0</v>
      </c>
      <c r="P93" s="325">
        <f t="shared" si="16"/>
        <v>0</v>
      </c>
      <c r="Q93" s="325">
        <f t="shared" si="17"/>
        <v>0</v>
      </c>
      <c r="R93" s="325">
        <f t="shared" si="12"/>
        <v>0</v>
      </c>
      <c r="S93" s="325">
        <f t="shared" si="13"/>
        <v>10</v>
      </c>
      <c r="T93" s="325">
        <f t="shared" si="18"/>
        <v>10</v>
      </c>
      <c r="U93" s="409">
        <f t="shared" si="14"/>
        <v>764</v>
      </c>
      <c r="V93" s="325">
        <f t="shared" si="19"/>
        <v>0</v>
      </c>
      <c r="W93" s="449" cm="1">
        <f t="array" ref="W93">+IF(U93&lt;0,error,0)</f>
        <v>0</v>
      </c>
    </row>
    <row r="94" spans="1:23" ht="18" customHeight="1" x14ac:dyDescent="0.2">
      <c r="A94" s="402" t="s">
        <v>184</v>
      </c>
      <c r="B94" s="403"/>
      <c r="C94" s="404" t="s">
        <v>185</v>
      </c>
      <c r="D94" s="405">
        <v>43249</v>
      </c>
      <c r="E94" s="406"/>
      <c r="F94" s="325"/>
      <c r="G94" s="324"/>
      <c r="H94" s="324">
        <v>722.39</v>
      </c>
      <c r="I94" s="325">
        <v>693.39</v>
      </c>
      <c r="J94" s="325">
        <v>0</v>
      </c>
      <c r="K94" s="325">
        <f t="shared" si="10"/>
        <v>0</v>
      </c>
      <c r="L94" s="325">
        <f t="shared" si="11"/>
        <v>0</v>
      </c>
      <c r="M94" s="407">
        <v>2.5</v>
      </c>
      <c r="N94" s="408" t="s">
        <v>17</v>
      </c>
      <c r="O94" s="325">
        <f t="shared" si="15"/>
        <v>0</v>
      </c>
      <c r="P94" s="325">
        <f t="shared" si="16"/>
        <v>0</v>
      </c>
      <c r="Q94" s="325">
        <f t="shared" si="17"/>
        <v>0</v>
      </c>
      <c r="R94" s="325">
        <f t="shared" si="12"/>
        <v>0</v>
      </c>
      <c r="S94" s="325">
        <f t="shared" si="13"/>
        <v>9</v>
      </c>
      <c r="T94" s="325">
        <f t="shared" si="18"/>
        <v>9</v>
      </c>
      <c r="U94" s="409">
        <f t="shared" si="14"/>
        <v>684.39</v>
      </c>
      <c r="V94" s="325">
        <f t="shared" si="19"/>
        <v>0</v>
      </c>
      <c r="W94" s="449" cm="1">
        <f t="array" ref="W94">+IF(U94&lt;0,error,0)</f>
        <v>0</v>
      </c>
    </row>
    <row r="95" spans="1:23" ht="18" customHeight="1" x14ac:dyDescent="0.2">
      <c r="A95" s="402" t="s">
        <v>186</v>
      </c>
      <c r="B95" s="403"/>
      <c r="C95" s="404" t="s">
        <v>187</v>
      </c>
      <c r="D95" s="405">
        <v>43264</v>
      </c>
      <c r="E95" s="406"/>
      <c r="F95" s="325"/>
      <c r="G95" s="324"/>
      <c r="H95" s="324">
        <v>310</v>
      </c>
      <c r="I95" s="325">
        <v>299</v>
      </c>
      <c r="J95" s="325">
        <v>0</v>
      </c>
      <c r="K95" s="325">
        <f t="shared" si="10"/>
        <v>0</v>
      </c>
      <c r="L95" s="325">
        <f t="shared" si="11"/>
        <v>0</v>
      </c>
      <c r="M95" s="407">
        <v>2.5</v>
      </c>
      <c r="N95" s="408" t="s">
        <v>17</v>
      </c>
      <c r="O95" s="325">
        <f t="shared" si="15"/>
        <v>0</v>
      </c>
      <c r="P95" s="325">
        <f t="shared" si="16"/>
        <v>0</v>
      </c>
      <c r="Q95" s="325">
        <f t="shared" si="17"/>
        <v>0</v>
      </c>
      <c r="R95" s="325">
        <f t="shared" si="12"/>
        <v>0</v>
      </c>
      <c r="S95" s="325">
        <f t="shared" si="13"/>
        <v>3</v>
      </c>
      <c r="T95" s="325">
        <f t="shared" si="18"/>
        <v>3</v>
      </c>
      <c r="U95" s="409">
        <f t="shared" si="14"/>
        <v>296</v>
      </c>
      <c r="V95" s="325">
        <f t="shared" si="19"/>
        <v>0</v>
      </c>
      <c r="W95" s="449" cm="1">
        <f t="array" ref="W95">+IF(U95&lt;0,error,0)</f>
        <v>0</v>
      </c>
    </row>
    <row r="96" spans="1:23" ht="18" customHeight="1" x14ac:dyDescent="0.2">
      <c r="A96" s="402" t="s">
        <v>188</v>
      </c>
      <c r="B96" s="403"/>
      <c r="C96" s="404" t="s">
        <v>189</v>
      </c>
      <c r="D96" s="405">
        <v>43281</v>
      </c>
      <c r="E96" s="406"/>
      <c r="F96" s="325"/>
      <c r="G96" s="324"/>
      <c r="H96" s="324">
        <v>434</v>
      </c>
      <c r="I96" s="325">
        <v>417</v>
      </c>
      <c r="J96" s="325">
        <v>0</v>
      </c>
      <c r="K96" s="325">
        <f t="shared" si="10"/>
        <v>0</v>
      </c>
      <c r="L96" s="325">
        <f t="shared" si="11"/>
        <v>0</v>
      </c>
      <c r="M96" s="407">
        <v>2.5</v>
      </c>
      <c r="N96" s="408" t="s">
        <v>17</v>
      </c>
      <c r="O96" s="325">
        <f t="shared" si="15"/>
        <v>0</v>
      </c>
      <c r="P96" s="325">
        <f t="shared" si="16"/>
        <v>0</v>
      </c>
      <c r="Q96" s="325">
        <f t="shared" si="17"/>
        <v>0</v>
      </c>
      <c r="R96" s="325">
        <f t="shared" si="12"/>
        <v>0</v>
      </c>
      <c r="S96" s="325">
        <f t="shared" si="13"/>
        <v>5</v>
      </c>
      <c r="T96" s="325">
        <f t="shared" si="18"/>
        <v>5</v>
      </c>
      <c r="U96" s="409">
        <f t="shared" si="14"/>
        <v>412</v>
      </c>
      <c r="V96" s="325">
        <f t="shared" si="19"/>
        <v>0</v>
      </c>
      <c r="W96" s="449" cm="1">
        <f t="array" ref="W96">+IF(U96&lt;0,error,0)</f>
        <v>0</v>
      </c>
    </row>
    <row r="97" spans="1:23" ht="18" customHeight="1" x14ac:dyDescent="0.2">
      <c r="A97" s="402" t="s">
        <v>190</v>
      </c>
      <c r="B97" s="403"/>
      <c r="C97" s="412" t="s">
        <v>191</v>
      </c>
      <c r="D97" s="405">
        <v>42989</v>
      </c>
      <c r="E97" s="406"/>
      <c r="F97" s="325"/>
      <c r="G97" s="324"/>
      <c r="H97" s="324">
        <v>190</v>
      </c>
      <c r="I97" s="325">
        <v>180</v>
      </c>
      <c r="J97" s="325">
        <v>0</v>
      </c>
      <c r="K97" s="325">
        <f t="shared" si="10"/>
        <v>0</v>
      </c>
      <c r="L97" s="325">
        <f t="shared" si="11"/>
        <v>0</v>
      </c>
      <c r="M97" s="407">
        <v>2.5</v>
      </c>
      <c r="N97" s="408" t="s">
        <v>17</v>
      </c>
      <c r="O97" s="325">
        <f t="shared" si="15"/>
        <v>0</v>
      </c>
      <c r="P97" s="325">
        <f t="shared" si="16"/>
        <v>0</v>
      </c>
      <c r="Q97" s="325">
        <f t="shared" si="17"/>
        <v>0</v>
      </c>
      <c r="R97" s="325">
        <f t="shared" si="12"/>
        <v>0</v>
      </c>
      <c r="S97" s="325">
        <f t="shared" si="13"/>
        <v>2</v>
      </c>
      <c r="T97" s="325">
        <f t="shared" si="18"/>
        <v>2</v>
      </c>
      <c r="U97" s="409">
        <f t="shared" si="14"/>
        <v>178</v>
      </c>
      <c r="V97" s="325">
        <f t="shared" si="19"/>
        <v>0</v>
      </c>
      <c r="W97" s="449" cm="1">
        <f t="array" ref="W97">+IF(U97&lt;0,error,0)</f>
        <v>0</v>
      </c>
    </row>
    <row r="98" spans="1:23" ht="18" customHeight="1" x14ac:dyDescent="0.2">
      <c r="A98" s="402" t="s">
        <v>192</v>
      </c>
      <c r="B98" s="403"/>
      <c r="C98" s="412" t="s">
        <v>193</v>
      </c>
      <c r="D98" s="405">
        <v>42992</v>
      </c>
      <c r="E98" s="406"/>
      <c r="F98" s="325"/>
      <c r="G98" s="324"/>
      <c r="H98" s="324">
        <v>42.4</v>
      </c>
      <c r="I98" s="325">
        <v>40.4</v>
      </c>
      <c r="J98" s="325">
        <v>0</v>
      </c>
      <c r="K98" s="325">
        <f t="shared" si="10"/>
        <v>0</v>
      </c>
      <c r="L98" s="325">
        <f t="shared" si="11"/>
        <v>0</v>
      </c>
      <c r="M98" s="407">
        <v>2.5</v>
      </c>
      <c r="N98" s="408" t="s">
        <v>17</v>
      </c>
      <c r="O98" s="325">
        <f t="shared" si="15"/>
        <v>0</v>
      </c>
      <c r="P98" s="325">
        <f t="shared" si="16"/>
        <v>0</v>
      </c>
      <c r="Q98" s="325">
        <f t="shared" si="17"/>
        <v>0</v>
      </c>
      <c r="R98" s="325">
        <f t="shared" si="12"/>
        <v>0</v>
      </c>
      <c r="S98" s="325">
        <f t="shared" si="13"/>
        <v>0</v>
      </c>
      <c r="T98" s="325">
        <f t="shared" si="18"/>
        <v>0</v>
      </c>
      <c r="U98" s="409">
        <f t="shared" si="14"/>
        <v>40.4</v>
      </c>
      <c r="V98" s="325">
        <f t="shared" si="19"/>
        <v>0</v>
      </c>
      <c r="W98" s="449" cm="1">
        <f t="array" ref="W98">+IF(U98&lt;0,error,0)</f>
        <v>0</v>
      </c>
    </row>
    <row r="99" spans="1:23" ht="18" customHeight="1" x14ac:dyDescent="0.2">
      <c r="A99" s="402" t="s">
        <v>194</v>
      </c>
      <c r="B99" s="403"/>
      <c r="C99" s="412" t="s">
        <v>195</v>
      </c>
      <c r="D99" s="405">
        <v>42998</v>
      </c>
      <c r="E99" s="406"/>
      <c r="F99" s="325"/>
      <c r="G99" s="324"/>
      <c r="H99" s="324">
        <v>242</v>
      </c>
      <c r="I99" s="325">
        <v>228</v>
      </c>
      <c r="J99" s="325">
        <v>0</v>
      </c>
      <c r="K99" s="325">
        <f t="shared" si="10"/>
        <v>0</v>
      </c>
      <c r="L99" s="325">
        <f t="shared" si="11"/>
        <v>0</v>
      </c>
      <c r="M99" s="407">
        <v>2.5</v>
      </c>
      <c r="N99" s="408" t="s">
        <v>17</v>
      </c>
      <c r="O99" s="325">
        <f t="shared" si="15"/>
        <v>0</v>
      </c>
      <c r="P99" s="325">
        <f t="shared" si="16"/>
        <v>0</v>
      </c>
      <c r="Q99" s="325">
        <f t="shared" si="17"/>
        <v>0</v>
      </c>
      <c r="R99" s="325">
        <f t="shared" si="12"/>
        <v>0</v>
      </c>
      <c r="S99" s="325">
        <f t="shared" si="13"/>
        <v>3</v>
      </c>
      <c r="T99" s="325">
        <f t="shared" si="18"/>
        <v>3</v>
      </c>
      <c r="U99" s="409">
        <f t="shared" si="14"/>
        <v>225</v>
      </c>
      <c r="V99" s="325">
        <f t="shared" si="19"/>
        <v>0</v>
      </c>
      <c r="W99" s="449" cm="1">
        <f t="array" ref="W99">+IF(U99&lt;0,error,0)</f>
        <v>0</v>
      </c>
    </row>
    <row r="100" spans="1:23" ht="18" customHeight="1" x14ac:dyDescent="0.2">
      <c r="A100" s="402" t="s">
        <v>196</v>
      </c>
      <c r="B100" s="403"/>
      <c r="C100" s="412" t="s">
        <v>197</v>
      </c>
      <c r="D100" s="405">
        <v>43257</v>
      </c>
      <c r="E100" s="406"/>
      <c r="F100" s="325"/>
      <c r="G100" s="324"/>
      <c r="H100" s="324">
        <v>259.2</v>
      </c>
      <c r="I100" s="325">
        <v>249.2</v>
      </c>
      <c r="J100" s="325">
        <v>0</v>
      </c>
      <c r="K100" s="325">
        <f t="shared" si="10"/>
        <v>0</v>
      </c>
      <c r="L100" s="325">
        <f t="shared" si="11"/>
        <v>0</v>
      </c>
      <c r="M100" s="407">
        <v>2.5</v>
      </c>
      <c r="N100" s="408" t="s">
        <v>17</v>
      </c>
      <c r="O100" s="325">
        <f t="shared" si="15"/>
        <v>0</v>
      </c>
      <c r="P100" s="325">
        <f t="shared" si="16"/>
        <v>0</v>
      </c>
      <c r="Q100" s="325">
        <f t="shared" si="17"/>
        <v>0</v>
      </c>
      <c r="R100" s="325">
        <f t="shared" si="12"/>
        <v>0</v>
      </c>
      <c r="S100" s="325">
        <f t="shared" si="13"/>
        <v>3</v>
      </c>
      <c r="T100" s="325">
        <f t="shared" si="18"/>
        <v>3</v>
      </c>
      <c r="U100" s="409">
        <f t="shared" si="14"/>
        <v>246.2</v>
      </c>
      <c r="V100" s="325">
        <f t="shared" si="19"/>
        <v>0</v>
      </c>
      <c r="W100" s="449" cm="1">
        <f t="array" ref="W100">+IF(U100&lt;0,error,0)</f>
        <v>0</v>
      </c>
    </row>
    <row r="101" spans="1:23" ht="18" customHeight="1" x14ac:dyDescent="0.2">
      <c r="A101" s="402" t="s">
        <v>198</v>
      </c>
      <c r="B101" s="403"/>
      <c r="C101" s="411" t="s">
        <v>199</v>
      </c>
      <c r="D101" s="405">
        <v>43020</v>
      </c>
      <c r="E101" s="406"/>
      <c r="F101" s="325"/>
      <c r="G101" s="324"/>
      <c r="H101" s="324">
        <v>160</v>
      </c>
      <c r="I101" s="325">
        <v>151</v>
      </c>
      <c r="J101" s="325">
        <v>0</v>
      </c>
      <c r="K101" s="325">
        <f t="shared" si="10"/>
        <v>0</v>
      </c>
      <c r="L101" s="325">
        <f t="shared" si="11"/>
        <v>0</v>
      </c>
      <c r="M101" s="407">
        <v>2.5</v>
      </c>
      <c r="N101" s="408" t="s">
        <v>17</v>
      </c>
      <c r="O101" s="325">
        <f t="shared" si="15"/>
        <v>0</v>
      </c>
      <c r="P101" s="325">
        <f t="shared" si="16"/>
        <v>0</v>
      </c>
      <c r="Q101" s="325">
        <f t="shared" si="17"/>
        <v>0</v>
      </c>
      <c r="R101" s="325">
        <f t="shared" si="12"/>
        <v>0</v>
      </c>
      <c r="S101" s="325">
        <f t="shared" si="13"/>
        <v>2</v>
      </c>
      <c r="T101" s="325">
        <f t="shared" si="18"/>
        <v>2</v>
      </c>
      <c r="U101" s="409">
        <f t="shared" si="14"/>
        <v>149</v>
      </c>
      <c r="V101" s="325">
        <f t="shared" si="19"/>
        <v>0</v>
      </c>
      <c r="W101" s="449" cm="1">
        <f t="array" ref="W101">+IF(U101&lt;0,error,0)</f>
        <v>0</v>
      </c>
    </row>
    <row r="102" spans="1:23" ht="18" customHeight="1" x14ac:dyDescent="0.2">
      <c r="A102" s="402" t="s">
        <v>200</v>
      </c>
      <c r="B102" s="403"/>
      <c r="C102" s="404" t="s">
        <v>201</v>
      </c>
      <c r="D102" s="405">
        <v>43045</v>
      </c>
      <c r="E102" s="406"/>
      <c r="F102" s="325"/>
      <c r="G102" s="324"/>
      <c r="H102" s="324">
        <v>72.11</v>
      </c>
      <c r="I102" s="325">
        <v>69.11</v>
      </c>
      <c r="J102" s="325">
        <v>0</v>
      </c>
      <c r="K102" s="325">
        <f t="shared" si="10"/>
        <v>0</v>
      </c>
      <c r="L102" s="325">
        <f t="shared" si="11"/>
        <v>0</v>
      </c>
      <c r="M102" s="407">
        <v>2.5</v>
      </c>
      <c r="N102" s="408" t="s">
        <v>17</v>
      </c>
      <c r="O102" s="325">
        <f t="shared" si="15"/>
        <v>0</v>
      </c>
      <c r="P102" s="325">
        <f t="shared" si="16"/>
        <v>0</v>
      </c>
      <c r="Q102" s="325">
        <f t="shared" si="17"/>
        <v>0</v>
      </c>
      <c r="R102" s="325">
        <f t="shared" si="12"/>
        <v>0</v>
      </c>
      <c r="S102" s="325">
        <f t="shared" si="13"/>
        <v>0</v>
      </c>
      <c r="T102" s="325">
        <f t="shared" si="18"/>
        <v>0</v>
      </c>
      <c r="U102" s="409">
        <f t="shared" si="14"/>
        <v>69.11</v>
      </c>
      <c r="V102" s="325">
        <f t="shared" si="19"/>
        <v>0</v>
      </c>
      <c r="W102" s="449" cm="1">
        <f t="array" ref="W102">+IF(U102&lt;0,error,0)</f>
        <v>0</v>
      </c>
    </row>
    <row r="103" spans="1:23" ht="18" customHeight="1" x14ac:dyDescent="0.2">
      <c r="A103" s="402" t="s">
        <v>202</v>
      </c>
      <c r="B103" s="403"/>
      <c r="C103" s="412" t="s">
        <v>203</v>
      </c>
      <c r="D103" s="405">
        <v>43045</v>
      </c>
      <c r="E103" s="406"/>
      <c r="F103" s="325"/>
      <c r="G103" s="324"/>
      <c r="H103" s="324">
        <v>4.84</v>
      </c>
      <c r="I103" s="325">
        <v>2.84</v>
      </c>
      <c r="J103" s="325">
        <v>0</v>
      </c>
      <c r="K103" s="325">
        <f t="shared" si="10"/>
        <v>0</v>
      </c>
      <c r="L103" s="325">
        <f t="shared" si="11"/>
        <v>0</v>
      </c>
      <c r="M103" s="407">
        <v>2.5</v>
      </c>
      <c r="N103" s="408" t="s">
        <v>17</v>
      </c>
      <c r="O103" s="325">
        <f t="shared" si="15"/>
        <v>0</v>
      </c>
      <c r="P103" s="325">
        <f t="shared" si="16"/>
        <v>0</v>
      </c>
      <c r="Q103" s="325">
        <f t="shared" si="17"/>
        <v>0</v>
      </c>
      <c r="R103" s="325">
        <f t="shared" si="12"/>
        <v>0</v>
      </c>
      <c r="S103" s="325">
        <f t="shared" si="13"/>
        <v>0</v>
      </c>
      <c r="T103" s="325">
        <f t="shared" si="18"/>
        <v>0</v>
      </c>
      <c r="U103" s="409">
        <f t="shared" si="14"/>
        <v>2.84</v>
      </c>
      <c r="V103" s="325">
        <f t="shared" si="19"/>
        <v>0</v>
      </c>
      <c r="W103" s="449" cm="1">
        <f t="array" ref="W103">+IF(U103&lt;0,error,0)</f>
        <v>0</v>
      </c>
    </row>
    <row r="104" spans="1:23" ht="18" customHeight="1" x14ac:dyDescent="0.2">
      <c r="A104" s="402" t="s">
        <v>204</v>
      </c>
      <c r="B104" s="403"/>
      <c r="C104" s="411" t="s">
        <v>205</v>
      </c>
      <c r="D104" s="405">
        <v>43077</v>
      </c>
      <c r="E104" s="406"/>
      <c r="F104" s="325"/>
      <c r="G104" s="324"/>
      <c r="H104" s="324">
        <v>255.3</v>
      </c>
      <c r="I104" s="325">
        <v>242.3</v>
      </c>
      <c r="J104" s="325">
        <v>0</v>
      </c>
      <c r="K104" s="325">
        <f t="shared" si="10"/>
        <v>0</v>
      </c>
      <c r="L104" s="325">
        <f t="shared" si="11"/>
        <v>0</v>
      </c>
      <c r="M104" s="407">
        <v>2.5</v>
      </c>
      <c r="N104" s="408" t="s">
        <v>17</v>
      </c>
      <c r="O104" s="325">
        <f t="shared" si="15"/>
        <v>0</v>
      </c>
      <c r="P104" s="325">
        <f t="shared" si="16"/>
        <v>0</v>
      </c>
      <c r="Q104" s="325">
        <f t="shared" si="17"/>
        <v>0</v>
      </c>
      <c r="R104" s="325">
        <f t="shared" si="12"/>
        <v>0</v>
      </c>
      <c r="S104" s="325">
        <f t="shared" si="13"/>
        <v>3</v>
      </c>
      <c r="T104" s="325">
        <f t="shared" si="18"/>
        <v>3</v>
      </c>
      <c r="U104" s="409">
        <f t="shared" si="14"/>
        <v>239.3</v>
      </c>
      <c r="V104" s="325">
        <f t="shared" si="19"/>
        <v>0</v>
      </c>
      <c r="W104" s="449" cm="1">
        <f t="array" ref="W104">+IF(U104&lt;0,error,0)</f>
        <v>0</v>
      </c>
    </row>
    <row r="105" spans="1:23" ht="18" customHeight="1" x14ac:dyDescent="0.2">
      <c r="A105" s="402" t="s">
        <v>206</v>
      </c>
      <c r="B105" s="403"/>
      <c r="C105" s="404" t="s">
        <v>207</v>
      </c>
      <c r="D105" s="405">
        <v>43271</v>
      </c>
      <c r="E105" s="406"/>
      <c r="F105" s="325"/>
      <c r="G105" s="324"/>
      <c r="H105" s="324">
        <v>109.18</v>
      </c>
      <c r="I105" s="325">
        <v>105.18</v>
      </c>
      <c r="J105" s="325">
        <v>0</v>
      </c>
      <c r="K105" s="325">
        <f t="shared" si="10"/>
        <v>0</v>
      </c>
      <c r="L105" s="325">
        <f t="shared" si="11"/>
        <v>0</v>
      </c>
      <c r="M105" s="407">
        <v>2.5</v>
      </c>
      <c r="N105" s="408" t="s">
        <v>17</v>
      </c>
      <c r="O105" s="325">
        <f t="shared" si="15"/>
        <v>0</v>
      </c>
      <c r="P105" s="325">
        <f t="shared" si="16"/>
        <v>0</v>
      </c>
      <c r="Q105" s="325">
        <f t="shared" si="17"/>
        <v>0</v>
      </c>
      <c r="R105" s="325">
        <f t="shared" si="12"/>
        <v>0</v>
      </c>
      <c r="S105" s="325">
        <f t="shared" si="13"/>
        <v>1</v>
      </c>
      <c r="T105" s="325">
        <f t="shared" si="18"/>
        <v>1</v>
      </c>
      <c r="U105" s="409">
        <f t="shared" si="14"/>
        <v>104.18</v>
      </c>
      <c r="V105" s="325">
        <f t="shared" si="19"/>
        <v>0</v>
      </c>
      <c r="W105" s="449" cm="1">
        <f t="array" ref="W105">+IF(U105&lt;0,error,0)</f>
        <v>0</v>
      </c>
    </row>
    <row r="106" spans="1:23" ht="18" customHeight="1" x14ac:dyDescent="0.2">
      <c r="A106" s="402" t="s">
        <v>208</v>
      </c>
      <c r="B106" s="403"/>
      <c r="C106" s="404" t="s">
        <v>209</v>
      </c>
      <c r="D106" s="405">
        <v>43269</v>
      </c>
      <c r="E106" s="406"/>
      <c r="F106" s="325"/>
      <c r="G106" s="324"/>
      <c r="H106" s="324">
        <v>163.05000000000001</v>
      </c>
      <c r="I106" s="325">
        <v>156.05000000000001</v>
      </c>
      <c r="J106" s="325">
        <v>0</v>
      </c>
      <c r="K106" s="325">
        <f t="shared" si="10"/>
        <v>0</v>
      </c>
      <c r="L106" s="325">
        <f t="shared" si="11"/>
        <v>0</v>
      </c>
      <c r="M106" s="407">
        <v>2.5</v>
      </c>
      <c r="N106" s="408" t="s">
        <v>17</v>
      </c>
      <c r="O106" s="325">
        <f t="shared" si="15"/>
        <v>0</v>
      </c>
      <c r="P106" s="325">
        <f t="shared" si="16"/>
        <v>0</v>
      </c>
      <c r="Q106" s="325">
        <f t="shared" si="17"/>
        <v>0</v>
      </c>
      <c r="R106" s="325">
        <f t="shared" si="12"/>
        <v>0</v>
      </c>
      <c r="S106" s="325">
        <f t="shared" si="13"/>
        <v>2</v>
      </c>
      <c r="T106" s="325">
        <f t="shared" si="18"/>
        <v>2</v>
      </c>
      <c r="U106" s="409">
        <f t="shared" si="14"/>
        <v>154.05000000000001</v>
      </c>
      <c r="V106" s="325">
        <f t="shared" si="19"/>
        <v>0</v>
      </c>
      <c r="W106" s="449" cm="1">
        <f t="array" ref="W106">+IF(U106&lt;0,error,0)</f>
        <v>0</v>
      </c>
    </row>
    <row r="107" spans="1:23" ht="18" customHeight="1" x14ac:dyDescent="0.2">
      <c r="A107" s="402" t="s">
        <v>210</v>
      </c>
      <c r="B107" s="403"/>
      <c r="C107" s="404" t="s">
        <v>211</v>
      </c>
      <c r="D107" s="405">
        <v>43312</v>
      </c>
      <c r="E107" s="406"/>
      <c r="F107" s="325"/>
      <c r="G107" s="324"/>
      <c r="H107" s="324">
        <v>868</v>
      </c>
      <c r="I107" s="325">
        <v>839</v>
      </c>
      <c r="J107" s="325"/>
      <c r="K107" s="325">
        <f t="shared" si="10"/>
        <v>0</v>
      </c>
      <c r="L107" s="325">
        <f t="shared" si="11"/>
        <v>0</v>
      </c>
      <c r="M107" s="407">
        <v>2.5</v>
      </c>
      <c r="N107" s="408" t="s">
        <v>17</v>
      </c>
      <c r="O107" s="325">
        <f t="shared" si="15"/>
        <v>0</v>
      </c>
      <c r="P107" s="325">
        <f t="shared" si="16"/>
        <v>0</v>
      </c>
      <c r="Q107" s="325">
        <f t="shared" si="17"/>
        <v>0</v>
      </c>
      <c r="R107" s="325">
        <f t="shared" si="12"/>
        <v>0</v>
      </c>
      <c r="S107" s="325">
        <f t="shared" si="13"/>
        <v>10</v>
      </c>
      <c r="T107" s="325">
        <f t="shared" si="18"/>
        <v>10</v>
      </c>
      <c r="U107" s="409">
        <f t="shared" si="14"/>
        <v>829</v>
      </c>
      <c r="V107" s="325">
        <f t="shared" si="19"/>
        <v>0</v>
      </c>
      <c r="W107" s="449" cm="1">
        <f t="array" ref="W107">+IF(U107&lt;0,error,0)</f>
        <v>0</v>
      </c>
    </row>
    <row r="108" spans="1:23" ht="18" customHeight="1" x14ac:dyDescent="0.2">
      <c r="A108" s="402" t="s">
        <v>212</v>
      </c>
      <c r="B108" s="403"/>
      <c r="C108" s="404" t="s">
        <v>213</v>
      </c>
      <c r="D108" s="405">
        <v>43365</v>
      </c>
      <c r="E108" s="406"/>
      <c r="F108" s="325"/>
      <c r="G108" s="324"/>
      <c r="H108" s="324">
        <v>10874.57</v>
      </c>
      <c r="I108" s="325">
        <v>10529.57</v>
      </c>
      <c r="J108" s="325"/>
      <c r="K108" s="325">
        <f t="shared" si="10"/>
        <v>0</v>
      </c>
      <c r="L108" s="325">
        <f t="shared" si="11"/>
        <v>0</v>
      </c>
      <c r="M108" s="407">
        <v>2.5</v>
      </c>
      <c r="N108" s="408" t="s">
        <v>17</v>
      </c>
      <c r="O108" s="325">
        <f t="shared" si="15"/>
        <v>0</v>
      </c>
      <c r="P108" s="325">
        <f t="shared" si="16"/>
        <v>0</v>
      </c>
      <c r="Q108" s="325">
        <f t="shared" si="17"/>
        <v>0</v>
      </c>
      <c r="R108" s="325">
        <f t="shared" si="12"/>
        <v>0</v>
      </c>
      <c r="S108" s="325">
        <f t="shared" si="13"/>
        <v>135</v>
      </c>
      <c r="T108" s="325">
        <f t="shared" si="18"/>
        <v>135</v>
      </c>
      <c r="U108" s="409">
        <f t="shared" si="14"/>
        <v>10394.57</v>
      </c>
      <c r="V108" s="325">
        <f t="shared" si="19"/>
        <v>0</v>
      </c>
      <c r="W108" s="449" cm="1">
        <f t="array" ref="W108">+IF(U108&lt;0,error,0)</f>
        <v>0</v>
      </c>
    </row>
    <row r="109" spans="1:23" ht="18" customHeight="1" x14ac:dyDescent="0.2">
      <c r="A109" s="402" t="s">
        <v>214</v>
      </c>
      <c r="B109" s="403"/>
      <c r="C109" s="404" t="s">
        <v>213</v>
      </c>
      <c r="D109" s="405">
        <v>43370</v>
      </c>
      <c r="E109" s="406"/>
      <c r="F109" s="325"/>
      <c r="G109" s="324"/>
      <c r="H109" s="324">
        <v>3681.65</v>
      </c>
      <c r="I109" s="325">
        <v>3566.65</v>
      </c>
      <c r="J109" s="325"/>
      <c r="K109" s="325">
        <f t="shared" si="10"/>
        <v>0</v>
      </c>
      <c r="L109" s="325">
        <f t="shared" si="11"/>
        <v>0</v>
      </c>
      <c r="M109" s="407">
        <v>2.5</v>
      </c>
      <c r="N109" s="408" t="s">
        <v>17</v>
      </c>
      <c r="O109" s="325">
        <f t="shared" si="15"/>
        <v>0</v>
      </c>
      <c r="P109" s="325">
        <f t="shared" si="16"/>
        <v>0</v>
      </c>
      <c r="Q109" s="325">
        <f t="shared" si="17"/>
        <v>0</v>
      </c>
      <c r="R109" s="325">
        <f t="shared" si="12"/>
        <v>0</v>
      </c>
      <c r="S109" s="325">
        <f t="shared" si="13"/>
        <v>46</v>
      </c>
      <c r="T109" s="325">
        <f t="shared" si="18"/>
        <v>46</v>
      </c>
      <c r="U109" s="409">
        <f t="shared" si="14"/>
        <v>3520.65</v>
      </c>
      <c r="V109" s="325">
        <f t="shared" si="19"/>
        <v>0</v>
      </c>
      <c r="W109" s="449" cm="1">
        <f t="array" ref="W109">+IF(U109&lt;0,error,0)</f>
        <v>0</v>
      </c>
    </row>
    <row r="110" spans="1:23" ht="18" customHeight="1" x14ac:dyDescent="0.2">
      <c r="A110" s="402" t="s">
        <v>215</v>
      </c>
      <c r="B110" s="403"/>
      <c r="C110" s="404" t="s">
        <v>83</v>
      </c>
      <c r="D110" s="405">
        <v>43375</v>
      </c>
      <c r="E110" s="406"/>
      <c r="F110" s="325"/>
      <c r="G110" s="324"/>
      <c r="H110" s="324">
        <v>2735.33</v>
      </c>
      <c r="I110" s="325">
        <v>2651.33</v>
      </c>
      <c r="J110" s="325"/>
      <c r="K110" s="325">
        <f t="shared" si="10"/>
        <v>0</v>
      </c>
      <c r="L110" s="325">
        <f t="shared" si="11"/>
        <v>0</v>
      </c>
      <c r="M110" s="407">
        <v>2.5</v>
      </c>
      <c r="N110" s="408" t="s">
        <v>17</v>
      </c>
      <c r="O110" s="325">
        <f t="shared" si="15"/>
        <v>0</v>
      </c>
      <c r="P110" s="325">
        <f t="shared" si="16"/>
        <v>0</v>
      </c>
      <c r="Q110" s="325">
        <f t="shared" si="17"/>
        <v>0</v>
      </c>
      <c r="R110" s="325">
        <f t="shared" si="12"/>
        <v>0</v>
      </c>
      <c r="S110" s="325">
        <f t="shared" si="13"/>
        <v>34</v>
      </c>
      <c r="T110" s="325">
        <f t="shared" si="18"/>
        <v>34</v>
      </c>
      <c r="U110" s="409">
        <f t="shared" si="14"/>
        <v>2617.33</v>
      </c>
      <c r="V110" s="325">
        <f t="shared" si="19"/>
        <v>0</v>
      </c>
      <c r="W110" s="449" cm="1">
        <f t="array" ref="W110">+IF(U110&lt;0,error,0)</f>
        <v>0</v>
      </c>
    </row>
    <row r="111" spans="1:23" ht="18" customHeight="1" x14ac:dyDescent="0.2">
      <c r="A111" s="402" t="s">
        <v>216</v>
      </c>
      <c r="B111" s="403"/>
      <c r="C111" s="404" t="s">
        <v>217</v>
      </c>
      <c r="D111" s="405">
        <v>43402</v>
      </c>
      <c r="E111" s="406"/>
      <c r="F111" s="325"/>
      <c r="G111" s="324"/>
      <c r="H111" s="324">
        <v>3001.53</v>
      </c>
      <c r="I111" s="325">
        <v>2914.53</v>
      </c>
      <c r="J111" s="325"/>
      <c r="K111" s="325">
        <f t="shared" si="10"/>
        <v>0</v>
      </c>
      <c r="L111" s="325">
        <f t="shared" si="11"/>
        <v>0</v>
      </c>
      <c r="M111" s="407">
        <v>2.5</v>
      </c>
      <c r="N111" s="408" t="s">
        <v>17</v>
      </c>
      <c r="O111" s="325">
        <f t="shared" si="15"/>
        <v>0</v>
      </c>
      <c r="P111" s="325">
        <f t="shared" si="16"/>
        <v>0</v>
      </c>
      <c r="Q111" s="325">
        <f t="shared" si="17"/>
        <v>0</v>
      </c>
      <c r="R111" s="325">
        <f t="shared" si="12"/>
        <v>0</v>
      </c>
      <c r="S111" s="325">
        <f t="shared" si="13"/>
        <v>37</v>
      </c>
      <c r="T111" s="325">
        <f t="shared" si="18"/>
        <v>37</v>
      </c>
      <c r="U111" s="409">
        <f t="shared" si="14"/>
        <v>2877.53</v>
      </c>
      <c r="V111" s="325">
        <f t="shared" si="19"/>
        <v>0</v>
      </c>
      <c r="W111" s="449" cm="1">
        <f t="array" ref="W111">+IF(U111&lt;0,error,0)</f>
        <v>0</v>
      </c>
    </row>
    <row r="112" spans="1:23" ht="18" customHeight="1" x14ac:dyDescent="0.2">
      <c r="A112" s="402" t="s">
        <v>218</v>
      </c>
      <c r="B112" s="403"/>
      <c r="C112" s="404" t="s">
        <v>219</v>
      </c>
      <c r="D112" s="405">
        <v>43403</v>
      </c>
      <c r="E112" s="406"/>
      <c r="F112" s="325"/>
      <c r="G112" s="324"/>
      <c r="H112" s="324">
        <v>650.4</v>
      </c>
      <c r="I112" s="325">
        <v>632.4</v>
      </c>
      <c r="J112" s="325"/>
      <c r="K112" s="325">
        <f t="shared" si="10"/>
        <v>0</v>
      </c>
      <c r="L112" s="325">
        <f t="shared" si="11"/>
        <v>0</v>
      </c>
      <c r="M112" s="407">
        <v>2.5</v>
      </c>
      <c r="N112" s="408" t="s">
        <v>17</v>
      </c>
      <c r="O112" s="325">
        <f t="shared" si="15"/>
        <v>0</v>
      </c>
      <c r="P112" s="325">
        <f t="shared" si="16"/>
        <v>0</v>
      </c>
      <c r="Q112" s="325">
        <f t="shared" si="17"/>
        <v>0</v>
      </c>
      <c r="R112" s="325">
        <f t="shared" si="12"/>
        <v>0</v>
      </c>
      <c r="S112" s="325">
        <f t="shared" si="13"/>
        <v>8</v>
      </c>
      <c r="T112" s="325">
        <f t="shared" si="18"/>
        <v>8</v>
      </c>
      <c r="U112" s="409">
        <f t="shared" si="14"/>
        <v>624.4</v>
      </c>
      <c r="V112" s="325">
        <f t="shared" si="19"/>
        <v>0</v>
      </c>
      <c r="W112" s="449" cm="1">
        <f t="array" ref="W112">+IF(U112&lt;0,error,0)</f>
        <v>0</v>
      </c>
    </row>
    <row r="113" spans="1:23" ht="18" customHeight="1" x14ac:dyDescent="0.2">
      <c r="A113" s="402" t="s">
        <v>220</v>
      </c>
      <c r="B113" s="403"/>
      <c r="C113" s="404" t="s">
        <v>221</v>
      </c>
      <c r="D113" s="405">
        <v>43405</v>
      </c>
      <c r="E113" s="406"/>
      <c r="F113" s="325"/>
      <c r="G113" s="324"/>
      <c r="H113" s="324">
        <v>9691.65</v>
      </c>
      <c r="I113" s="325">
        <v>9409.65</v>
      </c>
      <c r="J113" s="325"/>
      <c r="K113" s="325">
        <f t="shared" si="10"/>
        <v>0</v>
      </c>
      <c r="L113" s="325">
        <f t="shared" si="11"/>
        <v>0</v>
      </c>
      <c r="M113" s="407">
        <v>2.5</v>
      </c>
      <c r="N113" s="408" t="s">
        <v>17</v>
      </c>
      <c r="O113" s="325">
        <f t="shared" si="15"/>
        <v>0</v>
      </c>
      <c r="P113" s="325">
        <f t="shared" si="16"/>
        <v>0</v>
      </c>
      <c r="Q113" s="325">
        <f t="shared" si="17"/>
        <v>0</v>
      </c>
      <c r="R113" s="325">
        <f t="shared" si="12"/>
        <v>0</v>
      </c>
      <c r="S113" s="325">
        <f t="shared" si="13"/>
        <v>121</v>
      </c>
      <c r="T113" s="325">
        <f t="shared" si="18"/>
        <v>121</v>
      </c>
      <c r="U113" s="409">
        <f t="shared" si="14"/>
        <v>9288.65</v>
      </c>
      <c r="V113" s="325">
        <f t="shared" si="19"/>
        <v>0</v>
      </c>
      <c r="W113" s="449" cm="1">
        <f t="array" ref="W113">+IF(U113&lt;0,error,0)</f>
        <v>0</v>
      </c>
    </row>
    <row r="114" spans="1:23" ht="18" customHeight="1" x14ac:dyDescent="0.2">
      <c r="A114" s="402" t="s">
        <v>222</v>
      </c>
      <c r="B114" s="403"/>
      <c r="C114" s="404" t="s">
        <v>223</v>
      </c>
      <c r="D114" s="405">
        <v>43404</v>
      </c>
      <c r="E114" s="406"/>
      <c r="F114" s="325"/>
      <c r="G114" s="324"/>
      <c r="H114" s="324">
        <v>2015</v>
      </c>
      <c r="I114" s="325">
        <v>1957</v>
      </c>
      <c r="J114" s="325"/>
      <c r="K114" s="325">
        <f t="shared" si="10"/>
        <v>0</v>
      </c>
      <c r="L114" s="325">
        <f t="shared" si="11"/>
        <v>0</v>
      </c>
      <c r="M114" s="407">
        <v>2.5</v>
      </c>
      <c r="N114" s="408" t="s">
        <v>17</v>
      </c>
      <c r="O114" s="325">
        <f t="shared" si="15"/>
        <v>0</v>
      </c>
      <c r="P114" s="325">
        <f t="shared" si="16"/>
        <v>0</v>
      </c>
      <c r="Q114" s="325">
        <f t="shared" si="17"/>
        <v>0</v>
      </c>
      <c r="R114" s="325">
        <f t="shared" si="12"/>
        <v>0</v>
      </c>
      <c r="S114" s="325">
        <f t="shared" si="13"/>
        <v>25</v>
      </c>
      <c r="T114" s="325">
        <f t="shared" si="18"/>
        <v>25</v>
      </c>
      <c r="U114" s="409">
        <f t="shared" si="14"/>
        <v>1932</v>
      </c>
      <c r="V114" s="325">
        <f t="shared" si="19"/>
        <v>0</v>
      </c>
      <c r="W114" s="449" cm="1">
        <f t="array" ref="W114">+IF(U114&lt;0,error,0)</f>
        <v>0</v>
      </c>
    </row>
    <row r="115" spans="1:23" ht="18" customHeight="1" x14ac:dyDescent="0.2">
      <c r="A115" s="402" t="s">
        <v>224</v>
      </c>
      <c r="B115" s="403"/>
      <c r="C115" s="404" t="s">
        <v>225</v>
      </c>
      <c r="D115" s="405">
        <v>43431</v>
      </c>
      <c r="E115" s="406"/>
      <c r="F115" s="325"/>
      <c r="G115" s="324"/>
      <c r="H115" s="324">
        <v>941.84</v>
      </c>
      <c r="I115" s="325">
        <v>916.84</v>
      </c>
      <c r="J115" s="325"/>
      <c r="K115" s="325">
        <f t="shared" si="10"/>
        <v>0</v>
      </c>
      <c r="L115" s="325">
        <f t="shared" si="11"/>
        <v>0</v>
      </c>
      <c r="M115" s="407">
        <v>2.5</v>
      </c>
      <c r="N115" s="408" t="s">
        <v>17</v>
      </c>
      <c r="O115" s="325">
        <f t="shared" si="15"/>
        <v>0</v>
      </c>
      <c r="P115" s="325">
        <f t="shared" si="16"/>
        <v>0</v>
      </c>
      <c r="Q115" s="325">
        <f t="shared" si="17"/>
        <v>0</v>
      </c>
      <c r="R115" s="325">
        <f t="shared" si="12"/>
        <v>0</v>
      </c>
      <c r="S115" s="325">
        <f t="shared" si="13"/>
        <v>11</v>
      </c>
      <c r="T115" s="325">
        <f t="shared" si="18"/>
        <v>11</v>
      </c>
      <c r="U115" s="409">
        <f t="shared" si="14"/>
        <v>905.84</v>
      </c>
      <c r="V115" s="325">
        <f t="shared" si="19"/>
        <v>0</v>
      </c>
      <c r="W115" s="449" cm="1">
        <f t="array" ref="W115">+IF(U115&lt;0,error,0)</f>
        <v>0</v>
      </c>
    </row>
    <row r="116" spans="1:23" ht="18" customHeight="1" x14ac:dyDescent="0.2">
      <c r="A116" s="402" t="s">
        <v>226</v>
      </c>
      <c r="B116" s="403"/>
      <c r="C116" s="404" t="s">
        <v>227</v>
      </c>
      <c r="D116" s="405">
        <v>43431</v>
      </c>
      <c r="E116" s="406"/>
      <c r="F116" s="325"/>
      <c r="G116" s="324"/>
      <c r="H116" s="324">
        <v>490</v>
      </c>
      <c r="I116" s="325">
        <v>476</v>
      </c>
      <c r="J116" s="325"/>
      <c r="K116" s="325">
        <f t="shared" si="10"/>
        <v>0</v>
      </c>
      <c r="L116" s="325">
        <f t="shared" si="11"/>
        <v>0</v>
      </c>
      <c r="M116" s="407">
        <v>2.5</v>
      </c>
      <c r="N116" s="408" t="s">
        <v>17</v>
      </c>
      <c r="O116" s="325">
        <f t="shared" si="15"/>
        <v>0</v>
      </c>
      <c r="P116" s="325">
        <f t="shared" si="16"/>
        <v>0</v>
      </c>
      <c r="Q116" s="325">
        <f t="shared" si="17"/>
        <v>0</v>
      </c>
      <c r="R116" s="325">
        <f t="shared" si="12"/>
        <v>0</v>
      </c>
      <c r="S116" s="325">
        <f t="shared" si="13"/>
        <v>6</v>
      </c>
      <c r="T116" s="325">
        <f t="shared" si="18"/>
        <v>6</v>
      </c>
      <c r="U116" s="409">
        <f t="shared" si="14"/>
        <v>470</v>
      </c>
      <c r="V116" s="325">
        <f t="shared" si="19"/>
        <v>0</v>
      </c>
      <c r="W116" s="449" cm="1">
        <f t="array" ref="W116">+IF(U116&lt;0,error,0)</f>
        <v>0</v>
      </c>
    </row>
    <row r="117" spans="1:23" ht="18" customHeight="1" x14ac:dyDescent="0.2">
      <c r="A117" s="402" t="s">
        <v>228</v>
      </c>
      <c r="B117" s="403"/>
      <c r="C117" s="404" t="s">
        <v>229</v>
      </c>
      <c r="D117" s="405">
        <v>43413</v>
      </c>
      <c r="E117" s="406"/>
      <c r="F117" s="325"/>
      <c r="G117" s="324"/>
      <c r="H117" s="324">
        <v>238.67000000000002</v>
      </c>
      <c r="I117" s="325">
        <v>232.67000000000002</v>
      </c>
      <c r="J117" s="325"/>
      <c r="K117" s="325">
        <f t="shared" si="10"/>
        <v>0</v>
      </c>
      <c r="L117" s="325">
        <f t="shared" si="11"/>
        <v>0</v>
      </c>
      <c r="M117" s="407">
        <v>2.5</v>
      </c>
      <c r="N117" s="408" t="s">
        <v>17</v>
      </c>
      <c r="O117" s="325">
        <f t="shared" si="15"/>
        <v>0</v>
      </c>
      <c r="P117" s="325">
        <f t="shared" si="16"/>
        <v>0</v>
      </c>
      <c r="Q117" s="325">
        <f t="shared" si="17"/>
        <v>0</v>
      </c>
      <c r="R117" s="325">
        <f t="shared" si="12"/>
        <v>0</v>
      </c>
      <c r="S117" s="325">
        <f t="shared" si="13"/>
        <v>2</v>
      </c>
      <c r="T117" s="325">
        <f t="shared" si="18"/>
        <v>2</v>
      </c>
      <c r="U117" s="409">
        <f t="shared" si="14"/>
        <v>230.67000000000002</v>
      </c>
      <c r="V117" s="325">
        <f t="shared" si="19"/>
        <v>0</v>
      </c>
      <c r="W117" s="449" cm="1">
        <f t="array" ref="W117">+IF(U117&lt;0,error,0)</f>
        <v>0</v>
      </c>
    </row>
    <row r="118" spans="1:23" ht="18" customHeight="1" x14ac:dyDescent="0.2">
      <c r="A118" s="402" t="s">
        <v>230</v>
      </c>
      <c r="B118" s="403"/>
      <c r="C118" s="404" t="s">
        <v>231</v>
      </c>
      <c r="D118" s="405">
        <v>43402</v>
      </c>
      <c r="E118" s="406"/>
      <c r="F118" s="325"/>
      <c r="G118" s="324"/>
      <c r="H118" s="324">
        <v>8195.41</v>
      </c>
      <c r="I118" s="325">
        <v>7955.41</v>
      </c>
      <c r="J118" s="325"/>
      <c r="K118" s="325">
        <f t="shared" si="10"/>
        <v>0</v>
      </c>
      <c r="L118" s="325">
        <f t="shared" si="11"/>
        <v>0</v>
      </c>
      <c r="M118" s="407">
        <v>2.5</v>
      </c>
      <c r="N118" s="408" t="s">
        <v>17</v>
      </c>
      <c r="O118" s="325">
        <f t="shared" si="15"/>
        <v>0</v>
      </c>
      <c r="P118" s="325">
        <f t="shared" si="16"/>
        <v>0</v>
      </c>
      <c r="Q118" s="325">
        <f t="shared" si="17"/>
        <v>0</v>
      </c>
      <c r="R118" s="325">
        <f t="shared" si="12"/>
        <v>0</v>
      </c>
      <c r="S118" s="325">
        <f t="shared" si="13"/>
        <v>102</v>
      </c>
      <c r="T118" s="325">
        <f t="shared" si="18"/>
        <v>102</v>
      </c>
      <c r="U118" s="409">
        <f t="shared" si="14"/>
        <v>7853.41</v>
      </c>
      <c r="V118" s="325">
        <f t="shared" si="19"/>
        <v>0</v>
      </c>
      <c r="W118" s="449" cm="1">
        <f t="array" ref="W118">+IF(U118&lt;0,error,0)</f>
        <v>0</v>
      </c>
    </row>
    <row r="119" spans="1:23" ht="18" customHeight="1" x14ac:dyDescent="0.2">
      <c r="A119" s="402" t="s">
        <v>232</v>
      </c>
      <c r="B119" s="403"/>
      <c r="C119" s="404" t="s">
        <v>233</v>
      </c>
      <c r="D119" s="405">
        <v>43434</v>
      </c>
      <c r="E119" s="406"/>
      <c r="F119" s="325"/>
      <c r="G119" s="324"/>
      <c r="H119" s="324">
        <v>4697.72</v>
      </c>
      <c r="I119" s="325">
        <v>4570.72</v>
      </c>
      <c r="J119" s="325"/>
      <c r="K119" s="325">
        <f t="shared" si="10"/>
        <v>0</v>
      </c>
      <c r="L119" s="325">
        <f t="shared" si="11"/>
        <v>0</v>
      </c>
      <c r="M119" s="407">
        <v>2.5</v>
      </c>
      <c r="N119" s="408" t="s">
        <v>17</v>
      </c>
      <c r="O119" s="325">
        <f t="shared" si="15"/>
        <v>0</v>
      </c>
      <c r="P119" s="325">
        <f t="shared" si="16"/>
        <v>0</v>
      </c>
      <c r="Q119" s="325">
        <f t="shared" si="17"/>
        <v>0</v>
      </c>
      <c r="R119" s="325">
        <f t="shared" si="12"/>
        <v>0</v>
      </c>
      <c r="S119" s="325">
        <f t="shared" si="13"/>
        <v>58</v>
      </c>
      <c r="T119" s="325">
        <f t="shared" si="18"/>
        <v>58</v>
      </c>
      <c r="U119" s="409">
        <f t="shared" si="14"/>
        <v>4512.72</v>
      </c>
      <c r="V119" s="325">
        <f t="shared" si="19"/>
        <v>0</v>
      </c>
      <c r="W119" s="449" cm="1">
        <f t="array" ref="W119">+IF(U119&lt;0,error,0)</f>
        <v>0</v>
      </c>
    </row>
    <row r="120" spans="1:23" ht="18" customHeight="1" x14ac:dyDescent="0.2">
      <c r="A120" s="402" t="s">
        <v>234</v>
      </c>
      <c r="B120" s="403"/>
      <c r="C120" s="404" t="s">
        <v>133</v>
      </c>
      <c r="D120" s="405">
        <v>43291</v>
      </c>
      <c r="E120" s="406"/>
      <c r="F120" s="325"/>
      <c r="G120" s="324"/>
      <c r="H120" s="324">
        <v>689.24</v>
      </c>
      <c r="I120" s="325">
        <v>664.24</v>
      </c>
      <c r="J120" s="325"/>
      <c r="K120" s="325">
        <f t="shared" si="10"/>
        <v>0</v>
      </c>
      <c r="L120" s="325">
        <f t="shared" si="11"/>
        <v>0</v>
      </c>
      <c r="M120" s="407">
        <v>2.5</v>
      </c>
      <c r="N120" s="408" t="s">
        <v>17</v>
      </c>
      <c r="O120" s="325">
        <f t="shared" si="15"/>
        <v>0</v>
      </c>
      <c r="P120" s="325">
        <f t="shared" si="16"/>
        <v>0</v>
      </c>
      <c r="Q120" s="325">
        <f t="shared" si="17"/>
        <v>0</v>
      </c>
      <c r="R120" s="325">
        <f t="shared" si="12"/>
        <v>0</v>
      </c>
      <c r="S120" s="325">
        <f t="shared" si="13"/>
        <v>8</v>
      </c>
      <c r="T120" s="325">
        <f t="shared" si="18"/>
        <v>8</v>
      </c>
      <c r="U120" s="409">
        <f t="shared" si="14"/>
        <v>656.24</v>
      </c>
      <c r="V120" s="325">
        <f t="shared" si="19"/>
        <v>0</v>
      </c>
      <c r="W120" s="449" cm="1">
        <f t="array" ref="W120">+IF(U120&lt;0,error,0)</f>
        <v>0</v>
      </c>
    </row>
    <row r="121" spans="1:23" ht="18" customHeight="1" x14ac:dyDescent="0.2">
      <c r="A121" s="402" t="s">
        <v>235</v>
      </c>
      <c r="B121" s="403"/>
      <c r="C121" s="404" t="s">
        <v>133</v>
      </c>
      <c r="D121" s="405">
        <v>43307</v>
      </c>
      <c r="E121" s="406"/>
      <c r="F121" s="325"/>
      <c r="G121" s="324"/>
      <c r="H121" s="324">
        <v>1145.6400000000001</v>
      </c>
      <c r="I121" s="325">
        <v>1105.6400000000001</v>
      </c>
      <c r="J121" s="325"/>
      <c r="K121" s="325">
        <f t="shared" si="10"/>
        <v>0</v>
      </c>
      <c r="L121" s="325">
        <f t="shared" si="11"/>
        <v>0</v>
      </c>
      <c r="M121" s="407">
        <v>2.5</v>
      </c>
      <c r="N121" s="408" t="s">
        <v>17</v>
      </c>
      <c r="O121" s="325">
        <f t="shared" si="15"/>
        <v>0</v>
      </c>
      <c r="P121" s="325">
        <f t="shared" si="16"/>
        <v>0</v>
      </c>
      <c r="Q121" s="325">
        <f t="shared" si="17"/>
        <v>0</v>
      </c>
      <c r="R121" s="325">
        <f t="shared" si="12"/>
        <v>0</v>
      </c>
      <c r="S121" s="325">
        <f t="shared" si="13"/>
        <v>14</v>
      </c>
      <c r="T121" s="325">
        <f t="shared" si="18"/>
        <v>14</v>
      </c>
      <c r="U121" s="409">
        <f t="shared" si="14"/>
        <v>1091.6400000000001</v>
      </c>
      <c r="V121" s="325">
        <f t="shared" si="19"/>
        <v>0</v>
      </c>
      <c r="W121" s="449" cm="1">
        <f t="array" ref="W121">+IF(U121&lt;0,error,0)</f>
        <v>0</v>
      </c>
    </row>
    <row r="122" spans="1:23" ht="18" customHeight="1" x14ac:dyDescent="0.2">
      <c r="A122" s="402" t="s">
        <v>236</v>
      </c>
      <c r="B122" s="403"/>
      <c r="C122" s="404" t="s">
        <v>53</v>
      </c>
      <c r="D122" s="405">
        <v>43312</v>
      </c>
      <c r="E122" s="406"/>
      <c r="F122" s="325"/>
      <c r="G122" s="324"/>
      <c r="H122" s="324">
        <v>1798</v>
      </c>
      <c r="I122" s="325">
        <v>1735</v>
      </c>
      <c r="J122" s="325"/>
      <c r="K122" s="325">
        <f t="shared" si="10"/>
        <v>0</v>
      </c>
      <c r="L122" s="325">
        <f t="shared" si="11"/>
        <v>0</v>
      </c>
      <c r="M122" s="407">
        <v>2.5</v>
      </c>
      <c r="N122" s="408" t="s">
        <v>17</v>
      </c>
      <c r="O122" s="325">
        <f t="shared" si="15"/>
        <v>0</v>
      </c>
      <c r="P122" s="325">
        <f t="shared" si="16"/>
        <v>0</v>
      </c>
      <c r="Q122" s="325">
        <f t="shared" si="17"/>
        <v>0</v>
      </c>
      <c r="R122" s="325">
        <f t="shared" si="12"/>
        <v>0</v>
      </c>
      <c r="S122" s="325">
        <f t="shared" si="13"/>
        <v>22</v>
      </c>
      <c r="T122" s="325">
        <f t="shared" si="18"/>
        <v>22</v>
      </c>
      <c r="U122" s="409">
        <f t="shared" si="14"/>
        <v>1713</v>
      </c>
      <c r="V122" s="325">
        <f t="shared" si="19"/>
        <v>0</v>
      </c>
      <c r="W122" s="449" cm="1">
        <f t="array" ref="W122">+IF(U122&lt;0,error,0)</f>
        <v>0</v>
      </c>
    </row>
    <row r="123" spans="1:23" ht="18" customHeight="1" x14ac:dyDescent="0.2">
      <c r="A123" s="402" t="s">
        <v>237</v>
      </c>
      <c r="B123" s="403"/>
      <c r="C123" s="404" t="s">
        <v>238</v>
      </c>
      <c r="D123" s="405">
        <v>43315</v>
      </c>
      <c r="E123" s="406"/>
      <c r="F123" s="325"/>
      <c r="G123" s="324"/>
      <c r="H123" s="324">
        <v>475</v>
      </c>
      <c r="I123" s="325">
        <v>460</v>
      </c>
      <c r="J123" s="325"/>
      <c r="K123" s="325">
        <f t="shared" si="10"/>
        <v>0</v>
      </c>
      <c r="L123" s="325">
        <f t="shared" si="11"/>
        <v>0</v>
      </c>
      <c r="M123" s="407">
        <v>2.5</v>
      </c>
      <c r="N123" s="408" t="s">
        <v>17</v>
      </c>
      <c r="O123" s="325">
        <f t="shared" si="15"/>
        <v>0</v>
      </c>
      <c r="P123" s="325">
        <f t="shared" si="16"/>
        <v>0</v>
      </c>
      <c r="Q123" s="325">
        <f t="shared" si="17"/>
        <v>0</v>
      </c>
      <c r="R123" s="325">
        <f t="shared" si="12"/>
        <v>0</v>
      </c>
      <c r="S123" s="325">
        <f t="shared" si="13"/>
        <v>5</v>
      </c>
      <c r="T123" s="325">
        <f t="shared" si="18"/>
        <v>5</v>
      </c>
      <c r="U123" s="409">
        <f t="shared" si="14"/>
        <v>455</v>
      </c>
      <c r="V123" s="325">
        <f t="shared" si="19"/>
        <v>0</v>
      </c>
      <c r="W123" s="449" cm="1">
        <f t="array" ref="W123">+IF(U123&lt;0,error,0)</f>
        <v>0</v>
      </c>
    </row>
    <row r="124" spans="1:23" ht="18" customHeight="1" x14ac:dyDescent="0.2">
      <c r="A124" s="402" t="s">
        <v>239</v>
      </c>
      <c r="B124" s="403"/>
      <c r="C124" s="404" t="s">
        <v>145</v>
      </c>
      <c r="D124" s="405">
        <v>43322</v>
      </c>
      <c r="E124" s="406"/>
      <c r="F124" s="325"/>
      <c r="G124" s="324"/>
      <c r="H124" s="324">
        <v>1140</v>
      </c>
      <c r="I124" s="325">
        <v>1101</v>
      </c>
      <c r="J124" s="325"/>
      <c r="K124" s="325">
        <f t="shared" si="10"/>
        <v>0</v>
      </c>
      <c r="L124" s="325">
        <f t="shared" si="11"/>
        <v>0</v>
      </c>
      <c r="M124" s="407">
        <v>2.5</v>
      </c>
      <c r="N124" s="408" t="s">
        <v>17</v>
      </c>
      <c r="O124" s="325">
        <f t="shared" si="15"/>
        <v>0</v>
      </c>
      <c r="P124" s="325">
        <f t="shared" si="16"/>
        <v>0</v>
      </c>
      <c r="Q124" s="325">
        <f t="shared" si="17"/>
        <v>0</v>
      </c>
      <c r="R124" s="325">
        <f t="shared" si="12"/>
        <v>0</v>
      </c>
      <c r="S124" s="325">
        <f t="shared" si="13"/>
        <v>14</v>
      </c>
      <c r="T124" s="325">
        <f t="shared" si="18"/>
        <v>14</v>
      </c>
      <c r="U124" s="409">
        <f t="shared" si="14"/>
        <v>1087</v>
      </c>
      <c r="V124" s="325">
        <f t="shared" si="19"/>
        <v>0</v>
      </c>
      <c r="W124" s="449" cm="1">
        <f t="array" ref="W124">+IF(U124&lt;0,error,0)</f>
        <v>0</v>
      </c>
    </row>
    <row r="125" spans="1:23" ht="18" customHeight="1" x14ac:dyDescent="0.2">
      <c r="A125" s="402" t="s">
        <v>240</v>
      </c>
      <c r="B125" s="403"/>
      <c r="C125" s="404" t="s">
        <v>241</v>
      </c>
      <c r="D125" s="405">
        <v>43327</v>
      </c>
      <c r="E125" s="406"/>
      <c r="F125" s="325"/>
      <c r="G125" s="324"/>
      <c r="H125" s="324">
        <v>910</v>
      </c>
      <c r="I125" s="325">
        <v>879</v>
      </c>
      <c r="J125" s="325"/>
      <c r="K125" s="325">
        <f t="shared" si="10"/>
        <v>0</v>
      </c>
      <c r="L125" s="325">
        <f t="shared" si="11"/>
        <v>0</v>
      </c>
      <c r="M125" s="407">
        <v>2.5</v>
      </c>
      <c r="N125" s="408" t="s">
        <v>17</v>
      </c>
      <c r="O125" s="325">
        <f t="shared" si="15"/>
        <v>0</v>
      </c>
      <c r="P125" s="325">
        <f t="shared" si="16"/>
        <v>0</v>
      </c>
      <c r="Q125" s="325">
        <f t="shared" si="17"/>
        <v>0</v>
      </c>
      <c r="R125" s="325">
        <f t="shared" si="12"/>
        <v>0</v>
      </c>
      <c r="S125" s="325">
        <f t="shared" si="13"/>
        <v>11</v>
      </c>
      <c r="T125" s="325">
        <f t="shared" si="18"/>
        <v>11</v>
      </c>
      <c r="U125" s="409">
        <f t="shared" si="14"/>
        <v>868</v>
      </c>
      <c r="V125" s="325">
        <f t="shared" si="19"/>
        <v>0</v>
      </c>
      <c r="W125" s="449" cm="1">
        <f t="array" ref="W125">+IF(U125&lt;0,error,0)</f>
        <v>0</v>
      </c>
    </row>
    <row r="126" spans="1:23" ht="18" customHeight="1" x14ac:dyDescent="0.2">
      <c r="A126" s="402" t="s">
        <v>242</v>
      </c>
      <c r="B126" s="403"/>
      <c r="C126" s="404" t="s">
        <v>243</v>
      </c>
      <c r="D126" s="405">
        <v>43336</v>
      </c>
      <c r="E126" s="406"/>
      <c r="F126" s="325"/>
      <c r="G126" s="324"/>
      <c r="H126" s="324">
        <v>590</v>
      </c>
      <c r="I126" s="325">
        <v>571</v>
      </c>
      <c r="J126" s="325"/>
      <c r="K126" s="325">
        <f t="shared" si="10"/>
        <v>0</v>
      </c>
      <c r="L126" s="325">
        <f t="shared" si="11"/>
        <v>0</v>
      </c>
      <c r="M126" s="407">
        <v>2.5</v>
      </c>
      <c r="N126" s="408" t="s">
        <v>17</v>
      </c>
      <c r="O126" s="325">
        <f t="shared" si="15"/>
        <v>0</v>
      </c>
      <c r="P126" s="325">
        <f t="shared" si="16"/>
        <v>0</v>
      </c>
      <c r="Q126" s="325">
        <f t="shared" si="17"/>
        <v>0</v>
      </c>
      <c r="R126" s="325">
        <f t="shared" si="12"/>
        <v>0</v>
      </c>
      <c r="S126" s="325">
        <f t="shared" si="13"/>
        <v>7</v>
      </c>
      <c r="T126" s="325">
        <f t="shared" si="18"/>
        <v>7</v>
      </c>
      <c r="U126" s="409">
        <f t="shared" si="14"/>
        <v>564</v>
      </c>
      <c r="V126" s="325">
        <f t="shared" si="19"/>
        <v>0</v>
      </c>
      <c r="W126" s="449" cm="1">
        <f t="array" ref="W126">+IF(U126&lt;0,error,0)</f>
        <v>0</v>
      </c>
    </row>
    <row r="127" spans="1:23" ht="18" customHeight="1" x14ac:dyDescent="0.2">
      <c r="A127" s="402" t="s">
        <v>244</v>
      </c>
      <c r="B127" s="403"/>
      <c r="C127" s="404" t="s">
        <v>53</v>
      </c>
      <c r="D127" s="405">
        <v>43343</v>
      </c>
      <c r="E127" s="406"/>
      <c r="F127" s="325"/>
      <c r="G127" s="324"/>
      <c r="H127" s="324">
        <v>2356</v>
      </c>
      <c r="I127" s="325">
        <v>2278</v>
      </c>
      <c r="J127" s="325"/>
      <c r="K127" s="325">
        <f t="shared" si="10"/>
        <v>0</v>
      </c>
      <c r="L127" s="325">
        <f t="shared" si="11"/>
        <v>0</v>
      </c>
      <c r="M127" s="407">
        <v>2.5</v>
      </c>
      <c r="N127" s="408" t="s">
        <v>17</v>
      </c>
      <c r="O127" s="325">
        <f t="shared" si="15"/>
        <v>0</v>
      </c>
      <c r="P127" s="325">
        <f t="shared" si="16"/>
        <v>0</v>
      </c>
      <c r="Q127" s="325">
        <f t="shared" si="17"/>
        <v>0</v>
      </c>
      <c r="R127" s="325">
        <f t="shared" si="12"/>
        <v>0</v>
      </c>
      <c r="S127" s="325">
        <f t="shared" si="13"/>
        <v>29</v>
      </c>
      <c r="T127" s="325">
        <f t="shared" si="18"/>
        <v>29</v>
      </c>
      <c r="U127" s="409">
        <f t="shared" si="14"/>
        <v>2249</v>
      </c>
      <c r="V127" s="325">
        <f t="shared" si="19"/>
        <v>0</v>
      </c>
      <c r="W127" s="449" cm="1">
        <f t="array" ref="W127">+IF(U127&lt;0,error,0)</f>
        <v>0</v>
      </c>
    </row>
    <row r="128" spans="1:23" ht="18" customHeight="1" x14ac:dyDescent="0.2">
      <c r="A128" s="402" t="s">
        <v>245</v>
      </c>
      <c r="B128" s="403"/>
      <c r="C128" s="404" t="s">
        <v>133</v>
      </c>
      <c r="D128" s="405">
        <v>43356</v>
      </c>
      <c r="E128" s="406"/>
      <c r="F128" s="325"/>
      <c r="G128" s="324"/>
      <c r="H128" s="324">
        <v>6444.64</v>
      </c>
      <c r="I128" s="325">
        <v>6236.64</v>
      </c>
      <c r="J128" s="325"/>
      <c r="K128" s="325">
        <f t="shared" si="10"/>
        <v>0</v>
      </c>
      <c r="L128" s="325">
        <f t="shared" si="11"/>
        <v>0</v>
      </c>
      <c r="M128" s="407">
        <v>2.5</v>
      </c>
      <c r="N128" s="408" t="s">
        <v>17</v>
      </c>
      <c r="O128" s="325">
        <f t="shared" si="15"/>
        <v>0</v>
      </c>
      <c r="P128" s="325">
        <f t="shared" si="16"/>
        <v>0</v>
      </c>
      <c r="Q128" s="325">
        <f t="shared" si="17"/>
        <v>0</v>
      </c>
      <c r="R128" s="325">
        <f t="shared" si="12"/>
        <v>0</v>
      </c>
      <c r="S128" s="325">
        <f t="shared" si="13"/>
        <v>80</v>
      </c>
      <c r="T128" s="325">
        <f t="shared" si="18"/>
        <v>80</v>
      </c>
      <c r="U128" s="409">
        <f t="shared" si="14"/>
        <v>6156.64</v>
      </c>
      <c r="V128" s="325">
        <f t="shared" si="19"/>
        <v>0</v>
      </c>
      <c r="W128" s="449" cm="1">
        <f t="array" ref="W128">+IF(U128&lt;0,error,0)</f>
        <v>0</v>
      </c>
    </row>
    <row r="129" spans="1:23" ht="18" customHeight="1" x14ac:dyDescent="0.2">
      <c r="A129" s="402" t="s">
        <v>246</v>
      </c>
      <c r="B129" s="403"/>
      <c r="C129" s="404" t="s">
        <v>133</v>
      </c>
      <c r="D129" s="405">
        <v>43361</v>
      </c>
      <c r="E129" s="406"/>
      <c r="F129" s="325"/>
      <c r="G129" s="324"/>
      <c r="H129" s="324">
        <v>2047.9</v>
      </c>
      <c r="I129" s="325">
        <v>1983.9</v>
      </c>
      <c r="J129" s="325"/>
      <c r="K129" s="325">
        <f t="shared" si="10"/>
        <v>0</v>
      </c>
      <c r="L129" s="325">
        <f t="shared" si="11"/>
        <v>0</v>
      </c>
      <c r="M129" s="407">
        <v>2.5</v>
      </c>
      <c r="N129" s="408" t="s">
        <v>17</v>
      </c>
      <c r="O129" s="325">
        <f t="shared" si="15"/>
        <v>0</v>
      </c>
      <c r="P129" s="325">
        <f t="shared" si="16"/>
        <v>0</v>
      </c>
      <c r="Q129" s="325">
        <f t="shared" si="17"/>
        <v>0</v>
      </c>
      <c r="R129" s="325">
        <f t="shared" si="12"/>
        <v>0</v>
      </c>
      <c r="S129" s="325">
        <f t="shared" si="13"/>
        <v>25</v>
      </c>
      <c r="T129" s="325">
        <f t="shared" si="18"/>
        <v>25</v>
      </c>
      <c r="U129" s="409">
        <f t="shared" si="14"/>
        <v>1958.9</v>
      </c>
      <c r="V129" s="325">
        <f t="shared" si="19"/>
        <v>0</v>
      </c>
      <c r="W129" s="449" cm="1">
        <f t="array" ref="W129">+IF(U129&lt;0,error,0)</f>
        <v>0</v>
      </c>
    </row>
    <row r="130" spans="1:23" ht="18" customHeight="1" x14ac:dyDescent="0.2">
      <c r="A130" s="402" t="s">
        <v>247</v>
      </c>
      <c r="B130" s="403"/>
      <c r="C130" s="404" t="s">
        <v>145</v>
      </c>
      <c r="D130" s="405">
        <v>43378</v>
      </c>
      <c r="E130" s="406"/>
      <c r="F130" s="325"/>
      <c r="G130" s="324"/>
      <c r="H130" s="324">
        <v>5334</v>
      </c>
      <c r="I130" s="325">
        <v>5170</v>
      </c>
      <c r="J130" s="325"/>
      <c r="K130" s="325">
        <f t="shared" si="10"/>
        <v>0</v>
      </c>
      <c r="L130" s="325">
        <f t="shared" si="11"/>
        <v>0</v>
      </c>
      <c r="M130" s="407">
        <v>2.5</v>
      </c>
      <c r="N130" s="408" t="s">
        <v>17</v>
      </c>
      <c r="O130" s="325">
        <f t="shared" si="15"/>
        <v>0</v>
      </c>
      <c r="P130" s="325">
        <f t="shared" si="16"/>
        <v>0</v>
      </c>
      <c r="Q130" s="325">
        <f t="shared" si="17"/>
        <v>0</v>
      </c>
      <c r="R130" s="325">
        <f t="shared" si="12"/>
        <v>0</v>
      </c>
      <c r="S130" s="325">
        <f t="shared" si="13"/>
        <v>66</v>
      </c>
      <c r="T130" s="325">
        <f t="shared" si="18"/>
        <v>66</v>
      </c>
      <c r="U130" s="409">
        <f t="shared" si="14"/>
        <v>5104</v>
      </c>
      <c r="V130" s="325">
        <f t="shared" si="19"/>
        <v>0</v>
      </c>
      <c r="W130" s="449" cm="1">
        <f t="array" ref="W130">+IF(U130&lt;0,error,0)</f>
        <v>0</v>
      </c>
    </row>
    <row r="131" spans="1:23" ht="18" customHeight="1" x14ac:dyDescent="0.2">
      <c r="A131" s="402" t="s">
        <v>248</v>
      </c>
      <c r="B131" s="403"/>
      <c r="C131" s="404" t="s">
        <v>133</v>
      </c>
      <c r="D131" s="405">
        <v>43391</v>
      </c>
      <c r="E131" s="406"/>
      <c r="F131" s="325"/>
      <c r="G131" s="324"/>
      <c r="H131" s="324">
        <v>497.97</v>
      </c>
      <c r="I131" s="325">
        <v>482.97</v>
      </c>
      <c r="J131" s="325"/>
      <c r="K131" s="325">
        <f t="shared" si="10"/>
        <v>0</v>
      </c>
      <c r="L131" s="325">
        <f t="shared" si="11"/>
        <v>0</v>
      </c>
      <c r="M131" s="407">
        <v>2.5</v>
      </c>
      <c r="N131" s="408" t="s">
        <v>17</v>
      </c>
      <c r="O131" s="325">
        <f t="shared" si="15"/>
        <v>0</v>
      </c>
      <c r="P131" s="325">
        <f t="shared" si="16"/>
        <v>0</v>
      </c>
      <c r="Q131" s="325">
        <f t="shared" si="17"/>
        <v>0</v>
      </c>
      <c r="R131" s="325">
        <f t="shared" si="12"/>
        <v>0</v>
      </c>
      <c r="S131" s="325">
        <f t="shared" si="13"/>
        <v>6</v>
      </c>
      <c r="T131" s="325">
        <f t="shared" si="18"/>
        <v>6</v>
      </c>
      <c r="U131" s="409">
        <f t="shared" si="14"/>
        <v>476.97</v>
      </c>
      <c r="V131" s="325">
        <f t="shared" si="19"/>
        <v>0</v>
      </c>
      <c r="W131" s="449" cm="1">
        <f t="array" ref="W131">+IF(U131&lt;0,error,0)</f>
        <v>0</v>
      </c>
    </row>
    <row r="132" spans="1:23" ht="18" customHeight="1" x14ac:dyDescent="0.2">
      <c r="A132" s="402" t="s">
        <v>249</v>
      </c>
      <c r="B132" s="403"/>
      <c r="C132" s="404" t="s">
        <v>250</v>
      </c>
      <c r="D132" s="405">
        <v>43399</v>
      </c>
      <c r="E132" s="406"/>
      <c r="F132" s="325"/>
      <c r="G132" s="324"/>
      <c r="H132" s="324">
        <v>910</v>
      </c>
      <c r="I132" s="325">
        <v>884</v>
      </c>
      <c r="J132" s="325"/>
      <c r="K132" s="325">
        <f t="shared" si="10"/>
        <v>0</v>
      </c>
      <c r="L132" s="325">
        <f t="shared" si="11"/>
        <v>0</v>
      </c>
      <c r="M132" s="407">
        <v>2.5</v>
      </c>
      <c r="N132" s="408" t="s">
        <v>17</v>
      </c>
      <c r="O132" s="325">
        <f t="shared" si="15"/>
        <v>0</v>
      </c>
      <c r="P132" s="325">
        <f t="shared" si="16"/>
        <v>0</v>
      </c>
      <c r="Q132" s="325">
        <f t="shared" si="17"/>
        <v>0</v>
      </c>
      <c r="R132" s="325">
        <f t="shared" si="12"/>
        <v>0</v>
      </c>
      <c r="S132" s="325">
        <f t="shared" si="13"/>
        <v>11</v>
      </c>
      <c r="T132" s="325">
        <f t="shared" si="18"/>
        <v>11</v>
      </c>
      <c r="U132" s="409">
        <f t="shared" si="14"/>
        <v>873</v>
      </c>
      <c r="V132" s="325">
        <f t="shared" si="19"/>
        <v>0</v>
      </c>
      <c r="W132" s="449" cm="1">
        <f t="array" ref="W132">+IF(U132&lt;0,error,0)</f>
        <v>0</v>
      </c>
    </row>
    <row r="133" spans="1:23" ht="18" customHeight="1" x14ac:dyDescent="0.2">
      <c r="A133" s="402" t="s">
        <v>251</v>
      </c>
      <c r="B133" s="403"/>
      <c r="C133" s="404" t="s">
        <v>145</v>
      </c>
      <c r="D133" s="405">
        <v>43403</v>
      </c>
      <c r="E133" s="406"/>
      <c r="F133" s="325"/>
      <c r="G133" s="324"/>
      <c r="H133" s="324">
        <v>224</v>
      </c>
      <c r="I133" s="325">
        <v>218</v>
      </c>
      <c r="J133" s="325"/>
      <c r="K133" s="325">
        <f t="shared" si="10"/>
        <v>0</v>
      </c>
      <c r="L133" s="325">
        <f t="shared" si="11"/>
        <v>0</v>
      </c>
      <c r="M133" s="407">
        <v>2.5</v>
      </c>
      <c r="N133" s="408" t="s">
        <v>17</v>
      </c>
      <c r="O133" s="325">
        <f t="shared" si="15"/>
        <v>0</v>
      </c>
      <c r="P133" s="325">
        <f t="shared" si="16"/>
        <v>0</v>
      </c>
      <c r="Q133" s="325">
        <f t="shared" si="17"/>
        <v>0</v>
      </c>
      <c r="R133" s="325">
        <f t="shared" si="12"/>
        <v>0</v>
      </c>
      <c r="S133" s="325">
        <f t="shared" si="13"/>
        <v>2</v>
      </c>
      <c r="T133" s="325">
        <f t="shared" si="18"/>
        <v>2</v>
      </c>
      <c r="U133" s="409">
        <f t="shared" si="14"/>
        <v>216</v>
      </c>
      <c r="V133" s="325">
        <f t="shared" si="19"/>
        <v>0</v>
      </c>
      <c r="W133" s="449" cm="1">
        <f t="array" ref="W133">+IF(U133&lt;0,error,0)</f>
        <v>0</v>
      </c>
    </row>
    <row r="134" spans="1:23" ht="18" customHeight="1" x14ac:dyDescent="0.2">
      <c r="A134" s="402" t="s">
        <v>252</v>
      </c>
      <c r="B134" s="403"/>
      <c r="C134" s="404" t="s">
        <v>250</v>
      </c>
      <c r="D134" s="405">
        <v>43409</v>
      </c>
      <c r="E134" s="406"/>
      <c r="F134" s="325"/>
      <c r="G134" s="324"/>
      <c r="H134" s="324">
        <v>70</v>
      </c>
      <c r="I134" s="325">
        <v>68</v>
      </c>
      <c r="J134" s="325"/>
      <c r="K134" s="325">
        <f t="shared" si="10"/>
        <v>0</v>
      </c>
      <c r="L134" s="325">
        <f t="shared" si="11"/>
        <v>0</v>
      </c>
      <c r="M134" s="407">
        <v>2.5</v>
      </c>
      <c r="N134" s="408" t="s">
        <v>17</v>
      </c>
      <c r="O134" s="325">
        <f t="shared" si="15"/>
        <v>0</v>
      </c>
      <c r="P134" s="325">
        <f t="shared" si="16"/>
        <v>0</v>
      </c>
      <c r="Q134" s="325">
        <f t="shared" si="17"/>
        <v>0</v>
      </c>
      <c r="R134" s="325">
        <f t="shared" si="12"/>
        <v>0</v>
      </c>
      <c r="S134" s="325">
        <f t="shared" si="13"/>
        <v>0</v>
      </c>
      <c r="T134" s="325">
        <f t="shared" si="18"/>
        <v>0</v>
      </c>
      <c r="U134" s="409">
        <f t="shared" si="14"/>
        <v>68</v>
      </c>
      <c r="V134" s="325">
        <f t="shared" si="19"/>
        <v>0</v>
      </c>
      <c r="W134" s="449" cm="1">
        <f t="array" ref="W134">+IF(U134&lt;0,error,0)</f>
        <v>0</v>
      </c>
    </row>
    <row r="135" spans="1:23" ht="18" customHeight="1" x14ac:dyDescent="0.2">
      <c r="A135" s="402" t="s">
        <v>253</v>
      </c>
      <c r="B135" s="403"/>
      <c r="C135" s="404" t="s">
        <v>145</v>
      </c>
      <c r="D135" s="405">
        <v>43411</v>
      </c>
      <c r="E135" s="406"/>
      <c r="F135" s="325"/>
      <c r="G135" s="324"/>
      <c r="H135" s="324">
        <v>1926.6000000000001</v>
      </c>
      <c r="I135" s="325">
        <v>1871.6000000000001</v>
      </c>
      <c r="J135" s="325"/>
      <c r="K135" s="325">
        <f t="shared" si="10"/>
        <v>0</v>
      </c>
      <c r="L135" s="325">
        <f t="shared" si="11"/>
        <v>0</v>
      </c>
      <c r="M135" s="407">
        <v>2.5</v>
      </c>
      <c r="N135" s="408" t="s">
        <v>17</v>
      </c>
      <c r="O135" s="325">
        <f t="shared" si="15"/>
        <v>0</v>
      </c>
      <c r="P135" s="325">
        <f t="shared" si="16"/>
        <v>0</v>
      </c>
      <c r="Q135" s="325">
        <f t="shared" si="17"/>
        <v>0</v>
      </c>
      <c r="R135" s="325">
        <f t="shared" si="12"/>
        <v>0</v>
      </c>
      <c r="S135" s="325">
        <f t="shared" si="13"/>
        <v>24</v>
      </c>
      <c r="T135" s="325">
        <f t="shared" si="18"/>
        <v>24</v>
      </c>
      <c r="U135" s="409">
        <f t="shared" si="14"/>
        <v>1847.6000000000001</v>
      </c>
      <c r="V135" s="325">
        <f t="shared" si="19"/>
        <v>0</v>
      </c>
      <c r="W135" s="449" cm="1">
        <f t="array" ref="W135">+IF(U135&lt;0,error,0)</f>
        <v>0</v>
      </c>
    </row>
    <row r="136" spans="1:23" ht="18" customHeight="1" x14ac:dyDescent="0.2">
      <c r="A136" s="402" t="s">
        <v>254</v>
      </c>
      <c r="B136" s="403"/>
      <c r="C136" s="404" t="s">
        <v>255</v>
      </c>
      <c r="D136" s="405">
        <v>43404</v>
      </c>
      <c r="E136" s="406"/>
      <c r="F136" s="325"/>
      <c r="G136" s="324"/>
      <c r="H136" s="324">
        <v>8255</v>
      </c>
      <c r="I136" s="325">
        <v>8014</v>
      </c>
      <c r="J136" s="325"/>
      <c r="K136" s="325">
        <f t="shared" ref="K136:K166" si="20">INT(IF($E136&gt;0,IF(+F136-I136+Q136&lt;0,0,+F136-I136+Q136),0))</f>
        <v>0</v>
      </c>
      <c r="L136" s="325">
        <f t="shared" ref="L136:L166" si="21">INT(IF($E136&gt;0,IF(K136=0,-F136+I136-Q136,0),0))</f>
        <v>0</v>
      </c>
      <c r="M136" s="407">
        <v>2.5</v>
      </c>
      <c r="N136" s="408" t="s">
        <v>17</v>
      </c>
      <c r="O136" s="325">
        <f t="shared" si="15"/>
        <v>0</v>
      </c>
      <c r="P136" s="325">
        <f t="shared" si="16"/>
        <v>0</v>
      </c>
      <c r="Q136" s="325">
        <f t="shared" si="17"/>
        <v>0</v>
      </c>
      <c r="R136" s="325">
        <f t="shared" ref="R136:R169" si="22">INT(IF($E136&gt;0,0,(IF($N136="D",IF($D136&lt;$H$3,$I136*($M136/100)*$U$3/12,$J136*($M136/100)*($J$3-$D136)/365),0))))</f>
        <v>0</v>
      </c>
      <c r="S136" s="325">
        <f t="shared" ref="S136:S169" si="23">INT(IF($E136&gt;0,0,(IF($N136="P",IF($D136&lt;$H$3,$H136*($M136/100)*$U$3/12,$J136*($M136/100)*($J$3-$D136)/365),0))))</f>
        <v>103</v>
      </c>
      <c r="T136" s="325">
        <f t="shared" si="18"/>
        <v>103</v>
      </c>
      <c r="U136" s="409">
        <f t="shared" ref="U136:U166" si="24">+I136+J136-T136-F136+K136-L136</f>
        <v>7911</v>
      </c>
      <c r="V136" s="325">
        <f t="shared" si="19"/>
        <v>0</v>
      </c>
      <c r="W136" s="449" cm="1">
        <f t="array" ref="W136">+IF(U136&lt;0,error,0)</f>
        <v>0</v>
      </c>
    </row>
    <row r="137" spans="1:23" ht="18" customHeight="1" x14ac:dyDescent="0.2">
      <c r="A137" s="402" t="s">
        <v>256</v>
      </c>
      <c r="B137" s="403"/>
      <c r="C137" s="404" t="s">
        <v>255</v>
      </c>
      <c r="D137" s="405">
        <v>43434</v>
      </c>
      <c r="E137" s="406"/>
      <c r="F137" s="325"/>
      <c r="G137" s="324"/>
      <c r="H137" s="324">
        <v>2304.5500000000002</v>
      </c>
      <c r="I137" s="325">
        <v>2242.5500000000002</v>
      </c>
      <c r="J137" s="325"/>
      <c r="K137" s="325">
        <f t="shared" si="20"/>
        <v>0</v>
      </c>
      <c r="L137" s="325">
        <f t="shared" si="21"/>
        <v>0</v>
      </c>
      <c r="M137" s="407">
        <v>2.5</v>
      </c>
      <c r="N137" s="408" t="s">
        <v>17</v>
      </c>
      <c r="O137" s="325">
        <f t="shared" ref="O137:O166" si="25">IF(E137&gt;0,INT(IF($N137="D",IF($D137&lt;$H$3,$I137*($M137/100)*((E137-$H$3)/365),$J137*($M137/100)*($J$3-$D137)/365),0)),0)</f>
        <v>0</v>
      </c>
      <c r="P137" s="325">
        <f t="shared" ref="P137:P166" si="26">IF(E137&gt;0,INT(IF($N137="P",IF($D137&lt;$H$3,$H137*($M137/100)*(E137-$H$3)/365,$J137*($M137/100)*($J$3-$D137)/365),0)),0)</f>
        <v>0</v>
      </c>
      <c r="Q137" s="325">
        <f t="shared" ref="Q137:Q166" si="27">+O137+P137</f>
        <v>0</v>
      </c>
      <c r="R137" s="325">
        <f t="shared" si="22"/>
        <v>0</v>
      </c>
      <c r="S137" s="325">
        <f t="shared" si="23"/>
        <v>28</v>
      </c>
      <c r="T137" s="325">
        <f t="shared" ref="T137:T166" si="28">+R137+S137+Q137</f>
        <v>28</v>
      </c>
      <c r="U137" s="409">
        <f t="shared" si="24"/>
        <v>2214.5500000000002</v>
      </c>
      <c r="V137" s="325">
        <f t="shared" ref="V137:V166" si="29">IF(E137&gt;0,+H137+J137,0)</f>
        <v>0</v>
      </c>
      <c r="W137" s="449" cm="1">
        <f t="array" ref="W137">+IF(U137&lt;0,error,0)</f>
        <v>0</v>
      </c>
    </row>
    <row r="138" spans="1:23" ht="18" customHeight="1" x14ac:dyDescent="0.2">
      <c r="A138" s="402" t="s">
        <v>257</v>
      </c>
      <c r="B138" s="403"/>
      <c r="C138" s="404" t="s">
        <v>258</v>
      </c>
      <c r="D138" s="405">
        <v>43291</v>
      </c>
      <c r="E138" s="406"/>
      <c r="F138" s="325"/>
      <c r="G138" s="324"/>
      <c r="H138" s="324">
        <v>62510.55</v>
      </c>
      <c r="I138" s="325">
        <v>60201.55</v>
      </c>
      <c r="J138" s="325"/>
      <c r="K138" s="325">
        <f t="shared" si="20"/>
        <v>0</v>
      </c>
      <c r="L138" s="325">
        <f t="shared" si="21"/>
        <v>0</v>
      </c>
      <c r="M138" s="407">
        <v>2.5</v>
      </c>
      <c r="N138" s="408" t="s">
        <v>17</v>
      </c>
      <c r="O138" s="325">
        <f t="shared" si="25"/>
        <v>0</v>
      </c>
      <c r="P138" s="325">
        <f t="shared" si="26"/>
        <v>0</v>
      </c>
      <c r="Q138" s="325">
        <f t="shared" si="27"/>
        <v>0</v>
      </c>
      <c r="R138" s="325">
        <f t="shared" si="22"/>
        <v>0</v>
      </c>
      <c r="S138" s="325">
        <f t="shared" si="23"/>
        <v>781</v>
      </c>
      <c r="T138" s="325">
        <f t="shared" si="28"/>
        <v>781</v>
      </c>
      <c r="U138" s="409">
        <f t="shared" si="24"/>
        <v>59420.55</v>
      </c>
      <c r="V138" s="325">
        <f t="shared" si="29"/>
        <v>0</v>
      </c>
      <c r="W138" s="449" cm="1">
        <f t="array" ref="W138">+IF(U138&lt;0,error,0)</f>
        <v>0</v>
      </c>
    </row>
    <row r="139" spans="1:23" ht="18" customHeight="1" x14ac:dyDescent="0.2">
      <c r="A139" s="402" t="s">
        <v>259</v>
      </c>
      <c r="B139" s="403"/>
      <c r="C139" s="404" t="s">
        <v>260</v>
      </c>
      <c r="D139" s="405">
        <v>43293</v>
      </c>
      <c r="E139" s="406"/>
      <c r="F139" s="325"/>
      <c r="G139" s="324"/>
      <c r="H139" s="324">
        <v>5625</v>
      </c>
      <c r="I139" s="325">
        <v>5418</v>
      </c>
      <c r="J139" s="325"/>
      <c r="K139" s="325">
        <f t="shared" si="20"/>
        <v>0</v>
      </c>
      <c r="L139" s="325">
        <f t="shared" si="21"/>
        <v>0</v>
      </c>
      <c r="M139" s="407">
        <v>2.5</v>
      </c>
      <c r="N139" s="408" t="s">
        <v>17</v>
      </c>
      <c r="O139" s="325">
        <f t="shared" si="25"/>
        <v>0</v>
      </c>
      <c r="P139" s="325">
        <f t="shared" si="26"/>
        <v>0</v>
      </c>
      <c r="Q139" s="325">
        <f t="shared" si="27"/>
        <v>0</v>
      </c>
      <c r="R139" s="325">
        <f t="shared" si="22"/>
        <v>0</v>
      </c>
      <c r="S139" s="325">
        <f t="shared" si="23"/>
        <v>70</v>
      </c>
      <c r="T139" s="325">
        <f t="shared" si="28"/>
        <v>70</v>
      </c>
      <c r="U139" s="409">
        <f t="shared" si="24"/>
        <v>5348</v>
      </c>
      <c r="V139" s="325">
        <f t="shared" si="29"/>
        <v>0</v>
      </c>
      <c r="W139" s="449" cm="1">
        <f t="array" ref="W139">+IF(U139&lt;0,error,0)</f>
        <v>0</v>
      </c>
    </row>
    <row r="140" spans="1:23" ht="18" customHeight="1" x14ac:dyDescent="0.2">
      <c r="A140" s="402" t="s">
        <v>261</v>
      </c>
      <c r="B140" s="403"/>
      <c r="C140" s="404" t="s">
        <v>262</v>
      </c>
      <c r="D140" s="405">
        <v>43297</v>
      </c>
      <c r="E140" s="406"/>
      <c r="F140" s="325"/>
      <c r="G140" s="324"/>
      <c r="H140" s="324">
        <v>5274.55</v>
      </c>
      <c r="I140" s="325">
        <v>5083.55</v>
      </c>
      <c r="J140" s="325"/>
      <c r="K140" s="325">
        <f t="shared" si="20"/>
        <v>0</v>
      </c>
      <c r="L140" s="325">
        <f t="shared" si="21"/>
        <v>0</v>
      </c>
      <c r="M140" s="407">
        <v>2.5</v>
      </c>
      <c r="N140" s="408" t="s">
        <v>17</v>
      </c>
      <c r="O140" s="325">
        <f t="shared" si="25"/>
        <v>0</v>
      </c>
      <c r="P140" s="325">
        <f t="shared" si="26"/>
        <v>0</v>
      </c>
      <c r="Q140" s="325">
        <f t="shared" si="27"/>
        <v>0</v>
      </c>
      <c r="R140" s="325">
        <f t="shared" si="22"/>
        <v>0</v>
      </c>
      <c r="S140" s="325">
        <f t="shared" si="23"/>
        <v>65</v>
      </c>
      <c r="T140" s="325">
        <f t="shared" si="28"/>
        <v>65</v>
      </c>
      <c r="U140" s="409">
        <f t="shared" si="24"/>
        <v>5018.55</v>
      </c>
      <c r="V140" s="325">
        <f t="shared" si="29"/>
        <v>0</v>
      </c>
      <c r="W140" s="449" cm="1">
        <f t="array" ref="W140">+IF(U140&lt;0,error,0)</f>
        <v>0</v>
      </c>
    </row>
    <row r="141" spans="1:23" ht="18" customHeight="1" x14ac:dyDescent="0.2">
      <c r="A141" s="402" t="s">
        <v>263</v>
      </c>
      <c r="B141" s="403"/>
      <c r="C141" s="404" t="s">
        <v>264</v>
      </c>
      <c r="D141" s="405">
        <v>43312</v>
      </c>
      <c r="E141" s="406"/>
      <c r="F141" s="325"/>
      <c r="G141" s="324"/>
      <c r="H141" s="324">
        <v>163.13</v>
      </c>
      <c r="I141" s="325">
        <v>158.13</v>
      </c>
      <c r="J141" s="325"/>
      <c r="K141" s="325">
        <f t="shared" si="20"/>
        <v>0</v>
      </c>
      <c r="L141" s="325">
        <f t="shared" si="21"/>
        <v>0</v>
      </c>
      <c r="M141" s="407">
        <v>2.5</v>
      </c>
      <c r="N141" s="408" t="s">
        <v>17</v>
      </c>
      <c r="O141" s="325">
        <f t="shared" si="25"/>
        <v>0</v>
      </c>
      <c r="P141" s="325">
        <f t="shared" si="26"/>
        <v>0</v>
      </c>
      <c r="Q141" s="325">
        <f t="shared" si="27"/>
        <v>0</v>
      </c>
      <c r="R141" s="325">
        <f t="shared" si="22"/>
        <v>0</v>
      </c>
      <c r="S141" s="325">
        <f t="shared" si="23"/>
        <v>2</v>
      </c>
      <c r="T141" s="325">
        <f t="shared" si="28"/>
        <v>2</v>
      </c>
      <c r="U141" s="409">
        <f t="shared" si="24"/>
        <v>156.13</v>
      </c>
      <c r="V141" s="325">
        <f t="shared" si="29"/>
        <v>0</v>
      </c>
      <c r="W141" s="449" cm="1">
        <f t="array" ref="W141">+IF(U141&lt;0,error,0)</f>
        <v>0</v>
      </c>
    </row>
    <row r="142" spans="1:23" ht="18" customHeight="1" x14ac:dyDescent="0.2">
      <c r="A142" s="402" t="s">
        <v>265</v>
      </c>
      <c r="B142" s="403"/>
      <c r="C142" s="404" t="s">
        <v>266</v>
      </c>
      <c r="D142" s="405">
        <v>43312</v>
      </c>
      <c r="E142" s="406"/>
      <c r="F142" s="325"/>
      <c r="G142" s="324"/>
      <c r="H142" s="324">
        <v>3542.3</v>
      </c>
      <c r="I142" s="325">
        <v>3417.3</v>
      </c>
      <c r="J142" s="325"/>
      <c r="K142" s="325">
        <f t="shared" si="20"/>
        <v>0</v>
      </c>
      <c r="L142" s="325">
        <f t="shared" si="21"/>
        <v>0</v>
      </c>
      <c r="M142" s="407">
        <v>2.5</v>
      </c>
      <c r="N142" s="408" t="s">
        <v>17</v>
      </c>
      <c r="O142" s="325">
        <f t="shared" si="25"/>
        <v>0</v>
      </c>
      <c r="P142" s="325">
        <f t="shared" si="26"/>
        <v>0</v>
      </c>
      <c r="Q142" s="325">
        <f t="shared" si="27"/>
        <v>0</v>
      </c>
      <c r="R142" s="325">
        <f t="shared" si="22"/>
        <v>0</v>
      </c>
      <c r="S142" s="325">
        <f t="shared" si="23"/>
        <v>44</v>
      </c>
      <c r="T142" s="325">
        <f t="shared" si="28"/>
        <v>44</v>
      </c>
      <c r="U142" s="409">
        <f t="shared" si="24"/>
        <v>3373.3</v>
      </c>
      <c r="V142" s="325">
        <f t="shared" si="29"/>
        <v>0</v>
      </c>
      <c r="W142" s="449" cm="1">
        <f t="array" ref="W142">+IF(U142&lt;0,error,0)</f>
        <v>0</v>
      </c>
    </row>
    <row r="143" spans="1:23" ht="18" customHeight="1" x14ac:dyDescent="0.2">
      <c r="A143" s="402" t="s">
        <v>267</v>
      </c>
      <c r="B143" s="403"/>
      <c r="C143" s="404" t="s">
        <v>268</v>
      </c>
      <c r="D143" s="405">
        <v>43312</v>
      </c>
      <c r="E143" s="406"/>
      <c r="F143" s="325"/>
      <c r="G143" s="324"/>
      <c r="H143" s="324">
        <v>1674</v>
      </c>
      <c r="I143" s="325">
        <v>1616</v>
      </c>
      <c r="J143" s="325"/>
      <c r="K143" s="325">
        <f t="shared" si="20"/>
        <v>0</v>
      </c>
      <c r="L143" s="325">
        <f t="shared" si="21"/>
        <v>0</v>
      </c>
      <c r="M143" s="407">
        <v>2.5</v>
      </c>
      <c r="N143" s="408" t="s">
        <v>17</v>
      </c>
      <c r="O143" s="325">
        <f t="shared" si="25"/>
        <v>0</v>
      </c>
      <c r="P143" s="325">
        <f t="shared" si="26"/>
        <v>0</v>
      </c>
      <c r="Q143" s="325">
        <f t="shared" si="27"/>
        <v>0</v>
      </c>
      <c r="R143" s="325">
        <f t="shared" si="22"/>
        <v>0</v>
      </c>
      <c r="S143" s="325">
        <f t="shared" si="23"/>
        <v>20</v>
      </c>
      <c r="T143" s="325">
        <f t="shared" si="28"/>
        <v>20</v>
      </c>
      <c r="U143" s="409">
        <f t="shared" si="24"/>
        <v>1596</v>
      </c>
      <c r="V143" s="325">
        <f t="shared" si="29"/>
        <v>0</v>
      </c>
      <c r="W143" s="449" cm="1">
        <f t="array" ref="W143">+IF(U143&lt;0,error,0)</f>
        <v>0</v>
      </c>
    </row>
    <row r="144" spans="1:23" ht="18" customHeight="1" x14ac:dyDescent="0.2">
      <c r="A144" s="402" t="s">
        <v>269</v>
      </c>
      <c r="B144" s="403"/>
      <c r="C144" s="404" t="s">
        <v>270</v>
      </c>
      <c r="D144" s="405">
        <v>43315</v>
      </c>
      <c r="E144" s="406"/>
      <c r="F144" s="325"/>
      <c r="G144" s="324"/>
      <c r="H144" s="324">
        <v>531.25</v>
      </c>
      <c r="I144" s="325">
        <v>514.25</v>
      </c>
      <c r="J144" s="325"/>
      <c r="K144" s="325">
        <f t="shared" si="20"/>
        <v>0</v>
      </c>
      <c r="L144" s="325">
        <f t="shared" si="21"/>
        <v>0</v>
      </c>
      <c r="M144" s="407">
        <v>2.5</v>
      </c>
      <c r="N144" s="408" t="s">
        <v>17</v>
      </c>
      <c r="O144" s="325">
        <f t="shared" si="25"/>
        <v>0</v>
      </c>
      <c r="P144" s="325">
        <f t="shared" si="26"/>
        <v>0</v>
      </c>
      <c r="Q144" s="325">
        <f t="shared" si="27"/>
        <v>0</v>
      </c>
      <c r="R144" s="325">
        <f t="shared" si="22"/>
        <v>0</v>
      </c>
      <c r="S144" s="325">
        <f t="shared" si="23"/>
        <v>6</v>
      </c>
      <c r="T144" s="325">
        <f t="shared" si="28"/>
        <v>6</v>
      </c>
      <c r="U144" s="409">
        <f t="shared" si="24"/>
        <v>508.25</v>
      </c>
      <c r="V144" s="325">
        <f t="shared" si="29"/>
        <v>0</v>
      </c>
      <c r="W144" s="449" cm="1">
        <f t="array" ref="W144">+IF(U144&lt;0,error,0)</f>
        <v>0</v>
      </c>
    </row>
    <row r="145" spans="1:23" ht="18" customHeight="1" x14ac:dyDescent="0.2">
      <c r="A145" s="402" t="s">
        <v>271</v>
      </c>
      <c r="B145" s="403"/>
      <c r="C145" s="404" t="s">
        <v>258</v>
      </c>
      <c r="D145" s="405">
        <v>43319</v>
      </c>
      <c r="E145" s="406"/>
      <c r="F145" s="325"/>
      <c r="G145" s="324"/>
      <c r="H145" s="324">
        <v>53941.08</v>
      </c>
      <c r="I145" s="325">
        <v>52052.08</v>
      </c>
      <c r="J145" s="325"/>
      <c r="K145" s="325">
        <f t="shared" si="20"/>
        <v>0</v>
      </c>
      <c r="L145" s="325">
        <f t="shared" si="21"/>
        <v>0</v>
      </c>
      <c r="M145" s="407">
        <v>2.5</v>
      </c>
      <c r="N145" s="408" t="s">
        <v>17</v>
      </c>
      <c r="O145" s="325">
        <f t="shared" si="25"/>
        <v>0</v>
      </c>
      <c r="P145" s="325">
        <f t="shared" si="26"/>
        <v>0</v>
      </c>
      <c r="Q145" s="325">
        <f t="shared" si="27"/>
        <v>0</v>
      </c>
      <c r="R145" s="325">
        <f t="shared" si="22"/>
        <v>0</v>
      </c>
      <c r="S145" s="325">
        <f t="shared" si="23"/>
        <v>674</v>
      </c>
      <c r="T145" s="325">
        <f t="shared" si="28"/>
        <v>674</v>
      </c>
      <c r="U145" s="409">
        <f t="shared" si="24"/>
        <v>51378.080000000002</v>
      </c>
      <c r="V145" s="325">
        <f t="shared" si="29"/>
        <v>0</v>
      </c>
      <c r="W145" s="449" cm="1">
        <f t="array" ref="W145">+IF(U145&lt;0,error,0)</f>
        <v>0</v>
      </c>
    </row>
    <row r="146" spans="1:23" ht="18" customHeight="1" x14ac:dyDescent="0.2">
      <c r="A146" s="402" t="s">
        <v>272</v>
      </c>
      <c r="B146" s="403"/>
      <c r="C146" s="404" t="s">
        <v>273</v>
      </c>
      <c r="D146" s="405">
        <v>43340</v>
      </c>
      <c r="E146" s="406"/>
      <c r="F146" s="325"/>
      <c r="G146" s="324"/>
      <c r="H146" s="324">
        <v>2565</v>
      </c>
      <c r="I146" s="325">
        <v>2479</v>
      </c>
      <c r="J146" s="325"/>
      <c r="K146" s="325">
        <f t="shared" si="20"/>
        <v>0</v>
      </c>
      <c r="L146" s="325">
        <f t="shared" si="21"/>
        <v>0</v>
      </c>
      <c r="M146" s="407">
        <v>2.5</v>
      </c>
      <c r="N146" s="408" t="s">
        <v>17</v>
      </c>
      <c r="O146" s="325">
        <f t="shared" si="25"/>
        <v>0</v>
      </c>
      <c r="P146" s="325">
        <f t="shared" si="26"/>
        <v>0</v>
      </c>
      <c r="Q146" s="325">
        <f t="shared" si="27"/>
        <v>0</v>
      </c>
      <c r="R146" s="325">
        <f t="shared" si="22"/>
        <v>0</v>
      </c>
      <c r="S146" s="325">
        <f t="shared" si="23"/>
        <v>32</v>
      </c>
      <c r="T146" s="325">
        <f t="shared" si="28"/>
        <v>32</v>
      </c>
      <c r="U146" s="409">
        <f t="shared" si="24"/>
        <v>2447</v>
      </c>
      <c r="V146" s="325">
        <f t="shared" si="29"/>
        <v>0</v>
      </c>
      <c r="W146" s="449" cm="1">
        <f t="array" ref="W146">+IF(U146&lt;0,error,0)</f>
        <v>0</v>
      </c>
    </row>
    <row r="147" spans="1:23" ht="18" customHeight="1" x14ac:dyDescent="0.2">
      <c r="A147" s="402" t="s">
        <v>274</v>
      </c>
      <c r="B147" s="403"/>
      <c r="C147" s="404" t="s">
        <v>268</v>
      </c>
      <c r="D147" s="405">
        <v>43343</v>
      </c>
      <c r="E147" s="406"/>
      <c r="F147" s="325"/>
      <c r="G147" s="324"/>
      <c r="H147" s="324">
        <v>1798</v>
      </c>
      <c r="I147" s="325">
        <v>1739</v>
      </c>
      <c r="J147" s="325"/>
      <c r="K147" s="325">
        <f t="shared" si="20"/>
        <v>0</v>
      </c>
      <c r="L147" s="325">
        <f t="shared" si="21"/>
        <v>0</v>
      </c>
      <c r="M147" s="407">
        <v>2.5</v>
      </c>
      <c r="N147" s="408" t="s">
        <v>17</v>
      </c>
      <c r="O147" s="325">
        <f t="shared" si="25"/>
        <v>0</v>
      </c>
      <c r="P147" s="325">
        <f t="shared" si="26"/>
        <v>0</v>
      </c>
      <c r="Q147" s="325">
        <f t="shared" si="27"/>
        <v>0</v>
      </c>
      <c r="R147" s="325">
        <f t="shared" si="22"/>
        <v>0</v>
      </c>
      <c r="S147" s="325">
        <f t="shared" si="23"/>
        <v>22</v>
      </c>
      <c r="T147" s="325">
        <f t="shared" si="28"/>
        <v>22</v>
      </c>
      <c r="U147" s="409">
        <f t="shared" si="24"/>
        <v>1717</v>
      </c>
      <c r="V147" s="325">
        <f t="shared" si="29"/>
        <v>0</v>
      </c>
      <c r="W147" s="449" cm="1">
        <f t="array" ref="W147">+IF(U147&lt;0,error,0)</f>
        <v>0</v>
      </c>
    </row>
    <row r="148" spans="1:23" ht="18" customHeight="1" x14ac:dyDescent="0.2">
      <c r="A148" s="402" t="s">
        <v>275</v>
      </c>
      <c r="B148" s="403"/>
      <c r="C148" s="404" t="s">
        <v>258</v>
      </c>
      <c r="D148" s="405">
        <v>43350</v>
      </c>
      <c r="E148" s="406"/>
      <c r="F148" s="325"/>
      <c r="G148" s="324"/>
      <c r="H148" s="324">
        <v>64500.33</v>
      </c>
      <c r="I148" s="325">
        <v>62378.33</v>
      </c>
      <c r="J148" s="325"/>
      <c r="K148" s="325">
        <f t="shared" si="20"/>
        <v>0</v>
      </c>
      <c r="L148" s="325">
        <f t="shared" si="21"/>
        <v>0</v>
      </c>
      <c r="M148" s="407">
        <v>2.5</v>
      </c>
      <c r="N148" s="408" t="s">
        <v>17</v>
      </c>
      <c r="O148" s="325">
        <f t="shared" si="25"/>
        <v>0</v>
      </c>
      <c r="P148" s="325">
        <f t="shared" si="26"/>
        <v>0</v>
      </c>
      <c r="Q148" s="325">
        <f t="shared" si="27"/>
        <v>0</v>
      </c>
      <c r="R148" s="325">
        <f t="shared" si="22"/>
        <v>0</v>
      </c>
      <c r="S148" s="325">
        <f t="shared" si="23"/>
        <v>806</v>
      </c>
      <c r="T148" s="325">
        <f t="shared" si="28"/>
        <v>806</v>
      </c>
      <c r="U148" s="409">
        <f t="shared" si="24"/>
        <v>61572.33</v>
      </c>
      <c r="V148" s="325">
        <f t="shared" si="29"/>
        <v>0</v>
      </c>
      <c r="W148" s="449" cm="1">
        <f t="array" ref="W148">+IF(U148&lt;0,error,0)</f>
        <v>0</v>
      </c>
    </row>
    <row r="149" spans="1:23" ht="18" customHeight="1" x14ac:dyDescent="0.2">
      <c r="A149" s="402" t="s">
        <v>276</v>
      </c>
      <c r="B149" s="403"/>
      <c r="C149" s="404" t="s">
        <v>277</v>
      </c>
      <c r="D149" s="405">
        <v>43356</v>
      </c>
      <c r="E149" s="406"/>
      <c r="F149" s="325"/>
      <c r="G149" s="324"/>
      <c r="H149" s="324">
        <v>4874.1500000000005</v>
      </c>
      <c r="I149" s="325">
        <v>4717.1500000000005</v>
      </c>
      <c r="J149" s="325"/>
      <c r="K149" s="325">
        <f t="shared" si="20"/>
        <v>0</v>
      </c>
      <c r="L149" s="325">
        <f t="shared" si="21"/>
        <v>0</v>
      </c>
      <c r="M149" s="407">
        <v>2.5</v>
      </c>
      <c r="N149" s="408" t="s">
        <v>17</v>
      </c>
      <c r="O149" s="325">
        <f t="shared" si="25"/>
        <v>0</v>
      </c>
      <c r="P149" s="325">
        <f t="shared" si="26"/>
        <v>0</v>
      </c>
      <c r="Q149" s="325">
        <f t="shared" si="27"/>
        <v>0</v>
      </c>
      <c r="R149" s="325">
        <f t="shared" si="22"/>
        <v>0</v>
      </c>
      <c r="S149" s="325">
        <f t="shared" si="23"/>
        <v>60</v>
      </c>
      <c r="T149" s="325">
        <f t="shared" si="28"/>
        <v>60</v>
      </c>
      <c r="U149" s="409">
        <f t="shared" si="24"/>
        <v>4657.1500000000005</v>
      </c>
      <c r="V149" s="325">
        <f t="shared" si="29"/>
        <v>0</v>
      </c>
      <c r="W149" s="449" cm="1">
        <f t="array" ref="W149">+IF(U149&lt;0,error,0)</f>
        <v>0</v>
      </c>
    </row>
    <row r="150" spans="1:23" ht="18" customHeight="1" x14ac:dyDescent="0.2">
      <c r="A150" s="402" t="s">
        <v>278</v>
      </c>
      <c r="B150" s="403"/>
      <c r="C150" s="404" t="s">
        <v>258</v>
      </c>
      <c r="D150" s="405">
        <v>43375</v>
      </c>
      <c r="E150" s="406"/>
      <c r="F150" s="325"/>
      <c r="G150" s="324"/>
      <c r="H150" s="324">
        <v>42752.950000000004</v>
      </c>
      <c r="I150" s="325">
        <v>41419.950000000004</v>
      </c>
      <c r="J150" s="325"/>
      <c r="K150" s="325">
        <f t="shared" si="20"/>
        <v>0</v>
      </c>
      <c r="L150" s="325">
        <f t="shared" si="21"/>
        <v>0</v>
      </c>
      <c r="M150" s="407">
        <v>2.5</v>
      </c>
      <c r="N150" s="408" t="s">
        <v>17</v>
      </c>
      <c r="O150" s="325">
        <f t="shared" si="25"/>
        <v>0</v>
      </c>
      <c r="P150" s="325">
        <f t="shared" si="26"/>
        <v>0</v>
      </c>
      <c r="Q150" s="325">
        <f t="shared" si="27"/>
        <v>0</v>
      </c>
      <c r="R150" s="325">
        <f t="shared" si="22"/>
        <v>0</v>
      </c>
      <c r="S150" s="325">
        <f t="shared" si="23"/>
        <v>534</v>
      </c>
      <c r="T150" s="325">
        <f t="shared" si="28"/>
        <v>534</v>
      </c>
      <c r="U150" s="409">
        <f t="shared" si="24"/>
        <v>40885.950000000004</v>
      </c>
      <c r="V150" s="325">
        <f t="shared" si="29"/>
        <v>0</v>
      </c>
      <c r="W150" s="449" cm="1">
        <f t="array" ref="W150">+IF(U150&lt;0,error,0)</f>
        <v>0</v>
      </c>
    </row>
    <row r="151" spans="1:23" ht="18" customHeight="1" x14ac:dyDescent="0.2">
      <c r="A151" s="402" t="s">
        <v>279</v>
      </c>
      <c r="B151" s="403"/>
      <c r="C151" s="412" t="s">
        <v>280</v>
      </c>
      <c r="D151" s="405">
        <v>43334</v>
      </c>
      <c r="E151" s="406"/>
      <c r="F151" s="325"/>
      <c r="G151" s="324"/>
      <c r="H151" s="324">
        <v>31700</v>
      </c>
      <c r="I151" s="325">
        <v>30623</v>
      </c>
      <c r="J151" s="325"/>
      <c r="K151" s="325">
        <f t="shared" si="20"/>
        <v>0</v>
      </c>
      <c r="L151" s="325">
        <f t="shared" si="21"/>
        <v>0</v>
      </c>
      <c r="M151" s="407">
        <v>2.5</v>
      </c>
      <c r="N151" s="408" t="s">
        <v>17</v>
      </c>
      <c r="O151" s="325">
        <f t="shared" si="25"/>
        <v>0</v>
      </c>
      <c r="P151" s="325">
        <f t="shared" si="26"/>
        <v>0</v>
      </c>
      <c r="Q151" s="325">
        <f t="shared" si="27"/>
        <v>0</v>
      </c>
      <c r="R151" s="325">
        <f t="shared" si="22"/>
        <v>0</v>
      </c>
      <c r="S151" s="325">
        <f t="shared" si="23"/>
        <v>396</v>
      </c>
      <c r="T151" s="325">
        <f t="shared" si="28"/>
        <v>396</v>
      </c>
      <c r="U151" s="409">
        <f t="shared" si="24"/>
        <v>30227</v>
      </c>
      <c r="V151" s="325">
        <f t="shared" si="29"/>
        <v>0</v>
      </c>
      <c r="W151" s="449" cm="1">
        <f t="array" ref="W151">+IF(U151&lt;0,error,0)</f>
        <v>0</v>
      </c>
    </row>
    <row r="152" spans="1:23" ht="18" customHeight="1" x14ac:dyDescent="0.2">
      <c r="A152" s="402" t="s">
        <v>281</v>
      </c>
      <c r="B152" s="403"/>
      <c r="C152" s="412" t="s">
        <v>282</v>
      </c>
      <c r="D152" s="405">
        <v>43374</v>
      </c>
      <c r="E152" s="406"/>
      <c r="F152" s="325"/>
      <c r="G152" s="324"/>
      <c r="H152" s="324">
        <v>9587.5</v>
      </c>
      <c r="I152" s="325">
        <v>9289.5</v>
      </c>
      <c r="J152" s="325"/>
      <c r="K152" s="325">
        <f t="shared" si="20"/>
        <v>0</v>
      </c>
      <c r="L152" s="325">
        <f t="shared" si="21"/>
        <v>0</v>
      </c>
      <c r="M152" s="407">
        <v>2.5</v>
      </c>
      <c r="N152" s="408" t="s">
        <v>17</v>
      </c>
      <c r="O152" s="325">
        <f t="shared" si="25"/>
        <v>0</v>
      </c>
      <c r="P152" s="325">
        <f t="shared" si="26"/>
        <v>0</v>
      </c>
      <c r="Q152" s="325">
        <f t="shared" si="27"/>
        <v>0</v>
      </c>
      <c r="R152" s="325">
        <f t="shared" si="22"/>
        <v>0</v>
      </c>
      <c r="S152" s="325">
        <f t="shared" si="23"/>
        <v>119</v>
      </c>
      <c r="T152" s="325">
        <f t="shared" si="28"/>
        <v>119</v>
      </c>
      <c r="U152" s="409">
        <f t="shared" si="24"/>
        <v>9170.5</v>
      </c>
      <c r="V152" s="325">
        <f t="shared" si="29"/>
        <v>0</v>
      </c>
      <c r="W152" s="449" cm="1">
        <f t="array" ref="W152">+IF(U152&lt;0,error,0)</f>
        <v>0</v>
      </c>
    </row>
    <row r="153" spans="1:23" ht="18" customHeight="1" x14ac:dyDescent="0.2">
      <c r="A153" s="402" t="s">
        <v>283</v>
      </c>
      <c r="B153" s="403"/>
      <c r="C153" s="404" t="s">
        <v>284</v>
      </c>
      <c r="D153" s="405">
        <v>43404</v>
      </c>
      <c r="E153" s="406"/>
      <c r="F153" s="325"/>
      <c r="G153" s="324"/>
      <c r="H153" s="324">
        <v>1040</v>
      </c>
      <c r="I153" s="325">
        <v>1010</v>
      </c>
      <c r="J153" s="325"/>
      <c r="K153" s="325">
        <f t="shared" si="20"/>
        <v>0</v>
      </c>
      <c r="L153" s="325">
        <f t="shared" si="21"/>
        <v>0</v>
      </c>
      <c r="M153" s="407">
        <v>2.5</v>
      </c>
      <c r="N153" s="408" t="s">
        <v>17</v>
      </c>
      <c r="O153" s="325">
        <f t="shared" si="25"/>
        <v>0</v>
      </c>
      <c r="P153" s="325">
        <f t="shared" si="26"/>
        <v>0</v>
      </c>
      <c r="Q153" s="325">
        <f t="shared" si="27"/>
        <v>0</v>
      </c>
      <c r="R153" s="325">
        <f t="shared" si="22"/>
        <v>0</v>
      </c>
      <c r="S153" s="325">
        <f t="shared" si="23"/>
        <v>13</v>
      </c>
      <c r="T153" s="325">
        <f t="shared" si="28"/>
        <v>13</v>
      </c>
      <c r="U153" s="409">
        <f t="shared" si="24"/>
        <v>997</v>
      </c>
      <c r="V153" s="325">
        <f t="shared" si="29"/>
        <v>0</v>
      </c>
      <c r="W153" s="449" cm="1">
        <f t="array" ref="W153">+IF(U153&lt;0,error,0)</f>
        <v>0</v>
      </c>
    </row>
    <row r="154" spans="1:23" ht="18" customHeight="1" x14ac:dyDescent="0.2">
      <c r="A154" s="402">
        <v>740147</v>
      </c>
      <c r="B154" s="403"/>
      <c r="C154" s="404" t="s">
        <v>2039</v>
      </c>
      <c r="D154" s="405">
        <v>43502</v>
      </c>
      <c r="E154" s="406"/>
      <c r="F154" s="325"/>
      <c r="G154" s="324"/>
      <c r="H154" s="324">
        <v>31026.7</v>
      </c>
      <c r="I154" s="325">
        <v>30333.7</v>
      </c>
      <c r="J154" s="325"/>
      <c r="K154" s="325">
        <f t="shared" si="20"/>
        <v>0</v>
      </c>
      <c r="L154" s="325">
        <f t="shared" si="21"/>
        <v>0</v>
      </c>
      <c r="M154" s="407">
        <v>2.5</v>
      </c>
      <c r="N154" s="408" t="s">
        <v>17</v>
      </c>
      <c r="O154" s="325">
        <f t="shared" si="25"/>
        <v>0</v>
      </c>
      <c r="P154" s="325">
        <f t="shared" si="26"/>
        <v>0</v>
      </c>
      <c r="Q154" s="325">
        <f t="shared" si="27"/>
        <v>0</v>
      </c>
      <c r="R154" s="325">
        <f t="shared" si="22"/>
        <v>0</v>
      </c>
      <c r="S154" s="325">
        <f t="shared" si="23"/>
        <v>387</v>
      </c>
      <c r="T154" s="325">
        <f>+R154+S154+Q154</f>
        <v>387</v>
      </c>
      <c r="U154" s="409">
        <f t="shared" si="24"/>
        <v>29946.7</v>
      </c>
      <c r="V154" s="325">
        <f t="shared" si="29"/>
        <v>0</v>
      </c>
      <c r="W154" s="449" cm="1">
        <f t="array" ref="W154">+IF(U154&lt;0,error,0)</f>
        <v>0</v>
      </c>
    </row>
    <row r="155" spans="1:23" ht="18" customHeight="1" x14ac:dyDescent="0.2">
      <c r="A155" s="402">
        <v>740148</v>
      </c>
      <c r="B155" s="403"/>
      <c r="C155" s="404" t="s">
        <v>2040</v>
      </c>
      <c r="D155" s="405">
        <v>43566</v>
      </c>
      <c r="E155" s="406"/>
      <c r="F155" s="325"/>
      <c r="G155" s="324"/>
      <c r="H155" s="324">
        <v>13485.26</v>
      </c>
      <c r="I155" s="325">
        <v>13244.26</v>
      </c>
      <c r="J155" s="325"/>
      <c r="K155" s="325">
        <f t="shared" si="20"/>
        <v>0</v>
      </c>
      <c r="L155" s="325">
        <f t="shared" si="21"/>
        <v>0</v>
      </c>
      <c r="M155" s="407">
        <v>2.5</v>
      </c>
      <c r="N155" s="408" t="s">
        <v>17</v>
      </c>
      <c r="O155" s="325">
        <f t="shared" si="25"/>
        <v>0</v>
      </c>
      <c r="P155" s="325">
        <f t="shared" si="26"/>
        <v>0</v>
      </c>
      <c r="Q155" s="325">
        <f t="shared" si="27"/>
        <v>0</v>
      </c>
      <c r="R155" s="325">
        <f t="shared" si="22"/>
        <v>0</v>
      </c>
      <c r="S155" s="325">
        <f t="shared" si="23"/>
        <v>168</v>
      </c>
      <c r="T155" s="325">
        <f t="shared" si="28"/>
        <v>168</v>
      </c>
      <c r="U155" s="409">
        <f t="shared" si="24"/>
        <v>13076.26</v>
      </c>
      <c r="V155" s="325">
        <f t="shared" si="29"/>
        <v>0</v>
      </c>
      <c r="W155" s="449" cm="1">
        <f t="array" ref="W155">+IF(U155&lt;0,error,0)</f>
        <v>0</v>
      </c>
    </row>
    <row r="156" spans="1:23" ht="18" customHeight="1" x14ac:dyDescent="0.2">
      <c r="A156" s="402">
        <v>740149</v>
      </c>
      <c r="B156" s="403"/>
      <c r="C156" s="404" t="s">
        <v>2041</v>
      </c>
      <c r="D156" s="405">
        <v>43585</v>
      </c>
      <c r="E156" s="406"/>
      <c r="F156" s="325"/>
      <c r="G156" s="324"/>
      <c r="H156" s="324">
        <v>23909.5</v>
      </c>
      <c r="I156" s="325">
        <v>23512.5</v>
      </c>
      <c r="J156" s="325"/>
      <c r="K156" s="325">
        <f t="shared" si="20"/>
        <v>0</v>
      </c>
      <c r="L156" s="325">
        <f t="shared" si="21"/>
        <v>0</v>
      </c>
      <c r="M156" s="407">
        <v>2.5</v>
      </c>
      <c r="N156" s="408" t="s">
        <v>17</v>
      </c>
      <c r="O156" s="325">
        <f t="shared" si="25"/>
        <v>0</v>
      </c>
      <c r="P156" s="325">
        <f t="shared" si="26"/>
        <v>0</v>
      </c>
      <c r="Q156" s="325">
        <f t="shared" si="27"/>
        <v>0</v>
      </c>
      <c r="R156" s="325">
        <f t="shared" si="22"/>
        <v>0</v>
      </c>
      <c r="S156" s="325">
        <f t="shared" si="23"/>
        <v>298</v>
      </c>
      <c r="T156" s="325">
        <f t="shared" si="28"/>
        <v>298</v>
      </c>
      <c r="U156" s="409">
        <f t="shared" si="24"/>
        <v>23214.5</v>
      </c>
      <c r="V156" s="325">
        <f t="shared" si="29"/>
        <v>0</v>
      </c>
      <c r="W156" s="449" cm="1">
        <f t="array" ref="W156">+IF(U156&lt;0,error,0)</f>
        <v>0</v>
      </c>
    </row>
    <row r="157" spans="1:23" ht="18" customHeight="1" x14ac:dyDescent="0.2">
      <c r="A157" s="402">
        <v>740150</v>
      </c>
      <c r="B157" s="403"/>
      <c r="C157" s="404" t="s">
        <v>53</v>
      </c>
      <c r="D157" s="405">
        <v>43622</v>
      </c>
      <c r="E157" s="406"/>
      <c r="F157" s="325"/>
      <c r="G157" s="324"/>
      <c r="H157" s="324">
        <v>29309.15</v>
      </c>
      <c r="I157" s="325">
        <v>28895.15</v>
      </c>
      <c r="J157" s="325"/>
      <c r="K157" s="325">
        <f t="shared" si="20"/>
        <v>0</v>
      </c>
      <c r="L157" s="325">
        <f t="shared" si="21"/>
        <v>0</v>
      </c>
      <c r="M157" s="407">
        <v>2.5</v>
      </c>
      <c r="N157" s="408" t="s">
        <v>17</v>
      </c>
      <c r="O157" s="325">
        <f t="shared" si="25"/>
        <v>0</v>
      </c>
      <c r="P157" s="325">
        <f t="shared" si="26"/>
        <v>0</v>
      </c>
      <c r="Q157" s="325">
        <f t="shared" si="27"/>
        <v>0</v>
      </c>
      <c r="R157" s="325">
        <f t="shared" si="22"/>
        <v>0</v>
      </c>
      <c r="S157" s="325">
        <f t="shared" si="23"/>
        <v>366</v>
      </c>
      <c r="T157" s="325">
        <f t="shared" si="28"/>
        <v>366</v>
      </c>
      <c r="U157" s="409">
        <f t="shared" si="24"/>
        <v>28529.15</v>
      </c>
      <c r="V157" s="325">
        <f t="shared" si="29"/>
        <v>0</v>
      </c>
      <c r="W157" s="449" cm="1">
        <f t="array" ref="W157">+IF(U157&lt;0,error,0)</f>
        <v>0</v>
      </c>
    </row>
    <row r="158" spans="1:23" ht="18" customHeight="1" x14ac:dyDescent="0.2">
      <c r="A158" s="402">
        <v>740151</v>
      </c>
      <c r="B158" s="403"/>
      <c r="C158" s="404" t="s">
        <v>2042</v>
      </c>
      <c r="D158" s="405">
        <v>43617</v>
      </c>
      <c r="E158" s="406"/>
      <c r="F158" s="325"/>
      <c r="G158" s="324"/>
      <c r="H158" s="324">
        <v>38976.42</v>
      </c>
      <c r="I158" s="325">
        <v>38412.42</v>
      </c>
      <c r="J158" s="325"/>
      <c r="K158" s="325">
        <f t="shared" si="20"/>
        <v>0</v>
      </c>
      <c r="L158" s="325">
        <f t="shared" si="21"/>
        <v>0</v>
      </c>
      <c r="M158" s="407">
        <v>2.5</v>
      </c>
      <c r="N158" s="408" t="s">
        <v>17</v>
      </c>
      <c r="O158" s="325">
        <f t="shared" si="25"/>
        <v>0</v>
      </c>
      <c r="P158" s="325">
        <f t="shared" si="26"/>
        <v>0</v>
      </c>
      <c r="Q158" s="325">
        <f t="shared" si="27"/>
        <v>0</v>
      </c>
      <c r="R158" s="325">
        <f t="shared" si="22"/>
        <v>0</v>
      </c>
      <c r="S158" s="325">
        <f t="shared" si="23"/>
        <v>487</v>
      </c>
      <c r="T158" s="325">
        <f t="shared" si="28"/>
        <v>487</v>
      </c>
      <c r="U158" s="409">
        <f t="shared" si="24"/>
        <v>37925.42</v>
      </c>
      <c r="V158" s="325">
        <f t="shared" si="29"/>
        <v>0</v>
      </c>
      <c r="W158" s="449" cm="1">
        <f t="array" ref="W158">+IF(U158&lt;0,error,0)</f>
        <v>0</v>
      </c>
    </row>
    <row r="159" spans="1:23" ht="18" customHeight="1" x14ac:dyDescent="0.2">
      <c r="A159" s="402">
        <v>740152</v>
      </c>
      <c r="B159" s="403"/>
      <c r="C159" s="404" t="s">
        <v>1877</v>
      </c>
      <c r="D159" s="405">
        <v>43497</v>
      </c>
      <c r="E159" s="406"/>
      <c r="F159" s="325"/>
      <c r="G159" s="324"/>
      <c r="H159" s="324">
        <v>14080</v>
      </c>
      <c r="I159" s="325">
        <v>13761</v>
      </c>
      <c r="J159" s="325"/>
      <c r="K159" s="325">
        <f t="shared" si="20"/>
        <v>0</v>
      </c>
      <c r="L159" s="325">
        <f t="shared" si="21"/>
        <v>0</v>
      </c>
      <c r="M159" s="407">
        <v>2.5</v>
      </c>
      <c r="N159" s="408" t="s">
        <v>17</v>
      </c>
      <c r="O159" s="325">
        <f t="shared" si="25"/>
        <v>0</v>
      </c>
      <c r="P159" s="325">
        <f t="shared" si="26"/>
        <v>0</v>
      </c>
      <c r="Q159" s="325">
        <f t="shared" si="27"/>
        <v>0</v>
      </c>
      <c r="R159" s="325">
        <f t="shared" si="22"/>
        <v>0</v>
      </c>
      <c r="S159" s="325">
        <f t="shared" si="23"/>
        <v>176</v>
      </c>
      <c r="T159" s="325">
        <f t="shared" si="28"/>
        <v>176</v>
      </c>
      <c r="U159" s="409">
        <f t="shared" si="24"/>
        <v>13585</v>
      </c>
      <c r="V159" s="325">
        <f t="shared" si="29"/>
        <v>0</v>
      </c>
      <c r="W159" s="449" cm="1">
        <f t="array" ref="W159">+IF(U159&lt;0,error,0)</f>
        <v>0</v>
      </c>
    </row>
    <row r="160" spans="1:23" ht="18" customHeight="1" x14ac:dyDescent="0.2">
      <c r="A160" s="402">
        <v>740153</v>
      </c>
      <c r="B160" s="403"/>
      <c r="C160" s="404" t="s">
        <v>2108</v>
      </c>
      <c r="D160" s="405">
        <v>43709</v>
      </c>
      <c r="E160" s="406"/>
      <c r="F160" s="325"/>
      <c r="G160" s="324"/>
      <c r="H160" s="324">
        <v>7400.85</v>
      </c>
      <c r="I160" s="325">
        <v>7339.85</v>
      </c>
      <c r="J160" s="325"/>
      <c r="K160" s="325">
        <f t="shared" si="20"/>
        <v>0</v>
      </c>
      <c r="L160" s="325">
        <f t="shared" si="21"/>
        <v>0</v>
      </c>
      <c r="M160" s="407">
        <v>2.5</v>
      </c>
      <c r="N160" s="408" t="s">
        <v>17</v>
      </c>
      <c r="O160" s="325">
        <f t="shared" si="25"/>
        <v>0</v>
      </c>
      <c r="P160" s="325">
        <f t="shared" si="26"/>
        <v>0</v>
      </c>
      <c r="Q160" s="325">
        <f t="shared" si="27"/>
        <v>0</v>
      </c>
      <c r="R160" s="325">
        <f t="shared" si="22"/>
        <v>0</v>
      </c>
      <c r="S160" s="325">
        <f t="shared" si="23"/>
        <v>92</v>
      </c>
      <c r="T160" s="325">
        <f t="shared" si="28"/>
        <v>92</v>
      </c>
      <c r="U160" s="409">
        <f t="shared" si="24"/>
        <v>7247.85</v>
      </c>
      <c r="V160" s="325">
        <f t="shared" si="29"/>
        <v>0</v>
      </c>
      <c r="W160" s="449" cm="1">
        <f t="array" ref="W160">+IF(U160&lt;0,error,0)</f>
        <v>0</v>
      </c>
    </row>
    <row r="161" spans="1:24" ht="18" customHeight="1" x14ac:dyDescent="0.2">
      <c r="A161" s="402">
        <v>740154</v>
      </c>
      <c r="B161" s="403"/>
      <c r="C161" s="404" t="s">
        <v>2109</v>
      </c>
      <c r="D161" s="405">
        <v>43647</v>
      </c>
      <c r="E161" s="406"/>
      <c r="F161" s="325"/>
      <c r="G161" s="324"/>
      <c r="H161" s="324">
        <v>6012.5</v>
      </c>
      <c r="I161" s="325">
        <v>5937.5</v>
      </c>
      <c r="J161" s="325"/>
      <c r="K161" s="325">
        <f t="shared" si="20"/>
        <v>0</v>
      </c>
      <c r="L161" s="325">
        <f t="shared" si="21"/>
        <v>0</v>
      </c>
      <c r="M161" s="407">
        <v>2.5</v>
      </c>
      <c r="N161" s="408" t="s">
        <v>17</v>
      </c>
      <c r="O161" s="325">
        <f t="shared" si="25"/>
        <v>0</v>
      </c>
      <c r="P161" s="325">
        <f t="shared" si="26"/>
        <v>0</v>
      </c>
      <c r="Q161" s="325">
        <f t="shared" si="27"/>
        <v>0</v>
      </c>
      <c r="R161" s="325">
        <f t="shared" si="22"/>
        <v>0</v>
      </c>
      <c r="S161" s="325">
        <f t="shared" si="23"/>
        <v>75</v>
      </c>
      <c r="T161" s="325">
        <f t="shared" si="28"/>
        <v>75</v>
      </c>
      <c r="U161" s="409">
        <f t="shared" si="24"/>
        <v>5862.5</v>
      </c>
      <c r="V161" s="325">
        <f t="shared" si="29"/>
        <v>0</v>
      </c>
      <c r="W161" s="449" cm="1">
        <f t="array" ref="W161">+IF(U161&lt;0,error,0)</f>
        <v>0</v>
      </c>
    </row>
    <row r="162" spans="1:24" ht="18" customHeight="1" x14ac:dyDescent="0.2">
      <c r="A162" s="402">
        <v>740155</v>
      </c>
      <c r="B162" s="403"/>
      <c r="C162" s="404" t="s">
        <v>1852</v>
      </c>
      <c r="D162" s="405">
        <v>43818</v>
      </c>
      <c r="E162" s="406"/>
      <c r="F162" s="325"/>
      <c r="G162" s="324"/>
      <c r="H162" s="324">
        <v>18612.07</v>
      </c>
      <c r="I162" s="325">
        <v>18597.07</v>
      </c>
      <c r="J162" s="325"/>
      <c r="K162" s="325">
        <f t="shared" si="20"/>
        <v>0</v>
      </c>
      <c r="L162" s="325">
        <f t="shared" si="21"/>
        <v>0</v>
      </c>
      <c r="M162" s="407">
        <v>2.5</v>
      </c>
      <c r="N162" s="408" t="s">
        <v>17</v>
      </c>
      <c r="O162" s="325">
        <f t="shared" si="25"/>
        <v>0</v>
      </c>
      <c r="P162" s="325">
        <f t="shared" si="26"/>
        <v>0</v>
      </c>
      <c r="Q162" s="325">
        <f t="shared" si="27"/>
        <v>0</v>
      </c>
      <c r="R162" s="325">
        <f t="shared" si="22"/>
        <v>0</v>
      </c>
      <c r="S162" s="325">
        <f t="shared" si="23"/>
        <v>232</v>
      </c>
      <c r="T162" s="325">
        <f t="shared" si="28"/>
        <v>232</v>
      </c>
      <c r="U162" s="409">
        <f t="shared" si="24"/>
        <v>18365.07</v>
      </c>
      <c r="V162" s="325">
        <f t="shared" si="29"/>
        <v>0</v>
      </c>
      <c r="W162" s="449" cm="1">
        <f t="array" ref="W162">+IF(U162&lt;0,error,0)</f>
        <v>0</v>
      </c>
    </row>
    <row r="163" spans="1:24" ht="18" customHeight="1" x14ac:dyDescent="0.2">
      <c r="A163" s="402">
        <v>740156</v>
      </c>
      <c r="B163" s="403"/>
      <c r="C163" s="404" t="s">
        <v>53</v>
      </c>
      <c r="D163" s="405">
        <v>43830</v>
      </c>
      <c r="E163" s="406"/>
      <c r="F163" s="325"/>
      <c r="G163" s="324"/>
      <c r="H163" s="324">
        <v>29585.27</v>
      </c>
      <c r="I163" s="325">
        <v>29585.27</v>
      </c>
      <c r="J163" s="325"/>
      <c r="K163" s="325">
        <f t="shared" si="20"/>
        <v>0</v>
      </c>
      <c r="L163" s="325">
        <f t="shared" si="21"/>
        <v>0</v>
      </c>
      <c r="M163" s="407">
        <v>2.5</v>
      </c>
      <c r="N163" s="408" t="s">
        <v>17</v>
      </c>
      <c r="O163" s="325">
        <f t="shared" si="25"/>
        <v>0</v>
      </c>
      <c r="P163" s="325">
        <f t="shared" si="26"/>
        <v>0</v>
      </c>
      <c r="Q163" s="325">
        <f t="shared" si="27"/>
        <v>0</v>
      </c>
      <c r="R163" s="325">
        <f t="shared" si="22"/>
        <v>0</v>
      </c>
      <c r="S163" s="325">
        <f t="shared" si="23"/>
        <v>369</v>
      </c>
      <c r="T163" s="325">
        <f t="shared" si="28"/>
        <v>369</v>
      </c>
      <c r="U163" s="409">
        <f t="shared" si="24"/>
        <v>29216.27</v>
      </c>
      <c r="V163" s="325">
        <f t="shared" si="29"/>
        <v>0</v>
      </c>
      <c r="W163" s="449" cm="1">
        <f t="array" ref="W163">+IF(U163&lt;0,error,0)</f>
        <v>0</v>
      </c>
    </row>
    <row r="164" spans="1:24" ht="18" customHeight="1" x14ac:dyDescent="0.2">
      <c r="A164" s="402">
        <v>740157</v>
      </c>
      <c r="B164" s="403"/>
      <c r="C164" s="404" t="s">
        <v>2110</v>
      </c>
      <c r="D164" s="405">
        <v>43739</v>
      </c>
      <c r="E164" s="406"/>
      <c r="F164" s="325"/>
      <c r="G164" s="324"/>
      <c r="H164" s="324">
        <v>6325.23</v>
      </c>
      <c r="I164" s="325">
        <v>6286.23</v>
      </c>
      <c r="J164" s="325"/>
      <c r="K164" s="325">
        <f t="shared" si="20"/>
        <v>0</v>
      </c>
      <c r="L164" s="325">
        <f t="shared" si="21"/>
        <v>0</v>
      </c>
      <c r="M164" s="407">
        <v>2.5</v>
      </c>
      <c r="N164" s="408" t="s">
        <v>17</v>
      </c>
      <c r="O164" s="325">
        <f t="shared" si="25"/>
        <v>0</v>
      </c>
      <c r="P164" s="325">
        <f t="shared" si="26"/>
        <v>0</v>
      </c>
      <c r="Q164" s="325">
        <f t="shared" si="27"/>
        <v>0</v>
      </c>
      <c r="R164" s="325">
        <f t="shared" si="22"/>
        <v>0</v>
      </c>
      <c r="S164" s="325">
        <f t="shared" si="23"/>
        <v>79</v>
      </c>
      <c r="T164" s="325">
        <f t="shared" si="28"/>
        <v>79</v>
      </c>
      <c r="U164" s="409">
        <f t="shared" si="24"/>
        <v>6207.23</v>
      </c>
      <c r="V164" s="325">
        <f t="shared" si="29"/>
        <v>0</v>
      </c>
      <c r="W164" s="449" cm="1">
        <f t="array" ref="W164">+IF(U164&lt;0,error,0)</f>
        <v>0</v>
      </c>
    </row>
    <row r="165" spans="1:24" ht="18" customHeight="1" x14ac:dyDescent="0.2">
      <c r="A165" s="402">
        <v>740158</v>
      </c>
      <c r="B165" s="403"/>
      <c r="C165" s="404" t="s">
        <v>2111</v>
      </c>
      <c r="D165" s="405">
        <v>43739</v>
      </c>
      <c r="E165" s="406"/>
      <c r="F165" s="325"/>
      <c r="G165" s="324"/>
      <c r="H165" s="324">
        <v>1657.6</v>
      </c>
      <c r="I165" s="325">
        <v>1647.6</v>
      </c>
      <c r="J165" s="325"/>
      <c r="K165" s="325">
        <f t="shared" si="20"/>
        <v>0</v>
      </c>
      <c r="L165" s="325">
        <f t="shared" si="21"/>
        <v>0</v>
      </c>
      <c r="M165" s="407">
        <v>2.5</v>
      </c>
      <c r="N165" s="408" t="s">
        <v>17</v>
      </c>
      <c r="O165" s="325">
        <f t="shared" si="25"/>
        <v>0</v>
      </c>
      <c r="P165" s="325">
        <f t="shared" si="26"/>
        <v>0</v>
      </c>
      <c r="Q165" s="325">
        <f t="shared" si="27"/>
        <v>0</v>
      </c>
      <c r="R165" s="325">
        <f t="shared" si="22"/>
        <v>0</v>
      </c>
      <c r="S165" s="325">
        <f t="shared" si="23"/>
        <v>20</v>
      </c>
      <c r="T165" s="325">
        <f t="shared" si="28"/>
        <v>20</v>
      </c>
      <c r="U165" s="409">
        <f t="shared" si="24"/>
        <v>1627.6</v>
      </c>
      <c r="V165" s="325">
        <f t="shared" si="29"/>
        <v>0</v>
      </c>
      <c r="W165" s="449" cm="1">
        <f t="array" ref="W165">+IF(U165&lt;0,error,0)</f>
        <v>0</v>
      </c>
    </row>
    <row r="166" spans="1:24" ht="18" customHeight="1" x14ac:dyDescent="0.2">
      <c r="A166" s="402">
        <v>740159</v>
      </c>
      <c r="B166" s="403"/>
      <c r="C166" s="404" t="s">
        <v>2112</v>
      </c>
      <c r="D166" s="405">
        <v>43761</v>
      </c>
      <c r="E166" s="406"/>
      <c r="F166" s="325"/>
      <c r="G166" s="324"/>
      <c r="H166" s="324">
        <v>475</v>
      </c>
      <c r="I166" s="325">
        <v>473</v>
      </c>
      <c r="J166" s="325"/>
      <c r="K166" s="325">
        <f t="shared" si="20"/>
        <v>0</v>
      </c>
      <c r="L166" s="325">
        <f t="shared" si="21"/>
        <v>0</v>
      </c>
      <c r="M166" s="407">
        <v>2.5</v>
      </c>
      <c r="N166" s="408" t="s">
        <v>17</v>
      </c>
      <c r="O166" s="325">
        <f t="shared" si="25"/>
        <v>0</v>
      </c>
      <c r="P166" s="325">
        <f t="shared" si="26"/>
        <v>0</v>
      </c>
      <c r="Q166" s="325">
        <f t="shared" si="27"/>
        <v>0</v>
      </c>
      <c r="R166" s="325">
        <f t="shared" si="22"/>
        <v>0</v>
      </c>
      <c r="S166" s="325">
        <f t="shared" si="23"/>
        <v>5</v>
      </c>
      <c r="T166" s="325">
        <f t="shared" si="28"/>
        <v>5</v>
      </c>
      <c r="U166" s="409">
        <f t="shared" si="24"/>
        <v>468</v>
      </c>
      <c r="V166" s="325">
        <f t="shared" si="29"/>
        <v>0</v>
      </c>
      <c r="W166" s="449" cm="1">
        <f t="array" ref="W166">+IF(U166&lt;0,error,0)</f>
        <v>0</v>
      </c>
    </row>
    <row r="167" spans="1:24" ht="18" customHeight="1" x14ac:dyDescent="0.2">
      <c r="A167" s="402">
        <v>740160</v>
      </c>
      <c r="B167" s="403"/>
      <c r="C167" s="404" t="s">
        <v>2351</v>
      </c>
      <c r="D167" s="405">
        <v>43867</v>
      </c>
      <c r="E167" s="406"/>
      <c r="F167" s="325"/>
      <c r="G167" s="324"/>
      <c r="H167" s="324"/>
      <c r="I167" s="325"/>
      <c r="J167" s="325">
        <v>14020.58</v>
      </c>
      <c r="K167" s="325">
        <f t="shared" ref="K167" si="30">INT(IF($E167&gt;0,IF(+F167-I167+Q167&lt;0,0,+F167-I167+Q167),0))</f>
        <v>0</v>
      </c>
      <c r="L167" s="325">
        <f t="shared" ref="L167" si="31">INT(IF($E167&gt;0,IF(K167=0,-F167+I167-Q167,0),0))</f>
        <v>0</v>
      </c>
      <c r="M167" s="407">
        <v>2.5</v>
      </c>
      <c r="N167" s="408" t="s">
        <v>17</v>
      </c>
      <c r="O167" s="325">
        <f t="shared" ref="O167" si="32">IF(E167&gt;0,INT(IF($N167="D",IF($D167&lt;$H$3,$I167*($M167/100)*((E167-$H$3)/365),$J167*($M167/100)*($J$3-$D167)/365),0)),0)</f>
        <v>0</v>
      </c>
      <c r="P167" s="325">
        <f t="shared" ref="P167" si="33">IF(E167&gt;0,INT(IF($N167="P",IF($D167&lt;$H$3,$H167*($M167/100)*(E167-$H$3)/365,$J167*($M167/100)*($J$3-$D167)/365),0)),0)</f>
        <v>0</v>
      </c>
      <c r="Q167" s="325">
        <f t="shared" ref="Q167" si="34">+O167+P167</f>
        <v>0</v>
      </c>
      <c r="R167" s="325">
        <f t="shared" si="22"/>
        <v>0</v>
      </c>
      <c r="S167" s="325">
        <f t="shared" si="23"/>
        <v>139</v>
      </c>
      <c r="T167" s="325">
        <f t="shared" ref="T167" si="35">+R167+S167+Q167</f>
        <v>139</v>
      </c>
      <c r="U167" s="409">
        <f t="shared" ref="U167" si="36">+I167+J167-T167-F167+K167-L167</f>
        <v>13881.58</v>
      </c>
      <c r="V167" s="325">
        <f t="shared" ref="V167" si="37">IF(E167&gt;0,+H167+J167,0)</f>
        <v>0</v>
      </c>
      <c r="W167" s="449" cm="1">
        <f t="array" ref="W167">+IF(U167&lt;0,error,0)</f>
        <v>0</v>
      </c>
    </row>
    <row r="168" spans="1:24" ht="18" customHeight="1" x14ac:dyDescent="0.2">
      <c r="A168" s="402">
        <v>740161</v>
      </c>
      <c r="B168" s="403"/>
      <c r="C168" s="404" t="s">
        <v>1852</v>
      </c>
      <c r="D168" s="405">
        <v>43890</v>
      </c>
      <c r="E168" s="406"/>
      <c r="F168" s="325"/>
      <c r="G168" s="324"/>
      <c r="H168" s="324"/>
      <c r="I168" s="325"/>
      <c r="J168" s="325">
        <v>7095.7</v>
      </c>
      <c r="K168" s="325">
        <f t="shared" ref="K168:K169" si="38">INT(IF($E168&gt;0,IF(+F168-I168+Q168&lt;0,0,+F168-I168+Q168),0))</f>
        <v>0</v>
      </c>
      <c r="L168" s="325">
        <f t="shared" ref="L168:L169" si="39">INT(IF($E168&gt;0,IF(K168=0,-F168+I168-Q168,0),0))</f>
        <v>0</v>
      </c>
      <c r="M168" s="407">
        <v>2.5</v>
      </c>
      <c r="N168" s="408" t="s">
        <v>17</v>
      </c>
      <c r="O168" s="325">
        <f t="shared" ref="O168:O169" si="40">IF(E168&gt;0,INT(IF($N168="D",IF($D168&lt;$H$3,$I168*($M168/100)*((E168-$H$3)/365),$J168*($M168/100)*($J$3-$D168)/365),0)),0)</f>
        <v>0</v>
      </c>
      <c r="P168" s="325">
        <f t="shared" ref="P168:P169" si="41">IF(E168&gt;0,INT(IF($N168="P",IF($D168&lt;$H$3,$H168*($M168/100)*(E168-$H$3)/365,$J168*($M168/100)*($J$3-$D168)/365),0)),0)</f>
        <v>0</v>
      </c>
      <c r="Q168" s="325">
        <f t="shared" ref="Q168:Q169" si="42">+O168+P168</f>
        <v>0</v>
      </c>
      <c r="R168" s="325">
        <f t="shared" si="22"/>
        <v>0</v>
      </c>
      <c r="S168" s="325">
        <f t="shared" si="23"/>
        <v>59</v>
      </c>
      <c r="T168" s="325">
        <f t="shared" ref="T168:T169" si="43">+R168+S168+Q168</f>
        <v>59</v>
      </c>
      <c r="U168" s="409">
        <f t="shared" ref="U168:U169" si="44">+I168+J168-T168-F168+K168-L168</f>
        <v>7036.7</v>
      </c>
      <c r="V168" s="325">
        <f t="shared" ref="V168:V169" si="45">IF(E168&gt;0,+H168+J168,0)</f>
        <v>0</v>
      </c>
      <c r="W168" s="449" cm="1">
        <f t="array" ref="W168">+IF(U168&lt;0,error,0)</f>
        <v>0</v>
      </c>
    </row>
    <row r="169" spans="1:24" ht="18" customHeight="1" x14ac:dyDescent="0.2">
      <c r="A169" s="402">
        <v>740162</v>
      </c>
      <c r="B169" s="403"/>
      <c r="C169" s="404" t="s">
        <v>53</v>
      </c>
      <c r="D169" s="405">
        <v>43886</v>
      </c>
      <c r="E169" s="406"/>
      <c r="F169" s="325"/>
      <c r="G169" s="324"/>
      <c r="H169" s="324"/>
      <c r="I169" s="325"/>
      <c r="J169" s="325">
        <v>2155.75</v>
      </c>
      <c r="K169" s="325">
        <f t="shared" si="38"/>
        <v>0</v>
      </c>
      <c r="L169" s="325">
        <f t="shared" si="39"/>
        <v>0</v>
      </c>
      <c r="M169" s="407">
        <v>2.5</v>
      </c>
      <c r="N169" s="408" t="s">
        <v>17</v>
      </c>
      <c r="O169" s="325">
        <f t="shared" si="40"/>
        <v>0</v>
      </c>
      <c r="P169" s="325">
        <f t="shared" si="41"/>
        <v>0</v>
      </c>
      <c r="Q169" s="325">
        <f t="shared" si="42"/>
        <v>0</v>
      </c>
      <c r="R169" s="325">
        <f t="shared" si="22"/>
        <v>0</v>
      </c>
      <c r="S169" s="325">
        <f t="shared" si="23"/>
        <v>18</v>
      </c>
      <c r="T169" s="325">
        <f t="shared" si="43"/>
        <v>18</v>
      </c>
      <c r="U169" s="409">
        <f t="shared" si="44"/>
        <v>2137.75</v>
      </c>
      <c r="V169" s="325">
        <f t="shared" si="45"/>
        <v>0</v>
      </c>
      <c r="W169" s="449" cm="1">
        <f t="array" ref="W169">+IF(U169&lt;0,error,0)</f>
        <v>0</v>
      </c>
    </row>
    <row r="170" spans="1:24" ht="18" customHeight="1" x14ac:dyDescent="0.2">
      <c r="A170" s="402"/>
      <c r="B170" s="403"/>
      <c r="C170" s="404"/>
      <c r="D170" s="405"/>
      <c r="E170" s="406"/>
      <c r="F170" s="325"/>
      <c r="G170" s="324"/>
      <c r="H170" s="324"/>
      <c r="I170" s="325"/>
      <c r="J170" s="325"/>
      <c r="K170" s="325"/>
      <c r="L170" s="325"/>
      <c r="M170" s="407"/>
      <c r="N170" s="408"/>
      <c r="O170" s="325"/>
      <c r="P170" s="325"/>
      <c r="Q170" s="325"/>
      <c r="R170" s="325"/>
      <c r="S170" s="325"/>
      <c r="T170" s="325"/>
      <c r="U170" s="409"/>
      <c r="V170" s="325"/>
      <c r="W170" s="449" cm="1">
        <f t="array" ref="W170">+IF(U170&lt;0,error,0)</f>
        <v>0</v>
      </c>
    </row>
    <row r="171" spans="1:24" ht="18" customHeight="1" x14ac:dyDescent="0.2">
      <c r="A171" s="413"/>
      <c r="B171" s="414"/>
      <c r="C171" s="415" t="s">
        <v>2043</v>
      </c>
      <c r="D171" s="416"/>
      <c r="E171" s="406"/>
      <c r="F171" s="325"/>
      <c r="G171" s="324"/>
      <c r="H171" s="417">
        <f>+J172</f>
        <v>23272.03</v>
      </c>
      <c r="I171" s="333"/>
      <c r="J171" s="333"/>
      <c r="K171" s="333"/>
      <c r="L171" s="333"/>
      <c r="M171" s="418"/>
      <c r="N171" s="408"/>
      <c r="O171" s="408"/>
      <c r="P171" s="333"/>
      <c r="Q171" s="333"/>
      <c r="R171" s="408"/>
      <c r="S171" s="333"/>
      <c r="T171" s="333"/>
      <c r="U171" s="419"/>
      <c r="V171" s="333"/>
      <c r="W171" s="449" cm="1">
        <f t="array" ref="W171">+IF(U171&lt;0,error,0)</f>
        <v>0</v>
      </c>
    </row>
    <row r="172" spans="1:24" s="347" customFormat="1" ht="18" customHeight="1" x14ac:dyDescent="0.2">
      <c r="A172" s="420"/>
      <c r="B172" s="421"/>
      <c r="C172" s="422" t="s">
        <v>1638</v>
      </c>
      <c r="D172" s="423"/>
      <c r="E172" s="424"/>
      <c r="F172" s="334">
        <f t="shared" ref="F172:L172" si="46">SUM(F8:F171)</f>
        <v>0</v>
      </c>
      <c r="G172" s="417">
        <f t="shared" si="46"/>
        <v>0</v>
      </c>
      <c r="H172" s="417">
        <f t="shared" si="46"/>
        <v>2171708.0499999998</v>
      </c>
      <c r="I172" s="334">
        <f t="shared" si="46"/>
        <v>2008568.0199999996</v>
      </c>
      <c r="J172" s="334">
        <f t="shared" si="46"/>
        <v>23272.03</v>
      </c>
      <c r="K172" s="334">
        <f t="shared" si="46"/>
        <v>0</v>
      </c>
      <c r="L172" s="334">
        <f t="shared" si="46"/>
        <v>0</v>
      </c>
      <c r="M172" s="425"/>
      <c r="N172" s="426"/>
      <c r="O172" s="334">
        <f>SUM(O8:O171)</f>
        <v>0</v>
      </c>
      <c r="P172" s="334">
        <f>SUM(P8:P171)</f>
        <v>0</v>
      </c>
      <c r="Q172" s="334"/>
      <c r="R172" s="334">
        <f>SUM(R8:R171)</f>
        <v>0</v>
      </c>
      <c r="S172" s="334">
        <f>SUM(S8:S171)</f>
        <v>26996</v>
      </c>
      <c r="T172" s="334">
        <f>SUM(T8:T171)</f>
        <v>26996</v>
      </c>
      <c r="U172" s="417">
        <f>SUM(U8:U171)</f>
        <v>2004844.0499999998</v>
      </c>
      <c r="V172" s="334">
        <f>SUM(V8:V171)</f>
        <v>0</v>
      </c>
      <c r="W172" s="449" cm="1">
        <f t="array" ref="W172">+IF(U172&lt;0,error,0)</f>
        <v>0</v>
      </c>
      <c r="X172" s="427"/>
    </row>
    <row r="173" spans="1:24" s="347" customFormat="1" ht="18" customHeight="1" x14ac:dyDescent="0.2">
      <c r="A173" s="420"/>
      <c r="B173" s="421"/>
      <c r="C173" s="428"/>
      <c r="D173" s="415"/>
      <c r="E173" s="429"/>
      <c r="F173" s="334"/>
      <c r="G173" s="417"/>
      <c r="H173" s="430"/>
      <c r="I173" s="335"/>
      <c r="J173" s="334"/>
      <c r="K173" s="334"/>
      <c r="L173" s="335"/>
      <c r="M173" s="425"/>
      <c r="N173" s="426"/>
      <c r="O173" s="426"/>
      <c r="P173" s="334"/>
      <c r="Q173" s="334"/>
      <c r="R173" s="426"/>
      <c r="S173" s="334">
        <v>18420</v>
      </c>
      <c r="T173" s="334"/>
      <c r="U173" s="431"/>
      <c r="V173" s="334"/>
      <c r="W173" s="449" cm="1">
        <f t="array" ref="W173">+IF(U173&lt;0,error,0)</f>
        <v>0</v>
      </c>
    </row>
    <row r="174" spans="1:24" ht="18" customHeight="1" x14ac:dyDescent="0.2">
      <c r="A174" s="432" t="s">
        <v>285</v>
      </c>
      <c r="B174" s="433"/>
      <c r="C174" s="418"/>
      <c r="D174" s="428"/>
      <c r="E174" s="434"/>
      <c r="F174" s="336"/>
      <c r="G174" s="435"/>
      <c r="H174" s="435"/>
      <c r="I174" s="336"/>
      <c r="J174" s="336"/>
      <c r="K174" s="336"/>
      <c r="L174" s="336"/>
      <c r="M174" s="428"/>
      <c r="N174" s="436"/>
      <c r="O174" s="436"/>
      <c r="P174" s="336"/>
      <c r="Q174" s="336"/>
      <c r="R174" s="436"/>
      <c r="S174" s="336"/>
      <c r="T174" s="336"/>
      <c r="U174" s="419"/>
      <c r="V174" s="333"/>
      <c r="W174" s="449" cm="1">
        <f t="array" ref="W174">+IF(U174&lt;0,error,0)</f>
        <v>0</v>
      </c>
    </row>
    <row r="175" spans="1:24" ht="18" customHeight="1" x14ac:dyDescent="0.2">
      <c r="A175" s="437" t="s">
        <v>286</v>
      </c>
      <c r="B175" s="414"/>
      <c r="C175" s="418"/>
      <c r="D175" s="418"/>
      <c r="E175" s="438"/>
      <c r="F175" s="333"/>
      <c r="G175" s="439"/>
      <c r="H175" s="439"/>
      <c r="I175" s="333"/>
      <c r="J175" s="333"/>
      <c r="K175" s="333"/>
      <c r="L175" s="333"/>
      <c r="M175" s="418"/>
      <c r="N175" s="408"/>
      <c r="O175" s="408"/>
      <c r="P175" s="333"/>
      <c r="Q175" s="333"/>
      <c r="R175" s="408"/>
      <c r="S175" s="333"/>
      <c r="T175" s="333"/>
      <c r="U175" s="419"/>
      <c r="V175" s="333"/>
      <c r="W175" s="449" cm="1">
        <f t="array" ref="W175">+IF(U175&lt;0,error,0)</f>
        <v>0</v>
      </c>
    </row>
    <row r="176" spans="1:24" ht="18" customHeight="1" x14ac:dyDescent="0.2">
      <c r="A176" s="402" t="s">
        <v>287</v>
      </c>
      <c r="B176" s="403"/>
      <c r="C176" s="411" t="s">
        <v>288</v>
      </c>
      <c r="D176" s="405">
        <v>37778</v>
      </c>
      <c r="E176" s="406"/>
      <c r="F176" s="325"/>
      <c r="G176" s="439"/>
      <c r="H176" s="324">
        <v>6000</v>
      </c>
      <c r="I176" s="325">
        <v>2566</v>
      </c>
      <c r="J176" s="325"/>
      <c r="K176" s="325">
        <f t="shared" ref="K176:K239" si="47">INT(IF($E176&gt;0,IF(+F176-I176+Q176&lt;0,0,+F176-I176+Q176),0))</f>
        <v>0</v>
      </c>
      <c r="L176" s="325">
        <f t="shared" ref="L176:L239" si="48">INT(IF($E176&gt;0,IF(K176=0,-F176+I176-Q176,0),0))</f>
        <v>0</v>
      </c>
      <c r="M176" s="407">
        <v>5</v>
      </c>
      <c r="N176" s="408" t="s">
        <v>289</v>
      </c>
      <c r="O176" s="325">
        <f>IF(E176&gt;0,INT(IF($N176="D",IF($D176&lt;$H$3,$I176*($M176/100)*((E176-$H$3)/365),$J176*($M176/100)*($J$3-$D176)/365),0)),0)</f>
        <v>0</v>
      </c>
      <c r="P176" s="325">
        <f>IF(E176&gt;0,INT(IF($N176="P",IF($D176&lt;$H$3,$H176*($M176/100)*(E176-$H$3)/365,$J176*($M176/100)*($J$3-$D176)/365),0)),0)</f>
        <v>0</v>
      </c>
      <c r="Q176" s="325">
        <f>+O176+P176</f>
        <v>0</v>
      </c>
      <c r="R176" s="325">
        <f>INT(IF($E176&gt;0,0,(IF($N176="D",IF($D176&lt;$H$3,$I176*($M176/100)*$U$3/12,$J176*($M176/100)*($J$3-$D176)/365),0))))</f>
        <v>64</v>
      </c>
      <c r="S176" s="325">
        <f>INT(IF($E176&gt;0,0,(IF($N176="P",IF($D176&lt;$H$3,$H176*($M176/100)*$U$3/12,$J176*($M176/100)*($J$3-$D176)/365),0))))</f>
        <v>0</v>
      </c>
      <c r="T176" s="325">
        <f t="shared" ref="T176:T190" si="49">+R176+S176+Q176</f>
        <v>64</v>
      </c>
      <c r="U176" s="409">
        <f t="shared" ref="U176:U239" si="50">+I176+J176-T176-F176+K176-L176</f>
        <v>2502</v>
      </c>
      <c r="V176" s="325">
        <f t="shared" ref="V176:V239" si="51">IF(E176&gt;0,+H176+J176,0)</f>
        <v>0</v>
      </c>
      <c r="W176" s="449" cm="1">
        <f t="array" ref="W176">+IF(U176&lt;0,error,0)</f>
        <v>0</v>
      </c>
    </row>
    <row r="177" spans="1:23" ht="18" customHeight="1" x14ac:dyDescent="0.2">
      <c r="A177" s="402" t="s">
        <v>290</v>
      </c>
      <c r="B177" s="403"/>
      <c r="C177" s="404" t="s">
        <v>291</v>
      </c>
      <c r="D177" s="405">
        <v>37778</v>
      </c>
      <c r="E177" s="406"/>
      <c r="F177" s="325"/>
      <c r="G177" s="324"/>
      <c r="H177" s="324">
        <v>3500</v>
      </c>
      <c r="I177" s="325">
        <v>1497</v>
      </c>
      <c r="J177" s="325"/>
      <c r="K177" s="325">
        <f t="shared" si="47"/>
        <v>0</v>
      </c>
      <c r="L177" s="325">
        <f t="shared" si="48"/>
        <v>0</v>
      </c>
      <c r="M177" s="407">
        <v>5</v>
      </c>
      <c r="N177" s="408" t="s">
        <v>289</v>
      </c>
      <c r="O177" s="325">
        <f t="shared" ref="O177:O240" si="52">IF(E177&gt;0,INT(IF($N177="D",IF($D177&lt;$H$3,$I177*($M177/100)*((E177-$H$3)/365),$J177*($M177/100)*($J$3-$D177)/365),0)),0)</f>
        <v>0</v>
      </c>
      <c r="P177" s="325">
        <f t="shared" ref="P177:P240" si="53">IF(E177&gt;0,INT(IF($N177="P",IF($D177&lt;$H$3,$H177*($M177/100)*(E177-$H$3)/365,$J177*($M177/100)*($J$3-$D177)/365),0)),0)</f>
        <v>0</v>
      </c>
      <c r="Q177" s="325">
        <f t="shared" ref="Q177:Q240" si="54">+O177+P177</f>
        <v>0</v>
      </c>
      <c r="R177" s="325">
        <f t="shared" ref="R177:R240" si="55">INT(IF($E177&gt;0,0,(IF($N177="D",IF($D177&lt;$H$3,$I177*($M177/100)*$U$3/12,$J177*($M177/100)*($J$3-$D177)/365),0))))</f>
        <v>37</v>
      </c>
      <c r="S177" s="325">
        <f t="shared" ref="S177:S240" si="56">INT(IF($E177&gt;0,0,(IF($N177="P",IF($D177&lt;$H$3,$H177*($M177/100)*$U$3/12,$J177*($M177/100)*($J$3-$D177)/365),0))))</f>
        <v>0</v>
      </c>
      <c r="T177" s="325">
        <f t="shared" si="49"/>
        <v>37</v>
      </c>
      <c r="U177" s="409">
        <f t="shared" si="50"/>
        <v>1460</v>
      </c>
      <c r="V177" s="325">
        <f t="shared" si="51"/>
        <v>0</v>
      </c>
      <c r="W177" s="449" cm="1">
        <f t="array" ref="W177">+IF(U177&lt;0,error,0)</f>
        <v>0</v>
      </c>
    </row>
    <row r="178" spans="1:23" ht="18" customHeight="1" x14ac:dyDescent="0.2">
      <c r="A178" s="402" t="s">
        <v>292</v>
      </c>
      <c r="B178" s="403"/>
      <c r="C178" s="404" t="s">
        <v>293</v>
      </c>
      <c r="D178" s="405">
        <v>37771</v>
      </c>
      <c r="E178" s="406"/>
      <c r="F178" s="325"/>
      <c r="G178" s="324"/>
      <c r="H178" s="324">
        <v>1000</v>
      </c>
      <c r="I178" s="325">
        <v>-0.26</v>
      </c>
      <c r="J178" s="325"/>
      <c r="K178" s="325">
        <f t="shared" si="47"/>
        <v>0</v>
      </c>
      <c r="L178" s="325">
        <f t="shared" si="48"/>
        <v>0</v>
      </c>
      <c r="M178" s="407">
        <v>5</v>
      </c>
      <c r="N178" s="408" t="s">
        <v>289</v>
      </c>
      <c r="O178" s="325">
        <f t="shared" si="52"/>
        <v>0</v>
      </c>
      <c r="P178" s="325">
        <f t="shared" si="53"/>
        <v>0</v>
      </c>
      <c r="Q178" s="325">
        <f t="shared" si="54"/>
        <v>0</v>
      </c>
      <c r="R178" s="325">
        <f t="shared" si="55"/>
        <v>-1</v>
      </c>
      <c r="S178" s="325">
        <f t="shared" si="56"/>
        <v>0</v>
      </c>
      <c r="T178" s="325">
        <v>-0.52</v>
      </c>
      <c r="U178" s="325">
        <f>+I178+J178-T178-F178+K178-L178-0.26</f>
        <v>0</v>
      </c>
      <c r="V178" s="325">
        <f t="shared" si="51"/>
        <v>0</v>
      </c>
      <c r="W178" s="449" cm="1">
        <f t="array" ref="W178">+IF(U178&lt;0,error,0)</f>
        <v>0</v>
      </c>
    </row>
    <row r="179" spans="1:23" ht="18" customHeight="1" x14ac:dyDescent="0.2">
      <c r="A179" s="402" t="s">
        <v>296</v>
      </c>
      <c r="B179" s="403"/>
      <c r="C179" s="404" t="s">
        <v>286</v>
      </c>
      <c r="D179" s="405">
        <v>40360</v>
      </c>
      <c r="E179" s="406">
        <v>44012</v>
      </c>
      <c r="F179" s="325">
        <v>0</v>
      </c>
      <c r="G179" s="324">
        <v>1583</v>
      </c>
      <c r="H179" s="324">
        <v>1583</v>
      </c>
      <c r="I179" s="325">
        <v>0</v>
      </c>
      <c r="J179" s="325"/>
      <c r="K179" s="325">
        <f t="shared" si="47"/>
        <v>0</v>
      </c>
      <c r="L179" s="325">
        <f t="shared" si="48"/>
        <v>0</v>
      </c>
      <c r="M179" s="407">
        <v>100</v>
      </c>
      <c r="N179" s="408" t="s">
        <v>289</v>
      </c>
      <c r="O179" s="325">
        <f t="shared" si="52"/>
        <v>0</v>
      </c>
      <c r="P179" s="325">
        <f t="shared" si="53"/>
        <v>0</v>
      </c>
      <c r="Q179" s="325">
        <f t="shared" si="54"/>
        <v>0</v>
      </c>
      <c r="R179" s="325">
        <f t="shared" si="55"/>
        <v>0</v>
      </c>
      <c r="S179" s="325">
        <f t="shared" si="56"/>
        <v>0</v>
      </c>
      <c r="T179" s="325">
        <f t="shared" si="49"/>
        <v>0</v>
      </c>
      <c r="U179" s="409">
        <f t="shared" si="50"/>
        <v>0</v>
      </c>
      <c r="V179" s="325">
        <f t="shared" si="51"/>
        <v>1583</v>
      </c>
      <c r="W179" s="449" cm="1">
        <f t="array" ref="W179">+IF(U179&lt;0,error,0)</f>
        <v>0</v>
      </c>
    </row>
    <row r="180" spans="1:23" ht="18" customHeight="1" x14ac:dyDescent="0.2">
      <c r="A180" s="402" t="s">
        <v>297</v>
      </c>
      <c r="B180" s="403"/>
      <c r="C180" s="404" t="s">
        <v>298</v>
      </c>
      <c r="D180" s="405">
        <v>39198</v>
      </c>
      <c r="E180" s="406">
        <v>44012</v>
      </c>
      <c r="F180" s="325">
        <v>0</v>
      </c>
      <c r="G180" s="324">
        <v>222.21</v>
      </c>
      <c r="H180" s="324">
        <v>222.21</v>
      </c>
      <c r="I180" s="325">
        <v>0</v>
      </c>
      <c r="J180" s="325"/>
      <c r="K180" s="325">
        <f t="shared" si="47"/>
        <v>0</v>
      </c>
      <c r="L180" s="325">
        <f t="shared" si="48"/>
        <v>0</v>
      </c>
      <c r="M180" s="407">
        <v>40</v>
      </c>
      <c r="N180" s="408" t="s">
        <v>289</v>
      </c>
      <c r="O180" s="325">
        <f t="shared" si="52"/>
        <v>0</v>
      </c>
      <c r="P180" s="325">
        <f t="shared" si="53"/>
        <v>0</v>
      </c>
      <c r="Q180" s="325">
        <f t="shared" si="54"/>
        <v>0</v>
      </c>
      <c r="R180" s="325">
        <f t="shared" si="55"/>
        <v>0</v>
      </c>
      <c r="S180" s="325">
        <f t="shared" si="56"/>
        <v>0</v>
      </c>
      <c r="T180" s="325">
        <f t="shared" si="49"/>
        <v>0</v>
      </c>
      <c r="U180" s="409">
        <f t="shared" si="50"/>
        <v>0</v>
      </c>
      <c r="V180" s="325">
        <f t="shared" si="51"/>
        <v>222.21</v>
      </c>
      <c r="W180" s="449" cm="1">
        <f t="array" ref="W180">+IF(U180&lt;0,error,0)</f>
        <v>0</v>
      </c>
    </row>
    <row r="181" spans="1:23" ht="18" customHeight="1" x14ac:dyDescent="0.2">
      <c r="A181" s="402" t="s">
        <v>299</v>
      </c>
      <c r="B181" s="403"/>
      <c r="C181" s="404" t="s">
        <v>300</v>
      </c>
      <c r="D181" s="405">
        <v>40749</v>
      </c>
      <c r="E181" s="406"/>
      <c r="F181" s="325"/>
      <c r="G181" s="324"/>
      <c r="H181" s="324">
        <v>800</v>
      </c>
      <c r="I181" s="325">
        <v>0</v>
      </c>
      <c r="J181" s="325"/>
      <c r="K181" s="325">
        <f t="shared" si="47"/>
        <v>0</v>
      </c>
      <c r="L181" s="325">
        <f t="shared" si="48"/>
        <v>0</v>
      </c>
      <c r="M181" s="407">
        <v>20</v>
      </c>
      <c r="N181" s="408" t="s">
        <v>289</v>
      </c>
      <c r="O181" s="325">
        <f t="shared" si="52"/>
        <v>0</v>
      </c>
      <c r="P181" s="325">
        <f t="shared" si="53"/>
        <v>0</v>
      </c>
      <c r="Q181" s="325">
        <f t="shared" si="54"/>
        <v>0</v>
      </c>
      <c r="R181" s="325">
        <f t="shared" si="55"/>
        <v>0</v>
      </c>
      <c r="S181" s="325">
        <f t="shared" si="56"/>
        <v>0</v>
      </c>
      <c r="T181" s="325">
        <f t="shared" si="49"/>
        <v>0</v>
      </c>
      <c r="U181" s="409">
        <f t="shared" si="50"/>
        <v>0</v>
      </c>
      <c r="V181" s="325">
        <f t="shared" si="51"/>
        <v>0</v>
      </c>
      <c r="W181" s="449" cm="1">
        <f t="array" ref="W181">+IF(U181&lt;0,error,0)</f>
        <v>0</v>
      </c>
    </row>
    <row r="182" spans="1:23" ht="18" customHeight="1" x14ac:dyDescent="0.2">
      <c r="A182" s="402" t="s">
        <v>301</v>
      </c>
      <c r="B182" s="403"/>
      <c r="C182" s="404" t="s">
        <v>302</v>
      </c>
      <c r="D182" s="405">
        <v>40757</v>
      </c>
      <c r="E182" s="406"/>
      <c r="F182" s="325"/>
      <c r="G182" s="324"/>
      <c r="H182" s="324">
        <v>499</v>
      </c>
      <c r="I182" s="325">
        <v>0</v>
      </c>
      <c r="J182" s="325"/>
      <c r="K182" s="325">
        <f t="shared" si="47"/>
        <v>0</v>
      </c>
      <c r="L182" s="325">
        <f t="shared" si="48"/>
        <v>0</v>
      </c>
      <c r="M182" s="407">
        <v>20</v>
      </c>
      <c r="N182" s="408" t="s">
        <v>289</v>
      </c>
      <c r="O182" s="325">
        <f t="shared" si="52"/>
        <v>0</v>
      </c>
      <c r="P182" s="325">
        <f t="shared" si="53"/>
        <v>0</v>
      </c>
      <c r="Q182" s="325">
        <f t="shared" si="54"/>
        <v>0</v>
      </c>
      <c r="R182" s="325">
        <f t="shared" si="55"/>
        <v>0</v>
      </c>
      <c r="S182" s="325">
        <f t="shared" si="56"/>
        <v>0</v>
      </c>
      <c r="T182" s="325">
        <f t="shared" si="49"/>
        <v>0</v>
      </c>
      <c r="U182" s="409">
        <f t="shared" si="50"/>
        <v>0</v>
      </c>
      <c r="V182" s="325">
        <f t="shared" si="51"/>
        <v>0</v>
      </c>
      <c r="W182" s="449" cm="1">
        <f t="array" ref="W182">+IF(U182&lt;0,error,0)</f>
        <v>0</v>
      </c>
    </row>
    <row r="183" spans="1:23" ht="18" customHeight="1" x14ac:dyDescent="0.2">
      <c r="A183" s="402" t="s">
        <v>303</v>
      </c>
      <c r="B183" s="403"/>
      <c r="C183" s="412" t="s">
        <v>304</v>
      </c>
      <c r="D183" s="405">
        <v>40813</v>
      </c>
      <c r="E183" s="406"/>
      <c r="F183" s="325"/>
      <c r="G183" s="324"/>
      <c r="H183" s="324">
        <v>19595</v>
      </c>
      <c r="I183" s="325">
        <v>3169</v>
      </c>
      <c r="J183" s="325"/>
      <c r="K183" s="325">
        <f t="shared" si="47"/>
        <v>0</v>
      </c>
      <c r="L183" s="325">
        <f t="shared" si="48"/>
        <v>0</v>
      </c>
      <c r="M183" s="407">
        <v>20</v>
      </c>
      <c r="N183" s="408" t="s">
        <v>289</v>
      </c>
      <c r="O183" s="325">
        <f t="shared" si="52"/>
        <v>0</v>
      </c>
      <c r="P183" s="325">
        <f t="shared" si="53"/>
        <v>0</v>
      </c>
      <c r="Q183" s="325">
        <f t="shared" si="54"/>
        <v>0</v>
      </c>
      <c r="R183" s="325">
        <f t="shared" si="55"/>
        <v>316</v>
      </c>
      <c r="S183" s="325">
        <f t="shared" si="56"/>
        <v>0</v>
      </c>
      <c r="T183" s="325">
        <f t="shared" si="49"/>
        <v>316</v>
      </c>
      <c r="U183" s="409">
        <f t="shared" si="50"/>
        <v>2853</v>
      </c>
      <c r="V183" s="325">
        <f t="shared" si="51"/>
        <v>0</v>
      </c>
      <c r="W183" s="449" cm="1">
        <f t="array" ref="W183">+IF(U183&lt;0,error,0)</f>
        <v>0</v>
      </c>
    </row>
    <row r="184" spans="1:23" ht="18" customHeight="1" x14ac:dyDescent="0.2">
      <c r="A184" s="402" t="s">
        <v>305</v>
      </c>
      <c r="B184" s="403"/>
      <c r="C184" s="412" t="s">
        <v>306</v>
      </c>
      <c r="D184" s="405">
        <v>40883</v>
      </c>
      <c r="E184" s="406"/>
      <c r="F184" s="325"/>
      <c r="G184" s="324"/>
      <c r="H184" s="324">
        <v>1058.97</v>
      </c>
      <c r="I184" s="325">
        <v>0</v>
      </c>
      <c r="J184" s="325"/>
      <c r="K184" s="325">
        <f t="shared" si="47"/>
        <v>0</v>
      </c>
      <c r="L184" s="325">
        <f t="shared" si="48"/>
        <v>0</v>
      </c>
      <c r="M184" s="407">
        <v>20</v>
      </c>
      <c r="N184" s="408" t="s">
        <v>289</v>
      </c>
      <c r="O184" s="325">
        <f t="shared" si="52"/>
        <v>0</v>
      </c>
      <c r="P184" s="325">
        <f t="shared" si="53"/>
        <v>0</v>
      </c>
      <c r="Q184" s="325">
        <f t="shared" si="54"/>
        <v>0</v>
      </c>
      <c r="R184" s="325">
        <f t="shared" si="55"/>
        <v>0</v>
      </c>
      <c r="S184" s="325">
        <f t="shared" si="56"/>
        <v>0</v>
      </c>
      <c r="T184" s="325">
        <f t="shared" si="49"/>
        <v>0</v>
      </c>
      <c r="U184" s="409">
        <f t="shared" si="50"/>
        <v>0</v>
      </c>
      <c r="V184" s="325">
        <f t="shared" si="51"/>
        <v>0</v>
      </c>
      <c r="W184" s="449" cm="1">
        <f t="array" ref="W184">+IF(U184&lt;0,error,0)</f>
        <v>0</v>
      </c>
    </row>
    <row r="185" spans="1:23" ht="18" customHeight="1" x14ac:dyDescent="0.2">
      <c r="A185" s="402" t="s">
        <v>309</v>
      </c>
      <c r="B185" s="403"/>
      <c r="C185" s="404" t="s">
        <v>310</v>
      </c>
      <c r="D185" s="405">
        <v>40956</v>
      </c>
      <c r="E185" s="406"/>
      <c r="F185" s="325"/>
      <c r="G185" s="324"/>
      <c r="H185" s="324">
        <v>2050</v>
      </c>
      <c r="I185" s="325">
        <v>363</v>
      </c>
      <c r="J185" s="325"/>
      <c r="K185" s="325">
        <f t="shared" si="47"/>
        <v>0</v>
      </c>
      <c r="L185" s="325">
        <f t="shared" si="48"/>
        <v>0</v>
      </c>
      <c r="M185" s="407">
        <v>20</v>
      </c>
      <c r="N185" s="408" t="s">
        <v>289</v>
      </c>
      <c r="O185" s="325">
        <f t="shared" si="52"/>
        <v>0</v>
      </c>
      <c r="P185" s="325">
        <f t="shared" si="53"/>
        <v>0</v>
      </c>
      <c r="Q185" s="325">
        <f t="shared" si="54"/>
        <v>0</v>
      </c>
      <c r="R185" s="325">
        <f t="shared" si="55"/>
        <v>36</v>
      </c>
      <c r="S185" s="325">
        <f t="shared" si="56"/>
        <v>0</v>
      </c>
      <c r="T185" s="325">
        <f t="shared" si="49"/>
        <v>36</v>
      </c>
      <c r="U185" s="409">
        <f t="shared" si="50"/>
        <v>327</v>
      </c>
      <c r="V185" s="325">
        <f t="shared" si="51"/>
        <v>0</v>
      </c>
      <c r="W185" s="449" cm="1">
        <f t="array" ref="W185">+IF(U185&lt;0,error,0)</f>
        <v>0</v>
      </c>
    </row>
    <row r="186" spans="1:23" ht="18" customHeight="1" x14ac:dyDescent="0.2">
      <c r="A186" s="402" t="s">
        <v>311</v>
      </c>
      <c r="B186" s="403"/>
      <c r="C186" s="404" t="s">
        <v>312</v>
      </c>
      <c r="D186" s="405">
        <v>40966</v>
      </c>
      <c r="E186" s="406"/>
      <c r="F186" s="325"/>
      <c r="G186" s="324"/>
      <c r="H186" s="324">
        <v>5000</v>
      </c>
      <c r="I186" s="325">
        <v>891</v>
      </c>
      <c r="J186" s="325"/>
      <c r="K186" s="325">
        <f t="shared" si="47"/>
        <v>0</v>
      </c>
      <c r="L186" s="325">
        <f t="shared" si="48"/>
        <v>0</v>
      </c>
      <c r="M186" s="407">
        <v>20</v>
      </c>
      <c r="N186" s="408" t="s">
        <v>289</v>
      </c>
      <c r="O186" s="325">
        <f t="shared" si="52"/>
        <v>0</v>
      </c>
      <c r="P186" s="325">
        <f t="shared" si="53"/>
        <v>0</v>
      </c>
      <c r="Q186" s="325">
        <f t="shared" si="54"/>
        <v>0</v>
      </c>
      <c r="R186" s="325">
        <f t="shared" si="55"/>
        <v>89</v>
      </c>
      <c r="S186" s="325">
        <f t="shared" si="56"/>
        <v>0</v>
      </c>
      <c r="T186" s="325">
        <f t="shared" si="49"/>
        <v>89</v>
      </c>
      <c r="U186" s="409">
        <f t="shared" si="50"/>
        <v>802</v>
      </c>
      <c r="V186" s="325">
        <f t="shared" si="51"/>
        <v>0</v>
      </c>
      <c r="W186" s="449" cm="1">
        <f t="array" ref="W186">+IF(U186&lt;0,error,0)</f>
        <v>0</v>
      </c>
    </row>
    <row r="187" spans="1:23" ht="18" customHeight="1" x14ac:dyDescent="0.2">
      <c r="A187" s="402" t="s">
        <v>313</v>
      </c>
      <c r="B187" s="403"/>
      <c r="C187" s="404" t="s">
        <v>314</v>
      </c>
      <c r="D187" s="405">
        <v>40972</v>
      </c>
      <c r="E187" s="406"/>
      <c r="F187" s="325"/>
      <c r="G187" s="324"/>
      <c r="H187" s="324">
        <v>2045.25</v>
      </c>
      <c r="I187" s="325">
        <v>366.25</v>
      </c>
      <c r="J187" s="325"/>
      <c r="K187" s="325">
        <f t="shared" si="47"/>
        <v>0</v>
      </c>
      <c r="L187" s="325">
        <f t="shared" si="48"/>
        <v>0</v>
      </c>
      <c r="M187" s="407">
        <v>20</v>
      </c>
      <c r="N187" s="408" t="s">
        <v>289</v>
      </c>
      <c r="O187" s="325">
        <f t="shared" si="52"/>
        <v>0</v>
      </c>
      <c r="P187" s="325">
        <f t="shared" si="53"/>
        <v>0</v>
      </c>
      <c r="Q187" s="325">
        <f t="shared" si="54"/>
        <v>0</v>
      </c>
      <c r="R187" s="325">
        <f t="shared" si="55"/>
        <v>36</v>
      </c>
      <c r="S187" s="325">
        <f t="shared" si="56"/>
        <v>0</v>
      </c>
      <c r="T187" s="325">
        <f t="shared" si="49"/>
        <v>36</v>
      </c>
      <c r="U187" s="409">
        <f t="shared" si="50"/>
        <v>330.25</v>
      </c>
      <c r="V187" s="325">
        <f t="shared" si="51"/>
        <v>0</v>
      </c>
      <c r="W187" s="449" cm="1">
        <f t="array" ref="W187">+IF(U187&lt;0,error,0)</f>
        <v>0</v>
      </c>
    </row>
    <row r="188" spans="1:23" ht="18" customHeight="1" x14ac:dyDescent="0.2">
      <c r="A188" s="402" t="s">
        <v>315</v>
      </c>
      <c r="B188" s="403"/>
      <c r="C188" s="404" t="s">
        <v>316</v>
      </c>
      <c r="D188" s="405">
        <v>39185</v>
      </c>
      <c r="E188" s="406"/>
      <c r="F188" s="325"/>
      <c r="G188" s="324"/>
      <c r="H188" s="324">
        <v>122.16</v>
      </c>
      <c r="I188" s="325">
        <v>0</v>
      </c>
      <c r="J188" s="325"/>
      <c r="K188" s="325">
        <f t="shared" si="47"/>
        <v>0</v>
      </c>
      <c r="L188" s="325">
        <f t="shared" si="48"/>
        <v>0</v>
      </c>
      <c r="M188" s="407">
        <v>20</v>
      </c>
      <c r="N188" s="408" t="s">
        <v>289</v>
      </c>
      <c r="O188" s="325">
        <f t="shared" si="52"/>
        <v>0</v>
      </c>
      <c r="P188" s="325">
        <f t="shared" si="53"/>
        <v>0</v>
      </c>
      <c r="Q188" s="325">
        <f t="shared" si="54"/>
        <v>0</v>
      </c>
      <c r="R188" s="325">
        <f t="shared" si="55"/>
        <v>0</v>
      </c>
      <c r="S188" s="325">
        <f t="shared" si="56"/>
        <v>0</v>
      </c>
      <c r="T188" s="325">
        <f t="shared" si="49"/>
        <v>0</v>
      </c>
      <c r="U188" s="409">
        <f t="shared" si="50"/>
        <v>0</v>
      </c>
      <c r="V188" s="325">
        <f t="shared" si="51"/>
        <v>0</v>
      </c>
      <c r="W188" s="449" cm="1">
        <f t="array" ref="W188">+IF(U188&lt;0,error,0)</f>
        <v>0</v>
      </c>
    </row>
    <row r="189" spans="1:23" ht="18" customHeight="1" x14ac:dyDescent="0.2">
      <c r="A189" s="402" t="s">
        <v>320</v>
      </c>
      <c r="B189" s="403"/>
      <c r="C189" s="404" t="s">
        <v>321</v>
      </c>
      <c r="D189" s="405">
        <v>41320</v>
      </c>
      <c r="E189" s="406"/>
      <c r="F189" s="325"/>
      <c r="G189" s="324"/>
      <c r="H189" s="324">
        <v>8200</v>
      </c>
      <c r="I189" s="325">
        <v>3104</v>
      </c>
      <c r="J189" s="325"/>
      <c r="K189" s="325">
        <f t="shared" si="47"/>
        <v>0</v>
      </c>
      <c r="L189" s="325">
        <f t="shared" si="48"/>
        <v>0</v>
      </c>
      <c r="M189" s="407">
        <v>13.3</v>
      </c>
      <c r="N189" s="408" t="s">
        <v>289</v>
      </c>
      <c r="O189" s="325">
        <f t="shared" si="52"/>
        <v>0</v>
      </c>
      <c r="P189" s="325">
        <f t="shared" si="53"/>
        <v>0</v>
      </c>
      <c r="Q189" s="325">
        <f t="shared" si="54"/>
        <v>0</v>
      </c>
      <c r="R189" s="325">
        <f t="shared" si="55"/>
        <v>206</v>
      </c>
      <c r="S189" s="325">
        <f t="shared" si="56"/>
        <v>0</v>
      </c>
      <c r="T189" s="325">
        <f t="shared" si="49"/>
        <v>206</v>
      </c>
      <c r="U189" s="409">
        <f t="shared" si="50"/>
        <v>2898</v>
      </c>
      <c r="V189" s="325">
        <f t="shared" si="51"/>
        <v>0</v>
      </c>
      <c r="W189" s="449" cm="1">
        <f t="array" ref="W189">+IF(U189&lt;0,error,0)</f>
        <v>0</v>
      </c>
    </row>
    <row r="190" spans="1:23" ht="18" customHeight="1" x14ac:dyDescent="0.2">
      <c r="A190" s="402" t="s">
        <v>324</v>
      </c>
      <c r="B190" s="403"/>
      <c r="C190" s="404" t="s">
        <v>325</v>
      </c>
      <c r="D190" s="405">
        <v>41052</v>
      </c>
      <c r="E190" s="406"/>
      <c r="F190" s="325"/>
      <c r="G190" s="324"/>
      <c r="H190" s="324">
        <v>142000</v>
      </c>
      <c r="I190" s="325">
        <v>26515</v>
      </c>
      <c r="J190" s="325"/>
      <c r="K190" s="325">
        <f t="shared" si="47"/>
        <v>0</v>
      </c>
      <c r="L190" s="325">
        <f t="shared" si="48"/>
        <v>0</v>
      </c>
      <c r="M190" s="407">
        <v>20</v>
      </c>
      <c r="N190" s="408" t="s">
        <v>289</v>
      </c>
      <c r="O190" s="325">
        <f t="shared" si="52"/>
        <v>0</v>
      </c>
      <c r="P190" s="325">
        <f t="shared" si="53"/>
        <v>0</v>
      </c>
      <c r="Q190" s="325">
        <f t="shared" si="54"/>
        <v>0</v>
      </c>
      <c r="R190" s="325">
        <f t="shared" si="55"/>
        <v>2651</v>
      </c>
      <c r="S190" s="325">
        <f t="shared" si="56"/>
        <v>0</v>
      </c>
      <c r="T190" s="325">
        <f t="shared" si="49"/>
        <v>2651</v>
      </c>
      <c r="U190" s="409">
        <f t="shared" si="50"/>
        <v>23864</v>
      </c>
      <c r="V190" s="325">
        <f t="shared" si="51"/>
        <v>0</v>
      </c>
      <c r="W190" s="449" cm="1">
        <f t="array" ref="W190">+IF(U190&lt;0,error,0)</f>
        <v>0</v>
      </c>
    </row>
    <row r="191" spans="1:23" ht="18" customHeight="1" x14ac:dyDescent="0.2">
      <c r="A191" s="402" t="s">
        <v>328</v>
      </c>
      <c r="B191" s="403"/>
      <c r="C191" s="404" t="s">
        <v>329</v>
      </c>
      <c r="D191" s="405">
        <v>41000</v>
      </c>
      <c r="E191" s="406"/>
      <c r="F191" s="325"/>
      <c r="G191" s="324"/>
      <c r="H191" s="324">
        <v>1386.3600000000001</v>
      </c>
      <c r="I191" s="325">
        <v>252.36</v>
      </c>
      <c r="J191" s="325"/>
      <c r="K191" s="325">
        <f t="shared" si="47"/>
        <v>0</v>
      </c>
      <c r="L191" s="325">
        <f t="shared" si="48"/>
        <v>0</v>
      </c>
      <c r="M191" s="407">
        <v>20</v>
      </c>
      <c r="N191" s="408" t="s">
        <v>289</v>
      </c>
      <c r="O191" s="325">
        <f t="shared" si="52"/>
        <v>0</v>
      </c>
      <c r="P191" s="325">
        <f t="shared" si="53"/>
        <v>0</v>
      </c>
      <c r="Q191" s="325">
        <f t="shared" si="54"/>
        <v>0</v>
      </c>
      <c r="R191" s="325">
        <f t="shared" si="55"/>
        <v>25</v>
      </c>
      <c r="S191" s="325">
        <f t="shared" si="56"/>
        <v>0</v>
      </c>
      <c r="T191" s="325">
        <f>+R191+S191+Q191</f>
        <v>25</v>
      </c>
      <c r="U191" s="409">
        <f t="shared" si="50"/>
        <v>227.36</v>
      </c>
      <c r="V191" s="325">
        <f t="shared" si="51"/>
        <v>0</v>
      </c>
      <c r="W191" s="449" cm="1">
        <f t="array" ref="W191">+IF(U191&lt;0,error,0)</f>
        <v>0</v>
      </c>
    </row>
    <row r="192" spans="1:23" ht="18" customHeight="1" x14ac:dyDescent="0.2">
      <c r="A192" s="402" t="s">
        <v>338</v>
      </c>
      <c r="B192" s="403"/>
      <c r="C192" s="404" t="s">
        <v>339</v>
      </c>
      <c r="D192" s="405">
        <v>39264</v>
      </c>
      <c r="E192" s="406">
        <v>44012</v>
      </c>
      <c r="F192" s="325">
        <v>0</v>
      </c>
      <c r="G192" s="324">
        <v>240</v>
      </c>
      <c r="H192" s="324">
        <v>240</v>
      </c>
      <c r="I192" s="325">
        <v>0</v>
      </c>
      <c r="J192" s="325"/>
      <c r="K192" s="325">
        <f t="shared" si="47"/>
        <v>0</v>
      </c>
      <c r="L192" s="325">
        <f t="shared" si="48"/>
        <v>0</v>
      </c>
      <c r="M192" s="407">
        <v>37.5</v>
      </c>
      <c r="N192" s="408" t="s">
        <v>289</v>
      </c>
      <c r="O192" s="325">
        <f t="shared" si="52"/>
        <v>0</v>
      </c>
      <c r="P192" s="325">
        <f t="shared" si="53"/>
        <v>0</v>
      </c>
      <c r="Q192" s="325">
        <f t="shared" si="54"/>
        <v>0</v>
      </c>
      <c r="R192" s="325">
        <f t="shared" si="55"/>
        <v>0</v>
      </c>
      <c r="S192" s="325">
        <f t="shared" si="56"/>
        <v>0</v>
      </c>
      <c r="T192" s="325">
        <f t="shared" ref="T192:T255" si="57">+R192+S192+Q192</f>
        <v>0</v>
      </c>
      <c r="U192" s="409">
        <f t="shared" si="50"/>
        <v>0</v>
      </c>
      <c r="V192" s="325">
        <f t="shared" si="51"/>
        <v>240</v>
      </c>
      <c r="W192" s="449" cm="1">
        <f t="array" ref="W192">+IF(U192&lt;0,error,0)</f>
        <v>0</v>
      </c>
    </row>
    <row r="193" spans="1:23" ht="18" customHeight="1" x14ac:dyDescent="0.2">
      <c r="A193" s="402" t="s">
        <v>344</v>
      </c>
      <c r="B193" s="403"/>
      <c r="C193" s="404" t="s">
        <v>345</v>
      </c>
      <c r="D193" s="405">
        <v>39611</v>
      </c>
      <c r="E193" s="406">
        <v>44012</v>
      </c>
      <c r="F193" s="325">
        <v>0</v>
      </c>
      <c r="G193" s="324">
        <v>140</v>
      </c>
      <c r="H193" s="324">
        <v>140</v>
      </c>
      <c r="I193" s="325">
        <v>0</v>
      </c>
      <c r="J193" s="325"/>
      <c r="K193" s="325">
        <f t="shared" si="47"/>
        <v>0</v>
      </c>
      <c r="L193" s="325">
        <f t="shared" si="48"/>
        <v>0</v>
      </c>
      <c r="M193" s="407">
        <v>37.5</v>
      </c>
      <c r="N193" s="408" t="s">
        <v>289</v>
      </c>
      <c r="O193" s="325">
        <f t="shared" si="52"/>
        <v>0</v>
      </c>
      <c r="P193" s="325">
        <f t="shared" si="53"/>
        <v>0</v>
      </c>
      <c r="Q193" s="325">
        <f t="shared" si="54"/>
        <v>0</v>
      </c>
      <c r="R193" s="325">
        <f t="shared" si="55"/>
        <v>0</v>
      </c>
      <c r="S193" s="325">
        <f t="shared" si="56"/>
        <v>0</v>
      </c>
      <c r="T193" s="325">
        <f t="shared" si="57"/>
        <v>0</v>
      </c>
      <c r="U193" s="409">
        <f t="shared" si="50"/>
        <v>0</v>
      </c>
      <c r="V193" s="325">
        <f t="shared" si="51"/>
        <v>140</v>
      </c>
      <c r="W193" s="449" cm="1">
        <f t="array" ref="W193">+IF(U193&lt;0,error,0)</f>
        <v>0</v>
      </c>
    </row>
    <row r="194" spans="1:23" ht="18" customHeight="1" x14ac:dyDescent="0.2">
      <c r="A194" s="402" t="s">
        <v>356</v>
      </c>
      <c r="B194" s="403"/>
      <c r="C194" s="404" t="s">
        <v>347</v>
      </c>
      <c r="D194" s="405">
        <v>39388</v>
      </c>
      <c r="E194" s="406"/>
      <c r="F194" s="325"/>
      <c r="G194" s="324"/>
      <c r="H194" s="324">
        <v>1690</v>
      </c>
      <c r="I194" s="325">
        <v>473</v>
      </c>
      <c r="J194" s="325"/>
      <c r="K194" s="325">
        <f t="shared" si="47"/>
        <v>0</v>
      </c>
      <c r="L194" s="325">
        <f t="shared" si="48"/>
        <v>0</v>
      </c>
      <c r="M194" s="407">
        <v>10</v>
      </c>
      <c r="N194" s="408" t="s">
        <v>289</v>
      </c>
      <c r="O194" s="325">
        <f t="shared" si="52"/>
        <v>0</v>
      </c>
      <c r="P194" s="325">
        <f t="shared" si="53"/>
        <v>0</v>
      </c>
      <c r="Q194" s="325">
        <f t="shared" si="54"/>
        <v>0</v>
      </c>
      <c r="R194" s="325">
        <f t="shared" si="55"/>
        <v>23</v>
      </c>
      <c r="S194" s="325">
        <f t="shared" si="56"/>
        <v>0</v>
      </c>
      <c r="T194" s="325">
        <f t="shared" si="57"/>
        <v>23</v>
      </c>
      <c r="U194" s="409">
        <f t="shared" si="50"/>
        <v>450</v>
      </c>
      <c r="V194" s="325">
        <f t="shared" si="51"/>
        <v>0</v>
      </c>
      <c r="W194" s="449" cm="1">
        <f t="array" ref="W194">+IF(U194&lt;0,error,0)</f>
        <v>0</v>
      </c>
    </row>
    <row r="195" spans="1:23" ht="18" customHeight="1" x14ac:dyDescent="0.2">
      <c r="A195" s="402" t="s">
        <v>359</v>
      </c>
      <c r="B195" s="403"/>
      <c r="C195" s="404" t="s">
        <v>360</v>
      </c>
      <c r="D195" s="405">
        <v>39379</v>
      </c>
      <c r="E195" s="406"/>
      <c r="F195" s="325"/>
      <c r="G195" s="324"/>
      <c r="H195" s="324">
        <v>2727.27</v>
      </c>
      <c r="I195" s="325">
        <v>760.27</v>
      </c>
      <c r="J195" s="325"/>
      <c r="K195" s="325">
        <f t="shared" si="47"/>
        <v>0</v>
      </c>
      <c r="L195" s="325">
        <f t="shared" si="48"/>
        <v>0</v>
      </c>
      <c r="M195" s="407">
        <v>10</v>
      </c>
      <c r="N195" s="408" t="s">
        <v>289</v>
      </c>
      <c r="O195" s="325">
        <f t="shared" si="52"/>
        <v>0</v>
      </c>
      <c r="P195" s="325">
        <f t="shared" si="53"/>
        <v>0</v>
      </c>
      <c r="Q195" s="325">
        <f t="shared" si="54"/>
        <v>0</v>
      </c>
      <c r="R195" s="325">
        <f t="shared" si="55"/>
        <v>38</v>
      </c>
      <c r="S195" s="325">
        <f t="shared" si="56"/>
        <v>0</v>
      </c>
      <c r="T195" s="325">
        <f t="shared" si="57"/>
        <v>38</v>
      </c>
      <c r="U195" s="409">
        <f t="shared" si="50"/>
        <v>722.27</v>
      </c>
      <c r="V195" s="325">
        <f t="shared" si="51"/>
        <v>0</v>
      </c>
      <c r="W195" s="449" cm="1">
        <f t="array" ref="W195">+IF(U195&lt;0,error,0)</f>
        <v>0</v>
      </c>
    </row>
    <row r="196" spans="1:23" ht="18" customHeight="1" x14ac:dyDescent="0.2">
      <c r="A196" s="402" t="s">
        <v>363</v>
      </c>
      <c r="B196" s="403"/>
      <c r="C196" s="404" t="s">
        <v>364</v>
      </c>
      <c r="D196" s="405">
        <v>39386</v>
      </c>
      <c r="E196" s="406"/>
      <c r="F196" s="325"/>
      <c r="G196" s="324"/>
      <c r="H196" s="324">
        <v>22704.55</v>
      </c>
      <c r="I196" s="325">
        <v>12177.550000000001</v>
      </c>
      <c r="J196" s="325"/>
      <c r="K196" s="325">
        <f t="shared" si="47"/>
        <v>0</v>
      </c>
      <c r="L196" s="325">
        <f t="shared" si="48"/>
        <v>0</v>
      </c>
      <c r="M196" s="407">
        <v>5</v>
      </c>
      <c r="N196" s="408" t="s">
        <v>289</v>
      </c>
      <c r="O196" s="325">
        <f t="shared" si="52"/>
        <v>0</v>
      </c>
      <c r="P196" s="325">
        <f t="shared" si="53"/>
        <v>0</v>
      </c>
      <c r="Q196" s="325">
        <f t="shared" si="54"/>
        <v>0</v>
      </c>
      <c r="R196" s="325">
        <f t="shared" si="55"/>
        <v>304</v>
      </c>
      <c r="S196" s="325">
        <f t="shared" si="56"/>
        <v>0</v>
      </c>
      <c r="T196" s="325">
        <f t="shared" si="57"/>
        <v>304</v>
      </c>
      <c r="U196" s="409">
        <f t="shared" si="50"/>
        <v>11873.550000000001</v>
      </c>
      <c r="V196" s="325">
        <f t="shared" si="51"/>
        <v>0</v>
      </c>
      <c r="W196" s="449" cm="1">
        <f t="array" ref="W196">+IF(U196&lt;0,error,0)</f>
        <v>0</v>
      </c>
    </row>
    <row r="197" spans="1:23" ht="18" customHeight="1" x14ac:dyDescent="0.2">
      <c r="A197" s="402" t="s">
        <v>365</v>
      </c>
      <c r="B197" s="403"/>
      <c r="C197" s="404" t="s">
        <v>366</v>
      </c>
      <c r="D197" s="405">
        <v>39465</v>
      </c>
      <c r="E197" s="406"/>
      <c r="F197" s="325"/>
      <c r="G197" s="324"/>
      <c r="H197" s="324">
        <v>3640</v>
      </c>
      <c r="I197" s="325">
        <v>260</v>
      </c>
      <c r="J197" s="325"/>
      <c r="K197" s="325">
        <f t="shared" si="47"/>
        <v>0</v>
      </c>
      <c r="L197" s="325">
        <f t="shared" si="48"/>
        <v>0</v>
      </c>
      <c r="M197" s="407">
        <v>20</v>
      </c>
      <c r="N197" s="408" t="s">
        <v>289</v>
      </c>
      <c r="O197" s="325">
        <f t="shared" si="52"/>
        <v>0</v>
      </c>
      <c r="P197" s="325">
        <f t="shared" si="53"/>
        <v>0</v>
      </c>
      <c r="Q197" s="325">
        <f t="shared" si="54"/>
        <v>0</v>
      </c>
      <c r="R197" s="325">
        <f t="shared" si="55"/>
        <v>26</v>
      </c>
      <c r="S197" s="325">
        <f t="shared" si="56"/>
        <v>0</v>
      </c>
      <c r="T197" s="325">
        <f t="shared" si="57"/>
        <v>26</v>
      </c>
      <c r="U197" s="409">
        <f t="shared" si="50"/>
        <v>234</v>
      </c>
      <c r="V197" s="325">
        <f t="shared" si="51"/>
        <v>0</v>
      </c>
      <c r="W197" s="449" cm="1">
        <f t="array" ref="W197">+IF(U197&lt;0,error,0)</f>
        <v>0</v>
      </c>
    </row>
    <row r="198" spans="1:23" ht="18" customHeight="1" x14ac:dyDescent="0.2">
      <c r="A198" s="402" t="s">
        <v>367</v>
      </c>
      <c r="B198" s="403"/>
      <c r="C198" s="404" t="s">
        <v>368</v>
      </c>
      <c r="D198" s="405">
        <v>39470</v>
      </c>
      <c r="E198" s="406"/>
      <c r="F198" s="325"/>
      <c r="G198" s="324"/>
      <c r="H198" s="324">
        <v>4495</v>
      </c>
      <c r="I198" s="325">
        <v>321</v>
      </c>
      <c r="J198" s="325"/>
      <c r="K198" s="325">
        <f t="shared" si="47"/>
        <v>0</v>
      </c>
      <c r="L198" s="325">
        <f t="shared" si="48"/>
        <v>0</v>
      </c>
      <c r="M198" s="407">
        <v>20</v>
      </c>
      <c r="N198" s="408" t="s">
        <v>289</v>
      </c>
      <c r="O198" s="325">
        <f t="shared" si="52"/>
        <v>0</v>
      </c>
      <c r="P198" s="325">
        <f t="shared" si="53"/>
        <v>0</v>
      </c>
      <c r="Q198" s="325">
        <f t="shared" si="54"/>
        <v>0</v>
      </c>
      <c r="R198" s="325">
        <f t="shared" si="55"/>
        <v>32</v>
      </c>
      <c r="S198" s="325">
        <f t="shared" si="56"/>
        <v>0</v>
      </c>
      <c r="T198" s="325">
        <f t="shared" si="57"/>
        <v>32</v>
      </c>
      <c r="U198" s="409">
        <f t="shared" si="50"/>
        <v>289</v>
      </c>
      <c r="V198" s="325">
        <f t="shared" si="51"/>
        <v>0</v>
      </c>
      <c r="W198" s="449" cm="1">
        <f t="array" ref="W198">+IF(U198&lt;0,error,0)</f>
        <v>0</v>
      </c>
    </row>
    <row r="199" spans="1:23" ht="18" customHeight="1" x14ac:dyDescent="0.2">
      <c r="A199" s="402" t="s">
        <v>369</v>
      </c>
      <c r="B199" s="403"/>
      <c r="C199" s="404" t="s">
        <v>370</v>
      </c>
      <c r="D199" s="405">
        <v>39498</v>
      </c>
      <c r="E199" s="406"/>
      <c r="F199" s="325"/>
      <c r="G199" s="324"/>
      <c r="H199" s="324">
        <v>10468.09</v>
      </c>
      <c r="I199" s="325">
        <v>3016.09</v>
      </c>
      <c r="J199" s="325"/>
      <c r="K199" s="325">
        <f t="shared" si="47"/>
        <v>0</v>
      </c>
      <c r="L199" s="325">
        <f t="shared" si="48"/>
        <v>0</v>
      </c>
      <c r="M199" s="407">
        <v>10</v>
      </c>
      <c r="N199" s="408" t="s">
        <v>289</v>
      </c>
      <c r="O199" s="325">
        <f t="shared" si="52"/>
        <v>0</v>
      </c>
      <c r="P199" s="325">
        <f t="shared" si="53"/>
        <v>0</v>
      </c>
      <c r="Q199" s="325">
        <f t="shared" si="54"/>
        <v>0</v>
      </c>
      <c r="R199" s="325">
        <f t="shared" si="55"/>
        <v>150</v>
      </c>
      <c r="S199" s="325">
        <f t="shared" si="56"/>
        <v>0</v>
      </c>
      <c r="T199" s="325">
        <f t="shared" si="57"/>
        <v>150</v>
      </c>
      <c r="U199" s="409">
        <f t="shared" si="50"/>
        <v>2866.09</v>
      </c>
      <c r="V199" s="325">
        <f t="shared" si="51"/>
        <v>0</v>
      </c>
      <c r="W199" s="449" cm="1">
        <f t="array" ref="W199">+IF(U199&lt;0,error,0)</f>
        <v>0</v>
      </c>
    </row>
    <row r="200" spans="1:23" ht="18" customHeight="1" x14ac:dyDescent="0.2">
      <c r="A200" s="402" t="s">
        <v>371</v>
      </c>
      <c r="B200" s="403"/>
      <c r="C200" s="412" t="s">
        <v>372</v>
      </c>
      <c r="D200" s="405">
        <v>39499</v>
      </c>
      <c r="E200" s="406"/>
      <c r="F200" s="325"/>
      <c r="G200" s="324"/>
      <c r="H200" s="324">
        <v>13392.5</v>
      </c>
      <c r="I200" s="325">
        <v>5328.5</v>
      </c>
      <c r="J200" s="325"/>
      <c r="K200" s="325">
        <f t="shared" si="47"/>
        <v>0</v>
      </c>
      <c r="L200" s="325">
        <f t="shared" si="48"/>
        <v>0</v>
      </c>
      <c r="M200" s="407">
        <v>7.5</v>
      </c>
      <c r="N200" s="408" t="s">
        <v>289</v>
      </c>
      <c r="O200" s="325">
        <f t="shared" si="52"/>
        <v>0</v>
      </c>
      <c r="P200" s="325">
        <f t="shared" si="53"/>
        <v>0</v>
      </c>
      <c r="Q200" s="325">
        <f t="shared" si="54"/>
        <v>0</v>
      </c>
      <c r="R200" s="325">
        <f t="shared" si="55"/>
        <v>199</v>
      </c>
      <c r="S200" s="325">
        <f t="shared" si="56"/>
        <v>0</v>
      </c>
      <c r="T200" s="325">
        <f t="shared" si="57"/>
        <v>199</v>
      </c>
      <c r="U200" s="409">
        <f t="shared" si="50"/>
        <v>5129.5</v>
      </c>
      <c r="V200" s="325">
        <f t="shared" si="51"/>
        <v>0</v>
      </c>
      <c r="W200" s="449" cm="1">
        <f t="array" ref="W200">+IF(U200&lt;0,error,0)</f>
        <v>0</v>
      </c>
    </row>
    <row r="201" spans="1:23" ht="18" customHeight="1" x14ac:dyDescent="0.2">
      <c r="A201" s="402" t="s">
        <v>373</v>
      </c>
      <c r="B201" s="403"/>
      <c r="C201" s="404" t="s">
        <v>374</v>
      </c>
      <c r="D201" s="405">
        <v>39540</v>
      </c>
      <c r="E201" s="406"/>
      <c r="F201" s="325"/>
      <c r="G201" s="324"/>
      <c r="H201" s="324">
        <v>2372</v>
      </c>
      <c r="I201" s="325">
        <v>691</v>
      </c>
      <c r="J201" s="325"/>
      <c r="K201" s="325">
        <f t="shared" si="47"/>
        <v>0</v>
      </c>
      <c r="L201" s="325">
        <f t="shared" si="48"/>
        <v>0</v>
      </c>
      <c r="M201" s="407">
        <v>10</v>
      </c>
      <c r="N201" s="408" t="s">
        <v>289</v>
      </c>
      <c r="O201" s="325">
        <f t="shared" si="52"/>
        <v>0</v>
      </c>
      <c r="P201" s="325">
        <f t="shared" si="53"/>
        <v>0</v>
      </c>
      <c r="Q201" s="325">
        <f t="shared" si="54"/>
        <v>0</v>
      </c>
      <c r="R201" s="325">
        <f t="shared" si="55"/>
        <v>34</v>
      </c>
      <c r="S201" s="325">
        <f t="shared" si="56"/>
        <v>0</v>
      </c>
      <c r="T201" s="325">
        <f t="shared" si="57"/>
        <v>34</v>
      </c>
      <c r="U201" s="409">
        <f t="shared" si="50"/>
        <v>657</v>
      </c>
      <c r="V201" s="325">
        <f t="shared" si="51"/>
        <v>0</v>
      </c>
      <c r="W201" s="449" cm="1">
        <f t="array" ref="W201">+IF(U201&lt;0,error,0)</f>
        <v>0</v>
      </c>
    </row>
    <row r="202" spans="1:23" ht="18" customHeight="1" x14ac:dyDescent="0.2">
      <c r="A202" s="402" t="s">
        <v>377</v>
      </c>
      <c r="B202" s="403"/>
      <c r="C202" s="404" t="s">
        <v>378</v>
      </c>
      <c r="D202" s="405">
        <v>39507</v>
      </c>
      <c r="E202" s="406">
        <v>44012</v>
      </c>
      <c r="F202" s="325">
        <v>0</v>
      </c>
      <c r="G202" s="324">
        <v>950</v>
      </c>
      <c r="H202" s="324">
        <v>950</v>
      </c>
      <c r="I202" s="325">
        <v>0</v>
      </c>
      <c r="J202" s="325"/>
      <c r="K202" s="325">
        <f t="shared" si="47"/>
        <v>0</v>
      </c>
      <c r="L202" s="325">
        <f t="shared" si="48"/>
        <v>0</v>
      </c>
      <c r="M202" s="407">
        <v>37.5</v>
      </c>
      <c r="N202" s="408" t="s">
        <v>289</v>
      </c>
      <c r="O202" s="325">
        <f t="shared" si="52"/>
        <v>0</v>
      </c>
      <c r="P202" s="325">
        <f t="shared" si="53"/>
        <v>0</v>
      </c>
      <c r="Q202" s="325">
        <f t="shared" si="54"/>
        <v>0</v>
      </c>
      <c r="R202" s="325">
        <f t="shared" si="55"/>
        <v>0</v>
      </c>
      <c r="S202" s="325">
        <f t="shared" si="56"/>
        <v>0</v>
      </c>
      <c r="T202" s="325">
        <f t="shared" si="57"/>
        <v>0</v>
      </c>
      <c r="U202" s="409">
        <f t="shared" si="50"/>
        <v>0</v>
      </c>
      <c r="V202" s="325">
        <f t="shared" si="51"/>
        <v>950</v>
      </c>
      <c r="W202" s="449" cm="1">
        <f t="array" ref="W202">+IF(U202&lt;0,error,0)</f>
        <v>0</v>
      </c>
    </row>
    <row r="203" spans="1:23" ht="18" customHeight="1" x14ac:dyDescent="0.2">
      <c r="A203" s="402" t="s">
        <v>384</v>
      </c>
      <c r="B203" s="403"/>
      <c r="C203" s="404" t="s">
        <v>385</v>
      </c>
      <c r="D203" s="405">
        <v>39479</v>
      </c>
      <c r="E203" s="406"/>
      <c r="F203" s="325"/>
      <c r="G203" s="324"/>
      <c r="H203" s="324">
        <v>950</v>
      </c>
      <c r="I203" s="325">
        <v>0</v>
      </c>
      <c r="J203" s="325"/>
      <c r="K203" s="325">
        <f t="shared" si="47"/>
        <v>0</v>
      </c>
      <c r="L203" s="325">
        <f t="shared" si="48"/>
        <v>0</v>
      </c>
      <c r="M203" s="407">
        <v>37.5</v>
      </c>
      <c r="N203" s="408" t="s">
        <v>289</v>
      </c>
      <c r="O203" s="325">
        <f t="shared" si="52"/>
        <v>0</v>
      </c>
      <c r="P203" s="325">
        <f t="shared" si="53"/>
        <v>0</v>
      </c>
      <c r="Q203" s="325">
        <f t="shared" si="54"/>
        <v>0</v>
      </c>
      <c r="R203" s="325">
        <f t="shared" si="55"/>
        <v>0</v>
      </c>
      <c r="S203" s="325">
        <f t="shared" si="56"/>
        <v>0</v>
      </c>
      <c r="T203" s="325">
        <f t="shared" si="57"/>
        <v>0</v>
      </c>
      <c r="U203" s="409">
        <f t="shared" si="50"/>
        <v>0</v>
      </c>
      <c r="V203" s="325">
        <f t="shared" si="51"/>
        <v>0</v>
      </c>
      <c r="W203" s="449" cm="1">
        <f t="array" ref="W203">+IF(U203&lt;0,error,0)</f>
        <v>0</v>
      </c>
    </row>
    <row r="204" spans="1:23" ht="18" customHeight="1" x14ac:dyDescent="0.2">
      <c r="A204" s="402" t="s">
        <v>387</v>
      </c>
      <c r="B204" s="403"/>
      <c r="C204" s="412" t="s">
        <v>388</v>
      </c>
      <c r="D204" s="405">
        <v>39679</v>
      </c>
      <c r="E204" s="406"/>
      <c r="F204" s="325"/>
      <c r="G204" s="324"/>
      <c r="H204" s="324">
        <v>59090.91</v>
      </c>
      <c r="I204" s="325">
        <v>17912.91</v>
      </c>
      <c r="J204" s="325"/>
      <c r="K204" s="325">
        <f t="shared" si="47"/>
        <v>0</v>
      </c>
      <c r="L204" s="325">
        <f t="shared" si="48"/>
        <v>0</v>
      </c>
      <c r="M204" s="407">
        <v>10</v>
      </c>
      <c r="N204" s="408" t="s">
        <v>289</v>
      </c>
      <c r="O204" s="325">
        <f t="shared" si="52"/>
        <v>0</v>
      </c>
      <c r="P204" s="325">
        <f t="shared" si="53"/>
        <v>0</v>
      </c>
      <c r="Q204" s="325">
        <f t="shared" si="54"/>
        <v>0</v>
      </c>
      <c r="R204" s="325">
        <f t="shared" si="55"/>
        <v>895</v>
      </c>
      <c r="S204" s="325">
        <f t="shared" si="56"/>
        <v>0</v>
      </c>
      <c r="T204" s="325">
        <f t="shared" si="57"/>
        <v>895</v>
      </c>
      <c r="U204" s="409">
        <f t="shared" si="50"/>
        <v>17017.91</v>
      </c>
      <c r="V204" s="325">
        <f t="shared" si="51"/>
        <v>0</v>
      </c>
      <c r="W204" s="449" cm="1">
        <f t="array" ref="W204">+IF(U204&lt;0,error,0)</f>
        <v>0</v>
      </c>
    </row>
    <row r="205" spans="1:23" ht="18" customHeight="1" x14ac:dyDescent="0.2">
      <c r="A205" s="402" t="s">
        <v>389</v>
      </c>
      <c r="B205" s="403"/>
      <c r="C205" s="404" t="s">
        <v>390</v>
      </c>
      <c r="D205" s="405">
        <v>39679</v>
      </c>
      <c r="E205" s="406"/>
      <c r="F205" s="325"/>
      <c r="G205" s="324"/>
      <c r="H205" s="324">
        <v>91279.2</v>
      </c>
      <c r="I205" s="325">
        <v>27668.2</v>
      </c>
      <c r="J205" s="325"/>
      <c r="K205" s="325">
        <f t="shared" si="47"/>
        <v>0</v>
      </c>
      <c r="L205" s="325">
        <f t="shared" si="48"/>
        <v>0</v>
      </c>
      <c r="M205" s="407">
        <v>10</v>
      </c>
      <c r="N205" s="408" t="s">
        <v>289</v>
      </c>
      <c r="O205" s="325">
        <f t="shared" si="52"/>
        <v>0</v>
      </c>
      <c r="P205" s="325">
        <f t="shared" si="53"/>
        <v>0</v>
      </c>
      <c r="Q205" s="325">
        <f t="shared" si="54"/>
        <v>0</v>
      </c>
      <c r="R205" s="325">
        <f t="shared" si="55"/>
        <v>1383</v>
      </c>
      <c r="S205" s="325">
        <f t="shared" si="56"/>
        <v>0</v>
      </c>
      <c r="T205" s="325">
        <f t="shared" si="57"/>
        <v>1383</v>
      </c>
      <c r="U205" s="409">
        <f t="shared" si="50"/>
        <v>26285.200000000001</v>
      </c>
      <c r="V205" s="325">
        <f t="shared" si="51"/>
        <v>0</v>
      </c>
      <c r="W205" s="449" cm="1">
        <f t="array" ref="W205">+IF(U205&lt;0,error,0)</f>
        <v>0</v>
      </c>
    </row>
    <row r="206" spans="1:23" ht="18" customHeight="1" x14ac:dyDescent="0.2">
      <c r="A206" s="402" t="s">
        <v>391</v>
      </c>
      <c r="B206" s="403"/>
      <c r="C206" s="404" t="s">
        <v>392</v>
      </c>
      <c r="D206" s="405">
        <v>39707</v>
      </c>
      <c r="E206" s="406"/>
      <c r="F206" s="325"/>
      <c r="G206" s="324"/>
      <c r="H206" s="324">
        <v>19690</v>
      </c>
      <c r="I206" s="325">
        <v>6023</v>
      </c>
      <c r="J206" s="325"/>
      <c r="K206" s="325">
        <f t="shared" si="47"/>
        <v>0</v>
      </c>
      <c r="L206" s="325">
        <f t="shared" si="48"/>
        <v>0</v>
      </c>
      <c r="M206" s="407">
        <v>10</v>
      </c>
      <c r="N206" s="408" t="s">
        <v>289</v>
      </c>
      <c r="O206" s="325">
        <f t="shared" si="52"/>
        <v>0</v>
      </c>
      <c r="P206" s="325">
        <f t="shared" si="53"/>
        <v>0</v>
      </c>
      <c r="Q206" s="325">
        <f t="shared" si="54"/>
        <v>0</v>
      </c>
      <c r="R206" s="325">
        <f t="shared" si="55"/>
        <v>301</v>
      </c>
      <c r="S206" s="325">
        <f t="shared" si="56"/>
        <v>0</v>
      </c>
      <c r="T206" s="325">
        <f t="shared" si="57"/>
        <v>301</v>
      </c>
      <c r="U206" s="409">
        <f t="shared" si="50"/>
        <v>5722</v>
      </c>
      <c r="V206" s="325">
        <f t="shared" si="51"/>
        <v>0</v>
      </c>
      <c r="W206" s="449" cm="1">
        <f t="array" ref="W206">+IF(U206&lt;0,error,0)</f>
        <v>0</v>
      </c>
    </row>
    <row r="207" spans="1:23" ht="18" customHeight="1" x14ac:dyDescent="0.2">
      <c r="A207" s="402" t="s">
        <v>393</v>
      </c>
      <c r="B207" s="403"/>
      <c r="C207" s="404" t="s">
        <v>394</v>
      </c>
      <c r="D207" s="405">
        <v>39720</v>
      </c>
      <c r="E207" s="406"/>
      <c r="F207" s="325"/>
      <c r="G207" s="324"/>
      <c r="H207" s="324">
        <v>575.45000000000005</v>
      </c>
      <c r="I207" s="325">
        <v>0</v>
      </c>
      <c r="J207" s="325"/>
      <c r="K207" s="325">
        <f t="shared" si="47"/>
        <v>0</v>
      </c>
      <c r="L207" s="325">
        <f t="shared" si="48"/>
        <v>0</v>
      </c>
      <c r="M207" s="407">
        <v>18.75</v>
      </c>
      <c r="N207" s="408" t="s">
        <v>289</v>
      </c>
      <c r="O207" s="325">
        <f t="shared" si="52"/>
        <v>0</v>
      </c>
      <c r="P207" s="325">
        <f t="shared" si="53"/>
        <v>0</v>
      </c>
      <c r="Q207" s="325">
        <f t="shared" si="54"/>
        <v>0</v>
      </c>
      <c r="R207" s="325">
        <f t="shared" si="55"/>
        <v>0</v>
      </c>
      <c r="S207" s="325">
        <f t="shared" si="56"/>
        <v>0</v>
      </c>
      <c r="T207" s="325">
        <f t="shared" si="57"/>
        <v>0</v>
      </c>
      <c r="U207" s="409">
        <f t="shared" si="50"/>
        <v>0</v>
      </c>
      <c r="V207" s="325">
        <f t="shared" si="51"/>
        <v>0</v>
      </c>
      <c r="W207" s="449" cm="1">
        <f t="array" ref="W207">+IF(U207&lt;0,error,0)</f>
        <v>0</v>
      </c>
    </row>
    <row r="208" spans="1:23" ht="18" customHeight="1" x14ac:dyDescent="0.2">
      <c r="A208" s="402" t="s">
        <v>395</v>
      </c>
      <c r="B208" s="403"/>
      <c r="C208" s="404" t="s">
        <v>396</v>
      </c>
      <c r="D208" s="405">
        <v>39720</v>
      </c>
      <c r="E208" s="406"/>
      <c r="F208" s="325"/>
      <c r="G208" s="324"/>
      <c r="H208" s="324">
        <v>1055</v>
      </c>
      <c r="I208" s="325">
        <v>0</v>
      </c>
      <c r="J208" s="325"/>
      <c r="K208" s="325">
        <f t="shared" si="47"/>
        <v>0</v>
      </c>
      <c r="L208" s="325">
        <f t="shared" si="48"/>
        <v>0</v>
      </c>
      <c r="M208" s="407">
        <v>10</v>
      </c>
      <c r="N208" s="408" t="s">
        <v>289</v>
      </c>
      <c r="O208" s="325">
        <f t="shared" si="52"/>
        <v>0</v>
      </c>
      <c r="P208" s="325">
        <f t="shared" si="53"/>
        <v>0</v>
      </c>
      <c r="Q208" s="325">
        <f t="shared" si="54"/>
        <v>0</v>
      </c>
      <c r="R208" s="325">
        <f t="shared" si="55"/>
        <v>0</v>
      </c>
      <c r="S208" s="325">
        <f t="shared" si="56"/>
        <v>0</v>
      </c>
      <c r="T208" s="325">
        <f t="shared" si="57"/>
        <v>0</v>
      </c>
      <c r="U208" s="409">
        <f t="shared" si="50"/>
        <v>0</v>
      </c>
      <c r="V208" s="325">
        <f t="shared" si="51"/>
        <v>0</v>
      </c>
      <c r="W208" s="449" cm="1">
        <f t="array" ref="W208">+IF(U208&lt;0,error,0)</f>
        <v>0</v>
      </c>
    </row>
    <row r="209" spans="1:23" ht="18" customHeight="1" x14ac:dyDescent="0.2">
      <c r="A209" s="402" t="s">
        <v>399</v>
      </c>
      <c r="B209" s="403"/>
      <c r="C209" s="404" t="s">
        <v>400</v>
      </c>
      <c r="D209" s="405">
        <v>39720</v>
      </c>
      <c r="E209" s="406"/>
      <c r="F209" s="325"/>
      <c r="G209" s="324"/>
      <c r="H209" s="324">
        <v>3644.55</v>
      </c>
      <c r="I209" s="325">
        <v>1120.55</v>
      </c>
      <c r="J209" s="325"/>
      <c r="K209" s="325">
        <f t="shared" si="47"/>
        <v>0</v>
      </c>
      <c r="L209" s="325">
        <f t="shared" si="48"/>
        <v>0</v>
      </c>
      <c r="M209" s="407">
        <v>10</v>
      </c>
      <c r="N209" s="408" t="s">
        <v>289</v>
      </c>
      <c r="O209" s="325">
        <f t="shared" si="52"/>
        <v>0</v>
      </c>
      <c r="P209" s="325">
        <f t="shared" si="53"/>
        <v>0</v>
      </c>
      <c r="Q209" s="325">
        <f t="shared" si="54"/>
        <v>0</v>
      </c>
      <c r="R209" s="325">
        <f t="shared" si="55"/>
        <v>56</v>
      </c>
      <c r="S209" s="325">
        <f t="shared" si="56"/>
        <v>0</v>
      </c>
      <c r="T209" s="325">
        <f t="shared" si="57"/>
        <v>56</v>
      </c>
      <c r="U209" s="409">
        <f t="shared" si="50"/>
        <v>1064.55</v>
      </c>
      <c r="V209" s="325">
        <f t="shared" si="51"/>
        <v>0</v>
      </c>
      <c r="W209" s="449" cm="1">
        <f t="array" ref="W209">+IF(U209&lt;0,error,0)</f>
        <v>0</v>
      </c>
    </row>
    <row r="210" spans="1:23" ht="18" customHeight="1" x14ac:dyDescent="0.2">
      <c r="A210" s="402" t="s">
        <v>402</v>
      </c>
      <c r="B210" s="403"/>
      <c r="C210" s="404" t="s">
        <v>403</v>
      </c>
      <c r="D210" s="405">
        <v>39720</v>
      </c>
      <c r="E210" s="406"/>
      <c r="F210" s="325"/>
      <c r="G210" s="324"/>
      <c r="H210" s="324">
        <v>13331.36</v>
      </c>
      <c r="I210" s="325">
        <v>4093.3599999999997</v>
      </c>
      <c r="J210" s="325"/>
      <c r="K210" s="325">
        <f t="shared" si="47"/>
        <v>0</v>
      </c>
      <c r="L210" s="325">
        <f t="shared" si="48"/>
        <v>0</v>
      </c>
      <c r="M210" s="407">
        <v>10</v>
      </c>
      <c r="N210" s="408" t="s">
        <v>289</v>
      </c>
      <c r="O210" s="325">
        <f t="shared" si="52"/>
        <v>0</v>
      </c>
      <c r="P210" s="325">
        <f t="shared" si="53"/>
        <v>0</v>
      </c>
      <c r="Q210" s="325">
        <f t="shared" si="54"/>
        <v>0</v>
      </c>
      <c r="R210" s="325">
        <f t="shared" si="55"/>
        <v>204</v>
      </c>
      <c r="S210" s="325">
        <f t="shared" si="56"/>
        <v>0</v>
      </c>
      <c r="T210" s="325">
        <f t="shared" si="57"/>
        <v>204</v>
      </c>
      <c r="U210" s="409">
        <f t="shared" si="50"/>
        <v>3889.3599999999997</v>
      </c>
      <c r="V210" s="325">
        <f t="shared" si="51"/>
        <v>0</v>
      </c>
      <c r="W210" s="449" cm="1">
        <f t="array" ref="W210">+IF(U210&lt;0,error,0)</f>
        <v>0</v>
      </c>
    </row>
    <row r="211" spans="1:23" ht="18" customHeight="1" x14ac:dyDescent="0.2">
      <c r="A211" s="402" t="s">
        <v>404</v>
      </c>
      <c r="B211" s="403"/>
      <c r="C211" s="404" t="s">
        <v>405</v>
      </c>
      <c r="D211" s="405">
        <v>39720</v>
      </c>
      <c r="E211" s="406"/>
      <c r="F211" s="325"/>
      <c r="G211" s="324"/>
      <c r="H211" s="324">
        <v>633</v>
      </c>
      <c r="I211" s="325">
        <v>0</v>
      </c>
      <c r="J211" s="325"/>
      <c r="K211" s="325">
        <f t="shared" si="47"/>
        <v>0</v>
      </c>
      <c r="L211" s="325">
        <f t="shared" si="48"/>
        <v>0</v>
      </c>
      <c r="M211" s="407">
        <v>18.75</v>
      </c>
      <c r="N211" s="408" t="s">
        <v>289</v>
      </c>
      <c r="O211" s="325">
        <f t="shared" si="52"/>
        <v>0</v>
      </c>
      <c r="P211" s="325">
        <f t="shared" si="53"/>
        <v>0</v>
      </c>
      <c r="Q211" s="325">
        <f t="shared" si="54"/>
        <v>0</v>
      </c>
      <c r="R211" s="325">
        <f t="shared" si="55"/>
        <v>0</v>
      </c>
      <c r="S211" s="325">
        <f t="shared" si="56"/>
        <v>0</v>
      </c>
      <c r="T211" s="325">
        <f t="shared" si="57"/>
        <v>0</v>
      </c>
      <c r="U211" s="409">
        <f t="shared" si="50"/>
        <v>0</v>
      </c>
      <c r="V211" s="325">
        <f t="shared" si="51"/>
        <v>0</v>
      </c>
      <c r="W211" s="449" cm="1">
        <f t="array" ref="W211">+IF(U211&lt;0,error,0)</f>
        <v>0</v>
      </c>
    </row>
    <row r="212" spans="1:23" ht="18" customHeight="1" x14ac:dyDescent="0.2">
      <c r="A212" s="402" t="s">
        <v>408</v>
      </c>
      <c r="B212" s="403"/>
      <c r="C212" s="404" t="s">
        <v>409</v>
      </c>
      <c r="D212" s="405">
        <v>39769</v>
      </c>
      <c r="E212" s="406">
        <v>44012</v>
      </c>
      <c r="F212" s="325">
        <v>0</v>
      </c>
      <c r="G212" s="324">
        <v>940</v>
      </c>
      <c r="H212" s="324">
        <v>940</v>
      </c>
      <c r="I212" s="325">
        <v>0</v>
      </c>
      <c r="J212" s="325"/>
      <c r="K212" s="325">
        <f t="shared" si="47"/>
        <v>0</v>
      </c>
      <c r="L212" s="325">
        <f t="shared" si="48"/>
        <v>0</v>
      </c>
      <c r="M212" s="407">
        <v>18.75</v>
      </c>
      <c r="N212" s="408" t="s">
        <v>289</v>
      </c>
      <c r="O212" s="325">
        <f t="shared" si="52"/>
        <v>0</v>
      </c>
      <c r="P212" s="325">
        <f t="shared" si="53"/>
        <v>0</v>
      </c>
      <c r="Q212" s="325">
        <f t="shared" si="54"/>
        <v>0</v>
      </c>
      <c r="R212" s="325">
        <f t="shared" si="55"/>
        <v>0</v>
      </c>
      <c r="S212" s="325">
        <f t="shared" si="56"/>
        <v>0</v>
      </c>
      <c r="T212" s="325">
        <f t="shared" si="57"/>
        <v>0</v>
      </c>
      <c r="U212" s="409">
        <f t="shared" si="50"/>
        <v>0</v>
      </c>
      <c r="V212" s="325">
        <f t="shared" si="51"/>
        <v>940</v>
      </c>
      <c r="W212" s="449" cm="1">
        <f t="array" ref="W212">+IF(U212&lt;0,error,0)</f>
        <v>0</v>
      </c>
    </row>
    <row r="213" spans="1:23" ht="18" customHeight="1" x14ac:dyDescent="0.2">
      <c r="A213" s="402" t="s">
        <v>412</v>
      </c>
      <c r="B213" s="403"/>
      <c r="C213" s="404" t="s">
        <v>413</v>
      </c>
      <c r="D213" s="405">
        <v>39829</v>
      </c>
      <c r="E213" s="406"/>
      <c r="F213" s="325"/>
      <c r="G213" s="324"/>
      <c r="H213" s="324">
        <v>39099</v>
      </c>
      <c r="I213" s="325">
        <v>3475</v>
      </c>
      <c r="J213" s="325"/>
      <c r="K213" s="325">
        <f t="shared" si="47"/>
        <v>0</v>
      </c>
      <c r="L213" s="325">
        <f t="shared" si="48"/>
        <v>0</v>
      </c>
      <c r="M213" s="407">
        <v>20</v>
      </c>
      <c r="N213" s="408" t="s">
        <v>289</v>
      </c>
      <c r="O213" s="325">
        <f t="shared" si="52"/>
        <v>0</v>
      </c>
      <c r="P213" s="325">
        <f t="shared" si="53"/>
        <v>0</v>
      </c>
      <c r="Q213" s="325">
        <f t="shared" si="54"/>
        <v>0</v>
      </c>
      <c r="R213" s="325">
        <f t="shared" si="55"/>
        <v>347</v>
      </c>
      <c r="S213" s="325">
        <f t="shared" si="56"/>
        <v>0</v>
      </c>
      <c r="T213" s="325">
        <f t="shared" si="57"/>
        <v>347</v>
      </c>
      <c r="U213" s="409">
        <f t="shared" si="50"/>
        <v>3128</v>
      </c>
      <c r="V213" s="325">
        <f t="shared" si="51"/>
        <v>0</v>
      </c>
      <c r="W213" s="449" cm="1">
        <f t="array" ref="W213">+IF(U213&lt;0,error,0)</f>
        <v>0</v>
      </c>
    </row>
    <row r="214" spans="1:23" ht="18" customHeight="1" x14ac:dyDescent="0.2">
      <c r="A214" s="402" t="s">
        <v>415</v>
      </c>
      <c r="B214" s="403"/>
      <c r="C214" s="404" t="s">
        <v>416</v>
      </c>
      <c r="D214" s="405">
        <v>39835</v>
      </c>
      <c r="E214" s="406">
        <v>44012</v>
      </c>
      <c r="F214" s="325">
        <v>0</v>
      </c>
      <c r="G214" s="324">
        <v>2014.73</v>
      </c>
      <c r="H214" s="324">
        <v>2014.73</v>
      </c>
      <c r="I214" s="325">
        <v>0</v>
      </c>
      <c r="J214" s="325"/>
      <c r="K214" s="325">
        <f t="shared" si="47"/>
        <v>0</v>
      </c>
      <c r="L214" s="325">
        <f t="shared" si="48"/>
        <v>0</v>
      </c>
      <c r="M214" s="407">
        <v>20</v>
      </c>
      <c r="N214" s="408" t="s">
        <v>289</v>
      </c>
      <c r="O214" s="325">
        <f t="shared" si="52"/>
        <v>0</v>
      </c>
      <c r="P214" s="325">
        <f t="shared" si="53"/>
        <v>0</v>
      </c>
      <c r="Q214" s="325">
        <f t="shared" si="54"/>
        <v>0</v>
      </c>
      <c r="R214" s="325">
        <f t="shared" si="55"/>
        <v>0</v>
      </c>
      <c r="S214" s="325">
        <f t="shared" si="56"/>
        <v>0</v>
      </c>
      <c r="T214" s="325">
        <f t="shared" si="57"/>
        <v>0</v>
      </c>
      <c r="U214" s="409">
        <f t="shared" si="50"/>
        <v>0</v>
      </c>
      <c r="V214" s="325">
        <f t="shared" si="51"/>
        <v>2014.73</v>
      </c>
      <c r="W214" s="449" cm="1">
        <f t="array" ref="W214">+IF(U214&lt;0,error,0)</f>
        <v>0</v>
      </c>
    </row>
    <row r="215" spans="1:23" ht="18" customHeight="1" x14ac:dyDescent="0.2">
      <c r="A215" s="402" t="s">
        <v>417</v>
      </c>
      <c r="B215" s="403"/>
      <c r="C215" s="404" t="s">
        <v>418</v>
      </c>
      <c r="D215" s="405">
        <v>39833</v>
      </c>
      <c r="E215" s="406"/>
      <c r="F215" s="325"/>
      <c r="G215" s="324"/>
      <c r="H215" s="324">
        <v>7283.5</v>
      </c>
      <c r="I215" s="325">
        <v>2312.5</v>
      </c>
      <c r="J215" s="325"/>
      <c r="K215" s="325">
        <f t="shared" si="47"/>
        <v>0</v>
      </c>
      <c r="L215" s="325">
        <f t="shared" si="48"/>
        <v>0</v>
      </c>
      <c r="M215" s="407">
        <v>10</v>
      </c>
      <c r="N215" s="408" t="s">
        <v>289</v>
      </c>
      <c r="O215" s="325">
        <f t="shared" si="52"/>
        <v>0</v>
      </c>
      <c r="P215" s="325">
        <f t="shared" si="53"/>
        <v>0</v>
      </c>
      <c r="Q215" s="325">
        <f t="shared" si="54"/>
        <v>0</v>
      </c>
      <c r="R215" s="325">
        <f t="shared" si="55"/>
        <v>115</v>
      </c>
      <c r="S215" s="325">
        <f t="shared" si="56"/>
        <v>0</v>
      </c>
      <c r="T215" s="325">
        <f t="shared" si="57"/>
        <v>115</v>
      </c>
      <c r="U215" s="409">
        <f t="shared" si="50"/>
        <v>2197.5</v>
      </c>
      <c r="V215" s="325">
        <f t="shared" si="51"/>
        <v>0</v>
      </c>
      <c r="W215" s="449" cm="1">
        <f t="array" ref="W215">+IF(U215&lt;0,error,0)</f>
        <v>0</v>
      </c>
    </row>
    <row r="216" spans="1:23" ht="18" customHeight="1" x14ac:dyDescent="0.2">
      <c r="A216" s="402" t="s">
        <v>421</v>
      </c>
      <c r="B216" s="403"/>
      <c r="C216" s="404" t="s">
        <v>422</v>
      </c>
      <c r="D216" s="405">
        <v>39867</v>
      </c>
      <c r="E216" s="406"/>
      <c r="F216" s="325"/>
      <c r="G216" s="324"/>
      <c r="H216" s="324">
        <v>2965.46</v>
      </c>
      <c r="I216" s="325">
        <v>270.45999999999998</v>
      </c>
      <c r="J216" s="325"/>
      <c r="K216" s="325">
        <f t="shared" si="47"/>
        <v>0</v>
      </c>
      <c r="L216" s="325">
        <f t="shared" si="48"/>
        <v>0</v>
      </c>
      <c r="M216" s="407">
        <v>20</v>
      </c>
      <c r="N216" s="408" t="s">
        <v>289</v>
      </c>
      <c r="O216" s="325">
        <f t="shared" si="52"/>
        <v>0</v>
      </c>
      <c r="P216" s="325">
        <f t="shared" si="53"/>
        <v>0</v>
      </c>
      <c r="Q216" s="325">
        <f t="shared" si="54"/>
        <v>0</v>
      </c>
      <c r="R216" s="325">
        <f t="shared" si="55"/>
        <v>27</v>
      </c>
      <c r="S216" s="325">
        <f t="shared" si="56"/>
        <v>0</v>
      </c>
      <c r="T216" s="325">
        <f t="shared" si="57"/>
        <v>27</v>
      </c>
      <c r="U216" s="409">
        <f t="shared" si="50"/>
        <v>243.45999999999998</v>
      </c>
      <c r="V216" s="325">
        <f t="shared" si="51"/>
        <v>0</v>
      </c>
      <c r="W216" s="449" cm="1">
        <f t="array" ref="W216">+IF(U216&lt;0,error,0)</f>
        <v>0</v>
      </c>
    </row>
    <row r="217" spans="1:23" ht="18" customHeight="1" x14ac:dyDescent="0.2">
      <c r="A217" s="402" t="s">
        <v>423</v>
      </c>
      <c r="B217" s="403"/>
      <c r="C217" s="404" t="s">
        <v>424</v>
      </c>
      <c r="D217" s="405">
        <v>39905</v>
      </c>
      <c r="E217" s="406">
        <v>44012</v>
      </c>
      <c r="F217" s="325">
        <v>0</v>
      </c>
      <c r="G217" s="324">
        <v>1900</v>
      </c>
      <c r="H217" s="324">
        <v>1900</v>
      </c>
      <c r="I217" s="325">
        <v>0</v>
      </c>
      <c r="J217" s="325"/>
      <c r="K217" s="325">
        <f t="shared" si="47"/>
        <v>0</v>
      </c>
      <c r="L217" s="325">
        <f t="shared" si="48"/>
        <v>0</v>
      </c>
      <c r="M217" s="407">
        <v>20</v>
      </c>
      <c r="N217" s="408" t="s">
        <v>289</v>
      </c>
      <c r="O217" s="325">
        <f t="shared" si="52"/>
        <v>0</v>
      </c>
      <c r="P217" s="325">
        <f t="shared" si="53"/>
        <v>0</v>
      </c>
      <c r="Q217" s="325">
        <f t="shared" si="54"/>
        <v>0</v>
      </c>
      <c r="R217" s="325">
        <f t="shared" si="55"/>
        <v>0</v>
      </c>
      <c r="S217" s="325">
        <f t="shared" si="56"/>
        <v>0</v>
      </c>
      <c r="T217" s="325">
        <f t="shared" si="57"/>
        <v>0</v>
      </c>
      <c r="U217" s="409">
        <f t="shared" si="50"/>
        <v>0</v>
      </c>
      <c r="V217" s="325">
        <f t="shared" si="51"/>
        <v>1900</v>
      </c>
      <c r="W217" s="449" cm="1">
        <f t="array" ref="W217">+IF(U217&lt;0,error,0)</f>
        <v>0</v>
      </c>
    </row>
    <row r="218" spans="1:23" ht="18" customHeight="1" x14ac:dyDescent="0.2">
      <c r="A218" s="402" t="s">
        <v>426</v>
      </c>
      <c r="B218" s="403"/>
      <c r="C218" s="412" t="s">
        <v>427</v>
      </c>
      <c r="D218" s="405">
        <v>39955</v>
      </c>
      <c r="E218" s="406"/>
      <c r="F218" s="325"/>
      <c r="G218" s="324"/>
      <c r="H218" s="324">
        <v>2737.55</v>
      </c>
      <c r="I218" s="325">
        <v>262.55</v>
      </c>
      <c r="J218" s="325"/>
      <c r="K218" s="325">
        <f t="shared" si="47"/>
        <v>0</v>
      </c>
      <c r="L218" s="325">
        <f t="shared" si="48"/>
        <v>0</v>
      </c>
      <c r="M218" s="407">
        <v>20</v>
      </c>
      <c r="N218" s="408" t="s">
        <v>289</v>
      </c>
      <c r="O218" s="325">
        <f t="shared" si="52"/>
        <v>0</v>
      </c>
      <c r="P218" s="325">
        <f t="shared" si="53"/>
        <v>0</v>
      </c>
      <c r="Q218" s="325">
        <f t="shared" si="54"/>
        <v>0</v>
      </c>
      <c r="R218" s="325">
        <f t="shared" si="55"/>
        <v>26</v>
      </c>
      <c r="S218" s="325">
        <f t="shared" si="56"/>
        <v>0</v>
      </c>
      <c r="T218" s="325">
        <f t="shared" si="57"/>
        <v>26</v>
      </c>
      <c r="U218" s="409">
        <f t="shared" si="50"/>
        <v>236.55</v>
      </c>
      <c r="V218" s="325">
        <f t="shared" si="51"/>
        <v>0</v>
      </c>
      <c r="W218" s="449" cm="1">
        <f t="array" ref="W218">+IF(U218&lt;0,error,0)</f>
        <v>0</v>
      </c>
    </row>
    <row r="219" spans="1:23" ht="18" customHeight="1" x14ac:dyDescent="0.2">
      <c r="A219" s="402" t="s">
        <v>428</v>
      </c>
      <c r="B219" s="403"/>
      <c r="C219" s="404" t="s">
        <v>429</v>
      </c>
      <c r="D219" s="405">
        <v>39981</v>
      </c>
      <c r="E219" s="406">
        <v>44012</v>
      </c>
      <c r="F219" s="325">
        <v>0</v>
      </c>
      <c r="G219" s="324">
        <v>1430.91</v>
      </c>
      <c r="H219" s="324">
        <v>1430.91</v>
      </c>
      <c r="I219" s="325">
        <v>0</v>
      </c>
      <c r="J219" s="325"/>
      <c r="K219" s="325">
        <f t="shared" si="47"/>
        <v>0</v>
      </c>
      <c r="L219" s="325">
        <f t="shared" si="48"/>
        <v>0</v>
      </c>
      <c r="M219" s="407">
        <v>20</v>
      </c>
      <c r="N219" s="408" t="s">
        <v>289</v>
      </c>
      <c r="O219" s="325">
        <f t="shared" si="52"/>
        <v>0</v>
      </c>
      <c r="P219" s="325">
        <f t="shared" si="53"/>
        <v>0</v>
      </c>
      <c r="Q219" s="325">
        <f t="shared" si="54"/>
        <v>0</v>
      </c>
      <c r="R219" s="325">
        <f t="shared" si="55"/>
        <v>0</v>
      </c>
      <c r="S219" s="325">
        <f t="shared" si="56"/>
        <v>0</v>
      </c>
      <c r="T219" s="325">
        <f t="shared" si="57"/>
        <v>0</v>
      </c>
      <c r="U219" s="409">
        <f t="shared" si="50"/>
        <v>0</v>
      </c>
      <c r="V219" s="325">
        <f t="shared" si="51"/>
        <v>1430.91</v>
      </c>
      <c r="W219" s="449" cm="1">
        <f t="array" ref="W219">+IF(U219&lt;0,error,0)</f>
        <v>0</v>
      </c>
    </row>
    <row r="220" spans="1:23" ht="18" customHeight="1" x14ac:dyDescent="0.2">
      <c r="A220" s="402" t="s">
        <v>432</v>
      </c>
      <c r="B220" s="403"/>
      <c r="C220" s="404" t="s">
        <v>433</v>
      </c>
      <c r="D220" s="405">
        <v>39988</v>
      </c>
      <c r="E220" s="406"/>
      <c r="F220" s="325"/>
      <c r="G220" s="324"/>
      <c r="H220" s="324">
        <v>36880</v>
      </c>
      <c r="I220" s="325">
        <v>6732</v>
      </c>
      <c r="J220" s="325"/>
      <c r="K220" s="325">
        <f t="shared" si="47"/>
        <v>0</v>
      </c>
      <c r="L220" s="325">
        <f t="shared" si="48"/>
        <v>0</v>
      </c>
      <c r="M220" s="407">
        <v>15</v>
      </c>
      <c r="N220" s="408" t="s">
        <v>289</v>
      </c>
      <c r="O220" s="325">
        <f t="shared" si="52"/>
        <v>0</v>
      </c>
      <c r="P220" s="325">
        <f t="shared" si="53"/>
        <v>0</v>
      </c>
      <c r="Q220" s="325">
        <f t="shared" si="54"/>
        <v>0</v>
      </c>
      <c r="R220" s="325">
        <f t="shared" si="55"/>
        <v>504</v>
      </c>
      <c r="S220" s="325">
        <f t="shared" si="56"/>
        <v>0</v>
      </c>
      <c r="T220" s="325">
        <f t="shared" si="57"/>
        <v>504</v>
      </c>
      <c r="U220" s="409">
        <f t="shared" si="50"/>
        <v>6228</v>
      </c>
      <c r="V220" s="325">
        <f t="shared" si="51"/>
        <v>0</v>
      </c>
      <c r="W220" s="449" cm="1">
        <f t="array" ref="W220">+IF(U220&lt;0,error,0)</f>
        <v>0</v>
      </c>
    </row>
    <row r="221" spans="1:23" ht="18" customHeight="1" x14ac:dyDescent="0.2">
      <c r="A221" s="402" t="s">
        <v>435</v>
      </c>
      <c r="B221" s="403"/>
      <c r="C221" s="404" t="s">
        <v>436</v>
      </c>
      <c r="D221" s="405">
        <v>39692</v>
      </c>
      <c r="E221" s="406">
        <v>44012</v>
      </c>
      <c r="F221" s="325">
        <v>0</v>
      </c>
      <c r="G221" s="324">
        <v>375.9</v>
      </c>
      <c r="H221" s="324">
        <v>375.90000000000003</v>
      </c>
      <c r="I221" s="325">
        <v>0</v>
      </c>
      <c r="J221" s="325"/>
      <c r="K221" s="325">
        <f t="shared" si="47"/>
        <v>0</v>
      </c>
      <c r="L221" s="325">
        <f t="shared" si="48"/>
        <v>0</v>
      </c>
      <c r="M221" s="407">
        <v>18.75</v>
      </c>
      <c r="N221" s="408" t="s">
        <v>289</v>
      </c>
      <c r="O221" s="325">
        <f t="shared" si="52"/>
        <v>0</v>
      </c>
      <c r="P221" s="325">
        <f t="shared" si="53"/>
        <v>0</v>
      </c>
      <c r="Q221" s="325">
        <f t="shared" si="54"/>
        <v>0</v>
      </c>
      <c r="R221" s="325">
        <f t="shared" si="55"/>
        <v>0</v>
      </c>
      <c r="S221" s="325">
        <f t="shared" si="56"/>
        <v>0</v>
      </c>
      <c r="T221" s="325">
        <f t="shared" si="57"/>
        <v>0</v>
      </c>
      <c r="U221" s="409">
        <f t="shared" si="50"/>
        <v>0</v>
      </c>
      <c r="V221" s="325">
        <f t="shared" si="51"/>
        <v>375.90000000000003</v>
      </c>
      <c r="W221" s="449" cm="1">
        <f t="array" ref="W221">+IF(U221&lt;0,error,0)</f>
        <v>0</v>
      </c>
    </row>
    <row r="222" spans="1:23" ht="18" customHeight="1" x14ac:dyDescent="0.2">
      <c r="A222" s="402" t="s">
        <v>437</v>
      </c>
      <c r="B222" s="403"/>
      <c r="C222" s="404" t="s">
        <v>438</v>
      </c>
      <c r="D222" s="405">
        <v>39750</v>
      </c>
      <c r="E222" s="406">
        <v>44012</v>
      </c>
      <c r="F222" s="325">
        <v>0</v>
      </c>
      <c r="G222" s="324">
        <v>427</v>
      </c>
      <c r="H222" s="324">
        <v>427</v>
      </c>
      <c r="I222" s="325">
        <v>0</v>
      </c>
      <c r="J222" s="325"/>
      <c r="K222" s="325">
        <f t="shared" si="47"/>
        <v>0</v>
      </c>
      <c r="L222" s="325">
        <f t="shared" si="48"/>
        <v>0</v>
      </c>
      <c r="M222" s="407">
        <v>18.75</v>
      </c>
      <c r="N222" s="408" t="s">
        <v>289</v>
      </c>
      <c r="O222" s="325">
        <f t="shared" si="52"/>
        <v>0</v>
      </c>
      <c r="P222" s="325">
        <f t="shared" si="53"/>
        <v>0</v>
      </c>
      <c r="Q222" s="325">
        <f t="shared" si="54"/>
        <v>0</v>
      </c>
      <c r="R222" s="325">
        <f t="shared" si="55"/>
        <v>0</v>
      </c>
      <c r="S222" s="325">
        <f t="shared" si="56"/>
        <v>0</v>
      </c>
      <c r="T222" s="325">
        <f t="shared" si="57"/>
        <v>0</v>
      </c>
      <c r="U222" s="409">
        <f t="shared" si="50"/>
        <v>0</v>
      </c>
      <c r="V222" s="325">
        <f t="shared" si="51"/>
        <v>427</v>
      </c>
      <c r="W222" s="449" cm="1">
        <f t="array" ref="W222">+IF(U222&lt;0,error,0)</f>
        <v>0</v>
      </c>
    </row>
    <row r="223" spans="1:23" ht="18" customHeight="1" x14ac:dyDescent="0.2">
      <c r="A223" s="402" t="s">
        <v>439</v>
      </c>
      <c r="B223" s="403"/>
      <c r="C223" s="404" t="s">
        <v>440</v>
      </c>
      <c r="D223" s="405">
        <v>39765</v>
      </c>
      <c r="E223" s="406">
        <v>44012</v>
      </c>
      <c r="F223" s="325">
        <v>0</v>
      </c>
      <c r="G223" s="324">
        <v>442</v>
      </c>
      <c r="H223" s="324">
        <v>442</v>
      </c>
      <c r="I223" s="325">
        <v>0</v>
      </c>
      <c r="J223" s="325"/>
      <c r="K223" s="325">
        <f t="shared" si="47"/>
        <v>0</v>
      </c>
      <c r="L223" s="325">
        <f t="shared" si="48"/>
        <v>0</v>
      </c>
      <c r="M223" s="407">
        <v>18.75</v>
      </c>
      <c r="N223" s="408" t="s">
        <v>289</v>
      </c>
      <c r="O223" s="325">
        <f t="shared" si="52"/>
        <v>0</v>
      </c>
      <c r="P223" s="325">
        <f t="shared" si="53"/>
        <v>0</v>
      </c>
      <c r="Q223" s="325">
        <f t="shared" si="54"/>
        <v>0</v>
      </c>
      <c r="R223" s="325">
        <f t="shared" si="55"/>
        <v>0</v>
      </c>
      <c r="S223" s="325">
        <f t="shared" si="56"/>
        <v>0</v>
      </c>
      <c r="T223" s="325">
        <f t="shared" si="57"/>
        <v>0</v>
      </c>
      <c r="U223" s="409">
        <f t="shared" si="50"/>
        <v>0</v>
      </c>
      <c r="V223" s="325">
        <f t="shared" si="51"/>
        <v>442</v>
      </c>
      <c r="W223" s="449" cm="1">
        <f t="array" ref="W223">+IF(U223&lt;0,error,0)</f>
        <v>0</v>
      </c>
    </row>
    <row r="224" spans="1:23" ht="18" customHeight="1" x14ac:dyDescent="0.2">
      <c r="A224" s="402" t="s">
        <v>441</v>
      </c>
      <c r="B224" s="403"/>
      <c r="C224" s="404" t="s">
        <v>442</v>
      </c>
      <c r="D224" s="405">
        <v>39787</v>
      </c>
      <c r="E224" s="406"/>
      <c r="F224" s="325"/>
      <c r="G224" s="324"/>
      <c r="H224" s="324">
        <v>233.96</v>
      </c>
      <c r="I224" s="325">
        <v>0</v>
      </c>
      <c r="J224" s="325"/>
      <c r="K224" s="325">
        <f t="shared" si="47"/>
        <v>0</v>
      </c>
      <c r="L224" s="325">
        <f t="shared" si="48"/>
        <v>0</v>
      </c>
      <c r="M224" s="407">
        <v>18.75</v>
      </c>
      <c r="N224" s="408" t="s">
        <v>289</v>
      </c>
      <c r="O224" s="325">
        <f t="shared" si="52"/>
        <v>0</v>
      </c>
      <c r="P224" s="325">
        <f t="shared" si="53"/>
        <v>0</v>
      </c>
      <c r="Q224" s="325">
        <f t="shared" si="54"/>
        <v>0</v>
      </c>
      <c r="R224" s="325">
        <f t="shared" si="55"/>
        <v>0</v>
      </c>
      <c r="S224" s="325">
        <f t="shared" si="56"/>
        <v>0</v>
      </c>
      <c r="T224" s="325">
        <f t="shared" si="57"/>
        <v>0</v>
      </c>
      <c r="U224" s="409">
        <f t="shared" si="50"/>
        <v>0</v>
      </c>
      <c r="V224" s="325">
        <f t="shared" si="51"/>
        <v>0</v>
      </c>
      <c r="W224" s="449" cm="1">
        <f t="array" ref="W224">+IF(U224&lt;0,error,0)</f>
        <v>0</v>
      </c>
    </row>
    <row r="225" spans="1:23" ht="18" customHeight="1" x14ac:dyDescent="0.2">
      <c r="A225" s="402" t="s">
        <v>444</v>
      </c>
      <c r="B225" s="403"/>
      <c r="C225" s="404" t="s">
        <v>445</v>
      </c>
      <c r="D225" s="405">
        <v>39790</v>
      </c>
      <c r="E225" s="406"/>
      <c r="F225" s="325"/>
      <c r="G225" s="324"/>
      <c r="H225" s="324">
        <v>1077.75</v>
      </c>
      <c r="I225" s="325">
        <v>0</v>
      </c>
      <c r="J225" s="325"/>
      <c r="K225" s="325">
        <f t="shared" si="47"/>
        <v>0</v>
      </c>
      <c r="L225" s="325">
        <f t="shared" si="48"/>
        <v>0</v>
      </c>
      <c r="M225" s="407">
        <v>18.75</v>
      </c>
      <c r="N225" s="408" t="s">
        <v>289</v>
      </c>
      <c r="O225" s="325">
        <f t="shared" si="52"/>
        <v>0</v>
      </c>
      <c r="P225" s="325">
        <f t="shared" si="53"/>
        <v>0</v>
      </c>
      <c r="Q225" s="325">
        <f t="shared" si="54"/>
        <v>0</v>
      </c>
      <c r="R225" s="325">
        <f t="shared" si="55"/>
        <v>0</v>
      </c>
      <c r="S225" s="325">
        <f t="shared" si="56"/>
        <v>0</v>
      </c>
      <c r="T225" s="325">
        <f t="shared" si="57"/>
        <v>0</v>
      </c>
      <c r="U225" s="409">
        <f t="shared" si="50"/>
        <v>0</v>
      </c>
      <c r="V225" s="325">
        <f t="shared" si="51"/>
        <v>0</v>
      </c>
      <c r="W225" s="449" cm="1">
        <f t="array" ref="W225">+IF(U225&lt;0,error,0)</f>
        <v>0</v>
      </c>
    </row>
    <row r="226" spans="1:23" ht="18" customHeight="1" x14ac:dyDescent="0.2">
      <c r="A226" s="402" t="s">
        <v>446</v>
      </c>
      <c r="B226" s="403"/>
      <c r="C226" s="404" t="s">
        <v>380</v>
      </c>
      <c r="D226" s="405">
        <v>39814</v>
      </c>
      <c r="E226" s="406">
        <v>44012</v>
      </c>
      <c r="F226" s="325">
        <v>0</v>
      </c>
      <c r="G226" s="324">
        <v>1099.52</v>
      </c>
      <c r="H226" s="324">
        <v>1099.52</v>
      </c>
      <c r="I226" s="325">
        <v>0</v>
      </c>
      <c r="J226" s="325"/>
      <c r="K226" s="325">
        <f t="shared" si="47"/>
        <v>0</v>
      </c>
      <c r="L226" s="325">
        <f t="shared" si="48"/>
        <v>0</v>
      </c>
      <c r="M226" s="407">
        <v>18.75</v>
      </c>
      <c r="N226" s="408" t="s">
        <v>289</v>
      </c>
      <c r="O226" s="325">
        <f t="shared" si="52"/>
        <v>0</v>
      </c>
      <c r="P226" s="325">
        <f t="shared" si="53"/>
        <v>0</v>
      </c>
      <c r="Q226" s="325">
        <f t="shared" si="54"/>
        <v>0</v>
      </c>
      <c r="R226" s="325">
        <f t="shared" si="55"/>
        <v>0</v>
      </c>
      <c r="S226" s="325">
        <f t="shared" si="56"/>
        <v>0</v>
      </c>
      <c r="T226" s="325">
        <f t="shared" si="57"/>
        <v>0</v>
      </c>
      <c r="U226" s="409">
        <f t="shared" si="50"/>
        <v>0</v>
      </c>
      <c r="V226" s="325">
        <f t="shared" si="51"/>
        <v>1099.52</v>
      </c>
      <c r="W226" s="449" cm="1">
        <f t="array" ref="W226">+IF(U226&lt;0,error,0)</f>
        <v>0</v>
      </c>
    </row>
    <row r="227" spans="1:23" ht="18" customHeight="1" x14ac:dyDescent="0.2">
      <c r="A227" s="402" t="s">
        <v>447</v>
      </c>
      <c r="B227" s="403"/>
      <c r="C227" s="404" t="s">
        <v>418</v>
      </c>
      <c r="D227" s="405">
        <v>39821</v>
      </c>
      <c r="E227" s="406"/>
      <c r="F227" s="325"/>
      <c r="G227" s="324"/>
      <c r="H227" s="324">
        <v>373.25</v>
      </c>
      <c r="I227" s="325">
        <v>0</v>
      </c>
      <c r="J227" s="325"/>
      <c r="K227" s="325">
        <f t="shared" si="47"/>
        <v>0</v>
      </c>
      <c r="L227" s="325">
        <f t="shared" si="48"/>
        <v>0</v>
      </c>
      <c r="M227" s="407">
        <v>18.75</v>
      </c>
      <c r="N227" s="408" t="s">
        <v>289</v>
      </c>
      <c r="O227" s="325">
        <f t="shared" si="52"/>
        <v>0</v>
      </c>
      <c r="P227" s="325">
        <f t="shared" si="53"/>
        <v>0</v>
      </c>
      <c r="Q227" s="325">
        <f t="shared" si="54"/>
        <v>0</v>
      </c>
      <c r="R227" s="325">
        <f t="shared" si="55"/>
        <v>0</v>
      </c>
      <c r="S227" s="325">
        <f t="shared" si="56"/>
        <v>0</v>
      </c>
      <c r="T227" s="325">
        <f t="shared" si="57"/>
        <v>0</v>
      </c>
      <c r="U227" s="409">
        <f t="shared" si="50"/>
        <v>0</v>
      </c>
      <c r="V227" s="325">
        <f t="shared" si="51"/>
        <v>0</v>
      </c>
      <c r="W227" s="449" cm="1">
        <f t="array" ref="W227">+IF(U227&lt;0,error,0)</f>
        <v>0</v>
      </c>
    </row>
    <row r="228" spans="1:23" ht="18" customHeight="1" x14ac:dyDescent="0.2">
      <c r="A228" s="402" t="s">
        <v>448</v>
      </c>
      <c r="B228" s="403"/>
      <c r="C228" s="404" t="s">
        <v>449</v>
      </c>
      <c r="D228" s="405">
        <v>39855</v>
      </c>
      <c r="E228" s="406">
        <v>44012</v>
      </c>
      <c r="F228" s="325">
        <v>0</v>
      </c>
      <c r="G228" s="324">
        <v>327.93</v>
      </c>
      <c r="H228" s="324">
        <v>327.93</v>
      </c>
      <c r="I228" s="325">
        <v>0</v>
      </c>
      <c r="J228" s="325"/>
      <c r="K228" s="325">
        <f t="shared" si="47"/>
        <v>0</v>
      </c>
      <c r="L228" s="325">
        <f t="shared" si="48"/>
        <v>0</v>
      </c>
      <c r="M228" s="407">
        <v>18.75</v>
      </c>
      <c r="N228" s="408" t="s">
        <v>289</v>
      </c>
      <c r="O228" s="325">
        <f t="shared" si="52"/>
        <v>0</v>
      </c>
      <c r="P228" s="325">
        <f t="shared" si="53"/>
        <v>0</v>
      </c>
      <c r="Q228" s="325">
        <f t="shared" si="54"/>
        <v>0</v>
      </c>
      <c r="R228" s="325">
        <f t="shared" si="55"/>
        <v>0</v>
      </c>
      <c r="S228" s="325">
        <f t="shared" si="56"/>
        <v>0</v>
      </c>
      <c r="T228" s="325">
        <f t="shared" si="57"/>
        <v>0</v>
      </c>
      <c r="U228" s="409">
        <f t="shared" si="50"/>
        <v>0</v>
      </c>
      <c r="V228" s="325">
        <f t="shared" si="51"/>
        <v>327.93</v>
      </c>
      <c r="W228" s="449" cm="1">
        <f t="array" ref="W228">+IF(U228&lt;0,error,0)</f>
        <v>0</v>
      </c>
    </row>
    <row r="229" spans="1:23" ht="18" customHeight="1" x14ac:dyDescent="0.2">
      <c r="A229" s="402" t="s">
        <v>454</v>
      </c>
      <c r="B229" s="403"/>
      <c r="C229" s="404" t="s">
        <v>455</v>
      </c>
      <c r="D229" s="405">
        <v>39966</v>
      </c>
      <c r="E229" s="406">
        <v>44012</v>
      </c>
      <c r="F229" s="325">
        <v>0</v>
      </c>
      <c r="G229" s="324">
        <v>301.8</v>
      </c>
      <c r="H229" s="324">
        <v>301.8</v>
      </c>
      <c r="I229" s="325">
        <v>0</v>
      </c>
      <c r="J229" s="325"/>
      <c r="K229" s="325">
        <f t="shared" si="47"/>
        <v>0</v>
      </c>
      <c r="L229" s="325">
        <f t="shared" si="48"/>
        <v>0</v>
      </c>
      <c r="M229" s="407">
        <v>18.75</v>
      </c>
      <c r="N229" s="408" t="s">
        <v>289</v>
      </c>
      <c r="O229" s="325">
        <f t="shared" si="52"/>
        <v>0</v>
      </c>
      <c r="P229" s="325">
        <f t="shared" si="53"/>
        <v>0</v>
      </c>
      <c r="Q229" s="325">
        <f t="shared" si="54"/>
        <v>0</v>
      </c>
      <c r="R229" s="325">
        <f t="shared" si="55"/>
        <v>0</v>
      </c>
      <c r="S229" s="325">
        <f t="shared" si="56"/>
        <v>0</v>
      </c>
      <c r="T229" s="325">
        <f t="shared" si="57"/>
        <v>0</v>
      </c>
      <c r="U229" s="409">
        <f t="shared" si="50"/>
        <v>0</v>
      </c>
      <c r="V229" s="325">
        <f t="shared" si="51"/>
        <v>301.8</v>
      </c>
      <c r="W229" s="449" cm="1">
        <f t="array" ref="W229">+IF(U229&lt;0,error,0)</f>
        <v>0</v>
      </c>
    </row>
    <row r="230" spans="1:23" ht="18" customHeight="1" x14ac:dyDescent="0.2">
      <c r="A230" s="402" t="s">
        <v>456</v>
      </c>
      <c r="B230" s="403"/>
      <c r="C230" s="404" t="s">
        <v>331</v>
      </c>
      <c r="D230" s="405">
        <v>39987</v>
      </c>
      <c r="E230" s="406">
        <v>44012</v>
      </c>
      <c r="F230" s="325">
        <v>0</v>
      </c>
      <c r="G230" s="324">
        <v>1582.6</v>
      </c>
      <c r="H230" s="324">
        <v>1582.6000000000001</v>
      </c>
      <c r="I230" s="325">
        <v>0</v>
      </c>
      <c r="J230" s="325"/>
      <c r="K230" s="325">
        <f t="shared" si="47"/>
        <v>0</v>
      </c>
      <c r="L230" s="325">
        <f t="shared" si="48"/>
        <v>0</v>
      </c>
      <c r="M230" s="407">
        <v>18.75</v>
      </c>
      <c r="N230" s="408" t="s">
        <v>289</v>
      </c>
      <c r="O230" s="325">
        <f t="shared" si="52"/>
        <v>0</v>
      </c>
      <c r="P230" s="325">
        <f t="shared" si="53"/>
        <v>0</v>
      </c>
      <c r="Q230" s="325">
        <f t="shared" si="54"/>
        <v>0</v>
      </c>
      <c r="R230" s="325">
        <f t="shared" si="55"/>
        <v>0</v>
      </c>
      <c r="S230" s="325">
        <f t="shared" si="56"/>
        <v>0</v>
      </c>
      <c r="T230" s="325">
        <f t="shared" si="57"/>
        <v>0</v>
      </c>
      <c r="U230" s="409">
        <f t="shared" si="50"/>
        <v>0</v>
      </c>
      <c r="V230" s="325">
        <f t="shared" si="51"/>
        <v>1582.6000000000001</v>
      </c>
      <c r="W230" s="449" cm="1">
        <f t="array" ref="W230">+IF(U230&lt;0,error,0)</f>
        <v>0</v>
      </c>
    </row>
    <row r="231" spans="1:23" ht="18" customHeight="1" x14ac:dyDescent="0.2">
      <c r="A231" s="402" t="s">
        <v>460</v>
      </c>
      <c r="B231" s="403"/>
      <c r="C231" s="404" t="s">
        <v>461</v>
      </c>
      <c r="D231" s="405">
        <v>40028</v>
      </c>
      <c r="E231" s="406"/>
      <c r="F231" s="325"/>
      <c r="G231" s="324"/>
      <c r="H231" s="324">
        <v>2060</v>
      </c>
      <c r="I231" s="325">
        <v>207</v>
      </c>
      <c r="J231" s="325"/>
      <c r="K231" s="325">
        <f t="shared" si="47"/>
        <v>0</v>
      </c>
      <c r="L231" s="325">
        <f t="shared" si="48"/>
        <v>0</v>
      </c>
      <c r="M231" s="407">
        <v>20</v>
      </c>
      <c r="N231" s="408" t="s">
        <v>289</v>
      </c>
      <c r="O231" s="325">
        <f t="shared" si="52"/>
        <v>0</v>
      </c>
      <c r="P231" s="325">
        <f t="shared" si="53"/>
        <v>0</v>
      </c>
      <c r="Q231" s="325">
        <f t="shared" si="54"/>
        <v>0</v>
      </c>
      <c r="R231" s="325">
        <f t="shared" si="55"/>
        <v>20</v>
      </c>
      <c r="S231" s="325">
        <f t="shared" si="56"/>
        <v>0</v>
      </c>
      <c r="T231" s="325">
        <f t="shared" si="57"/>
        <v>20</v>
      </c>
      <c r="U231" s="409">
        <f t="shared" si="50"/>
        <v>187</v>
      </c>
      <c r="V231" s="325">
        <f t="shared" si="51"/>
        <v>0</v>
      </c>
      <c r="W231" s="449" cm="1">
        <f t="array" ref="W231">+IF(U231&lt;0,error,0)</f>
        <v>0</v>
      </c>
    </row>
    <row r="232" spans="1:23" ht="18" customHeight="1" x14ac:dyDescent="0.2">
      <c r="A232" s="402" t="s">
        <v>477</v>
      </c>
      <c r="B232" s="403"/>
      <c r="C232" s="404" t="s">
        <v>478</v>
      </c>
      <c r="D232" s="405">
        <v>40095</v>
      </c>
      <c r="E232" s="406"/>
      <c r="F232" s="325"/>
      <c r="G232" s="324"/>
      <c r="H232" s="324">
        <v>2986.6</v>
      </c>
      <c r="I232" s="325">
        <v>313.60000000000002</v>
      </c>
      <c r="J232" s="325"/>
      <c r="K232" s="325">
        <f t="shared" si="47"/>
        <v>0</v>
      </c>
      <c r="L232" s="325">
        <f t="shared" si="48"/>
        <v>0</v>
      </c>
      <c r="M232" s="407">
        <v>20</v>
      </c>
      <c r="N232" s="408" t="s">
        <v>289</v>
      </c>
      <c r="O232" s="325">
        <f t="shared" si="52"/>
        <v>0</v>
      </c>
      <c r="P232" s="325">
        <f t="shared" si="53"/>
        <v>0</v>
      </c>
      <c r="Q232" s="325">
        <f t="shared" si="54"/>
        <v>0</v>
      </c>
      <c r="R232" s="325">
        <f t="shared" si="55"/>
        <v>31</v>
      </c>
      <c r="S232" s="325">
        <f t="shared" si="56"/>
        <v>0</v>
      </c>
      <c r="T232" s="325">
        <f t="shared" si="57"/>
        <v>31</v>
      </c>
      <c r="U232" s="409">
        <f t="shared" si="50"/>
        <v>282.60000000000002</v>
      </c>
      <c r="V232" s="325">
        <f t="shared" si="51"/>
        <v>0</v>
      </c>
      <c r="W232" s="449" cm="1">
        <f t="array" ref="W232">+IF(U232&lt;0,error,0)</f>
        <v>0</v>
      </c>
    </row>
    <row r="233" spans="1:23" ht="18" customHeight="1" x14ac:dyDescent="0.2">
      <c r="A233" s="402" t="s">
        <v>482</v>
      </c>
      <c r="B233" s="403"/>
      <c r="C233" s="404" t="s">
        <v>483</v>
      </c>
      <c r="D233" s="405">
        <v>40162</v>
      </c>
      <c r="E233" s="406"/>
      <c r="F233" s="325"/>
      <c r="G233" s="324"/>
      <c r="H233" s="324">
        <v>3500</v>
      </c>
      <c r="I233" s="325">
        <v>0</v>
      </c>
      <c r="J233" s="325"/>
      <c r="K233" s="325">
        <f t="shared" si="47"/>
        <v>0</v>
      </c>
      <c r="L233" s="325">
        <f t="shared" si="48"/>
        <v>0</v>
      </c>
      <c r="M233" s="407">
        <v>40</v>
      </c>
      <c r="N233" s="408" t="s">
        <v>289</v>
      </c>
      <c r="O233" s="325">
        <f t="shared" si="52"/>
        <v>0</v>
      </c>
      <c r="P233" s="325">
        <f t="shared" si="53"/>
        <v>0</v>
      </c>
      <c r="Q233" s="325">
        <f t="shared" si="54"/>
        <v>0</v>
      </c>
      <c r="R233" s="325">
        <f t="shared" si="55"/>
        <v>0</v>
      </c>
      <c r="S233" s="325">
        <f t="shared" si="56"/>
        <v>0</v>
      </c>
      <c r="T233" s="325">
        <f t="shared" si="57"/>
        <v>0</v>
      </c>
      <c r="U233" s="409">
        <f t="shared" si="50"/>
        <v>0</v>
      </c>
      <c r="V233" s="325">
        <f t="shared" si="51"/>
        <v>0</v>
      </c>
      <c r="W233" s="449" cm="1">
        <f t="array" ref="W233">+IF(U233&lt;0,error,0)</f>
        <v>0</v>
      </c>
    </row>
    <row r="234" spans="1:23" ht="18" customHeight="1" x14ac:dyDescent="0.2">
      <c r="A234" s="402" t="s">
        <v>484</v>
      </c>
      <c r="B234" s="403"/>
      <c r="C234" s="404" t="s">
        <v>485</v>
      </c>
      <c r="D234" s="405">
        <v>40190</v>
      </c>
      <c r="E234" s="406">
        <v>44012</v>
      </c>
      <c r="F234" s="325">
        <v>0</v>
      </c>
      <c r="G234" s="324">
        <v>1110</v>
      </c>
      <c r="H234" s="324">
        <v>1110</v>
      </c>
      <c r="I234" s="325">
        <v>0</v>
      </c>
      <c r="J234" s="325"/>
      <c r="K234" s="325">
        <f t="shared" si="47"/>
        <v>0</v>
      </c>
      <c r="L234" s="325">
        <f t="shared" si="48"/>
        <v>0</v>
      </c>
      <c r="M234" s="407">
        <v>40</v>
      </c>
      <c r="N234" s="408" t="s">
        <v>289</v>
      </c>
      <c r="O234" s="325">
        <f t="shared" si="52"/>
        <v>0</v>
      </c>
      <c r="P234" s="325">
        <f t="shared" si="53"/>
        <v>0</v>
      </c>
      <c r="Q234" s="325">
        <f t="shared" si="54"/>
        <v>0</v>
      </c>
      <c r="R234" s="325">
        <f t="shared" si="55"/>
        <v>0</v>
      </c>
      <c r="S234" s="325">
        <f t="shared" si="56"/>
        <v>0</v>
      </c>
      <c r="T234" s="325">
        <f t="shared" si="57"/>
        <v>0</v>
      </c>
      <c r="U234" s="409">
        <f t="shared" si="50"/>
        <v>0</v>
      </c>
      <c r="V234" s="325">
        <f t="shared" si="51"/>
        <v>1110</v>
      </c>
      <c r="W234" s="449" cm="1">
        <f t="array" ref="W234">+IF(U234&lt;0,error,0)</f>
        <v>0</v>
      </c>
    </row>
    <row r="235" spans="1:23" ht="18" customHeight="1" x14ac:dyDescent="0.2">
      <c r="A235" s="402" t="s">
        <v>486</v>
      </c>
      <c r="B235" s="403"/>
      <c r="C235" s="404" t="s">
        <v>487</v>
      </c>
      <c r="D235" s="405">
        <v>40210</v>
      </c>
      <c r="E235" s="406"/>
      <c r="F235" s="325"/>
      <c r="G235" s="324"/>
      <c r="H235" s="324">
        <v>1113</v>
      </c>
      <c r="I235" s="325">
        <v>0</v>
      </c>
      <c r="J235" s="325"/>
      <c r="K235" s="325">
        <f t="shared" si="47"/>
        <v>0</v>
      </c>
      <c r="L235" s="325">
        <f t="shared" si="48"/>
        <v>0</v>
      </c>
      <c r="M235" s="407">
        <v>10</v>
      </c>
      <c r="N235" s="408" t="s">
        <v>289</v>
      </c>
      <c r="O235" s="325">
        <f t="shared" si="52"/>
        <v>0</v>
      </c>
      <c r="P235" s="325">
        <f t="shared" si="53"/>
        <v>0</v>
      </c>
      <c r="Q235" s="325">
        <f t="shared" si="54"/>
        <v>0</v>
      </c>
      <c r="R235" s="325">
        <f t="shared" si="55"/>
        <v>0</v>
      </c>
      <c r="S235" s="325">
        <f t="shared" si="56"/>
        <v>0</v>
      </c>
      <c r="T235" s="325">
        <f t="shared" si="57"/>
        <v>0</v>
      </c>
      <c r="U235" s="409">
        <f t="shared" si="50"/>
        <v>0</v>
      </c>
      <c r="V235" s="325">
        <f t="shared" si="51"/>
        <v>0</v>
      </c>
      <c r="W235" s="449" cm="1">
        <f t="array" ref="W235">+IF(U235&lt;0,error,0)</f>
        <v>0</v>
      </c>
    </row>
    <row r="236" spans="1:23" ht="18" customHeight="1" x14ac:dyDescent="0.2">
      <c r="A236" s="402" t="s">
        <v>494</v>
      </c>
      <c r="B236" s="403"/>
      <c r="C236" s="404" t="s">
        <v>495</v>
      </c>
      <c r="D236" s="405">
        <v>40188</v>
      </c>
      <c r="E236" s="406">
        <v>44012</v>
      </c>
      <c r="F236" s="325">
        <v>0</v>
      </c>
      <c r="G236" s="324">
        <v>360</v>
      </c>
      <c r="H236" s="324">
        <v>360</v>
      </c>
      <c r="I236" s="325">
        <v>0</v>
      </c>
      <c r="J236" s="325"/>
      <c r="K236" s="325">
        <f t="shared" si="47"/>
        <v>0</v>
      </c>
      <c r="L236" s="325">
        <f t="shared" si="48"/>
        <v>0</v>
      </c>
      <c r="M236" s="407">
        <v>13.33</v>
      </c>
      <c r="N236" s="408" t="s">
        <v>289</v>
      </c>
      <c r="O236" s="325">
        <f t="shared" si="52"/>
        <v>0</v>
      </c>
      <c r="P236" s="325">
        <f t="shared" si="53"/>
        <v>0</v>
      </c>
      <c r="Q236" s="325">
        <f t="shared" si="54"/>
        <v>0</v>
      </c>
      <c r="R236" s="325">
        <f t="shared" si="55"/>
        <v>0</v>
      </c>
      <c r="S236" s="325">
        <f t="shared" si="56"/>
        <v>0</v>
      </c>
      <c r="T236" s="325">
        <f t="shared" si="57"/>
        <v>0</v>
      </c>
      <c r="U236" s="409">
        <f t="shared" si="50"/>
        <v>0</v>
      </c>
      <c r="V236" s="325">
        <f t="shared" si="51"/>
        <v>360</v>
      </c>
      <c r="W236" s="449" cm="1">
        <f t="array" ref="W236">+IF(U236&lt;0,error,0)</f>
        <v>0</v>
      </c>
    </row>
    <row r="237" spans="1:23" ht="18" customHeight="1" x14ac:dyDescent="0.2">
      <c r="A237" s="402" t="s">
        <v>496</v>
      </c>
      <c r="B237" s="403"/>
      <c r="C237" s="404" t="s">
        <v>497</v>
      </c>
      <c r="D237" s="405">
        <v>40269</v>
      </c>
      <c r="E237" s="406"/>
      <c r="F237" s="325"/>
      <c r="G237" s="324"/>
      <c r="H237" s="324">
        <v>7900</v>
      </c>
      <c r="I237" s="325">
        <v>2843</v>
      </c>
      <c r="J237" s="325"/>
      <c r="K237" s="325">
        <f t="shared" si="47"/>
        <v>0</v>
      </c>
      <c r="L237" s="325">
        <f t="shared" si="48"/>
        <v>0</v>
      </c>
      <c r="M237" s="407">
        <v>10</v>
      </c>
      <c r="N237" s="408" t="s">
        <v>289</v>
      </c>
      <c r="O237" s="325">
        <f t="shared" si="52"/>
        <v>0</v>
      </c>
      <c r="P237" s="325">
        <f t="shared" si="53"/>
        <v>0</v>
      </c>
      <c r="Q237" s="325">
        <f t="shared" si="54"/>
        <v>0</v>
      </c>
      <c r="R237" s="325">
        <f t="shared" si="55"/>
        <v>142</v>
      </c>
      <c r="S237" s="325">
        <f t="shared" si="56"/>
        <v>0</v>
      </c>
      <c r="T237" s="325">
        <f t="shared" si="57"/>
        <v>142</v>
      </c>
      <c r="U237" s="409">
        <f t="shared" si="50"/>
        <v>2701</v>
      </c>
      <c r="V237" s="325">
        <f t="shared" si="51"/>
        <v>0</v>
      </c>
      <c r="W237" s="449" cm="1">
        <f t="array" ref="W237">+IF(U237&lt;0,error,0)</f>
        <v>0</v>
      </c>
    </row>
    <row r="238" spans="1:23" ht="18" customHeight="1" x14ac:dyDescent="0.2">
      <c r="A238" s="402" t="s">
        <v>498</v>
      </c>
      <c r="B238" s="403"/>
      <c r="C238" s="404" t="s">
        <v>499</v>
      </c>
      <c r="D238" s="405">
        <v>40284</v>
      </c>
      <c r="E238" s="406">
        <v>44012</v>
      </c>
      <c r="F238" s="325">
        <v>0</v>
      </c>
      <c r="G238" s="324">
        <v>1683.64</v>
      </c>
      <c r="H238" s="324">
        <v>1683.64</v>
      </c>
      <c r="I238" s="325">
        <v>0</v>
      </c>
      <c r="J238" s="325"/>
      <c r="K238" s="325">
        <f t="shared" si="47"/>
        <v>0</v>
      </c>
      <c r="L238" s="325">
        <f t="shared" si="48"/>
        <v>0</v>
      </c>
      <c r="M238" s="407">
        <v>66.67</v>
      </c>
      <c r="N238" s="408" t="s">
        <v>289</v>
      </c>
      <c r="O238" s="325">
        <f t="shared" si="52"/>
        <v>0</v>
      </c>
      <c r="P238" s="325">
        <f t="shared" si="53"/>
        <v>0</v>
      </c>
      <c r="Q238" s="325">
        <f t="shared" si="54"/>
        <v>0</v>
      </c>
      <c r="R238" s="325">
        <f t="shared" si="55"/>
        <v>0</v>
      </c>
      <c r="S238" s="325">
        <f t="shared" si="56"/>
        <v>0</v>
      </c>
      <c r="T238" s="325">
        <f t="shared" si="57"/>
        <v>0</v>
      </c>
      <c r="U238" s="409">
        <f t="shared" si="50"/>
        <v>0</v>
      </c>
      <c r="V238" s="325">
        <f t="shared" si="51"/>
        <v>1683.64</v>
      </c>
      <c r="W238" s="449" cm="1">
        <f t="array" ref="W238">+IF(U238&lt;0,error,0)</f>
        <v>0</v>
      </c>
    </row>
    <row r="239" spans="1:23" ht="18" customHeight="1" x14ac:dyDescent="0.2">
      <c r="A239" s="402" t="s">
        <v>502</v>
      </c>
      <c r="B239" s="403"/>
      <c r="C239" s="404" t="s">
        <v>360</v>
      </c>
      <c r="D239" s="405">
        <v>38056</v>
      </c>
      <c r="E239" s="406"/>
      <c r="F239" s="325"/>
      <c r="G239" s="324"/>
      <c r="H239" s="324">
        <v>600</v>
      </c>
      <c r="I239" s="325">
        <v>0</v>
      </c>
      <c r="J239" s="325"/>
      <c r="K239" s="325">
        <f t="shared" si="47"/>
        <v>0</v>
      </c>
      <c r="L239" s="325">
        <f t="shared" si="48"/>
        <v>0</v>
      </c>
      <c r="M239" s="407">
        <v>5</v>
      </c>
      <c r="N239" s="408" t="s">
        <v>289</v>
      </c>
      <c r="O239" s="325">
        <f t="shared" si="52"/>
        <v>0</v>
      </c>
      <c r="P239" s="325">
        <f t="shared" si="53"/>
        <v>0</v>
      </c>
      <c r="Q239" s="325">
        <f t="shared" si="54"/>
        <v>0</v>
      </c>
      <c r="R239" s="325">
        <f t="shared" si="55"/>
        <v>0</v>
      </c>
      <c r="S239" s="325">
        <f t="shared" si="56"/>
        <v>0</v>
      </c>
      <c r="T239" s="325">
        <f t="shared" si="57"/>
        <v>0</v>
      </c>
      <c r="U239" s="409">
        <f t="shared" si="50"/>
        <v>0</v>
      </c>
      <c r="V239" s="325">
        <f t="shared" si="51"/>
        <v>0</v>
      </c>
      <c r="W239" s="449" cm="1">
        <f t="array" ref="W239">+IF(U239&lt;0,error,0)</f>
        <v>0</v>
      </c>
    </row>
    <row r="240" spans="1:23" ht="18" customHeight="1" x14ac:dyDescent="0.2">
      <c r="A240" s="402" t="s">
        <v>503</v>
      </c>
      <c r="B240" s="403"/>
      <c r="C240" s="404" t="s">
        <v>504</v>
      </c>
      <c r="D240" s="405">
        <v>40359</v>
      </c>
      <c r="E240" s="406"/>
      <c r="F240" s="325"/>
      <c r="G240" s="324"/>
      <c r="H240" s="324">
        <v>669.4</v>
      </c>
      <c r="I240" s="325">
        <v>0</v>
      </c>
      <c r="J240" s="325"/>
      <c r="K240" s="325">
        <f t="shared" ref="K240:K303" si="58">INT(IF($E240&gt;0,IF(+F240-I240+Q240&lt;0,0,+F240-I240+Q240),0))</f>
        <v>0</v>
      </c>
      <c r="L240" s="325">
        <f t="shared" ref="L240:L303" si="59">INT(IF($E240&gt;0,IF(K240=0,-F240+I240-Q240,0),0))</f>
        <v>0</v>
      </c>
      <c r="M240" s="407">
        <v>10</v>
      </c>
      <c r="N240" s="408" t="s">
        <v>289</v>
      </c>
      <c r="O240" s="325">
        <f t="shared" si="52"/>
        <v>0</v>
      </c>
      <c r="P240" s="325">
        <f t="shared" si="53"/>
        <v>0</v>
      </c>
      <c r="Q240" s="325">
        <f t="shared" si="54"/>
        <v>0</v>
      </c>
      <c r="R240" s="325">
        <f t="shared" si="55"/>
        <v>0</v>
      </c>
      <c r="S240" s="325">
        <f t="shared" si="56"/>
        <v>0</v>
      </c>
      <c r="T240" s="325">
        <f t="shared" si="57"/>
        <v>0</v>
      </c>
      <c r="U240" s="409">
        <f t="shared" ref="U240:U303" si="60">+I240+J240-T240-F240+K240-L240</f>
        <v>0</v>
      </c>
      <c r="V240" s="325">
        <f t="shared" ref="V240:V303" si="61">IF(E240&gt;0,+H240+J240,0)</f>
        <v>0</v>
      </c>
      <c r="W240" s="449" cm="1">
        <f t="array" ref="W240">+IF(U240&lt;0,error,0)</f>
        <v>0</v>
      </c>
    </row>
    <row r="241" spans="1:23" ht="18" customHeight="1" x14ac:dyDescent="0.2">
      <c r="A241" s="402" t="s">
        <v>511</v>
      </c>
      <c r="B241" s="403"/>
      <c r="C241" s="404" t="s">
        <v>512</v>
      </c>
      <c r="D241" s="405">
        <v>40079</v>
      </c>
      <c r="E241" s="406">
        <v>44012</v>
      </c>
      <c r="F241" s="325">
        <v>0</v>
      </c>
      <c r="G241" s="324">
        <v>679.22</v>
      </c>
      <c r="H241" s="324">
        <v>679.22</v>
      </c>
      <c r="I241" s="325">
        <v>0</v>
      </c>
      <c r="J241" s="325"/>
      <c r="K241" s="325">
        <f t="shared" si="58"/>
        <v>0</v>
      </c>
      <c r="L241" s="325">
        <f t="shared" si="59"/>
        <v>0</v>
      </c>
      <c r="M241" s="407">
        <v>28.5</v>
      </c>
      <c r="N241" s="408" t="s">
        <v>289</v>
      </c>
      <c r="O241" s="325">
        <f t="shared" ref="O241:O304" si="62">IF(E241&gt;0,INT(IF($N241="D",IF($D241&lt;$H$3,$I241*($M241/100)*((E241-$H$3)/365),$J241*($M241/100)*($J$3-$D241)/365),0)),0)</f>
        <v>0</v>
      </c>
      <c r="P241" s="325">
        <f t="shared" ref="P241:P304" si="63">IF(E241&gt;0,INT(IF($N241="P",IF($D241&lt;$H$3,$H241*($M241/100)*(E241-$H$3)/365,$J241*($M241/100)*($J$3-$D241)/365),0)),0)</f>
        <v>0</v>
      </c>
      <c r="Q241" s="325">
        <f t="shared" ref="Q241:Q304" si="64">+O241+P241</f>
        <v>0</v>
      </c>
      <c r="R241" s="325">
        <f t="shared" ref="R241:R304" si="65">INT(IF($E241&gt;0,0,(IF($N241="D",IF($D241&lt;$H$3,$I241*($M241/100)*$U$3/12,$J241*($M241/100)*($J$3-$D241)/365),0))))</f>
        <v>0</v>
      </c>
      <c r="S241" s="325">
        <f t="shared" ref="S241:S304" si="66">INT(IF($E241&gt;0,0,(IF($N241="P",IF($D241&lt;$H$3,$H241*($M241/100)*$U$3/12,$J241*($M241/100)*($J$3-$D241)/365),0))))</f>
        <v>0</v>
      </c>
      <c r="T241" s="325">
        <f t="shared" si="57"/>
        <v>0</v>
      </c>
      <c r="U241" s="409">
        <f t="shared" si="60"/>
        <v>0</v>
      </c>
      <c r="V241" s="325">
        <f t="shared" si="61"/>
        <v>679.22</v>
      </c>
      <c r="W241" s="449" cm="1">
        <f t="array" ref="W241">+IF(U241&lt;0,error,0)</f>
        <v>0</v>
      </c>
    </row>
    <row r="242" spans="1:23" ht="18" customHeight="1" x14ac:dyDescent="0.2">
      <c r="A242" s="402" t="s">
        <v>513</v>
      </c>
      <c r="B242" s="403"/>
      <c r="C242" s="404" t="s">
        <v>514</v>
      </c>
      <c r="D242" s="405">
        <v>40086</v>
      </c>
      <c r="E242" s="406">
        <v>44012</v>
      </c>
      <c r="F242" s="325">
        <v>0</v>
      </c>
      <c r="G242" s="324">
        <v>844.27</v>
      </c>
      <c r="H242" s="324">
        <v>844.27</v>
      </c>
      <c r="I242" s="325">
        <v>0</v>
      </c>
      <c r="J242" s="325"/>
      <c r="K242" s="325">
        <f t="shared" si="58"/>
        <v>0</v>
      </c>
      <c r="L242" s="325">
        <f t="shared" si="59"/>
        <v>0</v>
      </c>
      <c r="M242" s="407">
        <v>28.5</v>
      </c>
      <c r="N242" s="408" t="s">
        <v>289</v>
      </c>
      <c r="O242" s="325">
        <f t="shared" si="62"/>
        <v>0</v>
      </c>
      <c r="P242" s="325">
        <f t="shared" si="63"/>
        <v>0</v>
      </c>
      <c r="Q242" s="325">
        <f t="shared" si="64"/>
        <v>0</v>
      </c>
      <c r="R242" s="325">
        <f t="shared" si="65"/>
        <v>0</v>
      </c>
      <c r="S242" s="325">
        <f t="shared" si="66"/>
        <v>0</v>
      </c>
      <c r="T242" s="325">
        <f t="shared" si="57"/>
        <v>0</v>
      </c>
      <c r="U242" s="409">
        <f t="shared" si="60"/>
        <v>0</v>
      </c>
      <c r="V242" s="325">
        <f t="shared" si="61"/>
        <v>844.27</v>
      </c>
      <c r="W242" s="449" cm="1">
        <f t="array" ref="W242">+IF(U242&lt;0,error,0)</f>
        <v>0</v>
      </c>
    </row>
    <row r="243" spans="1:23" ht="18" customHeight="1" x14ac:dyDescent="0.2">
      <c r="A243" s="402" t="s">
        <v>515</v>
      </c>
      <c r="B243" s="403"/>
      <c r="C243" s="404" t="s">
        <v>516</v>
      </c>
      <c r="D243" s="405">
        <v>40098</v>
      </c>
      <c r="E243" s="406">
        <v>44012</v>
      </c>
      <c r="F243" s="325">
        <v>0</v>
      </c>
      <c r="G243" s="324">
        <v>189.41</v>
      </c>
      <c r="H243" s="324">
        <v>189.41</v>
      </c>
      <c r="I243" s="325">
        <v>0</v>
      </c>
      <c r="J243" s="325"/>
      <c r="K243" s="325">
        <f t="shared" si="58"/>
        <v>0</v>
      </c>
      <c r="L243" s="325">
        <f t="shared" si="59"/>
        <v>0</v>
      </c>
      <c r="M243" s="407">
        <v>20</v>
      </c>
      <c r="N243" s="408" t="s">
        <v>289</v>
      </c>
      <c r="O243" s="325">
        <f t="shared" si="62"/>
        <v>0</v>
      </c>
      <c r="P243" s="325">
        <f t="shared" si="63"/>
        <v>0</v>
      </c>
      <c r="Q243" s="325">
        <f t="shared" si="64"/>
        <v>0</v>
      </c>
      <c r="R243" s="325">
        <f t="shared" si="65"/>
        <v>0</v>
      </c>
      <c r="S243" s="325">
        <f t="shared" si="66"/>
        <v>0</v>
      </c>
      <c r="T243" s="325">
        <f t="shared" si="57"/>
        <v>0</v>
      </c>
      <c r="U243" s="409">
        <f t="shared" si="60"/>
        <v>0</v>
      </c>
      <c r="V243" s="325">
        <f t="shared" si="61"/>
        <v>189.41</v>
      </c>
      <c r="W243" s="449" cm="1">
        <f t="array" ref="W243">+IF(U243&lt;0,error,0)</f>
        <v>0</v>
      </c>
    </row>
    <row r="244" spans="1:23" ht="18" customHeight="1" x14ac:dyDescent="0.2">
      <c r="A244" s="402" t="s">
        <v>521</v>
      </c>
      <c r="B244" s="403"/>
      <c r="C244" s="404" t="s">
        <v>522</v>
      </c>
      <c r="D244" s="405">
        <v>40179</v>
      </c>
      <c r="E244" s="406"/>
      <c r="F244" s="325"/>
      <c r="G244" s="324"/>
      <c r="H244" s="324">
        <v>485</v>
      </c>
      <c r="I244" s="325">
        <v>0</v>
      </c>
      <c r="J244" s="325"/>
      <c r="K244" s="325">
        <f t="shared" si="58"/>
        <v>0</v>
      </c>
      <c r="L244" s="325">
        <f t="shared" si="59"/>
        <v>0</v>
      </c>
      <c r="M244" s="407">
        <v>20</v>
      </c>
      <c r="N244" s="408" t="s">
        <v>289</v>
      </c>
      <c r="O244" s="325">
        <f t="shared" si="62"/>
        <v>0</v>
      </c>
      <c r="P244" s="325">
        <f t="shared" si="63"/>
        <v>0</v>
      </c>
      <c r="Q244" s="325">
        <f t="shared" si="64"/>
        <v>0</v>
      </c>
      <c r="R244" s="325">
        <f t="shared" si="65"/>
        <v>0</v>
      </c>
      <c r="S244" s="325">
        <f t="shared" si="66"/>
        <v>0</v>
      </c>
      <c r="T244" s="325">
        <f t="shared" si="57"/>
        <v>0</v>
      </c>
      <c r="U244" s="409">
        <f t="shared" si="60"/>
        <v>0</v>
      </c>
      <c r="V244" s="325">
        <f t="shared" si="61"/>
        <v>0</v>
      </c>
      <c r="W244" s="449" cm="1">
        <f t="array" ref="W244">+IF(U244&lt;0,error,0)</f>
        <v>0</v>
      </c>
    </row>
    <row r="245" spans="1:23" ht="18" customHeight="1" x14ac:dyDescent="0.2">
      <c r="A245" s="402" t="s">
        <v>523</v>
      </c>
      <c r="B245" s="403"/>
      <c r="C245" s="404" t="s">
        <v>524</v>
      </c>
      <c r="D245" s="405">
        <v>38085</v>
      </c>
      <c r="E245" s="406">
        <v>44012</v>
      </c>
      <c r="F245" s="325">
        <v>0</v>
      </c>
      <c r="G245" s="324">
        <v>400</v>
      </c>
      <c r="H245" s="324">
        <v>400</v>
      </c>
      <c r="I245" s="325">
        <v>0</v>
      </c>
      <c r="J245" s="325"/>
      <c r="K245" s="325">
        <f t="shared" si="58"/>
        <v>0</v>
      </c>
      <c r="L245" s="325">
        <f t="shared" si="59"/>
        <v>0</v>
      </c>
      <c r="M245" s="407">
        <v>5</v>
      </c>
      <c r="N245" s="408" t="s">
        <v>289</v>
      </c>
      <c r="O245" s="325">
        <f t="shared" si="62"/>
        <v>0</v>
      </c>
      <c r="P245" s="325">
        <f t="shared" si="63"/>
        <v>0</v>
      </c>
      <c r="Q245" s="325">
        <f t="shared" si="64"/>
        <v>0</v>
      </c>
      <c r="R245" s="325">
        <f t="shared" si="65"/>
        <v>0</v>
      </c>
      <c r="S245" s="325">
        <f t="shared" si="66"/>
        <v>0</v>
      </c>
      <c r="T245" s="325">
        <f t="shared" si="57"/>
        <v>0</v>
      </c>
      <c r="U245" s="409">
        <f t="shared" si="60"/>
        <v>0</v>
      </c>
      <c r="V245" s="325">
        <f t="shared" si="61"/>
        <v>400</v>
      </c>
      <c r="W245" s="449" cm="1">
        <f t="array" ref="W245">+IF(U245&lt;0,error,0)</f>
        <v>0</v>
      </c>
    </row>
    <row r="246" spans="1:23" ht="18" customHeight="1" x14ac:dyDescent="0.2">
      <c r="A246" s="402" t="s">
        <v>525</v>
      </c>
      <c r="B246" s="403"/>
      <c r="C246" s="404" t="s">
        <v>526</v>
      </c>
      <c r="D246" s="405">
        <v>40205</v>
      </c>
      <c r="E246" s="406">
        <v>44012</v>
      </c>
      <c r="F246" s="325">
        <v>0</v>
      </c>
      <c r="G246" s="324">
        <v>455</v>
      </c>
      <c r="H246" s="324">
        <v>455</v>
      </c>
      <c r="I246" s="325">
        <v>0</v>
      </c>
      <c r="J246" s="325"/>
      <c r="K246" s="325">
        <f t="shared" si="58"/>
        <v>0</v>
      </c>
      <c r="L246" s="325">
        <f t="shared" si="59"/>
        <v>0</v>
      </c>
      <c r="M246" s="407">
        <v>20</v>
      </c>
      <c r="N246" s="408" t="s">
        <v>289</v>
      </c>
      <c r="O246" s="325">
        <f t="shared" si="62"/>
        <v>0</v>
      </c>
      <c r="P246" s="325">
        <f t="shared" si="63"/>
        <v>0</v>
      </c>
      <c r="Q246" s="325">
        <f t="shared" si="64"/>
        <v>0</v>
      </c>
      <c r="R246" s="325">
        <f t="shared" si="65"/>
        <v>0</v>
      </c>
      <c r="S246" s="325">
        <f t="shared" si="66"/>
        <v>0</v>
      </c>
      <c r="T246" s="325">
        <f t="shared" si="57"/>
        <v>0</v>
      </c>
      <c r="U246" s="409">
        <f t="shared" si="60"/>
        <v>0</v>
      </c>
      <c r="V246" s="325">
        <f t="shared" si="61"/>
        <v>455</v>
      </c>
      <c r="W246" s="449" cm="1">
        <f t="array" ref="W246">+IF(U246&lt;0,error,0)</f>
        <v>0</v>
      </c>
    </row>
    <row r="247" spans="1:23" ht="18" customHeight="1" x14ac:dyDescent="0.2">
      <c r="A247" s="402" t="s">
        <v>527</v>
      </c>
      <c r="B247" s="403"/>
      <c r="C247" s="404" t="s">
        <v>528</v>
      </c>
      <c r="D247" s="405">
        <v>40214</v>
      </c>
      <c r="E247" s="406">
        <v>44012</v>
      </c>
      <c r="F247" s="325">
        <v>0</v>
      </c>
      <c r="G247" s="324">
        <v>581.82000000000005</v>
      </c>
      <c r="H247" s="324">
        <v>581.82000000000005</v>
      </c>
      <c r="I247" s="325">
        <v>0</v>
      </c>
      <c r="J247" s="325"/>
      <c r="K247" s="325">
        <f t="shared" si="58"/>
        <v>0</v>
      </c>
      <c r="L247" s="325">
        <f t="shared" si="59"/>
        <v>0</v>
      </c>
      <c r="M247" s="407">
        <v>50</v>
      </c>
      <c r="N247" s="408" t="s">
        <v>289</v>
      </c>
      <c r="O247" s="325">
        <f t="shared" si="62"/>
        <v>0</v>
      </c>
      <c r="P247" s="325">
        <f t="shared" si="63"/>
        <v>0</v>
      </c>
      <c r="Q247" s="325">
        <f t="shared" si="64"/>
        <v>0</v>
      </c>
      <c r="R247" s="325">
        <f t="shared" si="65"/>
        <v>0</v>
      </c>
      <c r="S247" s="325">
        <f t="shared" si="66"/>
        <v>0</v>
      </c>
      <c r="T247" s="325">
        <f t="shared" si="57"/>
        <v>0</v>
      </c>
      <c r="U247" s="409">
        <f t="shared" si="60"/>
        <v>0</v>
      </c>
      <c r="V247" s="325">
        <f t="shared" si="61"/>
        <v>581.82000000000005</v>
      </c>
      <c r="W247" s="449" cm="1">
        <f t="array" ref="W247">+IF(U247&lt;0,error,0)</f>
        <v>0</v>
      </c>
    </row>
    <row r="248" spans="1:23" ht="18" customHeight="1" x14ac:dyDescent="0.2">
      <c r="A248" s="402" t="s">
        <v>529</v>
      </c>
      <c r="B248" s="403"/>
      <c r="C248" s="404" t="s">
        <v>530</v>
      </c>
      <c r="D248" s="405">
        <v>40226</v>
      </c>
      <c r="E248" s="406">
        <v>44012</v>
      </c>
      <c r="F248" s="325">
        <v>0</v>
      </c>
      <c r="G248" s="324">
        <v>141.88</v>
      </c>
      <c r="H248" s="324">
        <v>141.88</v>
      </c>
      <c r="I248" s="325">
        <v>0</v>
      </c>
      <c r="J248" s="325"/>
      <c r="K248" s="325">
        <f t="shared" si="58"/>
        <v>0</v>
      </c>
      <c r="L248" s="325">
        <f t="shared" si="59"/>
        <v>0</v>
      </c>
      <c r="M248" s="407">
        <v>28.5</v>
      </c>
      <c r="N248" s="408" t="s">
        <v>289</v>
      </c>
      <c r="O248" s="325">
        <f t="shared" si="62"/>
        <v>0</v>
      </c>
      <c r="P248" s="325">
        <f t="shared" si="63"/>
        <v>0</v>
      </c>
      <c r="Q248" s="325">
        <f t="shared" si="64"/>
        <v>0</v>
      </c>
      <c r="R248" s="325">
        <f t="shared" si="65"/>
        <v>0</v>
      </c>
      <c r="S248" s="325">
        <f t="shared" si="66"/>
        <v>0</v>
      </c>
      <c r="T248" s="325">
        <f t="shared" si="57"/>
        <v>0</v>
      </c>
      <c r="U248" s="409">
        <f t="shared" si="60"/>
        <v>0</v>
      </c>
      <c r="V248" s="325">
        <f t="shared" si="61"/>
        <v>141.88</v>
      </c>
      <c r="W248" s="449" cm="1">
        <f t="array" ref="W248">+IF(U248&lt;0,error,0)</f>
        <v>0</v>
      </c>
    </row>
    <row r="249" spans="1:23" ht="18" customHeight="1" x14ac:dyDescent="0.2">
      <c r="A249" s="402" t="s">
        <v>531</v>
      </c>
      <c r="B249" s="403"/>
      <c r="C249" s="404" t="s">
        <v>530</v>
      </c>
      <c r="D249" s="405">
        <v>40234</v>
      </c>
      <c r="E249" s="406">
        <v>44012</v>
      </c>
      <c r="F249" s="325">
        <v>0</v>
      </c>
      <c r="G249" s="324">
        <v>240.54</v>
      </c>
      <c r="H249" s="324">
        <v>240.54</v>
      </c>
      <c r="I249" s="325">
        <v>0</v>
      </c>
      <c r="J249" s="325"/>
      <c r="K249" s="325">
        <f t="shared" si="58"/>
        <v>0</v>
      </c>
      <c r="L249" s="325">
        <f t="shared" si="59"/>
        <v>0</v>
      </c>
      <c r="M249" s="407">
        <v>28.5</v>
      </c>
      <c r="N249" s="408" t="s">
        <v>289</v>
      </c>
      <c r="O249" s="325">
        <f t="shared" si="62"/>
        <v>0</v>
      </c>
      <c r="P249" s="325">
        <f t="shared" si="63"/>
        <v>0</v>
      </c>
      <c r="Q249" s="325">
        <f t="shared" si="64"/>
        <v>0</v>
      </c>
      <c r="R249" s="325">
        <f t="shared" si="65"/>
        <v>0</v>
      </c>
      <c r="S249" s="325">
        <f t="shared" si="66"/>
        <v>0</v>
      </c>
      <c r="T249" s="325">
        <f t="shared" si="57"/>
        <v>0</v>
      </c>
      <c r="U249" s="409">
        <f t="shared" si="60"/>
        <v>0</v>
      </c>
      <c r="V249" s="325">
        <f t="shared" si="61"/>
        <v>240.54</v>
      </c>
      <c r="W249" s="449" cm="1">
        <f t="array" ref="W249">+IF(U249&lt;0,error,0)</f>
        <v>0</v>
      </c>
    </row>
    <row r="250" spans="1:23" ht="18" customHeight="1" x14ac:dyDescent="0.2">
      <c r="A250" s="402" t="s">
        <v>532</v>
      </c>
      <c r="B250" s="403"/>
      <c r="C250" s="404" t="s">
        <v>514</v>
      </c>
      <c r="D250" s="405">
        <v>40235</v>
      </c>
      <c r="E250" s="406">
        <v>44012</v>
      </c>
      <c r="F250" s="325">
        <v>0</v>
      </c>
      <c r="G250" s="324">
        <v>721.32</v>
      </c>
      <c r="H250" s="324">
        <v>721.32</v>
      </c>
      <c r="I250" s="325">
        <v>0</v>
      </c>
      <c r="J250" s="325"/>
      <c r="K250" s="325">
        <f t="shared" si="58"/>
        <v>0</v>
      </c>
      <c r="L250" s="325">
        <f t="shared" si="59"/>
        <v>0</v>
      </c>
      <c r="M250" s="407">
        <v>28.5</v>
      </c>
      <c r="N250" s="408" t="s">
        <v>289</v>
      </c>
      <c r="O250" s="325">
        <f t="shared" si="62"/>
        <v>0</v>
      </c>
      <c r="P250" s="325">
        <f t="shared" si="63"/>
        <v>0</v>
      </c>
      <c r="Q250" s="325">
        <f t="shared" si="64"/>
        <v>0</v>
      </c>
      <c r="R250" s="325">
        <f t="shared" si="65"/>
        <v>0</v>
      </c>
      <c r="S250" s="325">
        <f t="shared" si="66"/>
        <v>0</v>
      </c>
      <c r="T250" s="325">
        <f t="shared" si="57"/>
        <v>0</v>
      </c>
      <c r="U250" s="409">
        <f t="shared" si="60"/>
        <v>0</v>
      </c>
      <c r="V250" s="325">
        <f t="shared" si="61"/>
        <v>721.32</v>
      </c>
      <c r="W250" s="449" cm="1">
        <f t="array" ref="W250">+IF(U250&lt;0,error,0)</f>
        <v>0</v>
      </c>
    </row>
    <row r="251" spans="1:23" ht="18" customHeight="1" x14ac:dyDescent="0.2">
      <c r="A251" s="402" t="s">
        <v>533</v>
      </c>
      <c r="B251" s="403"/>
      <c r="C251" s="404" t="s">
        <v>514</v>
      </c>
      <c r="D251" s="405">
        <v>40241</v>
      </c>
      <c r="E251" s="406">
        <v>44012</v>
      </c>
      <c r="F251" s="325">
        <v>0</v>
      </c>
      <c r="G251" s="324">
        <v>262.04000000000002</v>
      </c>
      <c r="H251" s="324">
        <v>262.04000000000002</v>
      </c>
      <c r="I251" s="325">
        <v>0</v>
      </c>
      <c r="J251" s="325"/>
      <c r="K251" s="325">
        <f t="shared" si="58"/>
        <v>0</v>
      </c>
      <c r="L251" s="325">
        <f t="shared" si="59"/>
        <v>0</v>
      </c>
      <c r="M251" s="407">
        <v>28.5</v>
      </c>
      <c r="N251" s="408" t="s">
        <v>289</v>
      </c>
      <c r="O251" s="325">
        <f t="shared" si="62"/>
        <v>0</v>
      </c>
      <c r="P251" s="325">
        <f t="shared" si="63"/>
        <v>0</v>
      </c>
      <c r="Q251" s="325">
        <f t="shared" si="64"/>
        <v>0</v>
      </c>
      <c r="R251" s="325">
        <f t="shared" si="65"/>
        <v>0</v>
      </c>
      <c r="S251" s="325">
        <f t="shared" si="66"/>
        <v>0</v>
      </c>
      <c r="T251" s="325">
        <f t="shared" si="57"/>
        <v>0</v>
      </c>
      <c r="U251" s="409">
        <f t="shared" si="60"/>
        <v>0</v>
      </c>
      <c r="V251" s="325">
        <f t="shared" si="61"/>
        <v>262.04000000000002</v>
      </c>
      <c r="W251" s="449" cm="1">
        <f t="array" ref="W251">+IF(U251&lt;0,error,0)</f>
        <v>0</v>
      </c>
    </row>
    <row r="252" spans="1:23" ht="18" customHeight="1" x14ac:dyDescent="0.2">
      <c r="A252" s="402" t="s">
        <v>534</v>
      </c>
      <c r="B252" s="403"/>
      <c r="C252" s="404" t="s">
        <v>535</v>
      </c>
      <c r="D252" s="405">
        <v>40259</v>
      </c>
      <c r="E252" s="406">
        <v>44012</v>
      </c>
      <c r="F252" s="325">
        <v>0</v>
      </c>
      <c r="G252" s="324">
        <v>1796.36</v>
      </c>
      <c r="H252" s="324">
        <v>1796.3600000000001</v>
      </c>
      <c r="I252" s="325">
        <v>0</v>
      </c>
      <c r="J252" s="325"/>
      <c r="K252" s="325">
        <f t="shared" si="58"/>
        <v>0</v>
      </c>
      <c r="L252" s="325">
        <f t="shared" si="59"/>
        <v>0</v>
      </c>
      <c r="M252" s="407">
        <v>50</v>
      </c>
      <c r="N252" s="408" t="s">
        <v>289</v>
      </c>
      <c r="O252" s="325">
        <f t="shared" si="62"/>
        <v>0</v>
      </c>
      <c r="P252" s="325">
        <f t="shared" si="63"/>
        <v>0</v>
      </c>
      <c r="Q252" s="325">
        <f t="shared" si="64"/>
        <v>0</v>
      </c>
      <c r="R252" s="325">
        <f t="shared" si="65"/>
        <v>0</v>
      </c>
      <c r="S252" s="325">
        <f t="shared" si="66"/>
        <v>0</v>
      </c>
      <c r="T252" s="325">
        <f t="shared" si="57"/>
        <v>0</v>
      </c>
      <c r="U252" s="409">
        <f t="shared" si="60"/>
        <v>0</v>
      </c>
      <c r="V252" s="325">
        <f t="shared" si="61"/>
        <v>1796.3600000000001</v>
      </c>
      <c r="W252" s="449" cm="1">
        <f t="array" ref="W252">+IF(U252&lt;0,error,0)</f>
        <v>0</v>
      </c>
    </row>
    <row r="253" spans="1:23" ht="18" customHeight="1" x14ac:dyDescent="0.2">
      <c r="A253" s="402" t="s">
        <v>536</v>
      </c>
      <c r="B253" s="403"/>
      <c r="C253" s="404" t="s">
        <v>537</v>
      </c>
      <c r="D253" s="405">
        <v>40282</v>
      </c>
      <c r="E253" s="406">
        <v>44012</v>
      </c>
      <c r="F253" s="325">
        <v>0</v>
      </c>
      <c r="G253" s="324">
        <v>325</v>
      </c>
      <c r="H253" s="324">
        <v>325</v>
      </c>
      <c r="I253" s="325">
        <v>0</v>
      </c>
      <c r="J253" s="325"/>
      <c r="K253" s="325">
        <f t="shared" si="58"/>
        <v>0</v>
      </c>
      <c r="L253" s="325">
        <f t="shared" si="59"/>
        <v>0</v>
      </c>
      <c r="M253" s="407">
        <v>20</v>
      </c>
      <c r="N253" s="408" t="s">
        <v>289</v>
      </c>
      <c r="O253" s="325">
        <f t="shared" si="62"/>
        <v>0</v>
      </c>
      <c r="P253" s="325">
        <f t="shared" si="63"/>
        <v>0</v>
      </c>
      <c r="Q253" s="325">
        <f t="shared" si="64"/>
        <v>0</v>
      </c>
      <c r="R253" s="325">
        <f t="shared" si="65"/>
        <v>0</v>
      </c>
      <c r="S253" s="325">
        <f t="shared" si="66"/>
        <v>0</v>
      </c>
      <c r="T253" s="325">
        <f t="shared" si="57"/>
        <v>0</v>
      </c>
      <c r="U253" s="409">
        <f t="shared" si="60"/>
        <v>0</v>
      </c>
      <c r="V253" s="325">
        <f t="shared" si="61"/>
        <v>325</v>
      </c>
      <c r="W253" s="449" cm="1">
        <f t="array" ref="W253">+IF(U253&lt;0,error,0)</f>
        <v>0</v>
      </c>
    </row>
    <row r="254" spans="1:23" ht="18" customHeight="1" x14ac:dyDescent="0.2">
      <c r="A254" s="402" t="s">
        <v>538</v>
      </c>
      <c r="B254" s="403"/>
      <c r="C254" s="404" t="s">
        <v>539</v>
      </c>
      <c r="D254" s="405">
        <v>40303</v>
      </c>
      <c r="E254" s="406"/>
      <c r="F254" s="325"/>
      <c r="G254" s="324"/>
      <c r="H254" s="324">
        <v>1590.91</v>
      </c>
      <c r="I254" s="325">
        <v>0</v>
      </c>
      <c r="J254" s="325"/>
      <c r="K254" s="325">
        <f t="shared" si="58"/>
        <v>0</v>
      </c>
      <c r="L254" s="325">
        <f t="shared" si="59"/>
        <v>0</v>
      </c>
      <c r="M254" s="407">
        <v>10</v>
      </c>
      <c r="N254" s="408" t="s">
        <v>289</v>
      </c>
      <c r="O254" s="325">
        <f t="shared" si="62"/>
        <v>0</v>
      </c>
      <c r="P254" s="325">
        <f t="shared" si="63"/>
        <v>0</v>
      </c>
      <c r="Q254" s="325">
        <f t="shared" si="64"/>
        <v>0</v>
      </c>
      <c r="R254" s="325">
        <f t="shared" si="65"/>
        <v>0</v>
      </c>
      <c r="S254" s="325">
        <f t="shared" si="66"/>
        <v>0</v>
      </c>
      <c r="T254" s="325">
        <f t="shared" si="57"/>
        <v>0</v>
      </c>
      <c r="U254" s="409">
        <f t="shared" si="60"/>
        <v>0</v>
      </c>
      <c r="V254" s="325">
        <f t="shared" si="61"/>
        <v>0</v>
      </c>
      <c r="W254" s="449" cm="1">
        <f t="array" ref="W254">+IF(U254&lt;0,error,0)</f>
        <v>0</v>
      </c>
    </row>
    <row r="255" spans="1:23" ht="18" customHeight="1" x14ac:dyDescent="0.2">
      <c r="A255" s="402" t="s">
        <v>540</v>
      </c>
      <c r="B255" s="403"/>
      <c r="C255" s="404" t="s">
        <v>541</v>
      </c>
      <c r="D255" s="405">
        <v>40303</v>
      </c>
      <c r="E255" s="406">
        <v>44012</v>
      </c>
      <c r="F255" s="325">
        <v>0</v>
      </c>
      <c r="G255" s="324">
        <v>3490.91</v>
      </c>
      <c r="H255" s="324">
        <v>3490.91</v>
      </c>
      <c r="I255" s="325">
        <v>0</v>
      </c>
      <c r="J255" s="325"/>
      <c r="K255" s="325">
        <f t="shared" si="58"/>
        <v>0</v>
      </c>
      <c r="L255" s="325">
        <f t="shared" si="59"/>
        <v>0</v>
      </c>
      <c r="M255" s="407">
        <v>50</v>
      </c>
      <c r="N255" s="408" t="s">
        <v>289</v>
      </c>
      <c r="O255" s="325">
        <f t="shared" si="62"/>
        <v>0</v>
      </c>
      <c r="P255" s="325">
        <f t="shared" si="63"/>
        <v>0</v>
      </c>
      <c r="Q255" s="325">
        <f t="shared" si="64"/>
        <v>0</v>
      </c>
      <c r="R255" s="325">
        <f t="shared" si="65"/>
        <v>0</v>
      </c>
      <c r="S255" s="325">
        <f t="shared" si="66"/>
        <v>0</v>
      </c>
      <c r="T255" s="325">
        <f t="shared" si="57"/>
        <v>0</v>
      </c>
      <c r="U255" s="409">
        <f t="shared" si="60"/>
        <v>0</v>
      </c>
      <c r="V255" s="325">
        <f t="shared" si="61"/>
        <v>3490.91</v>
      </c>
      <c r="W255" s="449" cm="1">
        <f t="array" ref="W255">+IF(U255&lt;0,error,0)</f>
        <v>0</v>
      </c>
    </row>
    <row r="256" spans="1:23" ht="18" customHeight="1" x14ac:dyDescent="0.2">
      <c r="A256" s="402" t="s">
        <v>542</v>
      </c>
      <c r="B256" s="403"/>
      <c r="C256" s="404" t="s">
        <v>2279</v>
      </c>
      <c r="D256" s="405">
        <v>38111</v>
      </c>
      <c r="E256" s="406">
        <v>44012</v>
      </c>
      <c r="F256" s="325"/>
      <c r="G256" s="324">
        <v>890.74</v>
      </c>
      <c r="H256" s="324">
        <v>890.74</v>
      </c>
      <c r="I256" s="325">
        <v>0</v>
      </c>
      <c r="J256" s="325"/>
      <c r="K256" s="325">
        <f t="shared" si="58"/>
        <v>0</v>
      </c>
      <c r="L256" s="325">
        <f t="shared" si="59"/>
        <v>0</v>
      </c>
      <c r="M256" s="407">
        <v>10</v>
      </c>
      <c r="N256" s="408" t="s">
        <v>289</v>
      </c>
      <c r="O256" s="325">
        <f t="shared" si="62"/>
        <v>0</v>
      </c>
      <c r="P256" s="325">
        <f t="shared" si="63"/>
        <v>0</v>
      </c>
      <c r="Q256" s="325">
        <f t="shared" si="64"/>
        <v>0</v>
      </c>
      <c r="R256" s="325">
        <f t="shared" si="65"/>
        <v>0</v>
      </c>
      <c r="S256" s="325">
        <f t="shared" si="66"/>
        <v>0</v>
      </c>
      <c r="T256" s="325">
        <f t="shared" ref="T256:T319" si="67">+R256+S256+Q256</f>
        <v>0</v>
      </c>
      <c r="U256" s="409">
        <f t="shared" si="60"/>
        <v>0</v>
      </c>
      <c r="V256" s="325">
        <f t="shared" si="61"/>
        <v>890.74</v>
      </c>
      <c r="W256" s="449" cm="1">
        <f t="array" ref="W256">+IF(U256&lt;0,error,0)</f>
        <v>0</v>
      </c>
    </row>
    <row r="257" spans="1:23" ht="18" customHeight="1" x14ac:dyDescent="0.2">
      <c r="A257" s="402" t="s">
        <v>543</v>
      </c>
      <c r="B257" s="403"/>
      <c r="C257" s="404" t="s">
        <v>544</v>
      </c>
      <c r="D257" s="405">
        <v>40316</v>
      </c>
      <c r="E257" s="406">
        <v>44012</v>
      </c>
      <c r="F257" s="325"/>
      <c r="G257" s="324">
        <v>496.91</v>
      </c>
      <c r="H257" s="324">
        <v>496.91</v>
      </c>
      <c r="I257" s="325">
        <v>0</v>
      </c>
      <c r="J257" s="325"/>
      <c r="K257" s="325">
        <f t="shared" si="58"/>
        <v>0</v>
      </c>
      <c r="L257" s="325">
        <f t="shared" si="59"/>
        <v>0</v>
      </c>
      <c r="M257" s="407">
        <v>20</v>
      </c>
      <c r="N257" s="408" t="s">
        <v>289</v>
      </c>
      <c r="O257" s="325">
        <f t="shared" si="62"/>
        <v>0</v>
      </c>
      <c r="P257" s="325">
        <f t="shared" si="63"/>
        <v>0</v>
      </c>
      <c r="Q257" s="325">
        <f t="shared" si="64"/>
        <v>0</v>
      </c>
      <c r="R257" s="325">
        <f t="shared" si="65"/>
        <v>0</v>
      </c>
      <c r="S257" s="325">
        <f t="shared" si="66"/>
        <v>0</v>
      </c>
      <c r="T257" s="325">
        <f t="shared" si="67"/>
        <v>0</v>
      </c>
      <c r="U257" s="409">
        <f t="shared" si="60"/>
        <v>0</v>
      </c>
      <c r="V257" s="325">
        <f t="shared" si="61"/>
        <v>496.91</v>
      </c>
      <c r="W257" s="449" cm="1">
        <f t="array" ref="W257">+IF(U257&lt;0,error,0)</f>
        <v>0</v>
      </c>
    </row>
    <row r="258" spans="1:23" ht="18" customHeight="1" x14ac:dyDescent="0.2">
      <c r="A258" s="402" t="s">
        <v>545</v>
      </c>
      <c r="B258" s="403"/>
      <c r="C258" s="412" t="s">
        <v>546</v>
      </c>
      <c r="D258" s="405">
        <v>40324</v>
      </c>
      <c r="E258" s="406"/>
      <c r="F258" s="325"/>
      <c r="G258" s="324"/>
      <c r="H258" s="324">
        <v>3500</v>
      </c>
      <c r="I258" s="325">
        <v>0</v>
      </c>
      <c r="J258" s="325"/>
      <c r="K258" s="325">
        <f t="shared" si="58"/>
        <v>0</v>
      </c>
      <c r="L258" s="325">
        <f t="shared" si="59"/>
        <v>0</v>
      </c>
      <c r="M258" s="407">
        <v>66.66</v>
      </c>
      <c r="N258" s="408" t="s">
        <v>289</v>
      </c>
      <c r="O258" s="325">
        <f t="shared" si="62"/>
        <v>0</v>
      </c>
      <c r="P258" s="325">
        <f t="shared" si="63"/>
        <v>0</v>
      </c>
      <c r="Q258" s="325">
        <f t="shared" si="64"/>
        <v>0</v>
      </c>
      <c r="R258" s="325">
        <f t="shared" si="65"/>
        <v>0</v>
      </c>
      <c r="S258" s="325">
        <f t="shared" si="66"/>
        <v>0</v>
      </c>
      <c r="T258" s="325">
        <f t="shared" si="67"/>
        <v>0</v>
      </c>
      <c r="U258" s="409">
        <f t="shared" si="60"/>
        <v>0</v>
      </c>
      <c r="V258" s="325">
        <f t="shared" si="61"/>
        <v>0</v>
      </c>
      <c r="W258" s="449" cm="1">
        <f t="array" ref="W258">+IF(U258&lt;0,error,0)</f>
        <v>0</v>
      </c>
    </row>
    <row r="259" spans="1:23" ht="18" customHeight="1" x14ac:dyDescent="0.2">
      <c r="A259" s="402" t="s">
        <v>547</v>
      </c>
      <c r="B259" s="403"/>
      <c r="C259" s="404" t="s">
        <v>518</v>
      </c>
      <c r="D259" s="405">
        <v>40330</v>
      </c>
      <c r="E259" s="406">
        <v>44012</v>
      </c>
      <c r="F259" s="325">
        <v>0</v>
      </c>
      <c r="G259" s="324">
        <v>1800.97</v>
      </c>
      <c r="H259" s="324">
        <v>1800.97</v>
      </c>
      <c r="I259" s="325">
        <v>0</v>
      </c>
      <c r="J259" s="325"/>
      <c r="K259" s="325">
        <f t="shared" si="58"/>
        <v>0</v>
      </c>
      <c r="L259" s="325">
        <f t="shared" si="59"/>
        <v>0</v>
      </c>
      <c r="M259" s="407">
        <v>20</v>
      </c>
      <c r="N259" s="408" t="s">
        <v>289</v>
      </c>
      <c r="O259" s="325">
        <f t="shared" si="62"/>
        <v>0</v>
      </c>
      <c r="P259" s="325">
        <f t="shared" si="63"/>
        <v>0</v>
      </c>
      <c r="Q259" s="325">
        <f t="shared" si="64"/>
        <v>0</v>
      </c>
      <c r="R259" s="325">
        <f t="shared" si="65"/>
        <v>0</v>
      </c>
      <c r="S259" s="325">
        <f t="shared" si="66"/>
        <v>0</v>
      </c>
      <c r="T259" s="325">
        <f t="shared" si="67"/>
        <v>0</v>
      </c>
      <c r="U259" s="409">
        <f t="shared" si="60"/>
        <v>0</v>
      </c>
      <c r="V259" s="325">
        <f t="shared" si="61"/>
        <v>1800.97</v>
      </c>
      <c r="W259" s="449" cm="1">
        <f t="array" ref="W259">+IF(U259&lt;0,error,0)</f>
        <v>0</v>
      </c>
    </row>
    <row r="260" spans="1:23" ht="18" customHeight="1" x14ac:dyDescent="0.2">
      <c r="A260" s="402" t="s">
        <v>548</v>
      </c>
      <c r="B260" s="403"/>
      <c r="C260" s="404" t="s">
        <v>549</v>
      </c>
      <c r="D260" s="405">
        <v>40332</v>
      </c>
      <c r="E260" s="406">
        <v>44012</v>
      </c>
      <c r="F260" s="325">
        <v>0</v>
      </c>
      <c r="G260" s="324">
        <v>1672.73</v>
      </c>
      <c r="H260" s="324">
        <v>1672.73</v>
      </c>
      <c r="I260" s="325">
        <v>0</v>
      </c>
      <c r="J260" s="325"/>
      <c r="K260" s="325">
        <f t="shared" si="58"/>
        <v>0</v>
      </c>
      <c r="L260" s="325">
        <f t="shared" si="59"/>
        <v>0</v>
      </c>
      <c r="M260" s="407">
        <v>10</v>
      </c>
      <c r="N260" s="408" t="s">
        <v>289</v>
      </c>
      <c r="O260" s="325">
        <f t="shared" si="62"/>
        <v>0</v>
      </c>
      <c r="P260" s="325">
        <f t="shared" si="63"/>
        <v>0</v>
      </c>
      <c r="Q260" s="325">
        <f t="shared" si="64"/>
        <v>0</v>
      </c>
      <c r="R260" s="325">
        <f t="shared" si="65"/>
        <v>0</v>
      </c>
      <c r="S260" s="325">
        <f t="shared" si="66"/>
        <v>0</v>
      </c>
      <c r="T260" s="325">
        <f t="shared" si="67"/>
        <v>0</v>
      </c>
      <c r="U260" s="409">
        <f t="shared" si="60"/>
        <v>0</v>
      </c>
      <c r="V260" s="325">
        <f t="shared" si="61"/>
        <v>1672.73</v>
      </c>
      <c r="W260" s="449" cm="1">
        <f t="array" ref="W260">+IF(U260&lt;0,error,0)</f>
        <v>0</v>
      </c>
    </row>
    <row r="261" spans="1:23" ht="18" customHeight="1" x14ac:dyDescent="0.2">
      <c r="A261" s="402" t="s">
        <v>550</v>
      </c>
      <c r="B261" s="403"/>
      <c r="C261" s="404" t="s">
        <v>551</v>
      </c>
      <c r="D261" s="405">
        <v>40385</v>
      </c>
      <c r="E261" s="406"/>
      <c r="F261" s="325"/>
      <c r="G261" s="324"/>
      <c r="H261" s="324">
        <v>1585</v>
      </c>
      <c r="I261" s="325">
        <v>0</v>
      </c>
      <c r="J261" s="325"/>
      <c r="K261" s="325">
        <f t="shared" si="58"/>
        <v>0</v>
      </c>
      <c r="L261" s="325">
        <f t="shared" si="59"/>
        <v>0</v>
      </c>
      <c r="M261" s="407">
        <v>28.57</v>
      </c>
      <c r="N261" s="408" t="s">
        <v>289</v>
      </c>
      <c r="O261" s="325">
        <f t="shared" si="62"/>
        <v>0</v>
      </c>
      <c r="P261" s="325">
        <f t="shared" si="63"/>
        <v>0</v>
      </c>
      <c r="Q261" s="325">
        <f t="shared" si="64"/>
        <v>0</v>
      </c>
      <c r="R261" s="325">
        <f t="shared" si="65"/>
        <v>0</v>
      </c>
      <c r="S261" s="325">
        <f t="shared" si="66"/>
        <v>0</v>
      </c>
      <c r="T261" s="325">
        <f t="shared" si="67"/>
        <v>0</v>
      </c>
      <c r="U261" s="409">
        <f t="shared" si="60"/>
        <v>0</v>
      </c>
      <c r="V261" s="325">
        <f t="shared" si="61"/>
        <v>0</v>
      </c>
      <c r="W261" s="449" cm="1">
        <f t="array" ref="W261">+IF(U261&lt;0,error,0)</f>
        <v>0</v>
      </c>
    </row>
    <row r="262" spans="1:23" ht="18" customHeight="1" x14ac:dyDescent="0.2">
      <c r="A262" s="402" t="s">
        <v>552</v>
      </c>
      <c r="B262" s="403"/>
      <c r="C262" s="412" t="s">
        <v>553</v>
      </c>
      <c r="D262" s="405">
        <v>40392</v>
      </c>
      <c r="E262" s="406"/>
      <c r="F262" s="325"/>
      <c r="G262" s="324"/>
      <c r="H262" s="324">
        <v>58788.82</v>
      </c>
      <c r="I262" s="325">
        <v>28073.82</v>
      </c>
      <c r="J262" s="325"/>
      <c r="K262" s="325">
        <f t="shared" si="58"/>
        <v>0</v>
      </c>
      <c r="L262" s="325">
        <f t="shared" si="59"/>
        <v>0</v>
      </c>
      <c r="M262" s="407">
        <v>7.5</v>
      </c>
      <c r="N262" s="408" t="s">
        <v>289</v>
      </c>
      <c r="O262" s="325">
        <f t="shared" si="62"/>
        <v>0</v>
      </c>
      <c r="P262" s="325">
        <f t="shared" si="63"/>
        <v>0</v>
      </c>
      <c r="Q262" s="325">
        <f t="shared" si="64"/>
        <v>0</v>
      </c>
      <c r="R262" s="325">
        <f t="shared" si="65"/>
        <v>1052</v>
      </c>
      <c r="S262" s="325">
        <f t="shared" si="66"/>
        <v>0</v>
      </c>
      <c r="T262" s="325">
        <f t="shared" si="67"/>
        <v>1052</v>
      </c>
      <c r="U262" s="409">
        <f t="shared" si="60"/>
        <v>27021.82</v>
      </c>
      <c r="V262" s="325">
        <f t="shared" si="61"/>
        <v>0</v>
      </c>
      <c r="W262" s="449" cm="1">
        <f t="array" ref="W262">+IF(U262&lt;0,error,0)</f>
        <v>0</v>
      </c>
    </row>
    <row r="263" spans="1:23" ht="18" customHeight="1" x14ac:dyDescent="0.2">
      <c r="A263" s="402" t="s">
        <v>554</v>
      </c>
      <c r="B263" s="403"/>
      <c r="C263" s="404" t="s">
        <v>555</v>
      </c>
      <c r="D263" s="405">
        <v>40449</v>
      </c>
      <c r="E263" s="406">
        <v>44012</v>
      </c>
      <c r="F263" s="325">
        <v>0</v>
      </c>
      <c r="G263" s="324">
        <v>1176.1400000000001</v>
      </c>
      <c r="H263" s="324">
        <v>1176.1400000000001</v>
      </c>
      <c r="I263" s="325">
        <v>0</v>
      </c>
      <c r="J263" s="325"/>
      <c r="K263" s="325">
        <f t="shared" si="58"/>
        <v>0</v>
      </c>
      <c r="L263" s="325">
        <f t="shared" si="59"/>
        <v>0</v>
      </c>
      <c r="M263" s="407">
        <v>28.57</v>
      </c>
      <c r="N263" s="408" t="s">
        <v>289</v>
      </c>
      <c r="O263" s="325">
        <f t="shared" si="62"/>
        <v>0</v>
      </c>
      <c r="P263" s="325">
        <f t="shared" si="63"/>
        <v>0</v>
      </c>
      <c r="Q263" s="325">
        <f t="shared" si="64"/>
        <v>0</v>
      </c>
      <c r="R263" s="325">
        <f t="shared" si="65"/>
        <v>0</v>
      </c>
      <c r="S263" s="325">
        <f t="shared" si="66"/>
        <v>0</v>
      </c>
      <c r="T263" s="325">
        <f t="shared" si="67"/>
        <v>0</v>
      </c>
      <c r="U263" s="409">
        <f t="shared" si="60"/>
        <v>0</v>
      </c>
      <c r="V263" s="325">
        <f t="shared" si="61"/>
        <v>1176.1400000000001</v>
      </c>
      <c r="W263" s="449" cm="1">
        <f t="array" ref="W263">+IF(U263&lt;0,error,0)</f>
        <v>0</v>
      </c>
    </row>
    <row r="264" spans="1:23" ht="18" customHeight="1" x14ac:dyDescent="0.2">
      <c r="A264" s="402" t="s">
        <v>559</v>
      </c>
      <c r="B264" s="403"/>
      <c r="C264" s="404" t="s">
        <v>560</v>
      </c>
      <c r="D264" s="405">
        <v>40528</v>
      </c>
      <c r="E264" s="406"/>
      <c r="F264" s="325"/>
      <c r="G264" s="324"/>
      <c r="H264" s="324">
        <v>1140</v>
      </c>
      <c r="I264" s="325">
        <v>0</v>
      </c>
      <c r="J264" s="325"/>
      <c r="K264" s="325">
        <f t="shared" si="58"/>
        <v>0</v>
      </c>
      <c r="L264" s="325">
        <f t="shared" si="59"/>
        <v>0</v>
      </c>
      <c r="M264" s="407">
        <v>20</v>
      </c>
      <c r="N264" s="408" t="s">
        <v>289</v>
      </c>
      <c r="O264" s="325">
        <f t="shared" si="62"/>
        <v>0</v>
      </c>
      <c r="P264" s="325">
        <f t="shared" si="63"/>
        <v>0</v>
      </c>
      <c r="Q264" s="325">
        <f t="shared" si="64"/>
        <v>0</v>
      </c>
      <c r="R264" s="325">
        <f t="shared" si="65"/>
        <v>0</v>
      </c>
      <c r="S264" s="325">
        <f t="shared" si="66"/>
        <v>0</v>
      </c>
      <c r="T264" s="325">
        <f t="shared" si="67"/>
        <v>0</v>
      </c>
      <c r="U264" s="409">
        <f t="shared" si="60"/>
        <v>0</v>
      </c>
      <c r="V264" s="325">
        <f t="shared" si="61"/>
        <v>0</v>
      </c>
      <c r="W264" s="449" cm="1">
        <f t="array" ref="W264">+IF(U264&lt;0,error,0)</f>
        <v>0</v>
      </c>
    </row>
    <row r="265" spans="1:23" ht="18" customHeight="1" x14ac:dyDescent="0.2">
      <c r="A265" s="402" t="s">
        <v>561</v>
      </c>
      <c r="B265" s="403"/>
      <c r="C265" s="404" t="s">
        <v>562</v>
      </c>
      <c r="D265" s="405">
        <v>40605</v>
      </c>
      <c r="E265" s="406"/>
      <c r="F265" s="325"/>
      <c r="G265" s="324"/>
      <c r="H265" s="324">
        <v>5818.18</v>
      </c>
      <c r="I265" s="325">
        <v>831.18000000000006</v>
      </c>
      <c r="J265" s="325"/>
      <c r="K265" s="325">
        <f t="shared" si="58"/>
        <v>0</v>
      </c>
      <c r="L265" s="325">
        <f t="shared" si="59"/>
        <v>0</v>
      </c>
      <c r="M265" s="407">
        <v>20</v>
      </c>
      <c r="N265" s="408" t="s">
        <v>289</v>
      </c>
      <c r="O265" s="325">
        <f t="shared" si="62"/>
        <v>0</v>
      </c>
      <c r="P265" s="325">
        <f t="shared" si="63"/>
        <v>0</v>
      </c>
      <c r="Q265" s="325">
        <f t="shared" si="64"/>
        <v>0</v>
      </c>
      <c r="R265" s="325">
        <f t="shared" si="65"/>
        <v>83</v>
      </c>
      <c r="S265" s="325">
        <f t="shared" si="66"/>
        <v>0</v>
      </c>
      <c r="T265" s="325">
        <f t="shared" si="67"/>
        <v>83</v>
      </c>
      <c r="U265" s="409">
        <f t="shared" si="60"/>
        <v>748.18000000000006</v>
      </c>
      <c r="V265" s="325">
        <f t="shared" si="61"/>
        <v>0</v>
      </c>
      <c r="W265" s="449" cm="1">
        <f t="array" ref="W265">+IF(U265&lt;0,error,0)</f>
        <v>0</v>
      </c>
    </row>
    <row r="266" spans="1:23" ht="18" customHeight="1" x14ac:dyDescent="0.2">
      <c r="A266" s="402" t="s">
        <v>565</v>
      </c>
      <c r="B266" s="403"/>
      <c r="C266" s="404" t="s">
        <v>566</v>
      </c>
      <c r="D266" s="405">
        <v>40627</v>
      </c>
      <c r="E266" s="406"/>
      <c r="F266" s="325"/>
      <c r="G266" s="324"/>
      <c r="H266" s="324">
        <v>727.27</v>
      </c>
      <c r="I266" s="325">
        <v>0</v>
      </c>
      <c r="J266" s="325"/>
      <c r="K266" s="325">
        <f t="shared" si="58"/>
        <v>0</v>
      </c>
      <c r="L266" s="325">
        <f t="shared" si="59"/>
        <v>0</v>
      </c>
      <c r="M266" s="407">
        <v>10</v>
      </c>
      <c r="N266" s="408" t="s">
        <v>289</v>
      </c>
      <c r="O266" s="325">
        <f t="shared" si="62"/>
        <v>0</v>
      </c>
      <c r="P266" s="325">
        <f t="shared" si="63"/>
        <v>0</v>
      </c>
      <c r="Q266" s="325">
        <f t="shared" si="64"/>
        <v>0</v>
      </c>
      <c r="R266" s="325">
        <f t="shared" si="65"/>
        <v>0</v>
      </c>
      <c r="S266" s="325">
        <f t="shared" si="66"/>
        <v>0</v>
      </c>
      <c r="T266" s="325">
        <f t="shared" si="67"/>
        <v>0</v>
      </c>
      <c r="U266" s="409">
        <f t="shared" si="60"/>
        <v>0</v>
      </c>
      <c r="V266" s="325">
        <f t="shared" si="61"/>
        <v>0</v>
      </c>
      <c r="W266" s="449" cm="1">
        <f t="array" ref="W266">+IF(U266&lt;0,error,0)</f>
        <v>0</v>
      </c>
    </row>
    <row r="267" spans="1:23" ht="18" customHeight="1" x14ac:dyDescent="0.2">
      <c r="A267" s="402" t="s">
        <v>567</v>
      </c>
      <c r="B267" s="403"/>
      <c r="C267" s="404" t="s">
        <v>568</v>
      </c>
      <c r="D267" s="405">
        <v>40629</v>
      </c>
      <c r="E267" s="406"/>
      <c r="F267" s="325"/>
      <c r="G267" s="324"/>
      <c r="H267" s="324">
        <v>7000</v>
      </c>
      <c r="I267" s="325">
        <v>3545</v>
      </c>
      <c r="J267" s="325"/>
      <c r="K267" s="325">
        <f t="shared" si="58"/>
        <v>0</v>
      </c>
      <c r="L267" s="325">
        <f t="shared" si="59"/>
        <v>0</v>
      </c>
      <c r="M267" s="407">
        <v>7.5</v>
      </c>
      <c r="N267" s="408" t="s">
        <v>289</v>
      </c>
      <c r="O267" s="325">
        <f t="shared" si="62"/>
        <v>0</v>
      </c>
      <c r="P267" s="325">
        <f t="shared" si="63"/>
        <v>0</v>
      </c>
      <c r="Q267" s="325">
        <f t="shared" si="64"/>
        <v>0</v>
      </c>
      <c r="R267" s="325">
        <f t="shared" si="65"/>
        <v>132</v>
      </c>
      <c r="S267" s="325">
        <f t="shared" si="66"/>
        <v>0</v>
      </c>
      <c r="T267" s="325">
        <f t="shared" si="67"/>
        <v>132</v>
      </c>
      <c r="U267" s="409">
        <f t="shared" si="60"/>
        <v>3413</v>
      </c>
      <c r="V267" s="325">
        <f t="shared" si="61"/>
        <v>0</v>
      </c>
      <c r="W267" s="449" cm="1">
        <f t="array" ref="W267">+IF(U267&lt;0,error,0)</f>
        <v>0</v>
      </c>
    </row>
    <row r="268" spans="1:23" ht="18" customHeight="1" x14ac:dyDescent="0.2">
      <c r="A268" s="402" t="s">
        <v>569</v>
      </c>
      <c r="B268" s="403"/>
      <c r="C268" s="412" t="s">
        <v>570</v>
      </c>
      <c r="D268" s="405">
        <v>40639</v>
      </c>
      <c r="E268" s="406"/>
      <c r="F268" s="325"/>
      <c r="G268" s="324"/>
      <c r="H268" s="324">
        <v>66600</v>
      </c>
      <c r="I268" s="325">
        <v>36500.79</v>
      </c>
      <c r="J268" s="325"/>
      <c r="K268" s="325">
        <f t="shared" si="58"/>
        <v>0</v>
      </c>
      <c r="L268" s="325">
        <f t="shared" si="59"/>
        <v>0</v>
      </c>
      <c r="M268" s="407">
        <v>6.67</v>
      </c>
      <c r="N268" s="408" t="s">
        <v>289</v>
      </c>
      <c r="O268" s="325">
        <f t="shared" si="62"/>
        <v>0</v>
      </c>
      <c r="P268" s="325">
        <f t="shared" si="63"/>
        <v>0</v>
      </c>
      <c r="Q268" s="325">
        <f t="shared" si="64"/>
        <v>0</v>
      </c>
      <c r="R268" s="325">
        <f t="shared" si="65"/>
        <v>1217</v>
      </c>
      <c r="S268" s="325">
        <f t="shared" si="66"/>
        <v>0</v>
      </c>
      <c r="T268" s="325">
        <f t="shared" si="67"/>
        <v>1217</v>
      </c>
      <c r="U268" s="409">
        <f t="shared" si="60"/>
        <v>35283.79</v>
      </c>
      <c r="V268" s="325">
        <f t="shared" si="61"/>
        <v>0</v>
      </c>
      <c r="W268" s="449" cm="1">
        <f t="array" ref="W268">+IF(U268&lt;0,error,0)</f>
        <v>0</v>
      </c>
    </row>
    <row r="269" spans="1:23" ht="18" customHeight="1" x14ac:dyDescent="0.2">
      <c r="A269" s="402" t="s">
        <v>573</v>
      </c>
      <c r="B269" s="403"/>
      <c r="C269" s="404" t="s">
        <v>574</v>
      </c>
      <c r="D269" s="405">
        <v>40714</v>
      </c>
      <c r="E269" s="406"/>
      <c r="F269" s="325"/>
      <c r="G269" s="324"/>
      <c r="H269" s="324">
        <v>5000</v>
      </c>
      <c r="I269" s="325">
        <v>2044</v>
      </c>
      <c r="J269" s="325"/>
      <c r="K269" s="325">
        <f t="shared" si="58"/>
        <v>0</v>
      </c>
      <c r="L269" s="325">
        <f t="shared" si="59"/>
        <v>0</v>
      </c>
      <c r="M269" s="407">
        <v>10</v>
      </c>
      <c r="N269" s="408" t="s">
        <v>289</v>
      </c>
      <c r="O269" s="325">
        <f t="shared" si="62"/>
        <v>0</v>
      </c>
      <c r="P269" s="325">
        <f t="shared" si="63"/>
        <v>0</v>
      </c>
      <c r="Q269" s="325">
        <f t="shared" si="64"/>
        <v>0</v>
      </c>
      <c r="R269" s="325">
        <f t="shared" si="65"/>
        <v>102</v>
      </c>
      <c r="S269" s="325">
        <f t="shared" si="66"/>
        <v>0</v>
      </c>
      <c r="T269" s="325">
        <f t="shared" si="67"/>
        <v>102</v>
      </c>
      <c r="U269" s="409">
        <f t="shared" si="60"/>
        <v>1942</v>
      </c>
      <c r="V269" s="325">
        <f t="shared" si="61"/>
        <v>0</v>
      </c>
      <c r="W269" s="449" cm="1">
        <f t="array" ref="W269">+IF(U269&lt;0,error,0)</f>
        <v>0</v>
      </c>
    </row>
    <row r="270" spans="1:23" ht="18" customHeight="1" x14ac:dyDescent="0.2">
      <c r="A270" s="402" t="s">
        <v>577</v>
      </c>
      <c r="B270" s="403"/>
      <c r="C270" s="404" t="s">
        <v>578</v>
      </c>
      <c r="D270" s="405">
        <v>40449</v>
      </c>
      <c r="E270" s="406">
        <v>44012</v>
      </c>
      <c r="F270" s="325">
        <v>0</v>
      </c>
      <c r="G270" s="324">
        <v>485.77</v>
      </c>
      <c r="H270" s="324">
        <v>485.77</v>
      </c>
      <c r="I270" s="325">
        <v>0</v>
      </c>
      <c r="J270" s="325"/>
      <c r="K270" s="325">
        <f t="shared" si="58"/>
        <v>0</v>
      </c>
      <c r="L270" s="325">
        <f t="shared" si="59"/>
        <v>0</v>
      </c>
      <c r="M270" s="407">
        <v>20</v>
      </c>
      <c r="N270" s="408" t="s">
        <v>289</v>
      </c>
      <c r="O270" s="325">
        <f t="shared" si="62"/>
        <v>0</v>
      </c>
      <c r="P270" s="325">
        <f t="shared" si="63"/>
        <v>0</v>
      </c>
      <c r="Q270" s="325">
        <f t="shared" si="64"/>
        <v>0</v>
      </c>
      <c r="R270" s="325">
        <f t="shared" si="65"/>
        <v>0</v>
      </c>
      <c r="S270" s="325">
        <f t="shared" si="66"/>
        <v>0</v>
      </c>
      <c r="T270" s="325">
        <f t="shared" si="67"/>
        <v>0</v>
      </c>
      <c r="U270" s="409">
        <f t="shared" si="60"/>
        <v>0</v>
      </c>
      <c r="V270" s="325">
        <f t="shared" si="61"/>
        <v>485.77</v>
      </c>
      <c r="W270" s="449" cm="1">
        <f t="array" ref="W270">+IF(U270&lt;0,error,0)</f>
        <v>0</v>
      </c>
    </row>
    <row r="271" spans="1:23" ht="18" customHeight="1" x14ac:dyDescent="0.2">
      <c r="A271" s="402" t="s">
        <v>588</v>
      </c>
      <c r="B271" s="403"/>
      <c r="C271" s="412" t="s">
        <v>589</v>
      </c>
      <c r="D271" s="405">
        <v>40513</v>
      </c>
      <c r="E271" s="406"/>
      <c r="F271" s="325"/>
      <c r="G271" s="324"/>
      <c r="H271" s="324">
        <v>239.96</v>
      </c>
      <c r="I271" s="325">
        <v>0</v>
      </c>
      <c r="J271" s="325"/>
      <c r="K271" s="325">
        <f t="shared" si="58"/>
        <v>0</v>
      </c>
      <c r="L271" s="325">
        <f t="shared" si="59"/>
        <v>0</v>
      </c>
      <c r="M271" s="407">
        <v>20</v>
      </c>
      <c r="N271" s="408" t="s">
        <v>289</v>
      </c>
      <c r="O271" s="325">
        <f t="shared" si="62"/>
        <v>0</v>
      </c>
      <c r="P271" s="325">
        <f t="shared" si="63"/>
        <v>0</v>
      </c>
      <c r="Q271" s="325">
        <f t="shared" si="64"/>
        <v>0</v>
      </c>
      <c r="R271" s="325">
        <f t="shared" si="65"/>
        <v>0</v>
      </c>
      <c r="S271" s="325">
        <f t="shared" si="66"/>
        <v>0</v>
      </c>
      <c r="T271" s="325">
        <f t="shared" si="67"/>
        <v>0</v>
      </c>
      <c r="U271" s="409">
        <f t="shared" si="60"/>
        <v>0</v>
      </c>
      <c r="V271" s="325">
        <f t="shared" si="61"/>
        <v>0</v>
      </c>
      <c r="W271" s="449" cm="1">
        <f t="array" ref="W271">+IF(U271&lt;0,error,0)</f>
        <v>0</v>
      </c>
    </row>
    <row r="272" spans="1:23" ht="18" customHeight="1" x14ac:dyDescent="0.2">
      <c r="A272" s="402" t="s">
        <v>592</v>
      </c>
      <c r="B272" s="403"/>
      <c r="C272" s="404" t="s">
        <v>593</v>
      </c>
      <c r="D272" s="405">
        <v>40528</v>
      </c>
      <c r="E272" s="406">
        <v>44012</v>
      </c>
      <c r="F272" s="325">
        <v>0</v>
      </c>
      <c r="G272" s="324">
        <v>685.64</v>
      </c>
      <c r="H272" s="324">
        <v>685.64</v>
      </c>
      <c r="I272" s="325">
        <v>0</v>
      </c>
      <c r="J272" s="325"/>
      <c r="K272" s="325">
        <f t="shared" si="58"/>
        <v>0</v>
      </c>
      <c r="L272" s="325">
        <f t="shared" si="59"/>
        <v>0</v>
      </c>
      <c r="M272" s="407">
        <v>20</v>
      </c>
      <c r="N272" s="408" t="s">
        <v>289</v>
      </c>
      <c r="O272" s="325">
        <f t="shared" si="62"/>
        <v>0</v>
      </c>
      <c r="P272" s="325">
        <f t="shared" si="63"/>
        <v>0</v>
      </c>
      <c r="Q272" s="325">
        <f t="shared" si="64"/>
        <v>0</v>
      </c>
      <c r="R272" s="325">
        <f t="shared" si="65"/>
        <v>0</v>
      </c>
      <c r="S272" s="325">
        <f t="shared" si="66"/>
        <v>0</v>
      </c>
      <c r="T272" s="325">
        <f t="shared" si="67"/>
        <v>0</v>
      </c>
      <c r="U272" s="409">
        <f t="shared" si="60"/>
        <v>0</v>
      </c>
      <c r="V272" s="325">
        <f t="shared" si="61"/>
        <v>685.64</v>
      </c>
      <c r="W272" s="449" cm="1">
        <f t="array" ref="W272">+IF(U272&lt;0,error,0)</f>
        <v>0</v>
      </c>
    </row>
    <row r="273" spans="1:23" ht="18" customHeight="1" x14ac:dyDescent="0.2">
      <c r="A273" s="402" t="s">
        <v>594</v>
      </c>
      <c r="B273" s="403"/>
      <c r="C273" s="404" t="s">
        <v>595</v>
      </c>
      <c r="D273" s="405">
        <v>40528</v>
      </c>
      <c r="E273" s="406"/>
      <c r="F273" s="325"/>
      <c r="G273" s="324"/>
      <c r="H273" s="324">
        <v>221.82</v>
      </c>
      <c r="I273" s="325">
        <v>0</v>
      </c>
      <c r="J273" s="325"/>
      <c r="K273" s="325">
        <f t="shared" si="58"/>
        <v>0</v>
      </c>
      <c r="L273" s="325">
        <f t="shared" si="59"/>
        <v>0</v>
      </c>
      <c r="M273" s="407">
        <v>20</v>
      </c>
      <c r="N273" s="408" t="s">
        <v>289</v>
      </c>
      <c r="O273" s="325">
        <f t="shared" si="62"/>
        <v>0</v>
      </c>
      <c r="P273" s="325">
        <f t="shared" si="63"/>
        <v>0</v>
      </c>
      <c r="Q273" s="325">
        <f t="shared" si="64"/>
        <v>0</v>
      </c>
      <c r="R273" s="325">
        <f t="shared" si="65"/>
        <v>0</v>
      </c>
      <c r="S273" s="325">
        <f t="shared" si="66"/>
        <v>0</v>
      </c>
      <c r="T273" s="325">
        <f t="shared" si="67"/>
        <v>0</v>
      </c>
      <c r="U273" s="409">
        <f t="shared" si="60"/>
        <v>0</v>
      </c>
      <c r="V273" s="325">
        <f t="shared" si="61"/>
        <v>0</v>
      </c>
      <c r="W273" s="449" cm="1">
        <f t="array" ref="W273">+IF(U273&lt;0,error,0)</f>
        <v>0</v>
      </c>
    </row>
    <row r="274" spans="1:23" ht="18" customHeight="1" x14ac:dyDescent="0.2">
      <c r="A274" s="402" t="s">
        <v>598</v>
      </c>
      <c r="B274" s="403"/>
      <c r="C274" s="404" t="s">
        <v>599</v>
      </c>
      <c r="D274" s="405">
        <v>40632</v>
      </c>
      <c r="E274" s="406">
        <v>44012</v>
      </c>
      <c r="F274" s="325">
        <v>0</v>
      </c>
      <c r="G274" s="324">
        <v>770</v>
      </c>
      <c r="H274" s="324">
        <v>770</v>
      </c>
      <c r="I274" s="325">
        <v>0</v>
      </c>
      <c r="J274" s="325"/>
      <c r="K274" s="325">
        <f t="shared" si="58"/>
        <v>0</v>
      </c>
      <c r="L274" s="325">
        <f t="shared" si="59"/>
        <v>0</v>
      </c>
      <c r="M274" s="407">
        <v>20</v>
      </c>
      <c r="N274" s="408" t="s">
        <v>289</v>
      </c>
      <c r="O274" s="325">
        <f t="shared" si="62"/>
        <v>0</v>
      </c>
      <c r="P274" s="325">
        <f t="shared" si="63"/>
        <v>0</v>
      </c>
      <c r="Q274" s="325">
        <f t="shared" si="64"/>
        <v>0</v>
      </c>
      <c r="R274" s="325">
        <f t="shared" si="65"/>
        <v>0</v>
      </c>
      <c r="S274" s="325">
        <f t="shared" si="66"/>
        <v>0</v>
      </c>
      <c r="T274" s="325">
        <f t="shared" si="67"/>
        <v>0</v>
      </c>
      <c r="U274" s="409">
        <f t="shared" si="60"/>
        <v>0</v>
      </c>
      <c r="V274" s="325">
        <f t="shared" si="61"/>
        <v>770</v>
      </c>
      <c r="W274" s="449" cm="1">
        <f t="array" ref="W274">+IF(U274&lt;0,error,0)</f>
        <v>0</v>
      </c>
    </row>
    <row r="275" spans="1:23" ht="18" customHeight="1" x14ac:dyDescent="0.2">
      <c r="A275" s="402" t="s">
        <v>600</v>
      </c>
      <c r="B275" s="403"/>
      <c r="C275" s="404" t="s">
        <v>601</v>
      </c>
      <c r="D275" s="405">
        <v>40688</v>
      </c>
      <c r="E275" s="406"/>
      <c r="F275" s="325"/>
      <c r="G275" s="324"/>
      <c r="H275" s="324">
        <v>300</v>
      </c>
      <c r="I275" s="325">
        <v>0</v>
      </c>
      <c r="J275" s="325"/>
      <c r="K275" s="325">
        <f t="shared" si="58"/>
        <v>0</v>
      </c>
      <c r="L275" s="325">
        <f t="shared" si="59"/>
        <v>0</v>
      </c>
      <c r="M275" s="407">
        <v>20</v>
      </c>
      <c r="N275" s="408" t="s">
        <v>289</v>
      </c>
      <c r="O275" s="325">
        <f t="shared" si="62"/>
        <v>0</v>
      </c>
      <c r="P275" s="325">
        <f t="shared" si="63"/>
        <v>0</v>
      </c>
      <c r="Q275" s="325">
        <f t="shared" si="64"/>
        <v>0</v>
      </c>
      <c r="R275" s="325">
        <f t="shared" si="65"/>
        <v>0</v>
      </c>
      <c r="S275" s="325">
        <f t="shared" si="66"/>
        <v>0</v>
      </c>
      <c r="T275" s="325">
        <f t="shared" si="67"/>
        <v>0</v>
      </c>
      <c r="U275" s="409">
        <f t="shared" si="60"/>
        <v>0</v>
      </c>
      <c r="V275" s="325">
        <f t="shared" si="61"/>
        <v>0</v>
      </c>
      <c r="W275" s="449" cm="1">
        <f t="array" ref="W275">+IF(U275&lt;0,error,0)</f>
        <v>0</v>
      </c>
    </row>
    <row r="276" spans="1:23" ht="18" customHeight="1" x14ac:dyDescent="0.2">
      <c r="A276" s="402" t="s">
        <v>602</v>
      </c>
      <c r="B276" s="403"/>
      <c r="C276" s="404" t="s">
        <v>603</v>
      </c>
      <c r="D276" s="405">
        <v>40585</v>
      </c>
      <c r="E276" s="406">
        <v>44012</v>
      </c>
      <c r="F276" s="325">
        <v>0</v>
      </c>
      <c r="G276" s="324">
        <v>772.73</v>
      </c>
      <c r="H276" s="324">
        <v>772.73</v>
      </c>
      <c r="I276" s="325">
        <v>0</v>
      </c>
      <c r="J276" s="325"/>
      <c r="K276" s="325">
        <f t="shared" si="58"/>
        <v>0</v>
      </c>
      <c r="L276" s="325">
        <f t="shared" si="59"/>
        <v>0</v>
      </c>
      <c r="M276" s="407">
        <v>20</v>
      </c>
      <c r="N276" s="408" t="s">
        <v>289</v>
      </c>
      <c r="O276" s="325">
        <f t="shared" si="62"/>
        <v>0</v>
      </c>
      <c r="P276" s="325">
        <f t="shared" si="63"/>
        <v>0</v>
      </c>
      <c r="Q276" s="325">
        <f t="shared" si="64"/>
        <v>0</v>
      </c>
      <c r="R276" s="325">
        <f t="shared" si="65"/>
        <v>0</v>
      </c>
      <c r="S276" s="325">
        <f t="shared" si="66"/>
        <v>0</v>
      </c>
      <c r="T276" s="325">
        <f t="shared" si="67"/>
        <v>0</v>
      </c>
      <c r="U276" s="409">
        <f t="shared" si="60"/>
        <v>0</v>
      </c>
      <c r="V276" s="325">
        <f t="shared" si="61"/>
        <v>772.73</v>
      </c>
      <c r="W276" s="449" cm="1">
        <f t="array" ref="W276">+IF(U276&lt;0,error,0)</f>
        <v>0</v>
      </c>
    </row>
    <row r="277" spans="1:23" ht="18" customHeight="1" x14ac:dyDescent="0.2">
      <c r="A277" s="402" t="s">
        <v>610</v>
      </c>
      <c r="B277" s="403"/>
      <c r="C277" s="404" t="s">
        <v>611</v>
      </c>
      <c r="D277" s="405">
        <v>38328</v>
      </c>
      <c r="E277" s="406"/>
      <c r="F277" s="325"/>
      <c r="G277" s="324"/>
      <c r="H277" s="324">
        <v>1000</v>
      </c>
      <c r="I277" s="325">
        <v>0</v>
      </c>
      <c r="J277" s="325"/>
      <c r="K277" s="325">
        <f t="shared" si="58"/>
        <v>0</v>
      </c>
      <c r="L277" s="325">
        <f t="shared" si="59"/>
        <v>0</v>
      </c>
      <c r="M277" s="407">
        <v>5</v>
      </c>
      <c r="N277" s="408" t="s">
        <v>289</v>
      </c>
      <c r="O277" s="325">
        <f t="shared" si="62"/>
        <v>0</v>
      </c>
      <c r="P277" s="325">
        <f t="shared" si="63"/>
        <v>0</v>
      </c>
      <c r="Q277" s="325">
        <f t="shared" si="64"/>
        <v>0</v>
      </c>
      <c r="R277" s="325">
        <f t="shared" si="65"/>
        <v>0</v>
      </c>
      <c r="S277" s="325">
        <f t="shared" si="66"/>
        <v>0</v>
      </c>
      <c r="T277" s="325">
        <f t="shared" si="67"/>
        <v>0</v>
      </c>
      <c r="U277" s="409">
        <f t="shared" si="60"/>
        <v>0</v>
      </c>
      <c r="V277" s="325">
        <f t="shared" si="61"/>
        <v>0</v>
      </c>
      <c r="W277" s="449" cm="1">
        <f t="array" ref="W277">+IF(U277&lt;0,error,0)</f>
        <v>0</v>
      </c>
    </row>
    <row r="278" spans="1:23" ht="18" customHeight="1" x14ac:dyDescent="0.2">
      <c r="A278" s="402" t="s">
        <v>612</v>
      </c>
      <c r="B278" s="403"/>
      <c r="C278" s="404" t="s">
        <v>613</v>
      </c>
      <c r="D278" s="405">
        <v>38413</v>
      </c>
      <c r="E278" s="406"/>
      <c r="F278" s="325"/>
      <c r="G278" s="324"/>
      <c r="H278" s="324">
        <v>3750</v>
      </c>
      <c r="I278" s="325">
        <v>1755</v>
      </c>
      <c r="J278" s="325"/>
      <c r="K278" s="325">
        <f t="shared" si="58"/>
        <v>0</v>
      </c>
      <c r="L278" s="325">
        <f t="shared" si="59"/>
        <v>0</v>
      </c>
      <c r="M278" s="407">
        <v>5</v>
      </c>
      <c r="N278" s="408" t="s">
        <v>289</v>
      </c>
      <c r="O278" s="325">
        <f t="shared" si="62"/>
        <v>0</v>
      </c>
      <c r="P278" s="325">
        <f t="shared" si="63"/>
        <v>0</v>
      </c>
      <c r="Q278" s="325">
        <f t="shared" si="64"/>
        <v>0</v>
      </c>
      <c r="R278" s="325">
        <f t="shared" si="65"/>
        <v>43</v>
      </c>
      <c r="S278" s="325">
        <f t="shared" si="66"/>
        <v>0</v>
      </c>
      <c r="T278" s="325">
        <f t="shared" si="67"/>
        <v>43</v>
      </c>
      <c r="U278" s="409">
        <f t="shared" si="60"/>
        <v>1712</v>
      </c>
      <c r="V278" s="325">
        <f t="shared" si="61"/>
        <v>0</v>
      </c>
      <c r="W278" s="449" cm="1">
        <f t="array" ref="W278">+IF(U278&lt;0,error,0)</f>
        <v>0</v>
      </c>
    </row>
    <row r="279" spans="1:23" ht="18" customHeight="1" x14ac:dyDescent="0.2">
      <c r="A279" s="402" t="s">
        <v>616</v>
      </c>
      <c r="B279" s="403"/>
      <c r="C279" s="404" t="s">
        <v>617</v>
      </c>
      <c r="D279" s="405">
        <v>40653</v>
      </c>
      <c r="E279" s="406"/>
      <c r="F279" s="325"/>
      <c r="G279" s="324"/>
      <c r="H279" s="324">
        <v>955.55000000000007</v>
      </c>
      <c r="I279" s="325">
        <v>0</v>
      </c>
      <c r="J279" s="325"/>
      <c r="K279" s="325">
        <f t="shared" si="58"/>
        <v>0</v>
      </c>
      <c r="L279" s="325">
        <f t="shared" si="59"/>
        <v>0</v>
      </c>
      <c r="M279" s="407">
        <v>20</v>
      </c>
      <c r="N279" s="408" t="s">
        <v>289</v>
      </c>
      <c r="O279" s="325">
        <f t="shared" si="62"/>
        <v>0</v>
      </c>
      <c r="P279" s="325">
        <f t="shared" si="63"/>
        <v>0</v>
      </c>
      <c r="Q279" s="325">
        <f t="shared" si="64"/>
        <v>0</v>
      </c>
      <c r="R279" s="325">
        <f t="shared" si="65"/>
        <v>0</v>
      </c>
      <c r="S279" s="325">
        <f t="shared" si="66"/>
        <v>0</v>
      </c>
      <c r="T279" s="325">
        <f t="shared" si="67"/>
        <v>0</v>
      </c>
      <c r="U279" s="409">
        <f t="shared" si="60"/>
        <v>0</v>
      </c>
      <c r="V279" s="325">
        <f t="shared" si="61"/>
        <v>0</v>
      </c>
      <c r="W279" s="449" cm="1">
        <f t="array" ref="W279">+IF(U279&lt;0,error,0)</f>
        <v>0</v>
      </c>
    </row>
    <row r="280" spans="1:23" ht="18" customHeight="1" x14ac:dyDescent="0.2">
      <c r="A280" s="402" t="s">
        <v>618</v>
      </c>
      <c r="B280" s="403"/>
      <c r="C280" s="404" t="s">
        <v>619</v>
      </c>
      <c r="D280" s="405">
        <v>40653</v>
      </c>
      <c r="E280" s="406"/>
      <c r="F280" s="325"/>
      <c r="G280" s="324"/>
      <c r="H280" s="324">
        <v>914</v>
      </c>
      <c r="I280" s="325">
        <v>0</v>
      </c>
      <c r="J280" s="325"/>
      <c r="K280" s="325">
        <f t="shared" si="58"/>
        <v>0</v>
      </c>
      <c r="L280" s="325">
        <f t="shared" si="59"/>
        <v>0</v>
      </c>
      <c r="M280" s="407">
        <v>20</v>
      </c>
      <c r="N280" s="408" t="s">
        <v>289</v>
      </c>
      <c r="O280" s="325">
        <f t="shared" si="62"/>
        <v>0</v>
      </c>
      <c r="P280" s="325">
        <f t="shared" si="63"/>
        <v>0</v>
      </c>
      <c r="Q280" s="325">
        <f t="shared" si="64"/>
        <v>0</v>
      </c>
      <c r="R280" s="325">
        <f t="shared" si="65"/>
        <v>0</v>
      </c>
      <c r="S280" s="325">
        <f t="shared" si="66"/>
        <v>0</v>
      </c>
      <c r="T280" s="325">
        <f t="shared" si="67"/>
        <v>0</v>
      </c>
      <c r="U280" s="409">
        <f t="shared" si="60"/>
        <v>0</v>
      </c>
      <c r="V280" s="325">
        <f t="shared" si="61"/>
        <v>0</v>
      </c>
      <c r="W280" s="449" cm="1">
        <f t="array" ref="W280">+IF(U280&lt;0,error,0)</f>
        <v>0</v>
      </c>
    </row>
    <row r="281" spans="1:23" ht="18" customHeight="1" x14ac:dyDescent="0.2">
      <c r="A281" s="402" t="s">
        <v>620</v>
      </c>
      <c r="B281" s="403"/>
      <c r="C281" s="404" t="s">
        <v>2278</v>
      </c>
      <c r="D281" s="405">
        <v>38448</v>
      </c>
      <c r="E281" s="406">
        <v>44012</v>
      </c>
      <c r="F281" s="325">
        <v>0</v>
      </c>
      <c r="G281" s="324">
        <v>1613.23</v>
      </c>
      <c r="H281" s="324">
        <v>1613.23</v>
      </c>
      <c r="I281" s="325">
        <v>0</v>
      </c>
      <c r="J281" s="325"/>
      <c r="K281" s="325">
        <f t="shared" si="58"/>
        <v>0</v>
      </c>
      <c r="L281" s="325">
        <f t="shared" si="59"/>
        <v>0</v>
      </c>
      <c r="M281" s="407">
        <v>7.5</v>
      </c>
      <c r="N281" s="408" t="s">
        <v>289</v>
      </c>
      <c r="O281" s="325">
        <f t="shared" si="62"/>
        <v>0</v>
      </c>
      <c r="P281" s="325">
        <f t="shared" si="63"/>
        <v>0</v>
      </c>
      <c r="Q281" s="325">
        <f t="shared" si="64"/>
        <v>0</v>
      </c>
      <c r="R281" s="325">
        <f t="shared" si="65"/>
        <v>0</v>
      </c>
      <c r="S281" s="325">
        <f t="shared" si="66"/>
        <v>0</v>
      </c>
      <c r="T281" s="325">
        <f t="shared" si="67"/>
        <v>0</v>
      </c>
      <c r="U281" s="409">
        <f t="shared" si="60"/>
        <v>0</v>
      </c>
      <c r="V281" s="325">
        <f t="shared" si="61"/>
        <v>1613.23</v>
      </c>
      <c r="W281" s="449" cm="1">
        <f t="array" ref="W281">+IF(U281&lt;0,error,0)</f>
        <v>0</v>
      </c>
    </row>
    <row r="282" spans="1:23" ht="18" customHeight="1" x14ac:dyDescent="0.2">
      <c r="A282" s="402" t="s">
        <v>622</v>
      </c>
      <c r="B282" s="403"/>
      <c r="C282" s="404" t="s">
        <v>2278</v>
      </c>
      <c r="D282" s="405">
        <v>38432</v>
      </c>
      <c r="E282" s="406">
        <v>44012</v>
      </c>
      <c r="F282" s="325">
        <v>0</v>
      </c>
      <c r="G282" s="324">
        <v>825</v>
      </c>
      <c r="H282" s="324">
        <v>825</v>
      </c>
      <c r="I282" s="325">
        <v>0</v>
      </c>
      <c r="J282" s="325"/>
      <c r="K282" s="325">
        <f t="shared" si="58"/>
        <v>0</v>
      </c>
      <c r="L282" s="325">
        <f t="shared" si="59"/>
        <v>0</v>
      </c>
      <c r="M282" s="407">
        <v>7.5</v>
      </c>
      <c r="N282" s="408" t="s">
        <v>289</v>
      </c>
      <c r="O282" s="325">
        <f t="shared" si="62"/>
        <v>0</v>
      </c>
      <c r="P282" s="325">
        <f t="shared" si="63"/>
        <v>0</v>
      </c>
      <c r="Q282" s="325">
        <f t="shared" si="64"/>
        <v>0</v>
      </c>
      <c r="R282" s="325">
        <f t="shared" si="65"/>
        <v>0</v>
      </c>
      <c r="S282" s="325">
        <f t="shared" si="66"/>
        <v>0</v>
      </c>
      <c r="T282" s="325">
        <f t="shared" si="67"/>
        <v>0</v>
      </c>
      <c r="U282" s="409">
        <f t="shared" si="60"/>
        <v>0</v>
      </c>
      <c r="V282" s="325">
        <f t="shared" si="61"/>
        <v>825</v>
      </c>
      <c r="W282" s="449" cm="1">
        <f t="array" ref="W282">+IF(U282&lt;0,error,0)</f>
        <v>0</v>
      </c>
    </row>
    <row r="283" spans="1:23" ht="18" customHeight="1" x14ac:dyDescent="0.2">
      <c r="A283" s="402" t="s">
        <v>624</v>
      </c>
      <c r="B283" s="403"/>
      <c r="C283" s="404" t="s">
        <v>380</v>
      </c>
      <c r="D283" s="405">
        <v>38477</v>
      </c>
      <c r="E283" s="406">
        <v>44012</v>
      </c>
      <c r="F283" s="325">
        <v>0</v>
      </c>
      <c r="G283" s="324">
        <v>407.88</v>
      </c>
      <c r="H283" s="324">
        <v>407.88</v>
      </c>
      <c r="I283" s="325">
        <v>0</v>
      </c>
      <c r="J283" s="325"/>
      <c r="K283" s="325">
        <f t="shared" si="58"/>
        <v>0</v>
      </c>
      <c r="L283" s="325">
        <f t="shared" si="59"/>
        <v>0</v>
      </c>
      <c r="M283" s="407">
        <v>7.5</v>
      </c>
      <c r="N283" s="408" t="s">
        <v>289</v>
      </c>
      <c r="O283" s="325">
        <f t="shared" si="62"/>
        <v>0</v>
      </c>
      <c r="P283" s="325">
        <f t="shared" si="63"/>
        <v>0</v>
      </c>
      <c r="Q283" s="325">
        <f t="shared" si="64"/>
        <v>0</v>
      </c>
      <c r="R283" s="325">
        <f t="shared" si="65"/>
        <v>0</v>
      </c>
      <c r="S283" s="325">
        <f t="shared" si="66"/>
        <v>0</v>
      </c>
      <c r="T283" s="325">
        <f t="shared" si="67"/>
        <v>0</v>
      </c>
      <c r="U283" s="409">
        <f t="shared" si="60"/>
        <v>0</v>
      </c>
      <c r="V283" s="325">
        <f t="shared" si="61"/>
        <v>407.88</v>
      </c>
      <c r="W283" s="449" cm="1">
        <f t="array" ref="W283">+IF(U283&lt;0,error,0)</f>
        <v>0</v>
      </c>
    </row>
    <row r="284" spans="1:23" ht="18" customHeight="1" x14ac:dyDescent="0.2">
      <c r="A284" s="402" t="s">
        <v>625</v>
      </c>
      <c r="B284" s="403"/>
      <c r="C284" s="404" t="s">
        <v>626</v>
      </c>
      <c r="D284" s="405">
        <v>38567</v>
      </c>
      <c r="E284" s="406"/>
      <c r="F284" s="325"/>
      <c r="G284" s="324"/>
      <c r="H284" s="324">
        <v>2100</v>
      </c>
      <c r="I284" s="325">
        <v>1005</v>
      </c>
      <c r="J284" s="325"/>
      <c r="K284" s="325">
        <f t="shared" si="58"/>
        <v>0</v>
      </c>
      <c r="L284" s="325">
        <f t="shared" si="59"/>
        <v>0</v>
      </c>
      <c r="M284" s="407">
        <v>5</v>
      </c>
      <c r="N284" s="408" t="s">
        <v>289</v>
      </c>
      <c r="O284" s="325">
        <f t="shared" si="62"/>
        <v>0</v>
      </c>
      <c r="P284" s="325">
        <f t="shared" si="63"/>
        <v>0</v>
      </c>
      <c r="Q284" s="325">
        <f t="shared" si="64"/>
        <v>0</v>
      </c>
      <c r="R284" s="325">
        <f t="shared" si="65"/>
        <v>25</v>
      </c>
      <c r="S284" s="325">
        <f t="shared" si="66"/>
        <v>0</v>
      </c>
      <c r="T284" s="325">
        <f t="shared" si="67"/>
        <v>25</v>
      </c>
      <c r="U284" s="409">
        <f t="shared" si="60"/>
        <v>980</v>
      </c>
      <c r="V284" s="325">
        <f t="shared" si="61"/>
        <v>0</v>
      </c>
      <c r="W284" s="449" cm="1">
        <f t="array" ref="W284">+IF(U284&lt;0,error,0)</f>
        <v>0</v>
      </c>
    </row>
    <row r="285" spans="1:23" ht="18" customHeight="1" x14ac:dyDescent="0.2">
      <c r="A285" s="402" t="s">
        <v>627</v>
      </c>
      <c r="B285" s="403"/>
      <c r="C285" s="404" t="s">
        <v>628</v>
      </c>
      <c r="D285" s="405">
        <v>38726</v>
      </c>
      <c r="E285" s="406"/>
      <c r="F285" s="325"/>
      <c r="G285" s="324"/>
      <c r="H285" s="324">
        <v>23400</v>
      </c>
      <c r="I285" s="325">
        <v>11440</v>
      </c>
      <c r="J285" s="325"/>
      <c r="K285" s="325">
        <f t="shared" si="58"/>
        <v>0</v>
      </c>
      <c r="L285" s="325">
        <f t="shared" si="59"/>
        <v>0</v>
      </c>
      <c r="M285" s="407">
        <v>5</v>
      </c>
      <c r="N285" s="408" t="s">
        <v>289</v>
      </c>
      <c r="O285" s="325">
        <f t="shared" si="62"/>
        <v>0</v>
      </c>
      <c r="P285" s="325">
        <f t="shared" si="63"/>
        <v>0</v>
      </c>
      <c r="Q285" s="325">
        <f t="shared" si="64"/>
        <v>0</v>
      </c>
      <c r="R285" s="325">
        <f t="shared" si="65"/>
        <v>286</v>
      </c>
      <c r="S285" s="325">
        <f t="shared" si="66"/>
        <v>0</v>
      </c>
      <c r="T285" s="325">
        <f t="shared" si="67"/>
        <v>286</v>
      </c>
      <c r="U285" s="409">
        <f t="shared" si="60"/>
        <v>11154</v>
      </c>
      <c r="V285" s="325">
        <f t="shared" si="61"/>
        <v>0</v>
      </c>
      <c r="W285" s="449" cm="1">
        <f t="array" ref="W285">+IF(U285&lt;0,error,0)</f>
        <v>0</v>
      </c>
    </row>
    <row r="286" spans="1:23" ht="18" customHeight="1" x14ac:dyDescent="0.2">
      <c r="A286" s="402" t="s">
        <v>629</v>
      </c>
      <c r="B286" s="403"/>
      <c r="C286" s="404" t="s">
        <v>2271</v>
      </c>
      <c r="D286" s="405">
        <v>38730</v>
      </c>
      <c r="E286" s="406"/>
      <c r="F286" s="325"/>
      <c r="G286" s="324"/>
      <c r="H286" s="324">
        <v>19000</v>
      </c>
      <c r="I286" s="325">
        <v>3759</v>
      </c>
      <c r="J286" s="325"/>
      <c r="K286" s="325">
        <f t="shared" si="58"/>
        <v>0</v>
      </c>
      <c r="L286" s="325">
        <f t="shared" si="59"/>
        <v>0</v>
      </c>
      <c r="M286" s="407">
        <v>11</v>
      </c>
      <c r="N286" s="408" t="s">
        <v>289</v>
      </c>
      <c r="O286" s="325">
        <f t="shared" si="62"/>
        <v>0</v>
      </c>
      <c r="P286" s="325">
        <f t="shared" si="63"/>
        <v>0</v>
      </c>
      <c r="Q286" s="325">
        <f t="shared" si="64"/>
        <v>0</v>
      </c>
      <c r="R286" s="325">
        <f t="shared" si="65"/>
        <v>206</v>
      </c>
      <c r="S286" s="325">
        <f t="shared" si="66"/>
        <v>0</v>
      </c>
      <c r="T286" s="325">
        <f t="shared" si="67"/>
        <v>206</v>
      </c>
      <c r="U286" s="409">
        <f t="shared" si="60"/>
        <v>3553</v>
      </c>
      <c r="V286" s="325">
        <f t="shared" si="61"/>
        <v>0</v>
      </c>
      <c r="W286" s="449" cm="1">
        <f t="array" ref="W286">+IF(U286&lt;0,error,0)</f>
        <v>0</v>
      </c>
    </row>
    <row r="287" spans="1:23" ht="18" customHeight="1" x14ac:dyDescent="0.2">
      <c r="A287" s="402" t="s">
        <v>637</v>
      </c>
      <c r="B287" s="403"/>
      <c r="C287" s="404" t="s">
        <v>638</v>
      </c>
      <c r="D287" s="405">
        <v>38799</v>
      </c>
      <c r="E287" s="406">
        <v>44012</v>
      </c>
      <c r="F287" s="325">
        <v>0</v>
      </c>
      <c r="G287" s="324">
        <v>261.82</v>
      </c>
      <c r="H287" s="324">
        <v>261.82</v>
      </c>
      <c r="I287" s="325">
        <v>0</v>
      </c>
      <c r="J287" s="325"/>
      <c r="K287" s="325">
        <f t="shared" si="58"/>
        <v>0</v>
      </c>
      <c r="L287" s="325">
        <f t="shared" si="59"/>
        <v>0</v>
      </c>
      <c r="M287" s="407">
        <v>37.5</v>
      </c>
      <c r="N287" s="408" t="s">
        <v>289</v>
      </c>
      <c r="O287" s="325">
        <f t="shared" si="62"/>
        <v>0</v>
      </c>
      <c r="P287" s="325">
        <f t="shared" si="63"/>
        <v>0</v>
      </c>
      <c r="Q287" s="325">
        <f t="shared" si="64"/>
        <v>0</v>
      </c>
      <c r="R287" s="325">
        <f t="shared" si="65"/>
        <v>0</v>
      </c>
      <c r="S287" s="325">
        <f t="shared" si="66"/>
        <v>0</v>
      </c>
      <c r="T287" s="325">
        <f t="shared" si="67"/>
        <v>0</v>
      </c>
      <c r="U287" s="409">
        <f t="shared" si="60"/>
        <v>0</v>
      </c>
      <c r="V287" s="325">
        <f t="shared" si="61"/>
        <v>261.82</v>
      </c>
      <c r="W287" s="449" cm="1">
        <f t="array" ref="W287">+IF(U287&lt;0,error,0)</f>
        <v>0</v>
      </c>
    </row>
    <row r="288" spans="1:23" ht="18" customHeight="1" x14ac:dyDescent="0.2">
      <c r="A288" s="402" t="s">
        <v>639</v>
      </c>
      <c r="B288" s="403"/>
      <c r="C288" s="404" t="s">
        <v>640</v>
      </c>
      <c r="D288" s="405">
        <v>38810</v>
      </c>
      <c r="E288" s="406"/>
      <c r="F288" s="325"/>
      <c r="G288" s="324"/>
      <c r="H288" s="324">
        <v>1250</v>
      </c>
      <c r="I288" s="325">
        <v>0</v>
      </c>
      <c r="J288" s="325"/>
      <c r="K288" s="325">
        <f t="shared" si="58"/>
        <v>0</v>
      </c>
      <c r="L288" s="325">
        <f t="shared" si="59"/>
        <v>0</v>
      </c>
      <c r="M288" s="407">
        <v>5</v>
      </c>
      <c r="N288" s="408" t="s">
        <v>289</v>
      </c>
      <c r="O288" s="325">
        <f t="shared" si="62"/>
        <v>0</v>
      </c>
      <c r="P288" s="325">
        <f t="shared" si="63"/>
        <v>0</v>
      </c>
      <c r="Q288" s="325">
        <f t="shared" si="64"/>
        <v>0</v>
      </c>
      <c r="R288" s="325">
        <f t="shared" si="65"/>
        <v>0</v>
      </c>
      <c r="S288" s="325">
        <f t="shared" si="66"/>
        <v>0</v>
      </c>
      <c r="T288" s="325">
        <f t="shared" si="67"/>
        <v>0</v>
      </c>
      <c r="U288" s="409">
        <f t="shared" si="60"/>
        <v>0</v>
      </c>
      <c r="V288" s="325">
        <f t="shared" si="61"/>
        <v>0</v>
      </c>
      <c r="W288" s="449" cm="1">
        <f t="array" ref="W288">+IF(U288&lt;0,error,0)</f>
        <v>0</v>
      </c>
    </row>
    <row r="289" spans="1:23" ht="18" customHeight="1" x14ac:dyDescent="0.2">
      <c r="A289" s="402" t="s">
        <v>641</v>
      </c>
      <c r="B289" s="403"/>
      <c r="C289" s="404" t="s">
        <v>640</v>
      </c>
      <c r="D289" s="405">
        <v>38813</v>
      </c>
      <c r="E289" s="406"/>
      <c r="F289" s="325"/>
      <c r="G289" s="324"/>
      <c r="H289" s="324">
        <v>1250</v>
      </c>
      <c r="I289" s="325">
        <v>0</v>
      </c>
      <c r="J289" s="325"/>
      <c r="K289" s="325">
        <f t="shared" si="58"/>
        <v>0</v>
      </c>
      <c r="L289" s="325">
        <f t="shared" si="59"/>
        <v>0</v>
      </c>
      <c r="M289" s="407">
        <v>5</v>
      </c>
      <c r="N289" s="408" t="s">
        <v>289</v>
      </c>
      <c r="O289" s="325">
        <f t="shared" si="62"/>
        <v>0</v>
      </c>
      <c r="P289" s="325">
        <f t="shared" si="63"/>
        <v>0</v>
      </c>
      <c r="Q289" s="325">
        <f t="shared" si="64"/>
        <v>0</v>
      </c>
      <c r="R289" s="325">
        <f t="shared" si="65"/>
        <v>0</v>
      </c>
      <c r="S289" s="325">
        <f t="shared" si="66"/>
        <v>0</v>
      </c>
      <c r="T289" s="325">
        <f t="shared" si="67"/>
        <v>0</v>
      </c>
      <c r="U289" s="409">
        <f t="shared" si="60"/>
        <v>0</v>
      </c>
      <c r="V289" s="325">
        <f t="shared" si="61"/>
        <v>0</v>
      </c>
      <c r="W289" s="449" cm="1">
        <f t="array" ref="W289">+IF(U289&lt;0,error,0)</f>
        <v>0</v>
      </c>
    </row>
    <row r="290" spans="1:23" ht="18" customHeight="1" x14ac:dyDescent="0.2">
      <c r="A290" s="402" t="s">
        <v>642</v>
      </c>
      <c r="B290" s="403"/>
      <c r="C290" s="404" t="s">
        <v>643</v>
      </c>
      <c r="D290" s="405">
        <v>38834</v>
      </c>
      <c r="E290" s="406"/>
      <c r="F290" s="325"/>
      <c r="G290" s="324"/>
      <c r="H290" s="324">
        <v>1000</v>
      </c>
      <c r="I290" s="325">
        <v>0</v>
      </c>
      <c r="J290" s="325"/>
      <c r="K290" s="325">
        <f t="shared" si="58"/>
        <v>0</v>
      </c>
      <c r="L290" s="325">
        <f t="shared" si="59"/>
        <v>0</v>
      </c>
      <c r="M290" s="407">
        <v>5</v>
      </c>
      <c r="N290" s="408" t="s">
        <v>289</v>
      </c>
      <c r="O290" s="325">
        <f t="shared" si="62"/>
        <v>0</v>
      </c>
      <c r="P290" s="325">
        <f t="shared" si="63"/>
        <v>0</v>
      </c>
      <c r="Q290" s="325">
        <f t="shared" si="64"/>
        <v>0</v>
      </c>
      <c r="R290" s="325">
        <f t="shared" si="65"/>
        <v>0</v>
      </c>
      <c r="S290" s="325">
        <f t="shared" si="66"/>
        <v>0</v>
      </c>
      <c r="T290" s="325">
        <f t="shared" si="67"/>
        <v>0</v>
      </c>
      <c r="U290" s="409">
        <f t="shared" si="60"/>
        <v>0</v>
      </c>
      <c r="V290" s="325">
        <f t="shared" si="61"/>
        <v>0</v>
      </c>
      <c r="W290" s="449" cm="1">
        <f t="array" ref="W290">+IF(U290&lt;0,error,0)</f>
        <v>0</v>
      </c>
    </row>
    <row r="291" spans="1:23" ht="18" customHeight="1" x14ac:dyDescent="0.2">
      <c r="A291" s="402" t="s">
        <v>644</v>
      </c>
      <c r="B291" s="403"/>
      <c r="C291" s="404" t="s">
        <v>645</v>
      </c>
      <c r="D291" s="405">
        <v>38825</v>
      </c>
      <c r="E291" s="406"/>
      <c r="F291" s="325"/>
      <c r="G291" s="324"/>
      <c r="H291" s="324">
        <v>4200</v>
      </c>
      <c r="I291" s="325">
        <v>2083</v>
      </c>
      <c r="J291" s="325"/>
      <c r="K291" s="325">
        <f t="shared" si="58"/>
        <v>0</v>
      </c>
      <c r="L291" s="325">
        <f t="shared" si="59"/>
        <v>0</v>
      </c>
      <c r="M291" s="407">
        <v>5</v>
      </c>
      <c r="N291" s="408" t="s">
        <v>289</v>
      </c>
      <c r="O291" s="325">
        <f t="shared" si="62"/>
        <v>0</v>
      </c>
      <c r="P291" s="325">
        <f t="shared" si="63"/>
        <v>0</v>
      </c>
      <c r="Q291" s="325">
        <f t="shared" si="64"/>
        <v>0</v>
      </c>
      <c r="R291" s="325">
        <f t="shared" si="65"/>
        <v>52</v>
      </c>
      <c r="S291" s="325">
        <f t="shared" si="66"/>
        <v>0</v>
      </c>
      <c r="T291" s="325">
        <f t="shared" si="67"/>
        <v>52</v>
      </c>
      <c r="U291" s="409">
        <f t="shared" si="60"/>
        <v>2031</v>
      </c>
      <c r="V291" s="325">
        <f t="shared" si="61"/>
        <v>0</v>
      </c>
      <c r="W291" s="449" cm="1">
        <f t="array" ref="W291">+IF(U291&lt;0,error,0)</f>
        <v>0</v>
      </c>
    </row>
    <row r="292" spans="1:23" ht="18" customHeight="1" x14ac:dyDescent="0.2">
      <c r="A292" s="402" t="s">
        <v>646</v>
      </c>
      <c r="B292" s="403"/>
      <c r="C292" s="404" t="s">
        <v>2278</v>
      </c>
      <c r="D292" s="405">
        <v>38835</v>
      </c>
      <c r="E292" s="406">
        <v>44012</v>
      </c>
      <c r="F292" s="325">
        <v>0</v>
      </c>
      <c r="G292" s="324">
        <v>1058.4000000000001</v>
      </c>
      <c r="H292" s="324">
        <f>1059.04-0.64</f>
        <v>1058.3999999999999</v>
      </c>
      <c r="I292" s="325">
        <v>0</v>
      </c>
      <c r="J292" s="325"/>
      <c r="K292" s="325">
        <f t="shared" si="58"/>
        <v>0</v>
      </c>
      <c r="L292" s="325">
        <f t="shared" si="59"/>
        <v>0</v>
      </c>
      <c r="M292" s="407">
        <v>7.5</v>
      </c>
      <c r="N292" s="408" t="s">
        <v>289</v>
      </c>
      <c r="O292" s="325">
        <f t="shared" si="62"/>
        <v>0</v>
      </c>
      <c r="P292" s="325">
        <f t="shared" si="63"/>
        <v>0</v>
      </c>
      <c r="Q292" s="325">
        <f t="shared" si="64"/>
        <v>0</v>
      </c>
      <c r="R292" s="325">
        <f t="shared" si="65"/>
        <v>0</v>
      </c>
      <c r="S292" s="325">
        <f t="shared" si="66"/>
        <v>0</v>
      </c>
      <c r="T292" s="325">
        <f t="shared" si="67"/>
        <v>0</v>
      </c>
      <c r="U292" s="409">
        <f t="shared" si="60"/>
        <v>0</v>
      </c>
      <c r="V292" s="325">
        <f t="shared" si="61"/>
        <v>1058.3999999999999</v>
      </c>
      <c r="W292" s="449" cm="1">
        <f t="array" ref="W292">+IF(U292&lt;0,error,0)</f>
        <v>0</v>
      </c>
    </row>
    <row r="293" spans="1:23" ht="18" customHeight="1" x14ac:dyDescent="0.2">
      <c r="A293" s="402" t="s">
        <v>647</v>
      </c>
      <c r="B293" s="403"/>
      <c r="C293" s="404" t="s">
        <v>648</v>
      </c>
      <c r="D293" s="405">
        <v>38765</v>
      </c>
      <c r="E293" s="406">
        <v>44012</v>
      </c>
      <c r="F293" s="325">
        <v>0</v>
      </c>
      <c r="G293" s="324">
        <v>97.5</v>
      </c>
      <c r="H293" s="324">
        <v>97.5</v>
      </c>
      <c r="I293" s="325">
        <v>0</v>
      </c>
      <c r="J293" s="325"/>
      <c r="K293" s="325">
        <f t="shared" si="58"/>
        <v>0</v>
      </c>
      <c r="L293" s="325">
        <f t="shared" si="59"/>
        <v>0</v>
      </c>
      <c r="M293" s="407">
        <v>30</v>
      </c>
      <c r="N293" s="408" t="s">
        <v>289</v>
      </c>
      <c r="O293" s="325">
        <f t="shared" si="62"/>
        <v>0</v>
      </c>
      <c r="P293" s="325">
        <f t="shared" si="63"/>
        <v>0</v>
      </c>
      <c r="Q293" s="325">
        <f t="shared" si="64"/>
        <v>0</v>
      </c>
      <c r="R293" s="325">
        <f t="shared" si="65"/>
        <v>0</v>
      </c>
      <c r="S293" s="325">
        <f t="shared" si="66"/>
        <v>0</v>
      </c>
      <c r="T293" s="325">
        <f t="shared" si="67"/>
        <v>0</v>
      </c>
      <c r="U293" s="409">
        <f t="shared" si="60"/>
        <v>0</v>
      </c>
      <c r="V293" s="325">
        <f t="shared" si="61"/>
        <v>97.5</v>
      </c>
      <c r="W293" s="449" cm="1">
        <f t="array" ref="W293">+IF(U293&lt;0,error,0)</f>
        <v>0</v>
      </c>
    </row>
    <row r="294" spans="1:23" ht="18" customHeight="1" x14ac:dyDescent="0.2">
      <c r="A294" s="402" t="s">
        <v>649</v>
      </c>
      <c r="B294" s="403"/>
      <c r="C294" s="404" t="s">
        <v>650</v>
      </c>
      <c r="D294" s="405">
        <v>38611</v>
      </c>
      <c r="E294" s="406"/>
      <c r="F294" s="325"/>
      <c r="G294" s="324"/>
      <c r="H294" s="324">
        <v>12000</v>
      </c>
      <c r="I294" s="325">
        <v>3951</v>
      </c>
      <c r="J294" s="325"/>
      <c r="K294" s="325">
        <f t="shared" si="58"/>
        <v>0</v>
      </c>
      <c r="L294" s="325">
        <f t="shared" si="59"/>
        <v>0</v>
      </c>
      <c r="M294" s="407">
        <v>7.5</v>
      </c>
      <c r="N294" s="408" t="s">
        <v>289</v>
      </c>
      <c r="O294" s="325">
        <f t="shared" si="62"/>
        <v>0</v>
      </c>
      <c r="P294" s="325">
        <f t="shared" si="63"/>
        <v>0</v>
      </c>
      <c r="Q294" s="325">
        <f t="shared" si="64"/>
        <v>0</v>
      </c>
      <c r="R294" s="325">
        <f t="shared" si="65"/>
        <v>148</v>
      </c>
      <c r="S294" s="325">
        <f t="shared" si="66"/>
        <v>0</v>
      </c>
      <c r="T294" s="325">
        <f t="shared" si="67"/>
        <v>148</v>
      </c>
      <c r="U294" s="409">
        <f t="shared" si="60"/>
        <v>3803</v>
      </c>
      <c r="V294" s="325">
        <f t="shared" si="61"/>
        <v>0</v>
      </c>
      <c r="W294" s="449" cm="1">
        <f t="array" ref="W294">+IF(U294&lt;0,error,0)</f>
        <v>0</v>
      </c>
    </row>
    <row r="295" spans="1:23" ht="18" customHeight="1" x14ac:dyDescent="0.2">
      <c r="A295" s="402" t="s">
        <v>651</v>
      </c>
      <c r="B295" s="403"/>
      <c r="C295" s="404" t="s">
        <v>652</v>
      </c>
      <c r="D295" s="405">
        <v>38687</v>
      </c>
      <c r="E295" s="406"/>
      <c r="F295" s="325"/>
      <c r="G295" s="324"/>
      <c r="H295" s="324">
        <v>4090.9100000000003</v>
      </c>
      <c r="I295" s="325">
        <v>1989.9099999999999</v>
      </c>
      <c r="J295" s="325"/>
      <c r="K295" s="325">
        <f t="shared" si="58"/>
        <v>0</v>
      </c>
      <c r="L295" s="325">
        <f t="shared" si="59"/>
        <v>0</v>
      </c>
      <c r="M295" s="407">
        <v>5</v>
      </c>
      <c r="N295" s="408" t="s">
        <v>289</v>
      </c>
      <c r="O295" s="325">
        <f t="shared" si="62"/>
        <v>0</v>
      </c>
      <c r="P295" s="325">
        <f t="shared" si="63"/>
        <v>0</v>
      </c>
      <c r="Q295" s="325">
        <f t="shared" si="64"/>
        <v>0</v>
      </c>
      <c r="R295" s="325">
        <f t="shared" si="65"/>
        <v>49</v>
      </c>
      <c r="S295" s="325">
        <f t="shared" si="66"/>
        <v>0</v>
      </c>
      <c r="T295" s="325">
        <f t="shared" si="67"/>
        <v>49</v>
      </c>
      <c r="U295" s="409">
        <f t="shared" si="60"/>
        <v>1940.9099999999999</v>
      </c>
      <c r="V295" s="325">
        <f t="shared" si="61"/>
        <v>0</v>
      </c>
      <c r="W295" s="449" cm="1">
        <f t="array" ref="W295">+IF(U295&lt;0,error,0)</f>
        <v>0</v>
      </c>
    </row>
    <row r="296" spans="1:23" ht="18" customHeight="1" x14ac:dyDescent="0.2">
      <c r="A296" s="402" t="s">
        <v>653</v>
      </c>
      <c r="B296" s="403"/>
      <c r="C296" s="404" t="s">
        <v>654</v>
      </c>
      <c r="D296" s="405">
        <v>38718</v>
      </c>
      <c r="E296" s="406"/>
      <c r="F296" s="325"/>
      <c r="G296" s="324"/>
      <c r="H296" s="324">
        <v>5740</v>
      </c>
      <c r="I296" s="325">
        <v>1934</v>
      </c>
      <c r="J296" s="325"/>
      <c r="K296" s="325">
        <f t="shared" si="58"/>
        <v>0</v>
      </c>
      <c r="L296" s="325">
        <f t="shared" si="59"/>
        <v>0</v>
      </c>
      <c r="M296" s="407">
        <v>7.5</v>
      </c>
      <c r="N296" s="408" t="s">
        <v>289</v>
      </c>
      <c r="O296" s="325">
        <f t="shared" si="62"/>
        <v>0</v>
      </c>
      <c r="P296" s="325">
        <f t="shared" si="63"/>
        <v>0</v>
      </c>
      <c r="Q296" s="325">
        <f t="shared" si="64"/>
        <v>0</v>
      </c>
      <c r="R296" s="325">
        <f t="shared" si="65"/>
        <v>72</v>
      </c>
      <c r="S296" s="325">
        <f t="shared" si="66"/>
        <v>0</v>
      </c>
      <c r="T296" s="325">
        <f t="shared" si="67"/>
        <v>72</v>
      </c>
      <c r="U296" s="409">
        <f t="shared" si="60"/>
        <v>1862</v>
      </c>
      <c r="V296" s="325">
        <f t="shared" si="61"/>
        <v>0</v>
      </c>
      <c r="W296" s="449" cm="1">
        <f t="array" ref="W296">+IF(U296&lt;0,error,0)</f>
        <v>0</v>
      </c>
    </row>
    <row r="297" spans="1:23" ht="18" customHeight="1" x14ac:dyDescent="0.2">
      <c r="A297" s="402" t="s">
        <v>655</v>
      </c>
      <c r="B297" s="403"/>
      <c r="C297" s="404" t="s">
        <v>656</v>
      </c>
      <c r="D297" s="405">
        <v>38656</v>
      </c>
      <c r="E297" s="406">
        <v>44012</v>
      </c>
      <c r="F297" s="325">
        <v>0</v>
      </c>
      <c r="G297" s="324">
        <v>271.82</v>
      </c>
      <c r="H297" s="324">
        <v>271.82</v>
      </c>
      <c r="I297" s="325">
        <v>0</v>
      </c>
      <c r="J297" s="325"/>
      <c r="K297" s="325">
        <f t="shared" si="58"/>
        <v>0</v>
      </c>
      <c r="L297" s="325">
        <f t="shared" si="59"/>
        <v>0</v>
      </c>
      <c r="M297" s="407">
        <v>20</v>
      </c>
      <c r="N297" s="408" t="s">
        <v>289</v>
      </c>
      <c r="O297" s="325">
        <f t="shared" si="62"/>
        <v>0</v>
      </c>
      <c r="P297" s="325">
        <f t="shared" si="63"/>
        <v>0</v>
      </c>
      <c r="Q297" s="325">
        <f t="shared" si="64"/>
        <v>0</v>
      </c>
      <c r="R297" s="325">
        <f t="shared" si="65"/>
        <v>0</v>
      </c>
      <c r="S297" s="325">
        <f t="shared" si="66"/>
        <v>0</v>
      </c>
      <c r="T297" s="325">
        <f t="shared" si="67"/>
        <v>0</v>
      </c>
      <c r="U297" s="409">
        <f t="shared" si="60"/>
        <v>0</v>
      </c>
      <c r="V297" s="325">
        <f t="shared" si="61"/>
        <v>271.82</v>
      </c>
      <c r="W297" s="449" cm="1">
        <f t="array" ref="W297">+IF(U297&lt;0,error,0)</f>
        <v>0</v>
      </c>
    </row>
    <row r="298" spans="1:23" ht="18" customHeight="1" x14ac:dyDescent="0.2">
      <c r="A298" s="402" t="s">
        <v>657</v>
      </c>
      <c r="B298" s="403"/>
      <c r="C298" s="404" t="s">
        <v>658</v>
      </c>
      <c r="D298" s="405">
        <v>38966</v>
      </c>
      <c r="E298" s="406"/>
      <c r="F298" s="325"/>
      <c r="G298" s="324"/>
      <c r="H298" s="324">
        <v>1000</v>
      </c>
      <c r="I298" s="325">
        <v>0</v>
      </c>
      <c r="J298" s="325"/>
      <c r="K298" s="325">
        <f t="shared" si="58"/>
        <v>0</v>
      </c>
      <c r="L298" s="325">
        <f t="shared" si="59"/>
        <v>0</v>
      </c>
      <c r="M298" s="407">
        <v>10</v>
      </c>
      <c r="N298" s="408" t="s">
        <v>289</v>
      </c>
      <c r="O298" s="325">
        <f t="shared" si="62"/>
        <v>0</v>
      </c>
      <c r="P298" s="325">
        <f t="shared" si="63"/>
        <v>0</v>
      </c>
      <c r="Q298" s="325">
        <f t="shared" si="64"/>
        <v>0</v>
      </c>
      <c r="R298" s="325">
        <f t="shared" si="65"/>
        <v>0</v>
      </c>
      <c r="S298" s="325">
        <f t="shared" si="66"/>
        <v>0</v>
      </c>
      <c r="T298" s="325">
        <f t="shared" si="67"/>
        <v>0</v>
      </c>
      <c r="U298" s="409">
        <f t="shared" si="60"/>
        <v>0</v>
      </c>
      <c r="V298" s="325">
        <f t="shared" si="61"/>
        <v>0</v>
      </c>
      <c r="W298" s="449" cm="1">
        <f t="array" ref="W298">+IF(U298&lt;0,error,0)</f>
        <v>0</v>
      </c>
    </row>
    <row r="299" spans="1:23" ht="18" customHeight="1" x14ac:dyDescent="0.2">
      <c r="A299" s="402" t="s">
        <v>659</v>
      </c>
      <c r="B299" s="403"/>
      <c r="C299" s="404" t="s">
        <v>660</v>
      </c>
      <c r="D299" s="405">
        <v>39115</v>
      </c>
      <c r="E299" s="406"/>
      <c r="F299" s="325"/>
      <c r="G299" s="324"/>
      <c r="H299" s="324">
        <v>5000</v>
      </c>
      <c r="I299" s="325">
        <v>1291</v>
      </c>
      <c r="J299" s="325"/>
      <c r="K299" s="325">
        <f t="shared" si="58"/>
        <v>0</v>
      </c>
      <c r="L299" s="325">
        <f t="shared" si="59"/>
        <v>0</v>
      </c>
      <c r="M299" s="407">
        <v>10</v>
      </c>
      <c r="N299" s="408" t="s">
        <v>289</v>
      </c>
      <c r="O299" s="325">
        <f t="shared" si="62"/>
        <v>0</v>
      </c>
      <c r="P299" s="325">
        <f t="shared" si="63"/>
        <v>0</v>
      </c>
      <c r="Q299" s="325">
        <f t="shared" si="64"/>
        <v>0</v>
      </c>
      <c r="R299" s="325">
        <f t="shared" si="65"/>
        <v>64</v>
      </c>
      <c r="S299" s="325">
        <f t="shared" si="66"/>
        <v>0</v>
      </c>
      <c r="T299" s="325">
        <f t="shared" si="67"/>
        <v>64</v>
      </c>
      <c r="U299" s="409">
        <f t="shared" si="60"/>
        <v>1227</v>
      </c>
      <c r="V299" s="325">
        <f t="shared" si="61"/>
        <v>0</v>
      </c>
      <c r="W299" s="449" cm="1">
        <f t="array" ref="W299">+IF(U299&lt;0,error,0)</f>
        <v>0</v>
      </c>
    </row>
    <row r="300" spans="1:23" ht="18" customHeight="1" x14ac:dyDescent="0.2">
      <c r="A300" s="402" t="s">
        <v>661</v>
      </c>
      <c r="B300" s="403"/>
      <c r="C300" s="404" t="s">
        <v>662</v>
      </c>
      <c r="D300" s="405">
        <v>39138</v>
      </c>
      <c r="E300" s="406"/>
      <c r="F300" s="325"/>
      <c r="G300" s="324"/>
      <c r="H300" s="324">
        <v>2500</v>
      </c>
      <c r="I300" s="325">
        <v>0</v>
      </c>
      <c r="J300" s="325"/>
      <c r="K300" s="325">
        <f t="shared" si="58"/>
        <v>0</v>
      </c>
      <c r="L300" s="325">
        <f t="shared" si="59"/>
        <v>0</v>
      </c>
      <c r="M300" s="407">
        <v>10</v>
      </c>
      <c r="N300" s="408" t="s">
        <v>289</v>
      </c>
      <c r="O300" s="325">
        <f t="shared" si="62"/>
        <v>0</v>
      </c>
      <c r="P300" s="325">
        <f t="shared" si="63"/>
        <v>0</v>
      </c>
      <c r="Q300" s="325">
        <f t="shared" si="64"/>
        <v>0</v>
      </c>
      <c r="R300" s="325">
        <f t="shared" si="65"/>
        <v>0</v>
      </c>
      <c r="S300" s="325">
        <f t="shared" si="66"/>
        <v>0</v>
      </c>
      <c r="T300" s="325">
        <f t="shared" si="67"/>
        <v>0</v>
      </c>
      <c r="U300" s="409">
        <f t="shared" si="60"/>
        <v>0</v>
      </c>
      <c r="V300" s="325">
        <f t="shared" si="61"/>
        <v>0</v>
      </c>
      <c r="W300" s="449" cm="1">
        <f t="array" ref="W300">+IF(U300&lt;0,error,0)</f>
        <v>0</v>
      </c>
    </row>
    <row r="301" spans="1:23" ht="18" customHeight="1" x14ac:dyDescent="0.2">
      <c r="A301" s="402" t="s">
        <v>666</v>
      </c>
      <c r="B301" s="403"/>
      <c r="C301" s="412" t="s">
        <v>667</v>
      </c>
      <c r="D301" s="405">
        <v>39217</v>
      </c>
      <c r="E301" s="406"/>
      <c r="F301" s="325"/>
      <c r="G301" s="324"/>
      <c r="H301" s="324">
        <v>36666.620000000003</v>
      </c>
      <c r="I301" s="325">
        <v>6532</v>
      </c>
      <c r="J301" s="325"/>
      <c r="K301" s="325">
        <f t="shared" si="58"/>
        <v>0</v>
      </c>
      <c r="L301" s="325">
        <f t="shared" si="59"/>
        <v>0</v>
      </c>
      <c r="M301" s="407">
        <v>20</v>
      </c>
      <c r="N301" s="408" t="s">
        <v>289</v>
      </c>
      <c r="O301" s="325">
        <f t="shared" si="62"/>
        <v>0</v>
      </c>
      <c r="P301" s="325">
        <f t="shared" si="63"/>
        <v>0</v>
      </c>
      <c r="Q301" s="325">
        <f t="shared" si="64"/>
        <v>0</v>
      </c>
      <c r="R301" s="325">
        <f t="shared" si="65"/>
        <v>653</v>
      </c>
      <c r="S301" s="325">
        <f t="shared" si="66"/>
        <v>0</v>
      </c>
      <c r="T301" s="325">
        <f t="shared" si="67"/>
        <v>653</v>
      </c>
      <c r="U301" s="409">
        <f t="shared" si="60"/>
        <v>5879</v>
      </c>
      <c r="V301" s="325">
        <f t="shared" si="61"/>
        <v>0</v>
      </c>
      <c r="W301" s="449" cm="1">
        <f t="array" ref="W301">+IF(U301&lt;0,error,0)</f>
        <v>0</v>
      </c>
    </row>
    <row r="302" spans="1:23" ht="18" customHeight="1" x14ac:dyDescent="0.2">
      <c r="A302" s="402" t="s">
        <v>670</v>
      </c>
      <c r="B302" s="403"/>
      <c r="C302" s="404" t="s">
        <v>671</v>
      </c>
      <c r="D302" s="405">
        <v>41194</v>
      </c>
      <c r="E302" s="406"/>
      <c r="F302" s="325"/>
      <c r="G302" s="324"/>
      <c r="H302" s="324">
        <v>8127.89</v>
      </c>
      <c r="I302" s="325">
        <v>1662.8899999999999</v>
      </c>
      <c r="J302" s="325"/>
      <c r="K302" s="325">
        <f t="shared" si="58"/>
        <v>0</v>
      </c>
      <c r="L302" s="325">
        <f t="shared" si="59"/>
        <v>0</v>
      </c>
      <c r="M302" s="407">
        <v>20</v>
      </c>
      <c r="N302" s="408" t="s">
        <v>289</v>
      </c>
      <c r="O302" s="325">
        <f t="shared" si="62"/>
        <v>0</v>
      </c>
      <c r="P302" s="325">
        <f t="shared" si="63"/>
        <v>0</v>
      </c>
      <c r="Q302" s="325">
        <f t="shared" si="64"/>
        <v>0</v>
      </c>
      <c r="R302" s="325">
        <f t="shared" si="65"/>
        <v>166</v>
      </c>
      <c r="S302" s="325">
        <f t="shared" si="66"/>
        <v>0</v>
      </c>
      <c r="T302" s="325">
        <f t="shared" si="67"/>
        <v>166</v>
      </c>
      <c r="U302" s="409">
        <f t="shared" si="60"/>
        <v>1496.8899999999999</v>
      </c>
      <c r="V302" s="325">
        <f t="shared" si="61"/>
        <v>0</v>
      </c>
      <c r="W302" s="449" cm="1">
        <f t="array" ref="W302">+IF(U302&lt;0,error,0)</f>
        <v>0</v>
      </c>
    </row>
    <row r="303" spans="1:23" ht="18" customHeight="1" x14ac:dyDescent="0.2">
      <c r="A303" s="402" t="s">
        <v>672</v>
      </c>
      <c r="B303" s="403"/>
      <c r="C303" s="404" t="s">
        <v>673</v>
      </c>
      <c r="D303" s="405">
        <v>41235</v>
      </c>
      <c r="E303" s="406">
        <v>44012</v>
      </c>
      <c r="F303" s="325">
        <v>0</v>
      </c>
      <c r="G303" s="324">
        <v>877.27</v>
      </c>
      <c r="H303" s="324">
        <v>877.27</v>
      </c>
      <c r="I303" s="325">
        <v>0</v>
      </c>
      <c r="J303" s="325"/>
      <c r="K303" s="325">
        <f t="shared" si="58"/>
        <v>0</v>
      </c>
      <c r="L303" s="325">
        <f t="shared" si="59"/>
        <v>0</v>
      </c>
      <c r="M303" s="407">
        <v>66.67</v>
      </c>
      <c r="N303" s="408" t="s">
        <v>289</v>
      </c>
      <c r="O303" s="325">
        <f t="shared" si="62"/>
        <v>0</v>
      </c>
      <c r="P303" s="325">
        <f t="shared" si="63"/>
        <v>0</v>
      </c>
      <c r="Q303" s="325">
        <f t="shared" si="64"/>
        <v>0</v>
      </c>
      <c r="R303" s="325">
        <f t="shared" si="65"/>
        <v>0</v>
      </c>
      <c r="S303" s="325">
        <f t="shared" si="66"/>
        <v>0</v>
      </c>
      <c r="T303" s="325">
        <f t="shared" si="67"/>
        <v>0</v>
      </c>
      <c r="U303" s="409">
        <f t="shared" si="60"/>
        <v>0</v>
      </c>
      <c r="V303" s="325">
        <f t="shared" si="61"/>
        <v>877.27</v>
      </c>
      <c r="W303" s="449" cm="1">
        <f t="array" ref="W303">+IF(U303&lt;0,error,0)</f>
        <v>0</v>
      </c>
    </row>
    <row r="304" spans="1:23" ht="18" customHeight="1" x14ac:dyDescent="0.2">
      <c r="A304" s="402" t="s">
        <v>674</v>
      </c>
      <c r="B304" s="403"/>
      <c r="C304" s="404" t="s">
        <v>675</v>
      </c>
      <c r="D304" s="405">
        <v>41235</v>
      </c>
      <c r="E304" s="406"/>
      <c r="F304" s="325"/>
      <c r="G304" s="324"/>
      <c r="H304" s="324">
        <v>2045.45</v>
      </c>
      <c r="I304" s="325">
        <v>749.45</v>
      </c>
      <c r="J304" s="325"/>
      <c r="K304" s="325">
        <f t="shared" ref="K304:K366" si="68">INT(IF($E304&gt;0,IF(+F304-I304+Q304&lt;0,0,+F304-I304+Q304),0))</f>
        <v>0</v>
      </c>
      <c r="L304" s="325">
        <f t="shared" ref="L304:L366" si="69">INT(IF($E304&gt;0,IF(K304=0,-F304+I304-Q304,0),0))</f>
        <v>0</v>
      </c>
      <c r="M304" s="407">
        <v>13.33</v>
      </c>
      <c r="N304" s="408" t="s">
        <v>289</v>
      </c>
      <c r="O304" s="325">
        <f t="shared" si="62"/>
        <v>0</v>
      </c>
      <c r="P304" s="325">
        <f t="shared" si="63"/>
        <v>0</v>
      </c>
      <c r="Q304" s="325">
        <f t="shared" si="64"/>
        <v>0</v>
      </c>
      <c r="R304" s="325">
        <f t="shared" si="65"/>
        <v>49</v>
      </c>
      <c r="S304" s="325">
        <f t="shared" si="66"/>
        <v>0</v>
      </c>
      <c r="T304" s="325">
        <f t="shared" si="67"/>
        <v>49</v>
      </c>
      <c r="U304" s="409">
        <f t="shared" ref="U304:U366" si="70">+I304+J304-T304-F304+K304-L304</f>
        <v>700.45</v>
      </c>
      <c r="V304" s="325">
        <f t="shared" ref="V304:V366" si="71">IF(E304&gt;0,+H304+J304,0)</f>
        <v>0</v>
      </c>
      <c r="W304" s="449" cm="1">
        <f t="array" ref="W304">+IF(U304&lt;0,error,0)</f>
        <v>0</v>
      </c>
    </row>
    <row r="305" spans="1:23" ht="18" customHeight="1" x14ac:dyDescent="0.2">
      <c r="A305" s="402" t="s">
        <v>676</v>
      </c>
      <c r="B305" s="403"/>
      <c r="C305" s="404" t="s">
        <v>677</v>
      </c>
      <c r="D305" s="405">
        <v>41235</v>
      </c>
      <c r="E305" s="406"/>
      <c r="F305" s="325"/>
      <c r="G305" s="324"/>
      <c r="H305" s="324">
        <v>2045.46</v>
      </c>
      <c r="I305" s="325">
        <v>749.46</v>
      </c>
      <c r="J305" s="325"/>
      <c r="K305" s="325">
        <f t="shared" si="68"/>
        <v>0</v>
      </c>
      <c r="L305" s="325">
        <f t="shared" si="69"/>
        <v>0</v>
      </c>
      <c r="M305" s="407">
        <v>13.33</v>
      </c>
      <c r="N305" s="408" t="s">
        <v>289</v>
      </c>
      <c r="O305" s="325">
        <f t="shared" ref="O305:O367" si="72">IF(E305&gt;0,INT(IF($N305="D",IF($D305&lt;$H$3,$I305*($M305/100)*((E305-$H$3)/365),$J305*($M305/100)*($J$3-$D305)/365),0)),0)</f>
        <v>0</v>
      </c>
      <c r="P305" s="325">
        <f t="shared" ref="P305:P367" si="73">IF(E305&gt;0,INT(IF($N305="P",IF($D305&lt;$H$3,$H305*($M305/100)*(E305-$H$3)/365,$J305*($M305/100)*($J$3-$D305)/365),0)),0)</f>
        <v>0</v>
      </c>
      <c r="Q305" s="325">
        <f t="shared" ref="Q305:Q367" si="74">+O305+P305</f>
        <v>0</v>
      </c>
      <c r="R305" s="325">
        <f t="shared" ref="R305:R367" si="75">INT(IF($E305&gt;0,0,(IF($N305="D",IF($D305&lt;$H$3,$I305*($M305/100)*$U$3/12,$J305*($M305/100)*($J$3-$D305)/365),0))))</f>
        <v>49</v>
      </c>
      <c r="S305" s="325">
        <f t="shared" ref="S305:S367" si="76">INT(IF($E305&gt;0,0,(IF($N305="P",IF($D305&lt;$H$3,$H305*($M305/100)*$U$3/12,$J305*($M305/100)*($J$3-$D305)/365),0))))</f>
        <v>0</v>
      </c>
      <c r="T305" s="325">
        <f t="shared" si="67"/>
        <v>49</v>
      </c>
      <c r="U305" s="409">
        <f t="shared" si="70"/>
        <v>700.46</v>
      </c>
      <c r="V305" s="325">
        <f t="shared" si="71"/>
        <v>0</v>
      </c>
      <c r="W305" s="449" cm="1">
        <f t="array" ref="W305">+IF(U305&lt;0,error,0)</f>
        <v>0</v>
      </c>
    </row>
    <row r="306" spans="1:23" ht="18" customHeight="1" x14ac:dyDescent="0.2">
      <c r="A306" s="402" t="s">
        <v>678</v>
      </c>
      <c r="B306" s="403"/>
      <c r="C306" s="404" t="s">
        <v>679</v>
      </c>
      <c r="D306" s="405">
        <v>41235</v>
      </c>
      <c r="E306" s="406"/>
      <c r="F306" s="325"/>
      <c r="G306" s="324"/>
      <c r="H306" s="324">
        <v>613.64</v>
      </c>
      <c r="I306" s="325">
        <v>0</v>
      </c>
      <c r="J306" s="325"/>
      <c r="K306" s="325">
        <f t="shared" si="68"/>
        <v>0</v>
      </c>
      <c r="L306" s="325">
        <f t="shared" si="69"/>
        <v>0</v>
      </c>
      <c r="M306" s="407">
        <v>13.33</v>
      </c>
      <c r="N306" s="408" t="s">
        <v>289</v>
      </c>
      <c r="O306" s="325">
        <f t="shared" si="72"/>
        <v>0</v>
      </c>
      <c r="P306" s="325">
        <f t="shared" si="73"/>
        <v>0</v>
      </c>
      <c r="Q306" s="325">
        <f t="shared" si="74"/>
        <v>0</v>
      </c>
      <c r="R306" s="325">
        <f t="shared" si="75"/>
        <v>0</v>
      </c>
      <c r="S306" s="325">
        <f t="shared" si="76"/>
        <v>0</v>
      </c>
      <c r="T306" s="325">
        <f t="shared" si="67"/>
        <v>0</v>
      </c>
      <c r="U306" s="409">
        <f t="shared" si="70"/>
        <v>0</v>
      </c>
      <c r="V306" s="325">
        <f t="shared" si="71"/>
        <v>0</v>
      </c>
      <c r="W306" s="449" cm="1">
        <f t="array" ref="W306">+IF(U306&lt;0,error,0)</f>
        <v>0</v>
      </c>
    </row>
    <row r="307" spans="1:23" ht="18" customHeight="1" x14ac:dyDescent="0.2">
      <c r="A307" s="402" t="s">
        <v>680</v>
      </c>
      <c r="B307" s="403"/>
      <c r="C307" s="404" t="s">
        <v>679</v>
      </c>
      <c r="D307" s="405">
        <v>41235</v>
      </c>
      <c r="E307" s="406"/>
      <c r="F307" s="325"/>
      <c r="G307" s="324"/>
      <c r="H307" s="324">
        <v>613.63</v>
      </c>
      <c r="I307" s="325">
        <v>0</v>
      </c>
      <c r="J307" s="325"/>
      <c r="K307" s="325">
        <f t="shared" si="68"/>
        <v>0</v>
      </c>
      <c r="L307" s="325">
        <f t="shared" si="69"/>
        <v>0</v>
      </c>
      <c r="M307" s="407">
        <v>13.33</v>
      </c>
      <c r="N307" s="408" t="s">
        <v>289</v>
      </c>
      <c r="O307" s="325">
        <f t="shared" si="72"/>
        <v>0</v>
      </c>
      <c r="P307" s="325">
        <f t="shared" si="73"/>
        <v>0</v>
      </c>
      <c r="Q307" s="325">
        <f t="shared" si="74"/>
        <v>0</v>
      </c>
      <c r="R307" s="325">
        <f t="shared" si="75"/>
        <v>0</v>
      </c>
      <c r="S307" s="325">
        <f t="shared" si="76"/>
        <v>0</v>
      </c>
      <c r="T307" s="325">
        <f t="shared" si="67"/>
        <v>0</v>
      </c>
      <c r="U307" s="409">
        <f t="shared" si="70"/>
        <v>0</v>
      </c>
      <c r="V307" s="325">
        <f t="shared" si="71"/>
        <v>0</v>
      </c>
      <c r="W307" s="449" cm="1">
        <f t="array" ref="W307">+IF(U307&lt;0,error,0)</f>
        <v>0</v>
      </c>
    </row>
    <row r="308" spans="1:23" ht="18" customHeight="1" x14ac:dyDescent="0.2">
      <c r="A308" s="402" t="s">
        <v>681</v>
      </c>
      <c r="B308" s="403"/>
      <c r="C308" s="404" t="s">
        <v>682</v>
      </c>
      <c r="D308" s="405">
        <v>41243</v>
      </c>
      <c r="E308" s="406"/>
      <c r="F308" s="325"/>
      <c r="G308" s="324"/>
      <c r="H308" s="324">
        <v>900</v>
      </c>
      <c r="I308" s="325">
        <v>0</v>
      </c>
      <c r="J308" s="325"/>
      <c r="K308" s="325">
        <f t="shared" si="68"/>
        <v>0</v>
      </c>
      <c r="L308" s="325">
        <f t="shared" si="69"/>
        <v>0</v>
      </c>
      <c r="M308" s="407">
        <v>15</v>
      </c>
      <c r="N308" s="408" t="s">
        <v>289</v>
      </c>
      <c r="O308" s="325">
        <f t="shared" si="72"/>
        <v>0</v>
      </c>
      <c r="P308" s="325">
        <f t="shared" si="73"/>
        <v>0</v>
      </c>
      <c r="Q308" s="325">
        <f t="shared" si="74"/>
        <v>0</v>
      </c>
      <c r="R308" s="325">
        <f t="shared" si="75"/>
        <v>0</v>
      </c>
      <c r="S308" s="325">
        <f t="shared" si="76"/>
        <v>0</v>
      </c>
      <c r="T308" s="325">
        <f t="shared" si="67"/>
        <v>0</v>
      </c>
      <c r="U308" s="409">
        <f t="shared" si="70"/>
        <v>0</v>
      </c>
      <c r="V308" s="325">
        <f t="shared" si="71"/>
        <v>0</v>
      </c>
      <c r="W308" s="449" cm="1">
        <f t="array" ref="W308">+IF(U308&lt;0,error,0)</f>
        <v>0</v>
      </c>
    </row>
    <row r="309" spans="1:23" ht="18" customHeight="1" x14ac:dyDescent="0.2">
      <c r="A309" s="402" t="s">
        <v>683</v>
      </c>
      <c r="B309" s="403"/>
      <c r="C309" s="404" t="s">
        <v>684</v>
      </c>
      <c r="D309" s="405">
        <v>41288</v>
      </c>
      <c r="E309" s="406"/>
      <c r="F309" s="325"/>
      <c r="G309" s="324"/>
      <c r="H309" s="324">
        <v>4000</v>
      </c>
      <c r="I309" s="325">
        <v>867</v>
      </c>
      <c r="J309" s="325"/>
      <c r="K309" s="325">
        <f t="shared" si="68"/>
        <v>0</v>
      </c>
      <c r="L309" s="325">
        <f t="shared" si="69"/>
        <v>0</v>
      </c>
      <c r="M309" s="407">
        <v>20</v>
      </c>
      <c r="N309" s="408" t="s">
        <v>289</v>
      </c>
      <c r="O309" s="325">
        <f t="shared" si="72"/>
        <v>0</v>
      </c>
      <c r="P309" s="325">
        <f t="shared" si="73"/>
        <v>0</v>
      </c>
      <c r="Q309" s="325">
        <f t="shared" si="74"/>
        <v>0</v>
      </c>
      <c r="R309" s="325">
        <f t="shared" si="75"/>
        <v>86</v>
      </c>
      <c r="S309" s="325">
        <f t="shared" si="76"/>
        <v>0</v>
      </c>
      <c r="T309" s="325">
        <f t="shared" si="67"/>
        <v>86</v>
      </c>
      <c r="U309" s="409">
        <f t="shared" si="70"/>
        <v>781</v>
      </c>
      <c r="V309" s="325">
        <f t="shared" si="71"/>
        <v>0</v>
      </c>
      <c r="W309" s="449" cm="1">
        <f t="array" ref="W309">+IF(U309&lt;0,error,0)</f>
        <v>0</v>
      </c>
    </row>
    <row r="310" spans="1:23" ht="18" customHeight="1" x14ac:dyDescent="0.2">
      <c r="A310" s="402" t="s">
        <v>685</v>
      </c>
      <c r="B310" s="403"/>
      <c r="C310" s="404" t="s">
        <v>686</v>
      </c>
      <c r="D310" s="405">
        <v>41297</v>
      </c>
      <c r="E310" s="406"/>
      <c r="F310" s="325"/>
      <c r="G310" s="324"/>
      <c r="H310" s="324">
        <v>4342.7300000000005</v>
      </c>
      <c r="I310" s="325">
        <v>946.73</v>
      </c>
      <c r="J310" s="325"/>
      <c r="K310" s="325">
        <f t="shared" si="68"/>
        <v>0</v>
      </c>
      <c r="L310" s="325">
        <f t="shared" si="69"/>
        <v>0</v>
      </c>
      <c r="M310" s="407">
        <v>20</v>
      </c>
      <c r="N310" s="408" t="s">
        <v>289</v>
      </c>
      <c r="O310" s="325">
        <f t="shared" si="72"/>
        <v>0</v>
      </c>
      <c r="P310" s="325">
        <f t="shared" si="73"/>
        <v>0</v>
      </c>
      <c r="Q310" s="325">
        <f t="shared" si="74"/>
        <v>0</v>
      </c>
      <c r="R310" s="325">
        <f t="shared" si="75"/>
        <v>94</v>
      </c>
      <c r="S310" s="325">
        <f t="shared" si="76"/>
        <v>0</v>
      </c>
      <c r="T310" s="325">
        <f t="shared" si="67"/>
        <v>94</v>
      </c>
      <c r="U310" s="409">
        <f t="shared" si="70"/>
        <v>852.73</v>
      </c>
      <c r="V310" s="325">
        <f t="shared" si="71"/>
        <v>0</v>
      </c>
      <c r="W310" s="449" cm="1">
        <f t="array" ref="W310">+IF(U310&lt;0,error,0)</f>
        <v>0</v>
      </c>
    </row>
    <row r="311" spans="1:23" ht="18" customHeight="1" x14ac:dyDescent="0.2">
      <c r="A311" s="402" t="s">
        <v>687</v>
      </c>
      <c r="B311" s="403"/>
      <c r="C311" s="404" t="s">
        <v>688</v>
      </c>
      <c r="D311" s="405">
        <v>41360</v>
      </c>
      <c r="E311" s="406"/>
      <c r="F311" s="325"/>
      <c r="G311" s="324"/>
      <c r="H311" s="324">
        <v>22080</v>
      </c>
      <c r="I311" s="325">
        <v>0</v>
      </c>
      <c r="J311" s="325"/>
      <c r="K311" s="325">
        <f t="shared" si="68"/>
        <v>0</v>
      </c>
      <c r="L311" s="325">
        <f t="shared" si="69"/>
        <v>0</v>
      </c>
      <c r="M311" s="407">
        <v>40</v>
      </c>
      <c r="N311" s="408" t="s">
        <v>289</v>
      </c>
      <c r="O311" s="325">
        <f t="shared" si="72"/>
        <v>0</v>
      </c>
      <c r="P311" s="325">
        <f t="shared" si="73"/>
        <v>0</v>
      </c>
      <c r="Q311" s="325">
        <f t="shared" si="74"/>
        <v>0</v>
      </c>
      <c r="R311" s="325">
        <f t="shared" si="75"/>
        <v>0</v>
      </c>
      <c r="S311" s="325">
        <f t="shared" si="76"/>
        <v>0</v>
      </c>
      <c r="T311" s="325">
        <f t="shared" si="67"/>
        <v>0</v>
      </c>
      <c r="U311" s="409">
        <f t="shared" si="70"/>
        <v>0</v>
      </c>
      <c r="V311" s="325">
        <f t="shared" si="71"/>
        <v>0</v>
      </c>
      <c r="W311" s="449" cm="1">
        <f t="array" ref="W311">+IF(U311&lt;0,error,0)</f>
        <v>0</v>
      </c>
    </row>
    <row r="312" spans="1:23" ht="18" customHeight="1" x14ac:dyDescent="0.2">
      <c r="A312" s="402" t="s">
        <v>690</v>
      </c>
      <c r="B312" s="403"/>
      <c r="C312" s="404" t="s">
        <v>691</v>
      </c>
      <c r="D312" s="405">
        <v>41361</v>
      </c>
      <c r="E312" s="406"/>
      <c r="F312" s="325"/>
      <c r="G312" s="324"/>
      <c r="H312" s="324">
        <v>5315.12</v>
      </c>
      <c r="I312" s="325">
        <v>2040.12</v>
      </c>
      <c r="J312" s="325"/>
      <c r="K312" s="325">
        <f t="shared" si="68"/>
        <v>0</v>
      </c>
      <c r="L312" s="325">
        <f t="shared" si="69"/>
        <v>0</v>
      </c>
      <c r="M312" s="407">
        <v>13.33</v>
      </c>
      <c r="N312" s="408" t="s">
        <v>289</v>
      </c>
      <c r="O312" s="325">
        <f t="shared" si="72"/>
        <v>0</v>
      </c>
      <c r="P312" s="325">
        <f t="shared" si="73"/>
        <v>0</v>
      </c>
      <c r="Q312" s="325">
        <f t="shared" si="74"/>
        <v>0</v>
      </c>
      <c r="R312" s="325">
        <f t="shared" si="75"/>
        <v>135</v>
      </c>
      <c r="S312" s="325">
        <f t="shared" si="76"/>
        <v>0</v>
      </c>
      <c r="T312" s="325">
        <f t="shared" si="67"/>
        <v>135</v>
      </c>
      <c r="U312" s="409">
        <f t="shared" si="70"/>
        <v>1905.12</v>
      </c>
      <c r="V312" s="325">
        <f t="shared" si="71"/>
        <v>0</v>
      </c>
      <c r="W312" s="449" cm="1">
        <f t="array" ref="W312">+IF(U312&lt;0,error,0)</f>
        <v>0</v>
      </c>
    </row>
    <row r="313" spans="1:23" ht="18" customHeight="1" x14ac:dyDescent="0.2">
      <c r="A313" s="402" t="s">
        <v>692</v>
      </c>
      <c r="B313" s="403"/>
      <c r="C313" s="404" t="s">
        <v>693</v>
      </c>
      <c r="D313" s="405">
        <v>41393</v>
      </c>
      <c r="E313" s="406"/>
      <c r="F313" s="325"/>
      <c r="G313" s="324"/>
      <c r="H313" s="324">
        <v>2800.4500000000003</v>
      </c>
      <c r="I313" s="325">
        <v>1393.45</v>
      </c>
      <c r="J313" s="325"/>
      <c r="K313" s="325">
        <f t="shared" si="68"/>
        <v>0</v>
      </c>
      <c r="L313" s="325">
        <f t="shared" si="69"/>
        <v>0</v>
      </c>
      <c r="M313" s="407">
        <v>10</v>
      </c>
      <c r="N313" s="408" t="s">
        <v>289</v>
      </c>
      <c r="O313" s="325">
        <f t="shared" si="72"/>
        <v>0</v>
      </c>
      <c r="P313" s="325">
        <f t="shared" si="73"/>
        <v>0</v>
      </c>
      <c r="Q313" s="325">
        <f t="shared" si="74"/>
        <v>0</v>
      </c>
      <c r="R313" s="325">
        <f t="shared" si="75"/>
        <v>69</v>
      </c>
      <c r="S313" s="325">
        <f t="shared" si="76"/>
        <v>0</v>
      </c>
      <c r="T313" s="325">
        <f t="shared" si="67"/>
        <v>69</v>
      </c>
      <c r="U313" s="409">
        <f t="shared" si="70"/>
        <v>1324.45</v>
      </c>
      <c r="V313" s="325">
        <f t="shared" si="71"/>
        <v>0</v>
      </c>
      <c r="W313" s="449" cm="1">
        <f t="array" ref="W313">+IF(U313&lt;0,error,0)</f>
        <v>0</v>
      </c>
    </row>
    <row r="314" spans="1:23" ht="18" customHeight="1" x14ac:dyDescent="0.2">
      <c r="A314" s="402" t="s">
        <v>694</v>
      </c>
      <c r="B314" s="403"/>
      <c r="C314" s="404" t="s">
        <v>695</v>
      </c>
      <c r="D314" s="405">
        <v>41425</v>
      </c>
      <c r="E314" s="406"/>
      <c r="F314" s="325"/>
      <c r="G314" s="324"/>
      <c r="H314" s="324">
        <v>11368.57</v>
      </c>
      <c r="I314" s="325">
        <v>436.57000000000005</v>
      </c>
      <c r="J314" s="325"/>
      <c r="K314" s="325">
        <f t="shared" si="68"/>
        <v>0</v>
      </c>
      <c r="L314" s="325">
        <f t="shared" si="69"/>
        <v>0</v>
      </c>
      <c r="M314" s="407">
        <v>40</v>
      </c>
      <c r="N314" s="408" t="s">
        <v>289</v>
      </c>
      <c r="O314" s="325">
        <f t="shared" si="72"/>
        <v>0</v>
      </c>
      <c r="P314" s="325">
        <f t="shared" si="73"/>
        <v>0</v>
      </c>
      <c r="Q314" s="325">
        <f t="shared" si="74"/>
        <v>0</v>
      </c>
      <c r="R314" s="325">
        <f t="shared" si="75"/>
        <v>87</v>
      </c>
      <c r="S314" s="325">
        <f t="shared" si="76"/>
        <v>0</v>
      </c>
      <c r="T314" s="325">
        <f t="shared" si="67"/>
        <v>87</v>
      </c>
      <c r="U314" s="409">
        <f t="shared" si="70"/>
        <v>349.57000000000005</v>
      </c>
      <c r="V314" s="325">
        <f t="shared" si="71"/>
        <v>0</v>
      </c>
      <c r="W314" s="449" cm="1">
        <f t="array" ref="W314">+IF(U314&lt;0,error,0)</f>
        <v>0</v>
      </c>
    </row>
    <row r="315" spans="1:23" ht="18" customHeight="1" x14ac:dyDescent="0.2">
      <c r="A315" s="402" t="s">
        <v>696</v>
      </c>
      <c r="B315" s="403"/>
      <c r="C315" s="404" t="s">
        <v>697</v>
      </c>
      <c r="D315" s="405">
        <v>41319</v>
      </c>
      <c r="E315" s="406"/>
      <c r="F315" s="325"/>
      <c r="G315" s="324"/>
      <c r="H315" s="324">
        <v>2170</v>
      </c>
      <c r="I315" s="325">
        <v>1059</v>
      </c>
      <c r="J315" s="325"/>
      <c r="K315" s="325">
        <f t="shared" si="68"/>
        <v>0</v>
      </c>
      <c r="L315" s="325">
        <f t="shared" si="69"/>
        <v>0</v>
      </c>
      <c r="M315" s="407">
        <v>10</v>
      </c>
      <c r="N315" s="408" t="s">
        <v>289</v>
      </c>
      <c r="O315" s="325">
        <f t="shared" si="72"/>
        <v>0</v>
      </c>
      <c r="P315" s="325">
        <f t="shared" si="73"/>
        <v>0</v>
      </c>
      <c r="Q315" s="325">
        <f t="shared" si="74"/>
        <v>0</v>
      </c>
      <c r="R315" s="325">
        <f t="shared" si="75"/>
        <v>52</v>
      </c>
      <c r="S315" s="325">
        <f t="shared" si="76"/>
        <v>0</v>
      </c>
      <c r="T315" s="325">
        <f t="shared" si="67"/>
        <v>52</v>
      </c>
      <c r="U315" s="409">
        <f t="shared" si="70"/>
        <v>1007</v>
      </c>
      <c r="V315" s="325">
        <f t="shared" si="71"/>
        <v>0</v>
      </c>
      <c r="W315" s="449" cm="1">
        <f t="array" ref="W315">+IF(U315&lt;0,error,0)</f>
        <v>0</v>
      </c>
    </row>
    <row r="316" spans="1:23" ht="18" customHeight="1" x14ac:dyDescent="0.2">
      <c r="A316" s="402" t="s">
        <v>698</v>
      </c>
      <c r="B316" s="403"/>
      <c r="C316" s="412" t="s">
        <v>699</v>
      </c>
      <c r="D316" s="405">
        <v>41478</v>
      </c>
      <c r="E316" s="406"/>
      <c r="F316" s="325"/>
      <c r="G316" s="324"/>
      <c r="H316" s="324">
        <v>2050</v>
      </c>
      <c r="I316" s="325">
        <v>823</v>
      </c>
      <c r="J316" s="325"/>
      <c r="K316" s="325">
        <f t="shared" si="68"/>
        <v>0</v>
      </c>
      <c r="L316" s="325">
        <f t="shared" si="69"/>
        <v>0</v>
      </c>
      <c r="M316" s="407">
        <v>13.33</v>
      </c>
      <c r="N316" s="408" t="s">
        <v>289</v>
      </c>
      <c r="O316" s="325">
        <f t="shared" si="72"/>
        <v>0</v>
      </c>
      <c r="P316" s="325">
        <f t="shared" si="73"/>
        <v>0</v>
      </c>
      <c r="Q316" s="325">
        <f t="shared" si="74"/>
        <v>0</v>
      </c>
      <c r="R316" s="325">
        <f t="shared" si="75"/>
        <v>54</v>
      </c>
      <c r="S316" s="325">
        <f t="shared" si="76"/>
        <v>0</v>
      </c>
      <c r="T316" s="325">
        <f t="shared" si="67"/>
        <v>54</v>
      </c>
      <c r="U316" s="409">
        <f t="shared" si="70"/>
        <v>769</v>
      </c>
      <c r="V316" s="325">
        <f t="shared" si="71"/>
        <v>0</v>
      </c>
      <c r="W316" s="449" cm="1">
        <f t="array" ref="W316">+IF(U316&lt;0,error,0)</f>
        <v>0</v>
      </c>
    </row>
    <row r="317" spans="1:23" ht="18" customHeight="1" x14ac:dyDescent="0.2">
      <c r="A317" s="402" t="s">
        <v>700</v>
      </c>
      <c r="B317" s="403"/>
      <c r="C317" s="404" t="s">
        <v>701</v>
      </c>
      <c r="D317" s="405">
        <v>41528</v>
      </c>
      <c r="E317" s="406"/>
      <c r="F317" s="325"/>
      <c r="G317" s="324"/>
      <c r="H317" s="324">
        <v>15000</v>
      </c>
      <c r="I317" s="325">
        <v>6144</v>
      </c>
      <c r="J317" s="325"/>
      <c r="K317" s="325">
        <f t="shared" si="68"/>
        <v>0</v>
      </c>
      <c r="L317" s="325">
        <f t="shared" si="69"/>
        <v>0</v>
      </c>
      <c r="M317" s="407">
        <v>13.33</v>
      </c>
      <c r="N317" s="408" t="s">
        <v>289</v>
      </c>
      <c r="O317" s="325">
        <f t="shared" si="72"/>
        <v>0</v>
      </c>
      <c r="P317" s="325">
        <f t="shared" si="73"/>
        <v>0</v>
      </c>
      <c r="Q317" s="325">
        <f t="shared" si="74"/>
        <v>0</v>
      </c>
      <c r="R317" s="325">
        <f t="shared" si="75"/>
        <v>409</v>
      </c>
      <c r="S317" s="325">
        <f t="shared" si="76"/>
        <v>0</v>
      </c>
      <c r="T317" s="325">
        <f t="shared" si="67"/>
        <v>409</v>
      </c>
      <c r="U317" s="409">
        <f t="shared" si="70"/>
        <v>5735</v>
      </c>
      <c r="V317" s="325">
        <f t="shared" si="71"/>
        <v>0</v>
      </c>
      <c r="W317" s="449" cm="1">
        <f t="array" ref="W317">+IF(U317&lt;0,error,0)</f>
        <v>0</v>
      </c>
    </row>
    <row r="318" spans="1:23" ht="18" customHeight="1" x14ac:dyDescent="0.2">
      <c r="A318" s="402" t="s">
        <v>702</v>
      </c>
      <c r="B318" s="403"/>
      <c r="C318" s="404" t="s">
        <v>703</v>
      </c>
      <c r="D318" s="405">
        <v>41548</v>
      </c>
      <c r="E318" s="406"/>
      <c r="F318" s="325"/>
      <c r="G318" s="324"/>
      <c r="H318" s="324">
        <v>2610</v>
      </c>
      <c r="I318" s="325">
        <v>44</v>
      </c>
      <c r="J318" s="325"/>
      <c r="K318" s="325">
        <f t="shared" si="68"/>
        <v>0</v>
      </c>
      <c r="L318" s="325">
        <f t="shared" si="69"/>
        <v>0</v>
      </c>
      <c r="M318" s="407">
        <v>50</v>
      </c>
      <c r="N318" s="408" t="s">
        <v>289</v>
      </c>
      <c r="O318" s="325">
        <f t="shared" si="72"/>
        <v>0</v>
      </c>
      <c r="P318" s="325">
        <f t="shared" si="73"/>
        <v>0</v>
      </c>
      <c r="Q318" s="325">
        <f t="shared" si="74"/>
        <v>0</v>
      </c>
      <c r="R318" s="325">
        <f t="shared" si="75"/>
        <v>11</v>
      </c>
      <c r="S318" s="325">
        <f t="shared" si="76"/>
        <v>0</v>
      </c>
      <c r="T318" s="325">
        <f t="shared" si="67"/>
        <v>11</v>
      </c>
      <c r="U318" s="409">
        <f t="shared" si="70"/>
        <v>33</v>
      </c>
      <c r="V318" s="325">
        <f t="shared" si="71"/>
        <v>0</v>
      </c>
      <c r="W318" s="449" cm="1">
        <f t="array" ref="W318">+IF(U318&lt;0,error,0)</f>
        <v>0</v>
      </c>
    </row>
    <row r="319" spans="1:23" ht="18" customHeight="1" x14ac:dyDescent="0.2">
      <c r="A319" s="402" t="s">
        <v>704</v>
      </c>
      <c r="B319" s="403"/>
      <c r="C319" s="404" t="s">
        <v>705</v>
      </c>
      <c r="D319" s="405">
        <v>41584</v>
      </c>
      <c r="E319" s="406"/>
      <c r="F319" s="325"/>
      <c r="G319" s="324"/>
      <c r="H319" s="324">
        <v>30000</v>
      </c>
      <c r="I319" s="325">
        <v>12566</v>
      </c>
      <c r="J319" s="325"/>
      <c r="K319" s="325">
        <f t="shared" si="68"/>
        <v>0</v>
      </c>
      <c r="L319" s="325">
        <f t="shared" si="69"/>
        <v>0</v>
      </c>
      <c r="M319" s="407">
        <v>13.33</v>
      </c>
      <c r="N319" s="408" t="s">
        <v>289</v>
      </c>
      <c r="O319" s="325">
        <f t="shared" si="72"/>
        <v>0</v>
      </c>
      <c r="P319" s="325">
        <f t="shared" si="73"/>
        <v>0</v>
      </c>
      <c r="Q319" s="325">
        <f t="shared" si="74"/>
        <v>0</v>
      </c>
      <c r="R319" s="325">
        <f t="shared" si="75"/>
        <v>837</v>
      </c>
      <c r="S319" s="325">
        <f t="shared" si="76"/>
        <v>0</v>
      </c>
      <c r="T319" s="325">
        <f t="shared" si="67"/>
        <v>837</v>
      </c>
      <c r="U319" s="409">
        <f t="shared" si="70"/>
        <v>11729</v>
      </c>
      <c r="V319" s="325">
        <f t="shared" si="71"/>
        <v>0</v>
      </c>
      <c r="W319" s="449" cm="1">
        <f t="array" ref="W319">+IF(U319&lt;0,error,0)</f>
        <v>0</v>
      </c>
    </row>
    <row r="320" spans="1:23" ht="18" customHeight="1" x14ac:dyDescent="0.2">
      <c r="A320" s="402" t="s">
        <v>706</v>
      </c>
      <c r="B320" s="403"/>
      <c r="C320" s="404" t="s">
        <v>707</v>
      </c>
      <c r="D320" s="405">
        <v>41653</v>
      </c>
      <c r="E320" s="406"/>
      <c r="F320" s="325"/>
      <c r="G320" s="324"/>
      <c r="H320" s="324">
        <v>20000</v>
      </c>
      <c r="I320" s="325">
        <v>8610</v>
      </c>
      <c r="J320" s="325"/>
      <c r="K320" s="325">
        <f t="shared" si="68"/>
        <v>0</v>
      </c>
      <c r="L320" s="325">
        <f t="shared" si="69"/>
        <v>0</v>
      </c>
      <c r="M320" s="407">
        <v>13.33</v>
      </c>
      <c r="N320" s="408" t="s">
        <v>289</v>
      </c>
      <c r="O320" s="325">
        <f t="shared" si="72"/>
        <v>0</v>
      </c>
      <c r="P320" s="325">
        <f t="shared" si="73"/>
        <v>0</v>
      </c>
      <c r="Q320" s="325">
        <f t="shared" si="74"/>
        <v>0</v>
      </c>
      <c r="R320" s="325">
        <f t="shared" si="75"/>
        <v>573</v>
      </c>
      <c r="S320" s="325">
        <f t="shared" si="76"/>
        <v>0</v>
      </c>
      <c r="T320" s="325">
        <f t="shared" ref="T320:T382" si="77">+R320+S320+Q320</f>
        <v>573</v>
      </c>
      <c r="U320" s="409">
        <f t="shared" si="70"/>
        <v>8037</v>
      </c>
      <c r="V320" s="325">
        <f t="shared" si="71"/>
        <v>0</v>
      </c>
      <c r="W320" s="449" cm="1">
        <f t="array" ref="W320">+IF(U320&lt;0,error,0)</f>
        <v>0</v>
      </c>
    </row>
    <row r="321" spans="1:23" ht="18" customHeight="1" x14ac:dyDescent="0.2">
      <c r="A321" s="402" t="s">
        <v>708</v>
      </c>
      <c r="B321" s="403"/>
      <c r="C321" s="404" t="s">
        <v>709</v>
      </c>
      <c r="D321" s="405">
        <v>41753</v>
      </c>
      <c r="E321" s="406"/>
      <c r="F321" s="325"/>
      <c r="G321" s="324"/>
      <c r="H321" s="324">
        <v>24600</v>
      </c>
      <c r="I321" s="325">
        <v>11002</v>
      </c>
      <c r="J321" s="325"/>
      <c r="K321" s="325">
        <f t="shared" si="68"/>
        <v>0</v>
      </c>
      <c r="L321" s="325">
        <f t="shared" si="69"/>
        <v>0</v>
      </c>
      <c r="M321" s="407">
        <v>13.33</v>
      </c>
      <c r="N321" s="408" t="s">
        <v>289</v>
      </c>
      <c r="O321" s="325">
        <f t="shared" si="72"/>
        <v>0</v>
      </c>
      <c r="P321" s="325">
        <f t="shared" si="73"/>
        <v>0</v>
      </c>
      <c r="Q321" s="325">
        <f t="shared" si="74"/>
        <v>0</v>
      </c>
      <c r="R321" s="325">
        <f t="shared" si="75"/>
        <v>733</v>
      </c>
      <c r="S321" s="325">
        <f t="shared" si="76"/>
        <v>0</v>
      </c>
      <c r="T321" s="325">
        <f t="shared" si="77"/>
        <v>733</v>
      </c>
      <c r="U321" s="409">
        <f t="shared" si="70"/>
        <v>10269</v>
      </c>
      <c r="V321" s="325">
        <f t="shared" si="71"/>
        <v>0</v>
      </c>
      <c r="W321" s="449" cm="1">
        <f t="array" ref="W321">+IF(U321&lt;0,error,0)</f>
        <v>0</v>
      </c>
    </row>
    <row r="322" spans="1:23" ht="18" customHeight="1" x14ac:dyDescent="0.2">
      <c r="A322" s="402" t="s">
        <v>710</v>
      </c>
      <c r="B322" s="403"/>
      <c r="C322" s="404" t="s">
        <v>711</v>
      </c>
      <c r="D322" s="405">
        <v>41754</v>
      </c>
      <c r="E322" s="406"/>
      <c r="F322" s="325"/>
      <c r="G322" s="324"/>
      <c r="H322" s="324">
        <v>24600</v>
      </c>
      <c r="I322" s="325">
        <v>11005</v>
      </c>
      <c r="J322" s="325"/>
      <c r="K322" s="325">
        <f t="shared" si="68"/>
        <v>0</v>
      </c>
      <c r="L322" s="325">
        <f t="shared" si="69"/>
        <v>0</v>
      </c>
      <c r="M322" s="407">
        <v>13.33</v>
      </c>
      <c r="N322" s="408" t="s">
        <v>289</v>
      </c>
      <c r="O322" s="325">
        <f t="shared" si="72"/>
        <v>0</v>
      </c>
      <c r="P322" s="325">
        <f t="shared" si="73"/>
        <v>0</v>
      </c>
      <c r="Q322" s="325">
        <f t="shared" si="74"/>
        <v>0</v>
      </c>
      <c r="R322" s="325">
        <f t="shared" si="75"/>
        <v>733</v>
      </c>
      <c r="S322" s="325">
        <f t="shared" si="76"/>
        <v>0</v>
      </c>
      <c r="T322" s="325">
        <f t="shared" si="77"/>
        <v>733</v>
      </c>
      <c r="U322" s="409">
        <f t="shared" si="70"/>
        <v>10272</v>
      </c>
      <c r="V322" s="325">
        <f t="shared" si="71"/>
        <v>0</v>
      </c>
      <c r="W322" s="449" cm="1">
        <f t="array" ref="W322">+IF(U322&lt;0,error,0)</f>
        <v>0</v>
      </c>
    </row>
    <row r="323" spans="1:23" ht="18" customHeight="1" x14ac:dyDescent="0.2">
      <c r="A323" s="402" t="s">
        <v>712</v>
      </c>
      <c r="B323" s="403"/>
      <c r="C323" s="404" t="s">
        <v>713</v>
      </c>
      <c r="D323" s="405">
        <v>41691</v>
      </c>
      <c r="E323" s="406"/>
      <c r="F323" s="325"/>
      <c r="G323" s="324"/>
      <c r="H323" s="324">
        <v>2166.6999999999998</v>
      </c>
      <c r="I323" s="325">
        <v>600.70000000000005</v>
      </c>
      <c r="J323" s="325"/>
      <c r="K323" s="325">
        <f t="shared" si="68"/>
        <v>0</v>
      </c>
      <c r="L323" s="325">
        <f t="shared" si="69"/>
        <v>0</v>
      </c>
      <c r="M323" s="407">
        <v>20</v>
      </c>
      <c r="N323" s="408" t="s">
        <v>289</v>
      </c>
      <c r="O323" s="325">
        <f t="shared" si="72"/>
        <v>0</v>
      </c>
      <c r="P323" s="325">
        <f t="shared" si="73"/>
        <v>0</v>
      </c>
      <c r="Q323" s="325">
        <f t="shared" si="74"/>
        <v>0</v>
      </c>
      <c r="R323" s="325">
        <f t="shared" si="75"/>
        <v>60</v>
      </c>
      <c r="S323" s="325">
        <f t="shared" si="76"/>
        <v>0</v>
      </c>
      <c r="T323" s="325">
        <f t="shared" si="77"/>
        <v>60</v>
      </c>
      <c r="U323" s="409">
        <f t="shared" si="70"/>
        <v>540.70000000000005</v>
      </c>
      <c r="V323" s="325">
        <f t="shared" si="71"/>
        <v>0</v>
      </c>
      <c r="W323" s="449" cm="1">
        <f t="array" ref="W323">+IF(U323&lt;0,error,0)</f>
        <v>0</v>
      </c>
    </row>
    <row r="324" spans="1:23" ht="18" customHeight="1" x14ac:dyDescent="0.2">
      <c r="A324" s="402" t="s">
        <v>714</v>
      </c>
      <c r="B324" s="403"/>
      <c r="C324" s="404" t="s">
        <v>715</v>
      </c>
      <c r="D324" s="405">
        <v>41697</v>
      </c>
      <c r="E324" s="406"/>
      <c r="F324" s="325"/>
      <c r="G324" s="324"/>
      <c r="H324" s="324">
        <v>9476</v>
      </c>
      <c r="I324" s="325">
        <v>4150</v>
      </c>
      <c r="J324" s="325"/>
      <c r="K324" s="325">
        <f t="shared" si="68"/>
        <v>0</v>
      </c>
      <c r="L324" s="325">
        <f t="shared" si="69"/>
        <v>0</v>
      </c>
      <c r="M324" s="407">
        <v>13.33</v>
      </c>
      <c r="N324" s="408" t="s">
        <v>289</v>
      </c>
      <c r="O324" s="325">
        <f t="shared" si="72"/>
        <v>0</v>
      </c>
      <c r="P324" s="325">
        <f t="shared" si="73"/>
        <v>0</v>
      </c>
      <c r="Q324" s="325">
        <f t="shared" si="74"/>
        <v>0</v>
      </c>
      <c r="R324" s="325">
        <f t="shared" si="75"/>
        <v>276</v>
      </c>
      <c r="S324" s="325">
        <f t="shared" si="76"/>
        <v>0</v>
      </c>
      <c r="T324" s="325">
        <f t="shared" si="77"/>
        <v>276</v>
      </c>
      <c r="U324" s="409">
        <f t="shared" si="70"/>
        <v>3874</v>
      </c>
      <c r="V324" s="325">
        <f t="shared" si="71"/>
        <v>0</v>
      </c>
      <c r="W324" s="449" cm="1">
        <f t="array" ref="W324">+IF(U324&lt;0,error,0)</f>
        <v>0</v>
      </c>
    </row>
    <row r="325" spans="1:23" ht="18" customHeight="1" x14ac:dyDescent="0.2">
      <c r="A325" s="402" t="s">
        <v>716</v>
      </c>
      <c r="B325" s="403"/>
      <c r="C325" s="404" t="s">
        <v>717</v>
      </c>
      <c r="D325" s="405">
        <v>41786</v>
      </c>
      <c r="E325" s="406"/>
      <c r="F325" s="325"/>
      <c r="G325" s="324"/>
      <c r="H325" s="324">
        <v>32377.27</v>
      </c>
      <c r="I325" s="325">
        <v>27848.27</v>
      </c>
      <c r="J325" s="325"/>
      <c r="K325" s="325">
        <f t="shared" si="68"/>
        <v>0</v>
      </c>
      <c r="L325" s="325">
        <f t="shared" si="69"/>
        <v>0</v>
      </c>
      <c r="M325" s="407">
        <v>2.5</v>
      </c>
      <c r="N325" s="408" t="s">
        <v>17</v>
      </c>
      <c r="O325" s="325">
        <f t="shared" si="72"/>
        <v>0</v>
      </c>
      <c r="P325" s="325">
        <f t="shared" si="73"/>
        <v>0</v>
      </c>
      <c r="Q325" s="325">
        <f t="shared" si="74"/>
        <v>0</v>
      </c>
      <c r="R325" s="325">
        <f t="shared" si="75"/>
        <v>0</v>
      </c>
      <c r="S325" s="325">
        <f t="shared" si="76"/>
        <v>404</v>
      </c>
      <c r="T325" s="325">
        <f t="shared" si="77"/>
        <v>404</v>
      </c>
      <c r="U325" s="409">
        <f t="shared" si="70"/>
        <v>27444.27</v>
      </c>
      <c r="V325" s="325">
        <f t="shared" si="71"/>
        <v>0</v>
      </c>
      <c r="W325" s="449" cm="1">
        <f t="array" ref="W325">+IF(U325&lt;0,error,0)</f>
        <v>0</v>
      </c>
    </row>
    <row r="326" spans="1:23" ht="18" customHeight="1" x14ac:dyDescent="0.2">
      <c r="A326" s="402" t="s">
        <v>718</v>
      </c>
      <c r="B326" s="403"/>
      <c r="C326" s="404" t="s">
        <v>719</v>
      </c>
      <c r="D326" s="405">
        <v>41730</v>
      </c>
      <c r="E326" s="406"/>
      <c r="F326" s="325"/>
      <c r="G326" s="324"/>
      <c r="H326" s="324">
        <v>11325.460000000001</v>
      </c>
      <c r="I326" s="325">
        <v>3210.46</v>
      </c>
      <c r="J326" s="325"/>
      <c r="K326" s="325">
        <f t="shared" si="68"/>
        <v>0</v>
      </c>
      <c r="L326" s="325">
        <f t="shared" si="69"/>
        <v>0</v>
      </c>
      <c r="M326" s="407">
        <v>20</v>
      </c>
      <c r="N326" s="408" t="s">
        <v>289</v>
      </c>
      <c r="O326" s="325">
        <f t="shared" si="72"/>
        <v>0</v>
      </c>
      <c r="P326" s="325">
        <f t="shared" si="73"/>
        <v>0</v>
      </c>
      <c r="Q326" s="325">
        <f t="shared" si="74"/>
        <v>0</v>
      </c>
      <c r="R326" s="325">
        <f t="shared" si="75"/>
        <v>321</v>
      </c>
      <c r="S326" s="325">
        <f t="shared" si="76"/>
        <v>0</v>
      </c>
      <c r="T326" s="325">
        <f t="shared" si="77"/>
        <v>321</v>
      </c>
      <c r="U326" s="409">
        <f t="shared" si="70"/>
        <v>2889.46</v>
      </c>
      <c r="V326" s="325">
        <f t="shared" si="71"/>
        <v>0</v>
      </c>
      <c r="W326" s="449" cm="1">
        <f t="array" ref="W326">+IF(U326&lt;0,error,0)</f>
        <v>0</v>
      </c>
    </row>
    <row r="327" spans="1:23" ht="18" customHeight="1" x14ac:dyDescent="0.2">
      <c r="A327" s="402" t="s">
        <v>720</v>
      </c>
      <c r="B327" s="403"/>
      <c r="C327" s="404" t="s">
        <v>721</v>
      </c>
      <c r="D327" s="405">
        <v>41730</v>
      </c>
      <c r="E327" s="406"/>
      <c r="F327" s="325"/>
      <c r="G327" s="324"/>
      <c r="H327" s="324">
        <v>3535</v>
      </c>
      <c r="I327" s="325">
        <v>1939</v>
      </c>
      <c r="J327" s="325"/>
      <c r="K327" s="325">
        <f t="shared" si="68"/>
        <v>0</v>
      </c>
      <c r="L327" s="325">
        <f t="shared" si="69"/>
        <v>0</v>
      </c>
      <c r="M327" s="407">
        <v>10</v>
      </c>
      <c r="N327" s="408" t="s">
        <v>289</v>
      </c>
      <c r="O327" s="325">
        <f t="shared" si="72"/>
        <v>0</v>
      </c>
      <c r="P327" s="325">
        <f t="shared" si="73"/>
        <v>0</v>
      </c>
      <c r="Q327" s="325">
        <f t="shared" si="74"/>
        <v>0</v>
      </c>
      <c r="R327" s="325">
        <f t="shared" si="75"/>
        <v>96</v>
      </c>
      <c r="S327" s="325">
        <f t="shared" si="76"/>
        <v>0</v>
      </c>
      <c r="T327" s="325">
        <f t="shared" si="77"/>
        <v>96</v>
      </c>
      <c r="U327" s="409">
        <f t="shared" si="70"/>
        <v>1843</v>
      </c>
      <c r="V327" s="325">
        <f t="shared" si="71"/>
        <v>0</v>
      </c>
      <c r="W327" s="449" cm="1">
        <f t="array" ref="W327">+IF(U327&lt;0,error,0)</f>
        <v>0</v>
      </c>
    </row>
    <row r="328" spans="1:23" ht="18" customHeight="1" x14ac:dyDescent="0.2">
      <c r="A328" s="402" t="s">
        <v>722</v>
      </c>
      <c r="B328" s="403"/>
      <c r="C328" s="404" t="s">
        <v>723</v>
      </c>
      <c r="D328" s="405">
        <v>41730</v>
      </c>
      <c r="E328" s="406"/>
      <c r="F328" s="325"/>
      <c r="G328" s="324"/>
      <c r="H328" s="324">
        <v>1414.09</v>
      </c>
      <c r="I328" s="325">
        <v>776.09</v>
      </c>
      <c r="J328" s="325"/>
      <c r="K328" s="325">
        <f t="shared" si="68"/>
        <v>0</v>
      </c>
      <c r="L328" s="325">
        <f t="shared" si="69"/>
        <v>0</v>
      </c>
      <c r="M328" s="407">
        <v>10</v>
      </c>
      <c r="N328" s="408" t="s">
        <v>289</v>
      </c>
      <c r="O328" s="325">
        <f t="shared" si="72"/>
        <v>0</v>
      </c>
      <c r="P328" s="325">
        <f t="shared" si="73"/>
        <v>0</v>
      </c>
      <c r="Q328" s="325">
        <f t="shared" si="74"/>
        <v>0</v>
      </c>
      <c r="R328" s="325">
        <f t="shared" si="75"/>
        <v>38</v>
      </c>
      <c r="S328" s="325">
        <f t="shared" si="76"/>
        <v>0</v>
      </c>
      <c r="T328" s="325">
        <f t="shared" si="77"/>
        <v>38</v>
      </c>
      <c r="U328" s="409">
        <f t="shared" si="70"/>
        <v>738.09</v>
      </c>
      <c r="V328" s="325">
        <f t="shared" si="71"/>
        <v>0</v>
      </c>
      <c r="W328" s="449" cm="1">
        <f t="array" ref="W328">+IF(U328&lt;0,error,0)</f>
        <v>0</v>
      </c>
    </row>
    <row r="329" spans="1:23" ht="18" customHeight="1" x14ac:dyDescent="0.2">
      <c r="A329" s="402" t="s">
        <v>724</v>
      </c>
      <c r="B329" s="403"/>
      <c r="C329" s="404" t="s">
        <v>725</v>
      </c>
      <c r="D329" s="405">
        <v>41779</v>
      </c>
      <c r="E329" s="406"/>
      <c r="F329" s="325"/>
      <c r="G329" s="324"/>
      <c r="H329" s="324">
        <v>8000</v>
      </c>
      <c r="I329" s="325">
        <v>3613</v>
      </c>
      <c r="J329" s="325"/>
      <c r="K329" s="325">
        <f t="shared" si="68"/>
        <v>0</v>
      </c>
      <c r="L329" s="325">
        <f t="shared" si="69"/>
        <v>0</v>
      </c>
      <c r="M329" s="407">
        <v>13.33</v>
      </c>
      <c r="N329" s="408" t="s">
        <v>289</v>
      </c>
      <c r="O329" s="325">
        <f t="shared" si="72"/>
        <v>0</v>
      </c>
      <c r="P329" s="325">
        <f t="shared" si="73"/>
        <v>0</v>
      </c>
      <c r="Q329" s="325">
        <f t="shared" si="74"/>
        <v>0</v>
      </c>
      <c r="R329" s="325">
        <f t="shared" si="75"/>
        <v>240</v>
      </c>
      <c r="S329" s="325">
        <f t="shared" si="76"/>
        <v>0</v>
      </c>
      <c r="T329" s="325">
        <f t="shared" si="77"/>
        <v>240</v>
      </c>
      <c r="U329" s="409">
        <f t="shared" si="70"/>
        <v>3373</v>
      </c>
      <c r="V329" s="325">
        <f t="shared" si="71"/>
        <v>0</v>
      </c>
      <c r="W329" s="449" cm="1">
        <f t="array" ref="W329">+IF(U329&lt;0,error,0)</f>
        <v>0</v>
      </c>
    </row>
    <row r="330" spans="1:23" ht="18" customHeight="1" x14ac:dyDescent="0.2">
      <c r="A330" s="402" t="s">
        <v>726</v>
      </c>
      <c r="B330" s="403"/>
      <c r="C330" s="404" t="s">
        <v>727</v>
      </c>
      <c r="D330" s="405">
        <v>41795</v>
      </c>
      <c r="E330" s="406"/>
      <c r="F330" s="325"/>
      <c r="G330" s="324"/>
      <c r="H330" s="324">
        <v>1727</v>
      </c>
      <c r="I330" s="325">
        <v>786</v>
      </c>
      <c r="J330" s="325"/>
      <c r="K330" s="325">
        <f t="shared" si="68"/>
        <v>0</v>
      </c>
      <c r="L330" s="325">
        <f t="shared" si="69"/>
        <v>0</v>
      </c>
      <c r="M330" s="407">
        <v>13.33</v>
      </c>
      <c r="N330" s="408" t="s">
        <v>289</v>
      </c>
      <c r="O330" s="325">
        <f t="shared" si="72"/>
        <v>0</v>
      </c>
      <c r="P330" s="325">
        <f t="shared" si="73"/>
        <v>0</v>
      </c>
      <c r="Q330" s="325">
        <f t="shared" si="74"/>
        <v>0</v>
      </c>
      <c r="R330" s="325">
        <f t="shared" si="75"/>
        <v>52</v>
      </c>
      <c r="S330" s="325">
        <f t="shared" si="76"/>
        <v>0</v>
      </c>
      <c r="T330" s="325">
        <f t="shared" si="77"/>
        <v>52</v>
      </c>
      <c r="U330" s="409">
        <f t="shared" si="70"/>
        <v>734</v>
      </c>
      <c r="V330" s="325">
        <f t="shared" si="71"/>
        <v>0</v>
      </c>
      <c r="W330" s="449" cm="1">
        <f t="array" ref="W330">+IF(U330&lt;0,error,0)</f>
        <v>0</v>
      </c>
    </row>
    <row r="331" spans="1:23" ht="18" customHeight="1" x14ac:dyDescent="0.2">
      <c r="A331" s="402" t="s">
        <v>728</v>
      </c>
      <c r="B331" s="403"/>
      <c r="C331" s="412" t="s">
        <v>729</v>
      </c>
      <c r="D331" s="405">
        <v>41815</v>
      </c>
      <c r="E331" s="406"/>
      <c r="F331" s="325"/>
      <c r="G331" s="324"/>
      <c r="H331" s="324">
        <v>5571.72</v>
      </c>
      <c r="I331" s="325">
        <v>2549.7200000000003</v>
      </c>
      <c r="J331" s="325"/>
      <c r="K331" s="325">
        <f t="shared" si="68"/>
        <v>0</v>
      </c>
      <c r="L331" s="325">
        <f t="shared" si="69"/>
        <v>0</v>
      </c>
      <c r="M331" s="407">
        <v>13.33</v>
      </c>
      <c r="N331" s="408" t="s">
        <v>289</v>
      </c>
      <c r="O331" s="325">
        <f t="shared" si="72"/>
        <v>0</v>
      </c>
      <c r="P331" s="325">
        <f t="shared" si="73"/>
        <v>0</v>
      </c>
      <c r="Q331" s="325">
        <f t="shared" si="74"/>
        <v>0</v>
      </c>
      <c r="R331" s="325">
        <f t="shared" si="75"/>
        <v>169</v>
      </c>
      <c r="S331" s="325">
        <f t="shared" si="76"/>
        <v>0</v>
      </c>
      <c r="T331" s="325">
        <f t="shared" si="77"/>
        <v>169</v>
      </c>
      <c r="U331" s="409">
        <f t="shared" si="70"/>
        <v>2380.7200000000003</v>
      </c>
      <c r="V331" s="325">
        <f t="shared" si="71"/>
        <v>0</v>
      </c>
      <c r="W331" s="449" cm="1">
        <f t="array" ref="W331">+IF(U331&lt;0,error,0)</f>
        <v>0</v>
      </c>
    </row>
    <row r="332" spans="1:23" ht="18" customHeight="1" x14ac:dyDescent="0.2">
      <c r="A332" s="402" t="s">
        <v>730</v>
      </c>
      <c r="B332" s="403"/>
      <c r="C332" s="404" t="s">
        <v>731</v>
      </c>
      <c r="D332" s="405">
        <v>41815</v>
      </c>
      <c r="E332" s="406"/>
      <c r="F332" s="325"/>
      <c r="G332" s="324"/>
      <c r="H332" s="324">
        <v>1372.22</v>
      </c>
      <c r="I332" s="325">
        <v>629.22</v>
      </c>
      <c r="J332" s="325"/>
      <c r="K332" s="325">
        <f t="shared" si="68"/>
        <v>0</v>
      </c>
      <c r="L332" s="325">
        <f t="shared" si="69"/>
        <v>0</v>
      </c>
      <c r="M332" s="407">
        <v>13.33</v>
      </c>
      <c r="N332" s="408" t="s">
        <v>289</v>
      </c>
      <c r="O332" s="325">
        <f t="shared" si="72"/>
        <v>0</v>
      </c>
      <c r="P332" s="325">
        <f t="shared" si="73"/>
        <v>0</v>
      </c>
      <c r="Q332" s="325">
        <f t="shared" si="74"/>
        <v>0</v>
      </c>
      <c r="R332" s="325">
        <f t="shared" si="75"/>
        <v>41</v>
      </c>
      <c r="S332" s="325">
        <f t="shared" si="76"/>
        <v>0</v>
      </c>
      <c r="T332" s="325">
        <f t="shared" si="77"/>
        <v>41</v>
      </c>
      <c r="U332" s="409">
        <f t="shared" si="70"/>
        <v>588.22</v>
      </c>
      <c r="V332" s="325">
        <f t="shared" si="71"/>
        <v>0</v>
      </c>
      <c r="W332" s="449" cm="1">
        <f t="array" ref="W332">+IF(U332&lt;0,error,0)</f>
        <v>0</v>
      </c>
    </row>
    <row r="333" spans="1:23" ht="18" customHeight="1" x14ac:dyDescent="0.2">
      <c r="A333" s="402" t="s">
        <v>732</v>
      </c>
      <c r="B333" s="403"/>
      <c r="C333" s="412" t="s">
        <v>733</v>
      </c>
      <c r="D333" s="405">
        <v>41815</v>
      </c>
      <c r="E333" s="406"/>
      <c r="F333" s="325"/>
      <c r="G333" s="324"/>
      <c r="H333" s="324">
        <v>3188.21</v>
      </c>
      <c r="I333" s="325">
        <v>1460.21</v>
      </c>
      <c r="J333" s="325"/>
      <c r="K333" s="325">
        <f t="shared" si="68"/>
        <v>0</v>
      </c>
      <c r="L333" s="325">
        <f t="shared" si="69"/>
        <v>0</v>
      </c>
      <c r="M333" s="407">
        <v>13.33</v>
      </c>
      <c r="N333" s="408" t="s">
        <v>289</v>
      </c>
      <c r="O333" s="325">
        <f t="shared" si="72"/>
        <v>0</v>
      </c>
      <c r="P333" s="325">
        <f t="shared" si="73"/>
        <v>0</v>
      </c>
      <c r="Q333" s="325">
        <f t="shared" si="74"/>
        <v>0</v>
      </c>
      <c r="R333" s="325">
        <f t="shared" si="75"/>
        <v>97</v>
      </c>
      <c r="S333" s="325">
        <f t="shared" si="76"/>
        <v>0</v>
      </c>
      <c r="T333" s="325">
        <f t="shared" si="77"/>
        <v>97</v>
      </c>
      <c r="U333" s="409">
        <f t="shared" si="70"/>
        <v>1363.21</v>
      </c>
      <c r="V333" s="325">
        <f t="shared" si="71"/>
        <v>0</v>
      </c>
      <c r="W333" s="449" cm="1">
        <f t="array" ref="W333">+IF(U333&lt;0,error,0)</f>
        <v>0</v>
      </c>
    </row>
    <row r="334" spans="1:23" ht="18" customHeight="1" x14ac:dyDescent="0.2">
      <c r="A334" s="402" t="s">
        <v>734</v>
      </c>
      <c r="B334" s="403"/>
      <c r="C334" s="412" t="s">
        <v>735</v>
      </c>
      <c r="D334" s="405">
        <v>41815</v>
      </c>
      <c r="E334" s="406"/>
      <c r="F334" s="325"/>
      <c r="G334" s="324"/>
      <c r="H334" s="324">
        <v>550.80000000000007</v>
      </c>
      <c r="I334" s="325">
        <v>253.8</v>
      </c>
      <c r="J334" s="325"/>
      <c r="K334" s="325">
        <f t="shared" si="68"/>
        <v>0</v>
      </c>
      <c r="L334" s="325">
        <f t="shared" si="69"/>
        <v>0</v>
      </c>
      <c r="M334" s="407">
        <v>13.3</v>
      </c>
      <c r="N334" s="408" t="s">
        <v>289</v>
      </c>
      <c r="O334" s="325">
        <f t="shared" si="72"/>
        <v>0</v>
      </c>
      <c r="P334" s="325">
        <f t="shared" si="73"/>
        <v>0</v>
      </c>
      <c r="Q334" s="325">
        <f t="shared" si="74"/>
        <v>0</v>
      </c>
      <c r="R334" s="325">
        <f t="shared" si="75"/>
        <v>16</v>
      </c>
      <c r="S334" s="325">
        <f t="shared" si="76"/>
        <v>0</v>
      </c>
      <c r="T334" s="325">
        <f t="shared" si="77"/>
        <v>16</v>
      </c>
      <c r="U334" s="409">
        <f t="shared" si="70"/>
        <v>237.8</v>
      </c>
      <c r="V334" s="325">
        <f t="shared" si="71"/>
        <v>0</v>
      </c>
      <c r="W334" s="449" cm="1">
        <f t="array" ref="W334">+IF(U334&lt;0,error,0)</f>
        <v>0</v>
      </c>
    </row>
    <row r="335" spans="1:23" ht="18" customHeight="1" x14ac:dyDescent="0.2">
      <c r="A335" s="402" t="s">
        <v>736</v>
      </c>
      <c r="B335" s="403"/>
      <c r="C335" s="404" t="s">
        <v>737</v>
      </c>
      <c r="D335" s="405">
        <v>41815</v>
      </c>
      <c r="E335" s="406"/>
      <c r="F335" s="325"/>
      <c r="G335" s="324"/>
      <c r="H335" s="324">
        <v>1826.22</v>
      </c>
      <c r="I335" s="325">
        <v>837.22</v>
      </c>
      <c r="J335" s="325"/>
      <c r="K335" s="325">
        <f t="shared" si="68"/>
        <v>0</v>
      </c>
      <c r="L335" s="325">
        <f t="shared" si="69"/>
        <v>0</v>
      </c>
      <c r="M335" s="407">
        <v>13.33</v>
      </c>
      <c r="N335" s="408" t="s">
        <v>289</v>
      </c>
      <c r="O335" s="325">
        <f t="shared" si="72"/>
        <v>0</v>
      </c>
      <c r="P335" s="325">
        <f t="shared" si="73"/>
        <v>0</v>
      </c>
      <c r="Q335" s="325">
        <f t="shared" si="74"/>
        <v>0</v>
      </c>
      <c r="R335" s="325">
        <f t="shared" si="75"/>
        <v>55</v>
      </c>
      <c r="S335" s="325">
        <f t="shared" si="76"/>
        <v>0</v>
      </c>
      <c r="T335" s="325">
        <f t="shared" si="77"/>
        <v>55</v>
      </c>
      <c r="U335" s="409">
        <f t="shared" si="70"/>
        <v>782.22</v>
      </c>
      <c r="V335" s="325">
        <f t="shared" si="71"/>
        <v>0</v>
      </c>
      <c r="W335" s="449" cm="1">
        <f t="array" ref="W335">+IF(U335&lt;0,error,0)</f>
        <v>0</v>
      </c>
    </row>
    <row r="336" spans="1:23" ht="18" customHeight="1" x14ac:dyDescent="0.2">
      <c r="A336" s="402" t="s">
        <v>738</v>
      </c>
      <c r="B336" s="403"/>
      <c r="C336" s="412" t="s">
        <v>739</v>
      </c>
      <c r="D336" s="405">
        <v>41815</v>
      </c>
      <c r="E336" s="406"/>
      <c r="F336" s="325"/>
      <c r="G336" s="324"/>
      <c r="H336" s="324">
        <v>2677.48</v>
      </c>
      <c r="I336" s="325">
        <v>1226.48</v>
      </c>
      <c r="J336" s="325"/>
      <c r="K336" s="325">
        <f t="shared" si="68"/>
        <v>0</v>
      </c>
      <c r="L336" s="325">
        <f t="shared" si="69"/>
        <v>0</v>
      </c>
      <c r="M336" s="407">
        <v>13.33</v>
      </c>
      <c r="N336" s="408" t="s">
        <v>289</v>
      </c>
      <c r="O336" s="325">
        <f t="shared" si="72"/>
        <v>0</v>
      </c>
      <c r="P336" s="325">
        <f t="shared" si="73"/>
        <v>0</v>
      </c>
      <c r="Q336" s="325">
        <f t="shared" si="74"/>
        <v>0</v>
      </c>
      <c r="R336" s="325">
        <f t="shared" si="75"/>
        <v>81</v>
      </c>
      <c r="S336" s="325">
        <f t="shared" si="76"/>
        <v>0</v>
      </c>
      <c r="T336" s="325">
        <f t="shared" si="77"/>
        <v>81</v>
      </c>
      <c r="U336" s="409">
        <f t="shared" si="70"/>
        <v>1145.48</v>
      </c>
      <c r="V336" s="325">
        <f t="shared" si="71"/>
        <v>0</v>
      </c>
      <c r="W336" s="449" cm="1">
        <f t="array" ref="W336">+IF(U336&lt;0,error,0)</f>
        <v>0</v>
      </c>
    </row>
    <row r="337" spans="1:23" ht="18" customHeight="1" x14ac:dyDescent="0.2">
      <c r="A337" s="402" t="s">
        <v>740</v>
      </c>
      <c r="B337" s="403"/>
      <c r="C337" s="404" t="s">
        <v>741</v>
      </c>
      <c r="D337" s="405">
        <v>41815</v>
      </c>
      <c r="E337" s="406"/>
      <c r="F337" s="325"/>
      <c r="G337" s="324"/>
      <c r="H337" s="324">
        <v>1712.71</v>
      </c>
      <c r="I337" s="325">
        <v>784.71</v>
      </c>
      <c r="J337" s="325"/>
      <c r="K337" s="325">
        <f t="shared" si="68"/>
        <v>0</v>
      </c>
      <c r="L337" s="325">
        <f t="shared" si="69"/>
        <v>0</v>
      </c>
      <c r="M337" s="407">
        <v>13.33</v>
      </c>
      <c r="N337" s="408" t="s">
        <v>289</v>
      </c>
      <c r="O337" s="325">
        <f t="shared" si="72"/>
        <v>0</v>
      </c>
      <c r="P337" s="325">
        <f t="shared" si="73"/>
        <v>0</v>
      </c>
      <c r="Q337" s="325">
        <f t="shared" si="74"/>
        <v>0</v>
      </c>
      <c r="R337" s="325">
        <f t="shared" si="75"/>
        <v>52</v>
      </c>
      <c r="S337" s="325">
        <f t="shared" si="76"/>
        <v>0</v>
      </c>
      <c r="T337" s="325">
        <f t="shared" si="77"/>
        <v>52</v>
      </c>
      <c r="U337" s="409">
        <f t="shared" si="70"/>
        <v>732.71</v>
      </c>
      <c r="V337" s="325">
        <f t="shared" si="71"/>
        <v>0</v>
      </c>
      <c r="W337" s="449" cm="1">
        <f t="array" ref="W337">+IF(U337&lt;0,error,0)</f>
        <v>0</v>
      </c>
    </row>
    <row r="338" spans="1:23" ht="18" customHeight="1" x14ac:dyDescent="0.2">
      <c r="A338" s="402" t="s">
        <v>742</v>
      </c>
      <c r="B338" s="403"/>
      <c r="C338" s="412" t="s">
        <v>743</v>
      </c>
      <c r="D338" s="405">
        <v>41815</v>
      </c>
      <c r="E338" s="406"/>
      <c r="F338" s="325"/>
      <c r="G338" s="324"/>
      <c r="H338" s="324">
        <v>2563.98</v>
      </c>
      <c r="I338" s="325">
        <v>1173.98</v>
      </c>
      <c r="J338" s="325"/>
      <c r="K338" s="325">
        <f t="shared" si="68"/>
        <v>0</v>
      </c>
      <c r="L338" s="325">
        <f t="shared" si="69"/>
        <v>0</v>
      </c>
      <c r="M338" s="407">
        <v>13.33</v>
      </c>
      <c r="N338" s="408" t="s">
        <v>289</v>
      </c>
      <c r="O338" s="325">
        <f t="shared" si="72"/>
        <v>0</v>
      </c>
      <c r="P338" s="325">
        <f t="shared" si="73"/>
        <v>0</v>
      </c>
      <c r="Q338" s="325">
        <f t="shared" si="74"/>
        <v>0</v>
      </c>
      <c r="R338" s="325">
        <f t="shared" si="75"/>
        <v>78</v>
      </c>
      <c r="S338" s="325">
        <f t="shared" si="76"/>
        <v>0</v>
      </c>
      <c r="T338" s="325">
        <f t="shared" si="77"/>
        <v>78</v>
      </c>
      <c r="U338" s="409">
        <f t="shared" si="70"/>
        <v>1095.98</v>
      </c>
      <c r="V338" s="325">
        <f t="shared" si="71"/>
        <v>0</v>
      </c>
      <c r="W338" s="449" cm="1">
        <f t="array" ref="W338">+IF(U338&lt;0,error,0)</f>
        <v>0</v>
      </c>
    </row>
    <row r="339" spans="1:23" ht="18" customHeight="1" x14ac:dyDescent="0.2">
      <c r="A339" s="402" t="s">
        <v>744</v>
      </c>
      <c r="B339" s="403"/>
      <c r="C339" s="404" t="s">
        <v>745</v>
      </c>
      <c r="D339" s="405">
        <v>41815</v>
      </c>
      <c r="E339" s="406"/>
      <c r="F339" s="325"/>
      <c r="G339" s="324"/>
      <c r="H339" s="324">
        <v>1769.47</v>
      </c>
      <c r="I339" s="325">
        <v>810.47</v>
      </c>
      <c r="J339" s="325"/>
      <c r="K339" s="325">
        <f t="shared" si="68"/>
        <v>0</v>
      </c>
      <c r="L339" s="325">
        <f t="shared" si="69"/>
        <v>0</v>
      </c>
      <c r="M339" s="407">
        <v>13.33</v>
      </c>
      <c r="N339" s="408" t="s">
        <v>289</v>
      </c>
      <c r="O339" s="325">
        <f t="shared" si="72"/>
        <v>0</v>
      </c>
      <c r="P339" s="325">
        <f t="shared" si="73"/>
        <v>0</v>
      </c>
      <c r="Q339" s="325">
        <f t="shared" si="74"/>
        <v>0</v>
      </c>
      <c r="R339" s="325">
        <f t="shared" si="75"/>
        <v>54</v>
      </c>
      <c r="S339" s="325">
        <f t="shared" si="76"/>
        <v>0</v>
      </c>
      <c r="T339" s="325">
        <f t="shared" si="77"/>
        <v>54</v>
      </c>
      <c r="U339" s="409">
        <f t="shared" si="70"/>
        <v>756.47</v>
      </c>
      <c r="V339" s="325">
        <f t="shared" si="71"/>
        <v>0</v>
      </c>
      <c r="W339" s="449" cm="1">
        <f t="array" ref="W339">+IF(U339&lt;0,error,0)</f>
        <v>0</v>
      </c>
    </row>
    <row r="340" spans="1:23" ht="18" customHeight="1" x14ac:dyDescent="0.2">
      <c r="A340" s="402" t="s">
        <v>746</v>
      </c>
      <c r="B340" s="403"/>
      <c r="C340" s="404" t="s">
        <v>747</v>
      </c>
      <c r="D340" s="405">
        <v>41456</v>
      </c>
      <c r="E340" s="406"/>
      <c r="F340" s="325"/>
      <c r="G340" s="324"/>
      <c r="H340" s="324">
        <v>1063.6400000000001</v>
      </c>
      <c r="I340" s="325">
        <v>254.64</v>
      </c>
      <c r="J340" s="325"/>
      <c r="K340" s="325">
        <f t="shared" si="68"/>
        <v>0</v>
      </c>
      <c r="L340" s="325">
        <f t="shared" si="69"/>
        <v>0</v>
      </c>
      <c r="M340" s="407">
        <v>20</v>
      </c>
      <c r="N340" s="408" t="s">
        <v>289</v>
      </c>
      <c r="O340" s="325">
        <f t="shared" si="72"/>
        <v>0</v>
      </c>
      <c r="P340" s="325">
        <f t="shared" si="73"/>
        <v>0</v>
      </c>
      <c r="Q340" s="325">
        <f t="shared" si="74"/>
        <v>0</v>
      </c>
      <c r="R340" s="325">
        <f t="shared" si="75"/>
        <v>25</v>
      </c>
      <c r="S340" s="325">
        <f t="shared" si="76"/>
        <v>0</v>
      </c>
      <c r="T340" s="325">
        <f t="shared" si="77"/>
        <v>25</v>
      </c>
      <c r="U340" s="409">
        <f t="shared" si="70"/>
        <v>229.64</v>
      </c>
      <c r="V340" s="325">
        <f t="shared" si="71"/>
        <v>0</v>
      </c>
      <c r="W340" s="449" cm="1">
        <f t="array" ref="W340">+IF(U340&lt;0,error,0)</f>
        <v>0</v>
      </c>
    </row>
    <row r="341" spans="1:23" ht="18" customHeight="1" x14ac:dyDescent="0.2">
      <c r="A341" s="402" t="s">
        <v>748</v>
      </c>
      <c r="B341" s="403"/>
      <c r="C341" s="404" t="s">
        <v>749</v>
      </c>
      <c r="D341" s="405">
        <v>41690</v>
      </c>
      <c r="E341" s="406"/>
      <c r="F341" s="325"/>
      <c r="G341" s="324"/>
      <c r="H341" s="324">
        <v>1560</v>
      </c>
      <c r="I341" s="325">
        <v>89</v>
      </c>
      <c r="J341" s="325"/>
      <c r="K341" s="325">
        <f t="shared" si="68"/>
        <v>0</v>
      </c>
      <c r="L341" s="325">
        <f t="shared" si="69"/>
        <v>0</v>
      </c>
      <c r="M341" s="407">
        <v>40</v>
      </c>
      <c r="N341" s="408" t="s">
        <v>289</v>
      </c>
      <c r="O341" s="325">
        <f t="shared" si="72"/>
        <v>0</v>
      </c>
      <c r="P341" s="325">
        <f t="shared" si="73"/>
        <v>0</v>
      </c>
      <c r="Q341" s="325">
        <f t="shared" si="74"/>
        <v>0</v>
      </c>
      <c r="R341" s="325">
        <f t="shared" si="75"/>
        <v>17</v>
      </c>
      <c r="S341" s="325">
        <f t="shared" si="76"/>
        <v>0</v>
      </c>
      <c r="T341" s="325">
        <f t="shared" si="77"/>
        <v>17</v>
      </c>
      <c r="U341" s="409">
        <f t="shared" si="70"/>
        <v>72</v>
      </c>
      <c r="V341" s="325">
        <f t="shared" si="71"/>
        <v>0</v>
      </c>
      <c r="W341" s="449" cm="1">
        <f t="array" ref="W341">+IF(U341&lt;0,error,0)</f>
        <v>0</v>
      </c>
    </row>
    <row r="342" spans="1:23" ht="18" customHeight="1" x14ac:dyDescent="0.2">
      <c r="A342" s="402" t="s">
        <v>750</v>
      </c>
      <c r="B342" s="403"/>
      <c r="C342" s="404" t="s">
        <v>751</v>
      </c>
      <c r="D342" s="405">
        <v>41729</v>
      </c>
      <c r="E342" s="406"/>
      <c r="F342" s="325"/>
      <c r="G342" s="324"/>
      <c r="H342" s="324">
        <v>6872.7300000000005</v>
      </c>
      <c r="I342" s="325">
        <v>409.73</v>
      </c>
      <c r="J342" s="325"/>
      <c r="K342" s="325">
        <f t="shared" si="68"/>
        <v>0</v>
      </c>
      <c r="L342" s="325">
        <f t="shared" si="69"/>
        <v>0</v>
      </c>
      <c r="M342" s="407">
        <v>40</v>
      </c>
      <c r="N342" s="408" t="s">
        <v>289</v>
      </c>
      <c r="O342" s="325">
        <f t="shared" si="72"/>
        <v>0</v>
      </c>
      <c r="P342" s="325">
        <f t="shared" si="73"/>
        <v>0</v>
      </c>
      <c r="Q342" s="325">
        <f t="shared" si="74"/>
        <v>0</v>
      </c>
      <c r="R342" s="325">
        <f t="shared" si="75"/>
        <v>81</v>
      </c>
      <c r="S342" s="325">
        <f t="shared" si="76"/>
        <v>0</v>
      </c>
      <c r="T342" s="325">
        <f t="shared" si="77"/>
        <v>81</v>
      </c>
      <c r="U342" s="409">
        <f t="shared" si="70"/>
        <v>328.73</v>
      </c>
      <c r="V342" s="325">
        <f t="shared" si="71"/>
        <v>0</v>
      </c>
      <c r="W342" s="449" cm="1">
        <f t="array" ref="W342">+IF(U342&lt;0,error,0)</f>
        <v>0</v>
      </c>
    </row>
    <row r="343" spans="1:23" ht="18" customHeight="1" x14ac:dyDescent="0.2">
      <c r="A343" s="402" t="s">
        <v>752</v>
      </c>
      <c r="B343" s="403"/>
      <c r="C343" s="404" t="s">
        <v>751</v>
      </c>
      <c r="D343" s="405">
        <v>41816</v>
      </c>
      <c r="E343" s="406"/>
      <c r="F343" s="325"/>
      <c r="G343" s="324"/>
      <c r="H343" s="324">
        <v>1668</v>
      </c>
      <c r="I343" s="325">
        <v>111</v>
      </c>
      <c r="J343" s="325"/>
      <c r="K343" s="325">
        <f t="shared" si="68"/>
        <v>0</v>
      </c>
      <c r="L343" s="325">
        <f t="shared" si="69"/>
        <v>0</v>
      </c>
      <c r="M343" s="407">
        <v>40</v>
      </c>
      <c r="N343" s="408" t="s">
        <v>289</v>
      </c>
      <c r="O343" s="325">
        <f t="shared" si="72"/>
        <v>0</v>
      </c>
      <c r="P343" s="325">
        <f t="shared" si="73"/>
        <v>0</v>
      </c>
      <c r="Q343" s="325">
        <f t="shared" si="74"/>
        <v>0</v>
      </c>
      <c r="R343" s="325">
        <f t="shared" si="75"/>
        <v>22</v>
      </c>
      <c r="S343" s="325">
        <f t="shared" si="76"/>
        <v>0</v>
      </c>
      <c r="T343" s="325">
        <f t="shared" si="77"/>
        <v>22</v>
      </c>
      <c r="U343" s="409">
        <f t="shared" si="70"/>
        <v>89</v>
      </c>
      <c r="V343" s="325">
        <f t="shared" si="71"/>
        <v>0</v>
      </c>
      <c r="W343" s="449" cm="1">
        <f t="array" ref="W343">+IF(U343&lt;0,error,0)</f>
        <v>0</v>
      </c>
    </row>
    <row r="344" spans="1:23" ht="18" customHeight="1" x14ac:dyDescent="0.2">
      <c r="A344" s="402" t="s">
        <v>753</v>
      </c>
      <c r="B344" s="403"/>
      <c r="C344" s="404" t="s">
        <v>754</v>
      </c>
      <c r="D344" s="405">
        <v>41833</v>
      </c>
      <c r="E344" s="406"/>
      <c r="F344" s="325"/>
      <c r="G344" s="324"/>
      <c r="H344" s="324">
        <v>35072.43</v>
      </c>
      <c r="I344" s="325">
        <v>10549.43</v>
      </c>
      <c r="J344" s="325"/>
      <c r="K344" s="325">
        <f t="shared" si="68"/>
        <v>0</v>
      </c>
      <c r="L344" s="325">
        <f t="shared" si="69"/>
        <v>0</v>
      </c>
      <c r="M344" s="407">
        <v>20</v>
      </c>
      <c r="N344" s="408" t="s">
        <v>289</v>
      </c>
      <c r="O344" s="325">
        <f t="shared" si="72"/>
        <v>0</v>
      </c>
      <c r="P344" s="325">
        <f t="shared" si="73"/>
        <v>0</v>
      </c>
      <c r="Q344" s="325">
        <f t="shared" si="74"/>
        <v>0</v>
      </c>
      <c r="R344" s="325">
        <f t="shared" si="75"/>
        <v>1054</v>
      </c>
      <c r="S344" s="325">
        <f t="shared" si="76"/>
        <v>0</v>
      </c>
      <c r="T344" s="325">
        <f t="shared" si="77"/>
        <v>1054</v>
      </c>
      <c r="U344" s="409">
        <f t="shared" si="70"/>
        <v>9495.43</v>
      </c>
      <c r="V344" s="325">
        <f t="shared" si="71"/>
        <v>0</v>
      </c>
      <c r="W344" s="449" cm="1">
        <f t="array" ref="W344">+IF(U344&lt;0,error,0)</f>
        <v>0</v>
      </c>
    </row>
    <row r="345" spans="1:23" ht="18" customHeight="1" x14ac:dyDescent="0.2">
      <c r="A345" s="402" t="s">
        <v>755</v>
      </c>
      <c r="B345" s="403"/>
      <c r="C345" s="404" t="s">
        <v>756</v>
      </c>
      <c r="D345" s="405">
        <v>41934</v>
      </c>
      <c r="E345" s="406"/>
      <c r="F345" s="325"/>
      <c r="G345" s="324"/>
      <c r="H345" s="324">
        <v>1636.3700000000001</v>
      </c>
      <c r="I345" s="325">
        <v>786.37</v>
      </c>
      <c r="J345" s="325"/>
      <c r="K345" s="325">
        <f t="shared" si="68"/>
        <v>0</v>
      </c>
      <c r="L345" s="325">
        <f t="shared" si="69"/>
        <v>0</v>
      </c>
      <c r="M345" s="407">
        <v>13.33</v>
      </c>
      <c r="N345" s="408" t="s">
        <v>289</v>
      </c>
      <c r="O345" s="325">
        <f t="shared" si="72"/>
        <v>0</v>
      </c>
      <c r="P345" s="325">
        <f t="shared" si="73"/>
        <v>0</v>
      </c>
      <c r="Q345" s="325">
        <f t="shared" si="74"/>
        <v>0</v>
      </c>
      <c r="R345" s="325">
        <f t="shared" si="75"/>
        <v>52</v>
      </c>
      <c r="S345" s="325">
        <f t="shared" si="76"/>
        <v>0</v>
      </c>
      <c r="T345" s="325">
        <f t="shared" si="77"/>
        <v>52</v>
      </c>
      <c r="U345" s="409">
        <f t="shared" si="70"/>
        <v>734.37</v>
      </c>
      <c r="V345" s="325">
        <f t="shared" si="71"/>
        <v>0</v>
      </c>
      <c r="W345" s="449" cm="1">
        <f t="array" ref="W345">+IF(U345&lt;0,error,0)</f>
        <v>0</v>
      </c>
    </row>
    <row r="346" spans="1:23" ht="18" customHeight="1" x14ac:dyDescent="0.2">
      <c r="A346" s="402" t="s">
        <v>757</v>
      </c>
      <c r="B346" s="403"/>
      <c r="C346" s="404" t="s">
        <v>758</v>
      </c>
      <c r="D346" s="405">
        <v>41934</v>
      </c>
      <c r="E346" s="406"/>
      <c r="F346" s="325"/>
      <c r="G346" s="324"/>
      <c r="H346" s="324">
        <v>2045.45</v>
      </c>
      <c r="I346" s="325">
        <v>1332.45</v>
      </c>
      <c r="J346" s="325"/>
      <c r="K346" s="325">
        <f t="shared" si="68"/>
        <v>0</v>
      </c>
      <c r="L346" s="325">
        <f t="shared" si="69"/>
        <v>0</v>
      </c>
      <c r="M346" s="407">
        <v>8</v>
      </c>
      <c r="N346" s="408" t="s">
        <v>289</v>
      </c>
      <c r="O346" s="325">
        <f t="shared" si="72"/>
        <v>0</v>
      </c>
      <c r="P346" s="325">
        <f t="shared" si="73"/>
        <v>0</v>
      </c>
      <c r="Q346" s="325">
        <f t="shared" si="74"/>
        <v>0</v>
      </c>
      <c r="R346" s="325">
        <f t="shared" si="75"/>
        <v>53</v>
      </c>
      <c r="S346" s="325">
        <f t="shared" si="76"/>
        <v>0</v>
      </c>
      <c r="T346" s="325">
        <f t="shared" si="77"/>
        <v>53</v>
      </c>
      <c r="U346" s="409">
        <f t="shared" si="70"/>
        <v>1279.45</v>
      </c>
      <c r="V346" s="325">
        <f t="shared" si="71"/>
        <v>0</v>
      </c>
      <c r="W346" s="449" cm="1">
        <f t="array" ref="W346">+IF(U346&lt;0,error,0)</f>
        <v>0</v>
      </c>
    </row>
    <row r="347" spans="1:23" ht="18" customHeight="1" x14ac:dyDescent="0.2">
      <c r="A347" s="402" t="s">
        <v>759</v>
      </c>
      <c r="B347" s="403"/>
      <c r="C347" s="404" t="s">
        <v>760</v>
      </c>
      <c r="D347" s="405">
        <v>41934</v>
      </c>
      <c r="E347" s="406"/>
      <c r="F347" s="325"/>
      <c r="G347" s="324"/>
      <c r="H347" s="324">
        <v>19585.23</v>
      </c>
      <c r="I347" s="325">
        <v>6296.2300000000005</v>
      </c>
      <c r="J347" s="325"/>
      <c r="K347" s="325">
        <f t="shared" si="68"/>
        <v>0</v>
      </c>
      <c r="L347" s="325">
        <f t="shared" si="69"/>
        <v>0</v>
      </c>
      <c r="M347" s="407">
        <v>20</v>
      </c>
      <c r="N347" s="408" t="s">
        <v>289</v>
      </c>
      <c r="O347" s="325">
        <f t="shared" si="72"/>
        <v>0</v>
      </c>
      <c r="P347" s="325">
        <f t="shared" si="73"/>
        <v>0</v>
      </c>
      <c r="Q347" s="325">
        <f t="shared" si="74"/>
        <v>0</v>
      </c>
      <c r="R347" s="325">
        <f t="shared" si="75"/>
        <v>629</v>
      </c>
      <c r="S347" s="325">
        <f t="shared" si="76"/>
        <v>0</v>
      </c>
      <c r="T347" s="325">
        <f t="shared" si="77"/>
        <v>629</v>
      </c>
      <c r="U347" s="409">
        <f t="shared" si="70"/>
        <v>5667.2300000000005</v>
      </c>
      <c r="V347" s="325">
        <f t="shared" si="71"/>
        <v>0</v>
      </c>
      <c r="W347" s="449" cm="1">
        <f t="array" ref="W347">+IF(U347&lt;0,error,0)</f>
        <v>0</v>
      </c>
    </row>
    <row r="348" spans="1:23" ht="18" customHeight="1" x14ac:dyDescent="0.2">
      <c r="A348" s="402" t="s">
        <v>761</v>
      </c>
      <c r="B348" s="403"/>
      <c r="C348" s="404" t="s">
        <v>762</v>
      </c>
      <c r="D348" s="405">
        <v>42051</v>
      </c>
      <c r="E348" s="406"/>
      <c r="F348" s="325"/>
      <c r="G348" s="324"/>
      <c r="H348" s="324">
        <v>7375.91</v>
      </c>
      <c r="I348" s="325">
        <v>2547.91</v>
      </c>
      <c r="J348" s="325"/>
      <c r="K348" s="325">
        <f t="shared" si="68"/>
        <v>0</v>
      </c>
      <c r="L348" s="325">
        <f t="shared" si="69"/>
        <v>0</v>
      </c>
      <c r="M348" s="407">
        <v>20</v>
      </c>
      <c r="N348" s="408" t="s">
        <v>289</v>
      </c>
      <c r="O348" s="325">
        <f t="shared" si="72"/>
        <v>0</v>
      </c>
      <c r="P348" s="325">
        <f t="shared" si="73"/>
        <v>0</v>
      </c>
      <c r="Q348" s="325">
        <f t="shared" si="74"/>
        <v>0</v>
      </c>
      <c r="R348" s="325">
        <f t="shared" si="75"/>
        <v>254</v>
      </c>
      <c r="S348" s="325">
        <f t="shared" si="76"/>
        <v>0</v>
      </c>
      <c r="T348" s="325">
        <f t="shared" si="77"/>
        <v>254</v>
      </c>
      <c r="U348" s="409">
        <f t="shared" si="70"/>
        <v>2293.91</v>
      </c>
      <c r="V348" s="325">
        <f t="shared" si="71"/>
        <v>0</v>
      </c>
      <c r="W348" s="449" cm="1">
        <f t="array" ref="W348">+IF(U348&lt;0,error,0)</f>
        <v>0</v>
      </c>
    </row>
    <row r="349" spans="1:23" ht="18" customHeight="1" x14ac:dyDescent="0.2">
      <c r="A349" s="402" t="s">
        <v>763</v>
      </c>
      <c r="B349" s="403"/>
      <c r="C349" s="404" t="s">
        <v>764</v>
      </c>
      <c r="D349" s="405">
        <v>42094</v>
      </c>
      <c r="E349" s="406"/>
      <c r="F349" s="325"/>
      <c r="G349" s="324"/>
      <c r="H349" s="324">
        <v>42967.8</v>
      </c>
      <c r="I349" s="325">
        <v>21967.8</v>
      </c>
      <c r="J349" s="325"/>
      <c r="K349" s="325">
        <f t="shared" si="68"/>
        <v>0</v>
      </c>
      <c r="L349" s="325">
        <f t="shared" si="69"/>
        <v>0</v>
      </c>
      <c r="M349" s="407">
        <v>13.33</v>
      </c>
      <c r="N349" s="408" t="s">
        <v>289</v>
      </c>
      <c r="O349" s="325">
        <f t="shared" si="72"/>
        <v>0</v>
      </c>
      <c r="P349" s="325">
        <f t="shared" si="73"/>
        <v>0</v>
      </c>
      <c r="Q349" s="325">
        <f t="shared" si="74"/>
        <v>0</v>
      </c>
      <c r="R349" s="325">
        <f t="shared" si="75"/>
        <v>1464</v>
      </c>
      <c r="S349" s="325">
        <f t="shared" si="76"/>
        <v>0</v>
      </c>
      <c r="T349" s="325">
        <f t="shared" si="77"/>
        <v>1464</v>
      </c>
      <c r="U349" s="409">
        <f t="shared" si="70"/>
        <v>20503.8</v>
      </c>
      <c r="V349" s="325">
        <f t="shared" si="71"/>
        <v>0</v>
      </c>
      <c r="W349" s="449" cm="1">
        <f t="array" ref="W349">+IF(U349&lt;0,error,0)</f>
        <v>0</v>
      </c>
    </row>
    <row r="350" spans="1:23" ht="18" customHeight="1" x14ac:dyDescent="0.2">
      <c r="A350" s="402" t="s">
        <v>765</v>
      </c>
      <c r="B350" s="403"/>
      <c r="C350" s="404" t="s">
        <v>766</v>
      </c>
      <c r="D350" s="405">
        <v>42149</v>
      </c>
      <c r="E350" s="406"/>
      <c r="F350" s="325"/>
      <c r="G350" s="324"/>
      <c r="H350" s="324">
        <v>5984.55</v>
      </c>
      <c r="I350" s="325">
        <v>3123.55</v>
      </c>
      <c r="J350" s="325"/>
      <c r="K350" s="325">
        <f t="shared" si="68"/>
        <v>0</v>
      </c>
      <c r="L350" s="325">
        <f t="shared" si="69"/>
        <v>0</v>
      </c>
      <c r="M350" s="407">
        <v>13.33</v>
      </c>
      <c r="N350" s="408" t="s">
        <v>289</v>
      </c>
      <c r="O350" s="325">
        <f t="shared" si="72"/>
        <v>0</v>
      </c>
      <c r="P350" s="325">
        <f t="shared" si="73"/>
        <v>0</v>
      </c>
      <c r="Q350" s="325">
        <f t="shared" si="74"/>
        <v>0</v>
      </c>
      <c r="R350" s="325">
        <f t="shared" si="75"/>
        <v>208</v>
      </c>
      <c r="S350" s="325">
        <f t="shared" si="76"/>
        <v>0</v>
      </c>
      <c r="T350" s="325">
        <f t="shared" si="77"/>
        <v>208</v>
      </c>
      <c r="U350" s="409">
        <f t="shared" si="70"/>
        <v>2915.55</v>
      </c>
      <c r="V350" s="325">
        <f t="shared" si="71"/>
        <v>0</v>
      </c>
      <c r="W350" s="449" cm="1">
        <f t="array" ref="W350">+IF(U350&lt;0,error,0)</f>
        <v>0</v>
      </c>
    </row>
    <row r="351" spans="1:23" ht="18" customHeight="1" x14ac:dyDescent="0.2">
      <c r="A351" s="402" t="s">
        <v>767</v>
      </c>
      <c r="B351" s="403"/>
      <c r="C351" s="404" t="s">
        <v>768</v>
      </c>
      <c r="D351" s="405">
        <v>41842</v>
      </c>
      <c r="E351" s="406"/>
      <c r="F351" s="325"/>
      <c r="G351" s="324"/>
      <c r="H351" s="324">
        <v>2500</v>
      </c>
      <c r="I351" s="325">
        <v>0</v>
      </c>
      <c r="J351" s="325"/>
      <c r="K351" s="325">
        <f t="shared" si="68"/>
        <v>0</v>
      </c>
      <c r="L351" s="325">
        <f t="shared" si="69"/>
        <v>0</v>
      </c>
      <c r="M351" s="407">
        <v>20</v>
      </c>
      <c r="N351" s="408" t="s">
        <v>289</v>
      </c>
      <c r="O351" s="325">
        <f t="shared" si="72"/>
        <v>0</v>
      </c>
      <c r="P351" s="325">
        <f t="shared" si="73"/>
        <v>0</v>
      </c>
      <c r="Q351" s="325">
        <f t="shared" si="74"/>
        <v>0</v>
      </c>
      <c r="R351" s="325">
        <f t="shared" si="75"/>
        <v>0</v>
      </c>
      <c r="S351" s="325">
        <f t="shared" si="76"/>
        <v>0</v>
      </c>
      <c r="T351" s="325">
        <f t="shared" si="77"/>
        <v>0</v>
      </c>
      <c r="U351" s="409">
        <f t="shared" si="70"/>
        <v>0</v>
      </c>
      <c r="V351" s="325">
        <f t="shared" si="71"/>
        <v>0</v>
      </c>
      <c r="W351" s="449" cm="1">
        <f t="array" ref="W351">+IF(U351&lt;0,error,0)</f>
        <v>0</v>
      </c>
    </row>
    <row r="352" spans="1:23" ht="18" customHeight="1" x14ac:dyDescent="0.2">
      <c r="A352" s="402" t="s">
        <v>769</v>
      </c>
      <c r="B352" s="403"/>
      <c r="C352" s="404" t="s">
        <v>770</v>
      </c>
      <c r="D352" s="405">
        <v>41934</v>
      </c>
      <c r="E352" s="406">
        <v>44012</v>
      </c>
      <c r="F352" s="325">
        <v>0</v>
      </c>
      <c r="G352" s="324">
        <v>787.5</v>
      </c>
      <c r="H352" s="324">
        <v>787.5</v>
      </c>
      <c r="I352" s="325">
        <v>0</v>
      </c>
      <c r="J352" s="325"/>
      <c r="K352" s="325">
        <f t="shared" si="68"/>
        <v>0</v>
      </c>
      <c r="L352" s="325">
        <f t="shared" si="69"/>
        <v>0</v>
      </c>
      <c r="M352" s="407">
        <v>20</v>
      </c>
      <c r="N352" s="408" t="s">
        <v>289</v>
      </c>
      <c r="O352" s="325">
        <f t="shared" si="72"/>
        <v>0</v>
      </c>
      <c r="P352" s="325">
        <f t="shared" si="73"/>
        <v>0</v>
      </c>
      <c r="Q352" s="325">
        <f t="shared" si="74"/>
        <v>0</v>
      </c>
      <c r="R352" s="325">
        <f t="shared" si="75"/>
        <v>0</v>
      </c>
      <c r="S352" s="325">
        <f t="shared" si="76"/>
        <v>0</v>
      </c>
      <c r="T352" s="325">
        <f t="shared" si="77"/>
        <v>0</v>
      </c>
      <c r="U352" s="409">
        <f t="shared" si="70"/>
        <v>0</v>
      </c>
      <c r="V352" s="325">
        <f t="shared" si="71"/>
        <v>787.5</v>
      </c>
      <c r="W352" s="449" cm="1">
        <f t="array" ref="W352">+IF(U352&lt;0,error,0)</f>
        <v>0</v>
      </c>
    </row>
    <row r="353" spans="1:23" ht="18" customHeight="1" x14ac:dyDescent="0.2">
      <c r="A353" s="402" t="s">
        <v>773</v>
      </c>
      <c r="B353" s="403"/>
      <c r="C353" s="404" t="s">
        <v>774</v>
      </c>
      <c r="D353" s="405">
        <v>42036</v>
      </c>
      <c r="E353" s="406">
        <v>44012</v>
      </c>
      <c r="F353" s="325">
        <v>0</v>
      </c>
      <c r="G353" s="324">
        <v>670</v>
      </c>
      <c r="H353" s="324">
        <v>670</v>
      </c>
      <c r="I353" s="325">
        <v>0</v>
      </c>
      <c r="J353" s="325"/>
      <c r="K353" s="325">
        <f t="shared" si="68"/>
        <v>0</v>
      </c>
      <c r="L353" s="325">
        <f t="shared" si="69"/>
        <v>0</v>
      </c>
      <c r="M353" s="407">
        <v>20</v>
      </c>
      <c r="N353" s="408" t="s">
        <v>289</v>
      </c>
      <c r="O353" s="325">
        <f t="shared" si="72"/>
        <v>0</v>
      </c>
      <c r="P353" s="325">
        <f t="shared" si="73"/>
        <v>0</v>
      </c>
      <c r="Q353" s="325">
        <f t="shared" si="74"/>
        <v>0</v>
      </c>
      <c r="R353" s="325">
        <f t="shared" si="75"/>
        <v>0</v>
      </c>
      <c r="S353" s="325">
        <f t="shared" si="76"/>
        <v>0</v>
      </c>
      <c r="T353" s="325">
        <f t="shared" si="77"/>
        <v>0</v>
      </c>
      <c r="U353" s="409">
        <f t="shared" si="70"/>
        <v>0</v>
      </c>
      <c r="V353" s="325">
        <f t="shared" si="71"/>
        <v>670</v>
      </c>
      <c r="W353" s="449" cm="1">
        <f t="array" ref="W353">+IF(U353&lt;0,error,0)</f>
        <v>0</v>
      </c>
    </row>
    <row r="354" spans="1:23" ht="18" customHeight="1" x14ac:dyDescent="0.2">
      <c r="A354" s="402" t="s">
        <v>775</v>
      </c>
      <c r="B354" s="403"/>
      <c r="C354" s="404" t="s">
        <v>749</v>
      </c>
      <c r="D354" s="405">
        <v>42046</v>
      </c>
      <c r="E354" s="406">
        <v>44012</v>
      </c>
      <c r="F354" s="325">
        <v>0</v>
      </c>
      <c r="G354" s="324">
        <v>515</v>
      </c>
      <c r="H354" s="324">
        <v>515</v>
      </c>
      <c r="I354" s="325">
        <v>0</v>
      </c>
      <c r="J354" s="325"/>
      <c r="K354" s="325">
        <f t="shared" si="68"/>
        <v>0</v>
      </c>
      <c r="L354" s="325">
        <f t="shared" si="69"/>
        <v>0</v>
      </c>
      <c r="M354" s="407">
        <v>20</v>
      </c>
      <c r="N354" s="408" t="s">
        <v>289</v>
      </c>
      <c r="O354" s="325">
        <f t="shared" si="72"/>
        <v>0</v>
      </c>
      <c r="P354" s="325">
        <f t="shared" si="73"/>
        <v>0</v>
      </c>
      <c r="Q354" s="325">
        <f t="shared" si="74"/>
        <v>0</v>
      </c>
      <c r="R354" s="325">
        <f t="shared" si="75"/>
        <v>0</v>
      </c>
      <c r="S354" s="325">
        <f t="shared" si="76"/>
        <v>0</v>
      </c>
      <c r="T354" s="325">
        <f t="shared" si="77"/>
        <v>0</v>
      </c>
      <c r="U354" s="409">
        <f t="shared" si="70"/>
        <v>0</v>
      </c>
      <c r="V354" s="325">
        <f t="shared" si="71"/>
        <v>515</v>
      </c>
      <c r="W354" s="449" cm="1">
        <f t="array" ref="W354">+IF(U354&lt;0,error,0)</f>
        <v>0</v>
      </c>
    </row>
    <row r="355" spans="1:23" ht="18" customHeight="1" x14ac:dyDescent="0.2">
      <c r="A355" s="402" t="s">
        <v>776</v>
      </c>
      <c r="B355" s="403"/>
      <c r="C355" s="404" t="s">
        <v>777</v>
      </c>
      <c r="D355" s="405">
        <v>41934</v>
      </c>
      <c r="E355" s="406"/>
      <c r="F355" s="325"/>
      <c r="G355" s="324"/>
      <c r="H355" s="324">
        <v>869.32</v>
      </c>
      <c r="I355" s="325">
        <v>0</v>
      </c>
      <c r="J355" s="325"/>
      <c r="K355" s="325">
        <f t="shared" si="68"/>
        <v>0</v>
      </c>
      <c r="L355" s="325">
        <f t="shared" si="69"/>
        <v>0</v>
      </c>
      <c r="M355" s="407">
        <v>20</v>
      </c>
      <c r="N355" s="408" t="s">
        <v>289</v>
      </c>
      <c r="O355" s="325">
        <f t="shared" si="72"/>
        <v>0</v>
      </c>
      <c r="P355" s="325">
        <f t="shared" si="73"/>
        <v>0</v>
      </c>
      <c r="Q355" s="325">
        <f t="shared" si="74"/>
        <v>0</v>
      </c>
      <c r="R355" s="325">
        <f t="shared" si="75"/>
        <v>0</v>
      </c>
      <c r="S355" s="325">
        <f t="shared" si="76"/>
        <v>0</v>
      </c>
      <c r="T355" s="325">
        <f t="shared" si="77"/>
        <v>0</v>
      </c>
      <c r="U355" s="409">
        <f t="shared" si="70"/>
        <v>0</v>
      </c>
      <c r="V355" s="325">
        <f t="shared" si="71"/>
        <v>0</v>
      </c>
      <c r="W355" s="449" cm="1">
        <f t="array" ref="W355">+IF(U355&lt;0,error,0)</f>
        <v>0</v>
      </c>
    </row>
    <row r="356" spans="1:23" ht="18" customHeight="1" x14ac:dyDescent="0.2">
      <c r="A356" s="402" t="s">
        <v>778</v>
      </c>
      <c r="B356" s="403"/>
      <c r="C356" s="404" t="s">
        <v>779</v>
      </c>
      <c r="D356" s="405">
        <v>42095</v>
      </c>
      <c r="E356" s="406">
        <v>44012</v>
      </c>
      <c r="F356" s="325">
        <v>0</v>
      </c>
      <c r="G356" s="324">
        <v>953.64</v>
      </c>
      <c r="H356" s="324">
        <v>953.64</v>
      </c>
      <c r="I356" s="325">
        <v>0</v>
      </c>
      <c r="J356" s="325"/>
      <c r="K356" s="325">
        <f t="shared" si="68"/>
        <v>0</v>
      </c>
      <c r="L356" s="325">
        <f t="shared" si="69"/>
        <v>0</v>
      </c>
      <c r="M356" s="407">
        <v>20</v>
      </c>
      <c r="N356" s="408" t="s">
        <v>289</v>
      </c>
      <c r="O356" s="325">
        <f t="shared" si="72"/>
        <v>0</v>
      </c>
      <c r="P356" s="325">
        <f t="shared" si="73"/>
        <v>0</v>
      </c>
      <c r="Q356" s="325">
        <f t="shared" si="74"/>
        <v>0</v>
      </c>
      <c r="R356" s="325">
        <f t="shared" si="75"/>
        <v>0</v>
      </c>
      <c r="S356" s="325">
        <f t="shared" si="76"/>
        <v>0</v>
      </c>
      <c r="T356" s="325">
        <f t="shared" si="77"/>
        <v>0</v>
      </c>
      <c r="U356" s="409">
        <f t="shared" si="70"/>
        <v>0</v>
      </c>
      <c r="V356" s="325">
        <f t="shared" si="71"/>
        <v>953.64</v>
      </c>
      <c r="W356" s="449" cm="1">
        <f t="array" ref="W356">+IF(U356&lt;0,error,0)</f>
        <v>0</v>
      </c>
    </row>
    <row r="357" spans="1:23" ht="18" customHeight="1" x14ac:dyDescent="0.2">
      <c r="A357" s="402" t="s">
        <v>780</v>
      </c>
      <c r="B357" s="403"/>
      <c r="C357" s="404" t="s">
        <v>781</v>
      </c>
      <c r="D357" s="405">
        <v>42217</v>
      </c>
      <c r="E357" s="406"/>
      <c r="F357" s="325"/>
      <c r="G357" s="324"/>
      <c r="H357" s="324">
        <v>6500</v>
      </c>
      <c r="I357" s="325">
        <v>2475</v>
      </c>
      <c r="J357" s="325"/>
      <c r="K357" s="325">
        <f t="shared" si="68"/>
        <v>0</v>
      </c>
      <c r="L357" s="325">
        <f t="shared" si="69"/>
        <v>0</v>
      </c>
      <c r="M357" s="407">
        <v>20</v>
      </c>
      <c r="N357" s="408" t="s">
        <v>289</v>
      </c>
      <c r="O357" s="325">
        <f t="shared" si="72"/>
        <v>0</v>
      </c>
      <c r="P357" s="325">
        <f t="shared" si="73"/>
        <v>0</v>
      </c>
      <c r="Q357" s="325">
        <f t="shared" si="74"/>
        <v>0</v>
      </c>
      <c r="R357" s="325">
        <f t="shared" si="75"/>
        <v>247</v>
      </c>
      <c r="S357" s="325">
        <f t="shared" si="76"/>
        <v>0</v>
      </c>
      <c r="T357" s="325">
        <f t="shared" si="77"/>
        <v>247</v>
      </c>
      <c r="U357" s="409">
        <f t="shared" si="70"/>
        <v>2228</v>
      </c>
      <c r="V357" s="325">
        <f t="shared" si="71"/>
        <v>0</v>
      </c>
      <c r="W357" s="449" cm="1">
        <f t="array" ref="W357">+IF(U357&lt;0,error,0)</f>
        <v>0</v>
      </c>
    </row>
    <row r="358" spans="1:23" ht="18" customHeight="1" x14ac:dyDescent="0.2">
      <c r="A358" s="402" t="s">
        <v>782</v>
      </c>
      <c r="B358" s="403"/>
      <c r="C358" s="404" t="s">
        <v>783</v>
      </c>
      <c r="D358" s="405">
        <v>42229</v>
      </c>
      <c r="E358" s="406"/>
      <c r="F358" s="325"/>
      <c r="G358" s="324"/>
      <c r="H358" s="324">
        <v>3477</v>
      </c>
      <c r="I358" s="325">
        <v>2201.5370000000003</v>
      </c>
      <c r="J358" s="325"/>
      <c r="K358" s="325">
        <f t="shared" si="68"/>
        <v>0</v>
      </c>
      <c r="L358" s="325">
        <f t="shared" si="69"/>
        <v>0</v>
      </c>
      <c r="M358" s="407">
        <v>10</v>
      </c>
      <c r="N358" s="408" t="s">
        <v>289</v>
      </c>
      <c r="O358" s="325">
        <f t="shared" si="72"/>
        <v>0</v>
      </c>
      <c r="P358" s="325">
        <f t="shared" si="73"/>
        <v>0</v>
      </c>
      <c r="Q358" s="325">
        <f t="shared" si="74"/>
        <v>0</v>
      </c>
      <c r="R358" s="325">
        <f t="shared" si="75"/>
        <v>110</v>
      </c>
      <c r="S358" s="325">
        <f t="shared" si="76"/>
        <v>0</v>
      </c>
      <c r="T358" s="325">
        <f t="shared" si="77"/>
        <v>110</v>
      </c>
      <c r="U358" s="409">
        <f t="shared" si="70"/>
        <v>2091.5370000000003</v>
      </c>
      <c r="V358" s="325">
        <f t="shared" si="71"/>
        <v>0</v>
      </c>
      <c r="W358" s="449" cm="1">
        <f t="array" ref="W358">+IF(U358&lt;0,error,0)</f>
        <v>0</v>
      </c>
    </row>
    <row r="359" spans="1:23" ht="18" customHeight="1" x14ac:dyDescent="0.2">
      <c r="A359" s="402" t="s">
        <v>784</v>
      </c>
      <c r="B359" s="403"/>
      <c r="C359" s="404" t="s">
        <v>785</v>
      </c>
      <c r="D359" s="405">
        <v>42233</v>
      </c>
      <c r="E359" s="406"/>
      <c r="F359" s="325"/>
      <c r="G359" s="324"/>
      <c r="H359" s="324">
        <v>3240</v>
      </c>
      <c r="I359" s="325">
        <v>2054</v>
      </c>
      <c r="J359" s="325"/>
      <c r="K359" s="325">
        <f t="shared" si="68"/>
        <v>0</v>
      </c>
      <c r="L359" s="325">
        <f t="shared" si="69"/>
        <v>0</v>
      </c>
      <c r="M359" s="407">
        <v>10</v>
      </c>
      <c r="N359" s="408" t="s">
        <v>289</v>
      </c>
      <c r="O359" s="325">
        <f t="shared" si="72"/>
        <v>0</v>
      </c>
      <c r="P359" s="325">
        <f t="shared" si="73"/>
        <v>0</v>
      </c>
      <c r="Q359" s="325">
        <f t="shared" si="74"/>
        <v>0</v>
      </c>
      <c r="R359" s="325">
        <f t="shared" si="75"/>
        <v>102</v>
      </c>
      <c r="S359" s="325">
        <f t="shared" si="76"/>
        <v>0</v>
      </c>
      <c r="T359" s="325">
        <f t="shared" si="77"/>
        <v>102</v>
      </c>
      <c r="U359" s="409">
        <f t="shared" si="70"/>
        <v>1952</v>
      </c>
      <c r="V359" s="325">
        <f t="shared" si="71"/>
        <v>0</v>
      </c>
      <c r="W359" s="449" cm="1">
        <f t="array" ref="W359">+IF(U359&lt;0,error,0)</f>
        <v>0</v>
      </c>
    </row>
    <row r="360" spans="1:23" ht="18" customHeight="1" x14ac:dyDescent="0.2">
      <c r="A360" s="402" t="s">
        <v>786</v>
      </c>
      <c r="B360" s="403"/>
      <c r="C360" s="404" t="s">
        <v>787</v>
      </c>
      <c r="D360" s="405">
        <v>42278</v>
      </c>
      <c r="E360" s="406"/>
      <c r="F360" s="325"/>
      <c r="G360" s="324"/>
      <c r="H360" s="324">
        <v>953.64</v>
      </c>
      <c r="I360" s="325">
        <v>241.64</v>
      </c>
      <c r="J360" s="325"/>
      <c r="K360" s="325">
        <f t="shared" si="68"/>
        <v>0</v>
      </c>
      <c r="L360" s="325">
        <f t="shared" si="69"/>
        <v>0</v>
      </c>
      <c r="M360" s="407">
        <v>28.5</v>
      </c>
      <c r="N360" s="408" t="s">
        <v>289</v>
      </c>
      <c r="O360" s="325">
        <f t="shared" si="72"/>
        <v>0</v>
      </c>
      <c r="P360" s="325">
        <f t="shared" si="73"/>
        <v>0</v>
      </c>
      <c r="Q360" s="325">
        <f t="shared" si="74"/>
        <v>0</v>
      </c>
      <c r="R360" s="325">
        <f t="shared" si="75"/>
        <v>34</v>
      </c>
      <c r="S360" s="325">
        <f t="shared" si="76"/>
        <v>0</v>
      </c>
      <c r="T360" s="325">
        <f t="shared" si="77"/>
        <v>34</v>
      </c>
      <c r="U360" s="409">
        <f t="shared" si="70"/>
        <v>207.64</v>
      </c>
      <c r="V360" s="325">
        <f t="shared" si="71"/>
        <v>0</v>
      </c>
      <c r="W360" s="449" cm="1">
        <f t="array" ref="W360">+IF(U360&lt;0,error,0)</f>
        <v>0</v>
      </c>
    </row>
    <row r="361" spans="1:23" ht="18" customHeight="1" x14ac:dyDescent="0.2">
      <c r="A361" s="402" t="s">
        <v>788</v>
      </c>
      <c r="B361" s="403"/>
      <c r="C361" s="404" t="s">
        <v>2149</v>
      </c>
      <c r="D361" s="405">
        <v>42353</v>
      </c>
      <c r="E361" s="406"/>
      <c r="F361" s="325"/>
      <c r="G361" s="324"/>
      <c r="H361" s="324">
        <f>2395*7</f>
        <v>16765</v>
      </c>
      <c r="I361" s="325">
        <v>9503.6666666666661</v>
      </c>
      <c r="J361" s="325"/>
      <c r="K361" s="325">
        <f t="shared" si="68"/>
        <v>0</v>
      </c>
      <c r="L361" s="325">
        <f t="shared" si="69"/>
        <v>0</v>
      </c>
      <c r="M361" s="407">
        <v>13.3</v>
      </c>
      <c r="N361" s="408" t="s">
        <v>289</v>
      </c>
      <c r="O361" s="325">
        <f t="shared" si="72"/>
        <v>0</v>
      </c>
      <c r="P361" s="325">
        <f t="shared" si="73"/>
        <v>0</v>
      </c>
      <c r="Q361" s="325">
        <f t="shared" si="74"/>
        <v>0</v>
      </c>
      <c r="R361" s="325">
        <f t="shared" si="75"/>
        <v>631</v>
      </c>
      <c r="S361" s="325">
        <f t="shared" si="76"/>
        <v>0</v>
      </c>
      <c r="T361" s="325">
        <f t="shared" si="77"/>
        <v>631</v>
      </c>
      <c r="U361" s="409">
        <f t="shared" si="70"/>
        <v>8872.6666666666661</v>
      </c>
      <c r="V361" s="325">
        <f t="shared" si="71"/>
        <v>0</v>
      </c>
      <c r="W361" s="449" cm="1">
        <f t="array" ref="W361">+IF(U361&lt;0,error,0)</f>
        <v>0</v>
      </c>
    </row>
    <row r="362" spans="1:23" ht="18" customHeight="1" x14ac:dyDescent="0.2">
      <c r="A362" s="402" t="s">
        <v>790</v>
      </c>
      <c r="B362" s="403"/>
      <c r="C362" s="404" t="s">
        <v>791</v>
      </c>
      <c r="D362" s="405">
        <v>42377</v>
      </c>
      <c r="E362" s="406"/>
      <c r="F362" s="325"/>
      <c r="G362" s="324"/>
      <c r="H362" s="324">
        <v>12760</v>
      </c>
      <c r="I362" s="325">
        <v>8436</v>
      </c>
      <c r="J362" s="325"/>
      <c r="K362" s="325">
        <f t="shared" si="68"/>
        <v>0</v>
      </c>
      <c r="L362" s="325">
        <f t="shared" si="69"/>
        <v>0</v>
      </c>
      <c r="M362" s="407">
        <v>10</v>
      </c>
      <c r="N362" s="408" t="s">
        <v>289</v>
      </c>
      <c r="O362" s="325">
        <f t="shared" si="72"/>
        <v>0</v>
      </c>
      <c r="P362" s="325">
        <f t="shared" si="73"/>
        <v>0</v>
      </c>
      <c r="Q362" s="325">
        <f t="shared" si="74"/>
        <v>0</v>
      </c>
      <c r="R362" s="325">
        <f t="shared" si="75"/>
        <v>421</v>
      </c>
      <c r="S362" s="325">
        <f t="shared" si="76"/>
        <v>0</v>
      </c>
      <c r="T362" s="325">
        <f t="shared" si="77"/>
        <v>421</v>
      </c>
      <c r="U362" s="409">
        <f t="shared" si="70"/>
        <v>8015</v>
      </c>
      <c r="V362" s="325">
        <f t="shared" si="71"/>
        <v>0</v>
      </c>
      <c r="W362" s="449" cm="1">
        <f t="array" ref="W362">+IF(U362&lt;0,error,0)</f>
        <v>0</v>
      </c>
    </row>
    <row r="363" spans="1:23" ht="18" customHeight="1" x14ac:dyDescent="0.2">
      <c r="A363" s="402" t="s">
        <v>792</v>
      </c>
      <c r="B363" s="403"/>
      <c r="C363" s="404" t="s">
        <v>793</v>
      </c>
      <c r="D363" s="405">
        <v>42388</v>
      </c>
      <c r="E363" s="406"/>
      <c r="F363" s="325"/>
      <c r="G363" s="324"/>
      <c r="H363" s="324">
        <v>6380</v>
      </c>
      <c r="I363" s="325">
        <v>4232</v>
      </c>
      <c r="J363" s="325"/>
      <c r="K363" s="325">
        <f t="shared" si="68"/>
        <v>0</v>
      </c>
      <c r="L363" s="325">
        <f t="shared" si="69"/>
        <v>0</v>
      </c>
      <c r="M363" s="407">
        <v>10</v>
      </c>
      <c r="N363" s="408" t="s">
        <v>289</v>
      </c>
      <c r="O363" s="325">
        <f t="shared" si="72"/>
        <v>0</v>
      </c>
      <c r="P363" s="325">
        <f t="shared" si="73"/>
        <v>0</v>
      </c>
      <c r="Q363" s="325">
        <f t="shared" si="74"/>
        <v>0</v>
      </c>
      <c r="R363" s="325">
        <f t="shared" si="75"/>
        <v>211</v>
      </c>
      <c r="S363" s="325">
        <f t="shared" si="76"/>
        <v>0</v>
      </c>
      <c r="T363" s="325">
        <f t="shared" si="77"/>
        <v>211</v>
      </c>
      <c r="U363" s="409">
        <f t="shared" si="70"/>
        <v>4021</v>
      </c>
      <c r="V363" s="325">
        <f t="shared" si="71"/>
        <v>0</v>
      </c>
      <c r="W363" s="449" cm="1">
        <f t="array" ref="W363">+IF(U363&lt;0,error,0)</f>
        <v>0</v>
      </c>
    </row>
    <row r="364" spans="1:23" ht="18" customHeight="1" x14ac:dyDescent="0.2">
      <c r="A364" s="402" t="s">
        <v>794</v>
      </c>
      <c r="B364" s="403"/>
      <c r="C364" s="404" t="s">
        <v>795</v>
      </c>
      <c r="D364" s="405">
        <v>42389</v>
      </c>
      <c r="E364" s="406"/>
      <c r="F364" s="325"/>
      <c r="G364" s="324"/>
      <c r="H364" s="324">
        <v>10394.790000000001</v>
      </c>
      <c r="I364" s="325">
        <v>4413.79</v>
      </c>
      <c r="J364" s="325"/>
      <c r="K364" s="325">
        <f t="shared" si="68"/>
        <v>0</v>
      </c>
      <c r="L364" s="325">
        <f t="shared" si="69"/>
        <v>0</v>
      </c>
      <c r="M364" s="407">
        <v>20</v>
      </c>
      <c r="N364" s="408" t="s">
        <v>289</v>
      </c>
      <c r="O364" s="325">
        <f t="shared" si="72"/>
        <v>0</v>
      </c>
      <c r="P364" s="325">
        <f t="shared" si="73"/>
        <v>0</v>
      </c>
      <c r="Q364" s="325">
        <f t="shared" si="74"/>
        <v>0</v>
      </c>
      <c r="R364" s="325">
        <f t="shared" si="75"/>
        <v>441</v>
      </c>
      <c r="S364" s="325">
        <f t="shared" si="76"/>
        <v>0</v>
      </c>
      <c r="T364" s="325">
        <f t="shared" si="77"/>
        <v>441</v>
      </c>
      <c r="U364" s="409">
        <f t="shared" si="70"/>
        <v>3972.79</v>
      </c>
      <c r="V364" s="325">
        <f t="shared" si="71"/>
        <v>0</v>
      </c>
      <c r="W364" s="449" cm="1">
        <f t="array" ref="W364">+IF(U364&lt;0,error,0)</f>
        <v>0</v>
      </c>
    </row>
    <row r="365" spans="1:23" ht="18" customHeight="1" x14ac:dyDescent="0.2">
      <c r="A365" s="402" t="s">
        <v>796</v>
      </c>
      <c r="B365" s="403"/>
      <c r="C365" s="412" t="s">
        <v>797</v>
      </c>
      <c r="D365" s="405">
        <v>42404</v>
      </c>
      <c r="E365" s="406"/>
      <c r="F365" s="325"/>
      <c r="G365" s="324"/>
      <c r="H365" s="324">
        <v>1645</v>
      </c>
      <c r="I365" s="325">
        <v>254</v>
      </c>
      <c r="J365" s="325"/>
      <c r="K365" s="325">
        <f t="shared" si="68"/>
        <v>0</v>
      </c>
      <c r="L365" s="325">
        <f t="shared" si="69"/>
        <v>0</v>
      </c>
      <c r="M365" s="407">
        <v>40</v>
      </c>
      <c r="N365" s="408" t="s">
        <v>289</v>
      </c>
      <c r="O365" s="325">
        <f t="shared" si="72"/>
        <v>0</v>
      </c>
      <c r="P365" s="325">
        <f t="shared" si="73"/>
        <v>0</v>
      </c>
      <c r="Q365" s="325">
        <f t="shared" si="74"/>
        <v>0</v>
      </c>
      <c r="R365" s="325">
        <f t="shared" si="75"/>
        <v>50</v>
      </c>
      <c r="S365" s="325">
        <f t="shared" si="76"/>
        <v>0</v>
      </c>
      <c r="T365" s="325">
        <f t="shared" si="77"/>
        <v>50</v>
      </c>
      <c r="U365" s="409">
        <f t="shared" si="70"/>
        <v>204</v>
      </c>
      <c r="V365" s="325">
        <f t="shared" si="71"/>
        <v>0</v>
      </c>
      <c r="W365" s="449" cm="1">
        <f t="array" ref="W365">+IF(U365&lt;0,error,0)</f>
        <v>0</v>
      </c>
    </row>
    <row r="366" spans="1:23" ht="18" customHeight="1" x14ac:dyDescent="0.2">
      <c r="A366" s="402" t="s">
        <v>798</v>
      </c>
      <c r="B366" s="403"/>
      <c r="C366" s="404" t="s">
        <v>799</v>
      </c>
      <c r="D366" s="405">
        <v>42422</v>
      </c>
      <c r="E366" s="406"/>
      <c r="F366" s="325"/>
      <c r="G366" s="324"/>
      <c r="H366" s="324">
        <v>8528</v>
      </c>
      <c r="I366" s="325">
        <v>4960</v>
      </c>
      <c r="J366" s="325"/>
      <c r="K366" s="325">
        <f t="shared" si="68"/>
        <v>0</v>
      </c>
      <c r="L366" s="325">
        <f t="shared" si="69"/>
        <v>0</v>
      </c>
      <c r="M366" s="407">
        <v>13.33</v>
      </c>
      <c r="N366" s="408" t="s">
        <v>289</v>
      </c>
      <c r="O366" s="325">
        <f t="shared" si="72"/>
        <v>0</v>
      </c>
      <c r="P366" s="325">
        <f t="shared" si="73"/>
        <v>0</v>
      </c>
      <c r="Q366" s="325">
        <f t="shared" si="74"/>
        <v>0</v>
      </c>
      <c r="R366" s="325">
        <f t="shared" si="75"/>
        <v>330</v>
      </c>
      <c r="S366" s="325">
        <f t="shared" si="76"/>
        <v>0</v>
      </c>
      <c r="T366" s="325">
        <f t="shared" si="77"/>
        <v>330</v>
      </c>
      <c r="U366" s="409">
        <f t="shared" si="70"/>
        <v>4630</v>
      </c>
      <c r="V366" s="325">
        <f t="shared" si="71"/>
        <v>0</v>
      </c>
      <c r="W366" s="449" cm="1">
        <f t="array" ref="W366">+IF(U366&lt;0,error,0)</f>
        <v>0</v>
      </c>
    </row>
    <row r="367" spans="1:23" ht="18" customHeight="1" x14ac:dyDescent="0.2">
      <c r="A367" s="402" t="s">
        <v>800</v>
      </c>
      <c r="B367" s="403"/>
      <c r="C367" s="404" t="s">
        <v>801</v>
      </c>
      <c r="D367" s="405">
        <v>42424</v>
      </c>
      <c r="E367" s="406"/>
      <c r="F367" s="325"/>
      <c r="G367" s="324"/>
      <c r="H367" s="324">
        <v>11000</v>
      </c>
      <c r="I367" s="325">
        <v>6402</v>
      </c>
      <c r="J367" s="325"/>
      <c r="K367" s="325">
        <f t="shared" ref="K367:K431" si="78">INT(IF($E367&gt;0,IF(+F367-I367+Q367&lt;0,0,+F367-I367+Q367),0))</f>
        <v>0</v>
      </c>
      <c r="L367" s="325">
        <f t="shared" ref="L367:L431" si="79">INT(IF($E367&gt;0,IF(K367=0,-F367+I367-Q367,0),0))</f>
        <v>0</v>
      </c>
      <c r="M367" s="407">
        <v>13.33</v>
      </c>
      <c r="N367" s="408" t="s">
        <v>289</v>
      </c>
      <c r="O367" s="325">
        <f t="shared" si="72"/>
        <v>0</v>
      </c>
      <c r="P367" s="325">
        <f t="shared" si="73"/>
        <v>0</v>
      </c>
      <c r="Q367" s="325">
        <f t="shared" si="74"/>
        <v>0</v>
      </c>
      <c r="R367" s="325">
        <f t="shared" si="75"/>
        <v>426</v>
      </c>
      <c r="S367" s="325">
        <f t="shared" si="76"/>
        <v>0</v>
      </c>
      <c r="T367" s="325">
        <f t="shared" si="77"/>
        <v>426</v>
      </c>
      <c r="U367" s="409">
        <f t="shared" ref="U367:U431" si="80">+I367+J367-T367-F367+K367-L367</f>
        <v>5976</v>
      </c>
      <c r="V367" s="325">
        <f t="shared" ref="V367:V431" si="81">IF(E367&gt;0,+H367+J367,0)</f>
        <v>0</v>
      </c>
      <c r="W367" s="449" cm="1">
        <f t="array" ref="W367">+IF(U367&lt;0,error,0)</f>
        <v>0</v>
      </c>
    </row>
    <row r="368" spans="1:23" ht="18" customHeight="1" x14ac:dyDescent="0.2">
      <c r="A368" s="402" t="s">
        <v>802</v>
      </c>
      <c r="B368" s="403"/>
      <c r="C368" s="412" t="s">
        <v>803</v>
      </c>
      <c r="D368" s="405">
        <v>42461</v>
      </c>
      <c r="E368" s="406"/>
      <c r="F368" s="325"/>
      <c r="G368" s="324"/>
      <c r="H368" s="324">
        <v>4822.4000000000005</v>
      </c>
      <c r="I368" s="325">
        <v>2846.4</v>
      </c>
      <c r="J368" s="325"/>
      <c r="K368" s="325">
        <f t="shared" si="78"/>
        <v>0</v>
      </c>
      <c r="L368" s="325">
        <f t="shared" si="79"/>
        <v>0</v>
      </c>
      <c r="M368" s="407">
        <v>13.33</v>
      </c>
      <c r="N368" s="408" t="s">
        <v>289</v>
      </c>
      <c r="O368" s="325">
        <f t="shared" ref="O368:O432" si="82">IF(E368&gt;0,INT(IF($N368="D",IF($D368&lt;$H$3,$I368*($M368/100)*((E368-$H$3)/365),$J368*($M368/100)*($J$3-$D368)/365),0)),0)</f>
        <v>0</v>
      </c>
      <c r="P368" s="325">
        <f t="shared" ref="P368:P432" si="83">IF(E368&gt;0,INT(IF($N368="P",IF($D368&lt;$H$3,$H368*($M368/100)*(E368-$H$3)/365,$J368*($M368/100)*($J$3-$D368)/365),0)),0)</f>
        <v>0</v>
      </c>
      <c r="Q368" s="325">
        <f t="shared" ref="Q368:Q432" si="84">+O368+P368</f>
        <v>0</v>
      </c>
      <c r="R368" s="325">
        <f t="shared" ref="R368:R432" si="85">INT(IF($E368&gt;0,0,(IF($N368="D",IF($D368&lt;$H$3,$I368*($M368/100)*$U$3/12,$J368*($M368/100)*($J$3-$D368)/365),0))))</f>
        <v>189</v>
      </c>
      <c r="S368" s="325">
        <f t="shared" ref="S368:S432" si="86">INT(IF($E368&gt;0,0,(IF($N368="P",IF($D368&lt;$H$3,$H368*($M368/100)*$U$3/12,$J368*($M368/100)*($J$3-$D368)/365),0))))</f>
        <v>0</v>
      </c>
      <c r="T368" s="325">
        <f t="shared" si="77"/>
        <v>189</v>
      </c>
      <c r="U368" s="409">
        <f t="shared" si="80"/>
        <v>2657.4</v>
      </c>
      <c r="V368" s="325">
        <f t="shared" si="81"/>
        <v>0</v>
      </c>
      <c r="W368" s="449" cm="1">
        <f t="array" ref="W368">+IF(U368&lt;0,error,0)</f>
        <v>0</v>
      </c>
    </row>
    <row r="369" spans="1:23" ht="18" customHeight="1" x14ac:dyDescent="0.2">
      <c r="A369" s="402" t="s">
        <v>804</v>
      </c>
      <c r="B369" s="403"/>
      <c r="C369" s="404" t="s">
        <v>805</v>
      </c>
      <c r="D369" s="405">
        <v>42461</v>
      </c>
      <c r="E369" s="406"/>
      <c r="F369" s="325"/>
      <c r="G369" s="324"/>
      <c r="H369" s="324">
        <v>7445</v>
      </c>
      <c r="I369" s="325">
        <v>4396</v>
      </c>
      <c r="J369" s="325"/>
      <c r="K369" s="325">
        <f t="shared" si="78"/>
        <v>0</v>
      </c>
      <c r="L369" s="325">
        <f t="shared" si="79"/>
        <v>0</v>
      </c>
      <c r="M369" s="407">
        <v>13.33</v>
      </c>
      <c r="N369" s="408" t="s">
        <v>289</v>
      </c>
      <c r="O369" s="325">
        <f t="shared" si="82"/>
        <v>0</v>
      </c>
      <c r="P369" s="325">
        <f t="shared" si="83"/>
        <v>0</v>
      </c>
      <c r="Q369" s="325">
        <f t="shared" si="84"/>
        <v>0</v>
      </c>
      <c r="R369" s="325">
        <f t="shared" si="85"/>
        <v>292</v>
      </c>
      <c r="S369" s="325">
        <f t="shared" si="86"/>
        <v>0</v>
      </c>
      <c r="T369" s="325">
        <f t="shared" si="77"/>
        <v>292</v>
      </c>
      <c r="U369" s="409">
        <f t="shared" si="80"/>
        <v>4104</v>
      </c>
      <c r="V369" s="325">
        <f t="shared" si="81"/>
        <v>0</v>
      </c>
      <c r="W369" s="449" cm="1">
        <f t="array" ref="W369">+IF(U369&lt;0,error,0)</f>
        <v>0</v>
      </c>
    </row>
    <row r="370" spans="1:23" ht="18" customHeight="1" x14ac:dyDescent="0.2">
      <c r="A370" s="402" t="s">
        <v>806</v>
      </c>
      <c r="B370" s="403"/>
      <c r="C370" s="412" t="s">
        <v>807</v>
      </c>
      <c r="D370" s="405">
        <v>42492</v>
      </c>
      <c r="E370" s="406"/>
      <c r="F370" s="325"/>
      <c r="G370" s="324"/>
      <c r="H370" s="324">
        <v>57910</v>
      </c>
      <c r="I370" s="325">
        <v>34578</v>
      </c>
      <c r="J370" s="325"/>
      <c r="K370" s="325">
        <f t="shared" si="78"/>
        <v>0</v>
      </c>
      <c r="L370" s="325">
        <f t="shared" si="79"/>
        <v>0</v>
      </c>
      <c r="M370" s="407">
        <v>13.33</v>
      </c>
      <c r="N370" s="408" t="s">
        <v>289</v>
      </c>
      <c r="O370" s="325">
        <f t="shared" si="82"/>
        <v>0</v>
      </c>
      <c r="P370" s="325">
        <f t="shared" si="83"/>
        <v>0</v>
      </c>
      <c r="Q370" s="325">
        <f t="shared" si="84"/>
        <v>0</v>
      </c>
      <c r="R370" s="325">
        <f t="shared" si="85"/>
        <v>2304</v>
      </c>
      <c r="S370" s="325">
        <f t="shared" si="86"/>
        <v>0</v>
      </c>
      <c r="T370" s="325">
        <f t="shared" si="77"/>
        <v>2304</v>
      </c>
      <c r="U370" s="409">
        <f t="shared" si="80"/>
        <v>32274</v>
      </c>
      <c r="V370" s="325">
        <f t="shared" si="81"/>
        <v>0</v>
      </c>
      <c r="W370" s="449" cm="1">
        <f t="array" ref="W370">+IF(U370&lt;0,error,0)</f>
        <v>0</v>
      </c>
    </row>
    <row r="371" spans="1:23" ht="18" customHeight="1" x14ac:dyDescent="0.2">
      <c r="A371" s="402" t="s">
        <v>808</v>
      </c>
      <c r="B371" s="403"/>
      <c r="C371" s="404" t="s">
        <v>809</v>
      </c>
      <c r="D371" s="405">
        <v>42517</v>
      </c>
      <c r="E371" s="406"/>
      <c r="F371" s="325"/>
      <c r="G371" s="324"/>
      <c r="H371" s="324">
        <v>1500</v>
      </c>
      <c r="I371" s="325">
        <v>1032</v>
      </c>
      <c r="J371" s="325"/>
      <c r="K371" s="325">
        <f t="shared" si="78"/>
        <v>0</v>
      </c>
      <c r="L371" s="325">
        <f t="shared" si="79"/>
        <v>0</v>
      </c>
      <c r="M371" s="407">
        <v>10</v>
      </c>
      <c r="N371" s="408" t="s">
        <v>289</v>
      </c>
      <c r="O371" s="325">
        <f t="shared" si="82"/>
        <v>0</v>
      </c>
      <c r="P371" s="325">
        <f t="shared" si="83"/>
        <v>0</v>
      </c>
      <c r="Q371" s="325">
        <f t="shared" si="84"/>
        <v>0</v>
      </c>
      <c r="R371" s="325">
        <f t="shared" si="85"/>
        <v>51</v>
      </c>
      <c r="S371" s="325">
        <f t="shared" si="86"/>
        <v>0</v>
      </c>
      <c r="T371" s="325">
        <f t="shared" si="77"/>
        <v>51</v>
      </c>
      <c r="U371" s="409">
        <f t="shared" si="80"/>
        <v>981</v>
      </c>
      <c r="V371" s="325">
        <f t="shared" si="81"/>
        <v>0</v>
      </c>
      <c r="W371" s="449" cm="1">
        <f t="array" ref="W371">+IF(U371&lt;0,error,0)</f>
        <v>0</v>
      </c>
    </row>
    <row r="372" spans="1:23" ht="18" customHeight="1" x14ac:dyDescent="0.2">
      <c r="A372" s="402" t="s">
        <v>810</v>
      </c>
      <c r="B372" s="403"/>
      <c r="C372" s="404" t="s">
        <v>811</v>
      </c>
      <c r="D372" s="405">
        <v>42520</v>
      </c>
      <c r="E372" s="406"/>
      <c r="F372" s="325"/>
      <c r="G372" s="324"/>
      <c r="H372" s="324">
        <v>3000</v>
      </c>
      <c r="I372" s="325">
        <v>2066</v>
      </c>
      <c r="J372" s="325"/>
      <c r="K372" s="325">
        <f t="shared" si="78"/>
        <v>0</v>
      </c>
      <c r="L372" s="325">
        <f t="shared" si="79"/>
        <v>0</v>
      </c>
      <c r="M372" s="407">
        <v>10</v>
      </c>
      <c r="N372" s="408" t="s">
        <v>289</v>
      </c>
      <c r="O372" s="325">
        <f t="shared" si="82"/>
        <v>0</v>
      </c>
      <c r="P372" s="325">
        <f t="shared" si="83"/>
        <v>0</v>
      </c>
      <c r="Q372" s="325">
        <f t="shared" si="84"/>
        <v>0</v>
      </c>
      <c r="R372" s="325">
        <f t="shared" si="85"/>
        <v>103</v>
      </c>
      <c r="S372" s="325">
        <f t="shared" si="86"/>
        <v>0</v>
      </c>
      <c r="T372" s="325">
        <f t="shared" si="77"/>
        <v>103</v>
      </c>
      <c r="U372" s="409">
        <f t="shared" si="80"/>
        <v>1963</v>
      </c>
      <c r="V372" s="325">
        <f t="shared" si="81"/>
        <v>0</v>
      </c>
      <c r="W372" s="449" cm="1">
        <f t="array" ref="W372">+IF(U372&lt;0,error,0)</f>
        <v>0</v>
      </c>
    </row>
    <row r="373" spans="1:23" ht="18" customHeight="1" x14ac:dyDescent="0.2">
      <c r="A373" s="402" t="s">
        <v>812</v>
      </c>
      <c r="B373" s="403"/>
      <c r="C373" s="404" t="s">
        <v>813</v>
      </c>
      <c r="D373" s="405">
        <v>42552</v>
      </c>
      <c r="E373" s="406"/>
      <c r="F373" s="325"/>
      <c r="G373" s="324"/>
      <c r="H373" s="324">
        <v>2289.5500000000002</v>
      </c>
      <c r="I373" s="325">
        <v>1590.55</v>
      </c>
      <c r="J373" s="325"/>
      <c r="K373" s="325">
        <f t="shared" si="78"/>
        <v>0</v>
      </c>
      <c r="L373" s="325">
        <f t="shared" si="79"/>
        <v>0</v>
      </c>
      <c r="M373" s="407">
        <v>10</v>
      </c>
      <c r="N373" s="408" t="s">
        <v>289</v>
      </c>
      <c r="O373" s="325">
        <f t="shared" si="82"/>
        <v>0</v>
      </c>
      <c r="P373" s="325">
        <f t="shared" si="83"/>
        <v>0</v>
      </c>
      <c r="Q373" s="325">
        <f t="shared" si="84"/>
        <v>0</v>
      </c>
      <c r="R373" s="325">
        <f t="shared" si="85"/>
        <v>79</v>
      </c>
      <c r="S373" s="325">
        <f t="shared" si="86"/>
        <v>0</v>
      </c>
      <c r="T373" s="325">
        <f t="shared" si="77"/>
        <v>79</v>
      </c>
      <c r="U373" s="409">
        <f t="shared" si="80"/>
        <v>1511.55</v>
      </c>
      <c r="V373" s="325">
        <f t="shared" si="81"/>
        <v>0</v>
      </c>
      <c r="W373" s="449" cm="1">
        <f t="array" ref="W373">+IF(U373&lt;0,error,0)</f>
        <v>0</v>
      </c>
    </row>
    <row r="374" spans="1:23" ht="18" customHeight="1" x14ac:dyDescent="0.2">
      <c r="A374" s="402" t="s">
        <v>814</v>
      </c>
      <c r="B374" s="403"/>
      <c r="C374" s="404" t="s">
        <v>815</v>
      </c>
      <c r="D374" s="405">
        <v>42716</v>
      </c>
      <c r="E374" s="406"/>
      <c r="F374" s="325"/>
      <c r="G374" s="324"/>
      <c r="H374" s="324">
        <v>14640</v>
      </c>
      <c r="I374" s="325">
        <v>10673</v>
      </c>
      <c r="J374" s="325"/>
      <c r="K374" s="325">
        <f t="shared" si="78"/>
        <v>0</v>
      </c>
      <c r="L374" s="325">
        <f t="shared" si="79"/>
        <v>0</v>
      </c>
      <c r="M374" s="407">
        <v>10</v>
      </c>
      <c r="N374" s="408" t="s">
        <v>289</v>
      </c>
      <c r="O374" s="325">
        <f t="shared" si="82"/>
        <v>0</v>
      </c>
      <c r="P374" s="325">
        <f t="shared" si="83"/>
        <v>0</v>
      </c>
      <c r="Q374" s="325">
        <f t="shared" si="84"/>
        <v>0</v>
      </c>
      <c r="R374" s="325">
        <f t="shared" si="85"/>
        <v>533</v>
      </c>
      <c r="S374" s="325">
        <f t="shared" si="86"/>
        <v>0</v>
      </c>
      <c r="T374" s="325">
        <f t="shared" si="77"/>
        <v>533</v>
      </c>
      <c r="U374" s="409">
        <f t="shared" si="80"/>
        <v>10140</v>
      </c>
      <c r="V374" s="325">
        <f t="shared" si="81"/>
        <v>0</v>
      </c>
      <c r="W374" s="449" cm="1">
        <f t="array" ref="W374">+IF(U374&lt;0,error,0)</f>
        <v>0</v>
      </c>
    </row>
    <row r="375" spans="1:23" ht="18" customHeight="1" x14ac:dyDescent="0.2">
      <c r="A375" s="402" t="s">
        <v>816</v>
      </c>
      <c r="B375" s="403"/>
      <c r="C375" s="404" t="s">
        <v>815</v>
      </c>
      <c r="D375" s="405">
        <v>42716</v>
      </c>
      <c r="E375" s="406"/>
      <c r="F375" s="325"/>
      <c r="G375" s="324"/>
      <c r="H375" s="324">
        <v>14640</v>
      </c>
      <c r="I375" s="325">
        <v>10673</v>
      </c>
      <c r="J375" s="325"/>
      <c r="K375" s="325">
        <f t="shared" si="78"/>
        <v>0</v>
      </c>
      <c r="L375" s="325">
        <f t="shared" si="79"/>
        <v>0</v>
      </c>
      <c r="M375" s="407">
        <v>10</v>
      </c>
      <c r="N375" s="408" t="s">
        <v>289</v>
      </c>
      <c r="O375" s="325">
        <f t="shared" si="82"/>
        <v>0</v>
      </c>
      <c r="P375" s="325">
        <f t="shared" si="83"/>
        <v>0</v>
      </c>
      <c r="Q375" s="325">
        <f t="shared" si="84"/>
        <v>0</v>
      </c>
      <c r="R375" s="325">
        <f t="shared" si="85"/>
        <v>533</v>
      </c>
      <c r="S375" s="325">
        <f t="shared" si="86"/>
        <v>0</v>
      </c>
      <c r="T375" s="325">
        <f t="shared" si="77"/>
        <v>533</v>
      </c>
      <c r="U375" s="409">
        <f t="shared" si="80"/>
        <v>10140</v>
      </c>
      <c r="V375" s="325">
        <f t="shared" si="81"/>
        <v>0</v>
      </c>
      <c r="W375" s="449" cm="1">
        <f t="array" ref="W375">+IF(U375&lt;0,error,0)</f>
        <v>0</v>
      </c>
    </row>
    <row r="376" spans="1:23" ht="18" customHeight="1" x14ac:dyDescent="0.2">
      <c r="A376" s="402" t="s">
        <v>817</v>
      </c>
      <c r="B376" s="403"/>
      <c r="C376" s="404" t="s">
        <v>818</v>
      </c>
      <c r="D376" s="405">
        <v>42775</v>
      </c>
      <c r="E376" s="406"/>
      <c r="F376" s="325"/>
      <c r="G376" s="324"/>
      <c r="H376" s="324">
        <v>23446.77</v>
      </c>
      <c r="I376" s="325">
        <v>12600.77</v>
      </c>
      <c r="J376" s="325"/>
      <c r="K376" s="325">
        <f t="shared" si="78"/>
        <v>0</v>
      </c>
      <c r="L376" s="325">
        <f t="shared" si="79"/>
        <v>0</v>
      </c>
      <c r="M376" s="407">
        <v>20</v>
      </c>
      <c r="N376" s="408" t="s">
        <v>289</v>
      </c>
      <c r="O376" s="325">
        <f t="shared" si="82"/>
        <v>0</v>
      </c>
      <c r="P376" s="325">
        <f t="shared" si="83"/>
        <v>0</v>
      </c>
      <c r="Q376" s="325">
        <f t="shared" si="84"/>
        <v>0</v>
      </c>
      <c r="R376" s="325">
        <f t="shared" si="85"/>
        <v>1260</v>
      </c>
      <c r="S376" s="325">
        <f t="shared" si="86"/>
        <v>0</v>
      </c>
      <c r="T376" s="325">
        <f t="shared" si="77"/>
        <v>1260</v>
      </c>
      <c r="U376" s="409">
        <f t="shared" si="80"/>
        <v>11340.77</v>
      </c>
      <c r="V376" s="325">
        <f t="shared" si="81"/>
        <v>0</v>
      </c>
      <c r="W376" s="449" cm="1">
        <f t="array" ref="W376">+IF(U376&lt;0,error,0)</f>
        <v>0</v>
      </c>
    </row>
    <row r="377" spans="1:23" ht="18" customHeight="1" x14ac:dyDescent="0.2">
      <c r="A377" s="402" t="s">
        <v>819</v>
      </c>
      <c r="B377" s="403"/>
      <c r="C377" s="404" t="s">
        <v>820</v>
      </c>
      <c r="D377" s="405">
        <v>42781</v>
      </c>
      <c r="E377" s="406"/>
      <c r="F377" s="325"/>
      <c r="G377" s="324"/>
      <c r="H377" s="324">
        <v>2440</v>
      </c>
      <c r="I377" s="325">
        <v>1812</v>
      </c>
      <c r="J377" s="325"/>
      <c r="K377" s="325">
        <f t="shared" si="78"/>
        <v>0</v>
      </c>
      <c r="L377" s="325">
        <f t="shared" si="79"/>
        <v>0</v>
      </c>
      <c r="M377" s="407">
        <v>10</v>
      </c>
      <c r="N377" s="408" t="s">
        <v>289</v>
      </c>
      <c r="O377" s="325">
        <f t="shared" si="82"/>
        <v>0</v>
      </c>
      <c r="P377" s="325">
        <f t="shared" si="83"/>
        <v>0</v>
      </c>
      <c r="Q377" s="325">
        <f t="shared" si="84"/>
        <v>0</v>
      </c>
      <c r="R377" s="325">
        <f t="shared" si="85"/>
        <v>90</v>
      </c>
      <c r="S377" s="325">
        <f t="shared" si="86"/>
        <v>0</v>
      </c>
      <c r="T377" s="325">
        <f t="shared" si="77"/>
        <v>90</v>
      </c>
      <c r="U377" s="409">
        <f t="shared" si="80"/>
        <v>1722</v>
      </c>
      <c r="V377" s="325">
        <f t="shared" si="81"/>
        <v>0</v>
      </c>
      <c r="W377" s="449" cm="1">
        <f t="array" ref="W377">+IF(U377&lt;0,error,0)</f>
        <v>0</v>
      </c>
    </row>
    <row r="378" spans="1:23" ht="18" customHeight="1" x14ac:dyDescent="0.2">
      <c r="A378" s="402" t="s">
        <v>821</v>
      </c>
      <c r="B378" s="403"/>
      <c r="C378" s="404" t="s">
        <v>822</v>
      </c>
      <c r="D378" s="405">
        <v>42796</v>
      </c>
      <c r="E378" s="406"/>
      <c r="F378" s="325"/>
      <c r="G378" s="324"/>
      <c r="H378" s="324">
        <v>8960</v>
      </c>
      <c r="I378" s="325">
        <v>6684</v>
      </c>
      <c r="J378" s="325"/>
      <c r="K378" s="325">
        <f t="shared" si="78"/>
        <v>0</v>
      </c>
      <c r="L378" s="325">
        <f t="shared" si="79"/>
        <v>0</v>
      </c>
      <c r="M378" s="407">
        <v>10</v>
      </c>
      <c r="N378" s="408" t="s">
        <v>289</v>
      </c>
      <c r="O378" s="325">
        <f t="shared" si="82"/>
        <v>0</v>
      </c>
      <c r="P378" s="325">
        <f t="shared" si="83"/>
        <v>0</v>
      </c>
      <c r="Q378" s="325">
        <f t="shared" si="84"/>
        <v>0</v>
      </c>
      <c r="R378" s="325">
        <f t="shared" si="85"/>
        <v>334</v>
      </c>
      <c r="S378" s="325">
        <f t="shared" si="86"/>
        <v>0</v>
      </c>
      <c r="T378" s="325">
        <f t="shared" si="77"/>
        <v>334</v>
      </c>
      <c r="U378" s="409">
        <f t="shared" si="80"/>
        <v>6350</v>
      </c>
      <c r="V378" s="325">
        <f t="shared" si="81"/>
        <v>0</v>
      </c>
      <c r="W378" s="449" cm="1">
        <f t="array" ref="W378">+IF(U378&lt;0,error,0)</f>
        <v>0</v>
      </c>
    </row>
    <row r="379" spans="1:23" ht="18" customHeight="1" x14ac:dyDescent="0.2">
      <c r="A379" s="402" t="s">
        <v>823</v>
      </c>
      <c r="B379" s="403"/>
      <c r="C379" s="404" t="s">
        <v>824</v>
      </c>
      <c r="D379" s="405">
        <v>42866</v>
      </c>
      <c r="E379" s="406"/>
      <c r="F379" s="325"/>
      <c r="G379" s="324"/>
      <c r="H379" s="324">
        <v>4585.37</v>
      </c>
      <c r="I379" s="325">
        <v>2598.37</v>
      </c>
      <c r="J379" s="325"/>
      <c r="K379" s="325">
        <f t="shared" si="78"/>
        <v>0</v>
      </c>
      <c r="L379" s="325">
        <f t="shared" si="79"/>
        <v>0</v>
      </c>
      <c r="M379" s="407">
        <v>20</v>
      </c>
      <c r="N379" s="408" t="s">
        <v>289</v>
      </c>
      <c r="O379" s="325">
        <f t="shared" si="82"/>
        <v>0</v>
      </c>
      <c r="P379" s="325">
        <f t="shared" si="83"/>
        <v>0</v>
      </c>
      <c r="Q379" s="325">
        <f t="shared" si="84"/>
        <v>0</v>
      </c>
      <c r="R379" s="325">
        <f t="shared" si="85"/>
        <v>259</v>
      </c>
      <c r="S379" s="325">
        <f t="shared" si="86"/>
        <v>0</v>
      </c>
      <c r="T379" s="325">
        <f t="shared" si="77"/>
        <v>259</v>
      </c>
      <c r="U379" s="409">
        <f t="shared" si="80"/>
        <v>2339.37</v>
      </c>
      <c r="V379" s="325">
        <f t="shared" si="81"/>
        <v>0</v>
      </c>
      <c r="W379" s="449" cm="1">
        <f t="array" ref="W379">+IF(U379&lt;0,error,0)</f>
        <v>0</v>
      </c>
    </row>
    <row r="380" spans="1:23" ht="18" customHeight="1" x14ac:dyDescent="0.2">
      <c r="A380" s="402" t="s">
        <v>825</v>
      </c>
      <c r="B380" s="403"/>
      <c r="C380" s="412" t="s">
        <v>826</v>
      </c>
      <c r="D380" s="405">
        <v>42553</v>
      </c>
      <c r="E380" s="406"/>
      <c r="F380" s="325"/>
      <c r="G380" s="324"/>
      <c r="H380" s="324">
        <v>3135</v>
      </c>
      <c r="I380" s="325">
        <v>1464</v>
      </c>
      <c r="J380" s="325"/>
      <c r="K380" s="325">
        <f t="shared" si="78"/>
        <v>0</v>
      </c>
      <c r="L380" s="325">
        <f t="shared" si="79"/>
        <v>0</v>
      </c>
      <c r="M380" s="407">
        <v>20</v>
      </c>
      <c r="N380" s="408" t="s">
        <v>289</v>
      </c>
      <c r="O380" s="325">
        <f t="shared" si="82"/>
        <v>0</v>
      </c>
      <c r="P380" s="325">
        <f t="shared" si="83"/>
        <v>0</v>
      </c>
      <c r="Q380" s="325">
        <f t="shared" si="84"/>
        <v>0</v>
      </c>
      <c r="R380" s="325">
        <f t="shared" si="85"/>
        <v>146</v>
      </c>
      <c r="S380" s="325">
        <f t="shared" si="86"/>
        <v>0</v>
      </c>
      <c r="T380" s="325">
        <f t="shared" si="77"/>
        <v>146</v>
      </c>
      <c r="U380" s="409">
        <f t="shared" si="80"/>
        <v>1318</v>
      </c>
      <c r="V380" s="325">
        <f t="shared" si="81"/>
        <v>0</v>
      </c>
      <c r="W380" s="449" cm="1">
        <f t="array" ref="W380">+IF(U380&lt;0,error,0)</f>
        <v>0</v>
      </c>
    </row>
    <row r="381" spans="1:23" ht="18" customHeight="1" x14ac:dyDescent="0.2">
      <c r="A381" s="402" t="s">
        <v>827</v>
      </c>
      <c r="B381" s="403"/>
      <c r="C381" s="404" t="s">
        <v>828</v>
      </c>
      <c r="D381" s="405">
        <v>42773</v>
      </c>
      <c r="E381" s="406"/>
      <c r="F381" s="325"/>
      <c r="G381" s="324"/>
      <c r="H381" s="324">
        <v>1365</v>
      </c>
      <c r="I381" s="325">
        <v>911</v>
      </c>
      <c r="J381" s="325"/>
      <c r="K381" s="325">
        <f t="shared" si="78"/>
        <v>0</v>
      </c>
      <c r="L381" s="325">
        <f t="shared" si="79"/>
        <v>0</v>
      </c>
      <c r="M381" s="407">
        <v>13.33</v>
      </c>
      <c r="N381" s="408" t="s">
        <v>289</v>
      </c>
      <c r="O381" s="325">
        <f t="shared" si="82"/>
        <v>0</v>
      </c>
      <c r="P381" s="325">
        <f t="shared" si="83"/>
        <v>0</v>
      </c>
      <c r="Q381" s="325">
        <f t="shared" si="84"/>
        <v>0</v>
      </c>
      <c r="R381" s="325">
        <f t="shared" si="85"/>
        <v>60</v>
      </c>
      <c r="S381" s="325">
        <f t="shared" si="86"/>
        <v>0</v>
      </c>
      <c r="T381" s="325">
        <f t="shared" si="77"/>
        <v>60</v>
      </c>
      <c r="U381" s="409">
        <f t="shared" si="80"/>
        <v>851</v>
      </c>
      <c r="V381" s="325">
        <f t="shared" si="81"/>
        <v>0</v>
      </c>
      <c r="W381" s="449" cm="1">
        <f t="array" ref="W381">+IF(U381&lt;0,error,0)</f>
        <v>0</v>
      </c>
    </row>
    <row r="382" spans="1:23" ht="18" customHeight="1" x14ac:dyDescent="0.2">
      <c r="A382" s="402" t="s">
        <v>829</v>
      </c>
      <c r="B382" s="403"/>
      <c r="C382" s="404" t="s">
        <v>830</v>
      </c>
      <c r="D382" s="405">
        <v>42826</v>
      </c>
      <c r="E382" s="406"/>
      <c r="F382" s="325"/>
      <c r="G382" s="324"/>
      <c r="H382" s="324">
        <v>20425.25</v>
      </c>
      <c r="I382" s="325">
        <v>13908.25</v>
      </c>
      <c r="J382" s="325"/>
      <c r="K382" s="325">
        <f t="shared" si="78"/>
        <v>0</v>
      </c>
      <c r="L382" s="325">
        <f t="shared" si="79"/>
        <v>0</v>
      </c>
      <c r="M382" s="407">
        <v>13.33</v>
      </c>
      <c r="N382" s="408" t="s">
        <v>289</v>
      </c>
      <c r="O382" s="325">
        <f t="shared" si="82"/>
        <v>0</v>
      </c>
      <c r="P382" s="325">
        <f t="shared" si="83"/>
        <v>0</v>
      </c>
      <c r="Q382" s="325">
        <f t="shared" si="84"/>
        <v>0</v>
      </c>
      <c r="R382" s="325">
        <f t="shared" si="85"/>
        <v>926</v>
      </c>
      <c r="S382" s="325">
        <f t="shared" si="86"/>
        <v>0</v>
      </c>
      <c r="T382" s="325">
        <f t="shared" si="77"/>
        <v>926</v>
      </c>
      <c r="U382" s="409">
        <f t="shared" si="80"/>
        <v>12982.25</v>
      </c>
      <c r="V382" s="325">
        <f t="shared" si="81"/>
        <v>0</v>
      </c>
      <c r="W382" s="449" cm="1">
        <f t="array" ref="W382">+IF(U382&lt;0,error,0)</f>
        <v>0</v>
      </c>
    </row>
    <row r="383" spans="1:23" ht="18" customHeight="1" x14ac:dyDescent="0.2">
      <c r="A383" s="402" t="s">
        <v>831</v>
      </c>
      <c r="B383" s="403"/>
      <c r="C383" s="404" t="s">
        <v>830</v>
      </c>
      <c r="D383" s="405">
        <v>42826</v>
      </c>
      <c r="E383" s="406"/>
      <c r="F383" s="325"/>
      <c r="G383" s="324"/>
      <c r="H383" s="324">
        <v>20425.25</v>
      </c>
      <c r="I383" s="325">
        <v>13908.25</v>
      </c>
      <c r="J383" s="325"/>
      <c r="K383" s="325">
        <f t="shared" si="78"/>
        <v>0</v>
      </c>
      <c r="L383" s="325">
        <f t="shared" si="79"/>
        <v>0</v>
      </c>
      <c r="M383" s="407">
        <v>13.33</v>
      </c>
      <c r="N383" s="408" t="s">
        <v>289</v>
      </c>
      <c r="O383" s="325">
        <f t="shared" si="82"/>
        <v>0</v>
      </c>
      <c r="P383" s="325">
        <f t="shared" si="83"/>
        <v>0</v>
      </c>
      <c r="Q383" s="325">
        <f t="shared" si="84"/>
        <v>0</v>
      </c>
      <c r="R383" s="325">
        <f t="shared" si="85"/>
        <v>926</v>
      </c>
      <c r="S383" s="325">
        <f t="shared" si="86"/>
        <v>0</v>
      </c>
      <c r="T383" s="325">
        <f t="shared" ref="T383:T446" si="87">+R383+S383+Q383</f>
        <v>926</v>
      </c>
      <c r="U383" s="409">
        <f t="shared" si="80"/>
        <v>12982.25</v>
      </c>
      <c r="V383" s="325">
        <f t="shared" si="81"/>
        <v>0</v>
      </c>
      <c r="W383" s="449" cm="1">
        <f t="array" ref="W383">+IF(U383&lt;0,error,0)</f>
        <v>0</v>
      </c>
    </row>
    <row r="384" spans="1:23" ht="18" customHeight="1" x14ac:dyDescent="0.2">
      <c r="A384" s="402" t="s">
        <v>832</v>
      </c>
      <c r="B384" s="403"/>
      <c r="C384" s="404" t="s">
        <v>833</v>
      </c>
      <c r="D384" s="405">
        <v>42826</v>
      </c>
      <c r="E384" s="406"/>
      <c r="F384" s="325"/>
      <c r="G384" s="324"/>
      <c r="H384" s="324">
        <v>20425.25</v>
      </c>
      <c r="I384" s="325">
        <v>13908.25</v>
      </c>
      <c r="J384" s="325"/>
      <c r="K384" s="325">
        <f t="shared" si="78"/>
        <v>0</v>
      </c>
      <c r="L384" s="325">
        <f t="shared" si="79"/>
        <v>0</v>
      </c>
      <c r="M384" s="407">
        <v>13.33</v>
      </c>
      <c r="N384" s="408" t="s">
        <v>289</v>
      </c>
      <c r="O384" s="325">
        <f t="shared" si="82"/>
        <v>0</v>
      </c>
      <c r="P384" s="325">
        <f t="shared" si="83"/>
        <v>0</v>
      </c>
      <c r="Q384" s="325">
        <f t="shared" si="84"/>
        <v>0</v>
      </c>
      <c r="R384" s="325">
        <f t="shared" si="85"/>
        <v>926</v>
      </c>
      <c r="S384" s="325">
        <f t="shared" si="86"/>
        <v>0</v>
      </c>
      <c r="T384" s="325">
        <f t="shared" si="87"/>
        <v>926</v>
      </c>
      <c r="U384" s="409">
        <f t="shared" si="80"/>
        <v>12982.25</v>
      </c>
      <c r="V384" s="325">
        <f t="shared" si="81"/>
        <v>0</v>
      </c>
      <c r="W384" s="449" cm="1">
        <f t="array" ref="W384">+IF(U384&lt;0,error,0)</f>
        <v>0</v>
      </c>
    </row>
    <row r="385" spans="1:23" ht="18" customHeight="1" x14ac:dyDescent="0.2">
      <c r="A385" s="402" t="s">
        <v>834</v>
      </c>
      <c r="B385" s="403"/>
      <c r="C385" s="404" t="s">
        <v>833</v>
      </c>
      <c r="D385" s="405">
        <v>42826</v>
      </c>
      <c r="E385" s="406"/>
      <c r="F385" s="325"/>
      <c r="G385" s="324"/>
      <c r="H385" s="324">
        <v>20425.25</v>
      </c>
      <c r="I385" s="325">
        <v>13908.25</v>
      </c>
      <c r="J385" s="325"/>
      <c r="K385" s="325">
        <f t="shared" si="78"/>
        <v>0</v>
      </c>
      <c r="L385" s="325">
        <f t="shared" si="79"/>
        <v>0</v>
      </c>
      <c r="M385" s="407">
        <v>13.33</v>
      </c>
      <c r="N385" s="408" t="s">
        <v>289</v>
      </c>
      <c r="O385" s="325">
        <f t="shared" si="82"/>
        <v>0</v>
      </c>
      <c r="P385" s="325">
        <f t="shared" si="83"/>
        <v>0</v>
      </c>
      <c r="Q385" s="325">
        <f t="shared" si="84"/>
        <v>0</v>
      </c>
      <c r="R385" s="325">
        <f t="shared" si="85"/>
        <v>926</v>
      </c>
      <c r="S385" s="325">
        <f t="shared" si="86"/>
        <v>0</v>
      </c>
      <c r="T385" s="325">
        <f t="shared" si="87"/>
        <v>926</v>
      </c>
      <c r="U385" s="409">
        <f t="shared" si="80"/>
        <v>12982.25</v>
      </c>
      <c r="V385" s="325">
        <f t="shared" si="81"/>
        <v>0</v>
      </c>
      <c r="W385" s="449" cm="1">
        <f t="array" ref="W385">+IF(U385&lt;0,error,0)</f>
        <v>0</v>
      </c>
    </row>
    <row r="386" spans="1:23" ht="18" customHeight="1" x14ac:dyDescent="0.2">
      <c r="A386" s="402" t="s">
        <v>835</v>
      </c>
      <c r="B386" s="403"/>
      <c r="C386" s="404" t="s">
        <v>836</v>
      </c>
      <c r="D386" s="405">
        <v>42837</v>
      </c>
      <c r="E386" s="406"/>
      <c r="F386" s="325"/>
      <c r="G386" s="324"/>
      <c r="H386" s="324">
        <v>6600</v>
      </c>
      <c r="I386" s="325">
        <v>4514</v>
      </c>
      <c r="J386" s="325"/>
      <c r="K386" s="325">
        <f t="shared" si="78"/>
        <v>0</v>
      </c>
      <c r="L386" s="325">
        <f t="shared" si="79"/>
        <v>0</v>
      </c>
      <c r="M386" s="407">
        <v>13.33</v>
      </c>
      <c r="N386" s="408" t="s">
        <v>289</v>
      </c>
      <c r="O386" s="325">
        <f t="shared" si="82"/>
        <v>0</v>
      </c>
      <c r="P386" s="325">
        <f t="shared" si="83"/>
        <v>0</v>
      </c>
      <c r="Q386" s="325">
        <f t="shared" si="84"/>
        <v>0</v>
      </c>
      <c r="R386" s="325">
        <f t="shared" si="85"/>
        <v>300</v>
      </c>
      <c r="S386" s="325">
        <f t="shared" si="86"/>
        <v>0</v>
      </c>
      <c r="T386" s="325">
        <f t="shared" si="87"/>
        <v>300</v>
      </c>
      <c r="U386" s="409">
        <f t="shared" si="80"/>
        <v>4214</v>
      </c>
      <c r="V386" s="325">
        <f t="shared" si="81"/>
        <v>0</v>
      </c>
      <c r="W386" s="449" cm="1">
        <f t="array" ref="W386">+IF(U386&lt;0,error,0)</f>
        <v>0</v>
      </c>
    </row>
    <row r="387" spans="1:23" ht="18" customHeight="1" x14ac:dyDescent="0.2">
      <c r="A387" s="402" t="s">
        <v>837</v>
      </c>
      <c r="B387" s="403"/>
      <c r="C387" s="404" t="s">
        <v>838</v>
      </c>
      <c r="D387" s="405">
        <v>42846</v>
      </c>
      <c r="E387" s="406"/>
      <c r="F387" s="325"/>
      <c r="G387" s="324"/>
      <c r="H387" s="324">
        <v>14900</v>
      </c>
      <c r="I387" s="325">
        <v>10223</v>
      </c>
      <c r="J387" s="325"/>
      <c r="K387" s="325">
        <f t="shared" si="78"/>
        <v>0</v>
      </c>
      <c r="L387" s="325">
        <f t="shared" si="79"/>
        <v>0</v>
      </c>
      <c r="M387" s="407">
        <v>13.33</v>
      </c>
      <c r="N387" s="408" t="s">
        <v>289</v>
      </c>
      <c r="O387" s="325">
        <f t="shared" si="82"/>
        <v>0</v>
      </c>
      <c r="P387" s="325">
        <f t="shared" si="83"/>
        <v>0</v>
      </c>
      <c r="Q387" s="325">
        <f t="shared" si="84"/>
        <v>0</v>
      </c>
      <c r="R387" s="325">
        <f t="shared" si="85"/>
        <v>681</v>
      </c>
      <c r="S387" s="325">
        <f t="shared" si="86"/>
        <v>0</v>
      </c>
      <c r="T387" s="325">
        <f t="shared" si="87"/>
        <v>681</v>
      </c>
      <c r="U387" s="409">
        <f t="shared" si="80"/>
        <v>9542</v>
      </c>
      <c r="V387" s="325">
        <f t="shared" si="81"/>
        <v>0</v>
      </c>
      <c r="W387" s="449" cm="1">
        <f t="array" ref="W387">+IF(U387&lt;0,error,0)</f>
        <v>0</v>
      </c>
    </row>
    <row r="388" spans="1:23" ht="18" customHeight="1" x14ac:dyDescent="0.2">
      <c r="A388" s="402" t="s">
        <v>839</v>
      </c>
      <c r="B388" s="403"/>
      <c r="C388" s="404" t="s">
        <v>840</v>
      </c>
      <c r="D388" s="405">
        <v>42559</v>
      </c>
      <c r="E388" s="406"/>
      <c r="F388" s="325"/>
      <c r="G388" s="324"/>
      <c r="H388" s="324">
        <v>14332.02</v>
      </c>
      <c r="I388" s="325">
        <v>8776.02</v>
      </c>
      <c r="J388" s="325"/>
      <c r="K388" s="325">
        <f t="shared" si="78"/>
        <v>0</v>
      </c>
      <c r="L388" s="325">
        <f t="shared" si="79"/>
        <v>0</v>
      </c>
      <c r="M388" s="407">
        <v>13.33</v>
      </c>
      <c r="N388" s="408" t="s">
        <v>289</v>
      </c>
      <c r="O388" s="325">
        <f t="shared" si="82"/>
        <v>0</v>
      </c>
      <c r="P388" s="325">
        <f t="shared" si="83"/>
        <v>0</v>
      </c>
      <c r="Q388" s="325">
        <f t="shared" si="84"/>
        <v>0</v>
      </c>
      <c r="R388" s="325">
        <f t="shared" si="85"/>
        <v>584</v>
      </c>
      <c r="S388" s="325">
        <f t="shared" si="86"/>
        <v>0</v>
      </c>
      <c r="T388" s="325">
        <f t="shared" si="87"/>
        <v>584</v>
      </c>
      <c r="U388" s="409">
        <f t="shared" si="80"/>
        <v>8192.02</v>
      </c>
      <c r="V388" s="325">
        <f t="shared" si="81"/>
        <v>0</v>
      </c>
      <c r="W388" s="449" cm="1">
        <f t="array" ref="W388">+IF(U388&lt;0,error,0)</f>
        <v>0</v>
      </c>
    </row>
    <row r="389" spans="1:23" ht="18" customHeight="1" x14ac:dyDescent="0.2">
      <c r="A389" s="402" t="s">
        <v>841</v>
      </c>
      <c r="B389" s="403"/>
      <c r="C389" s="404" t="s">
        <v>842</v>
      </c>
      <c r="D389" s="405">
        <v>42559</v>
      </c>
      <c r="E389" s="406"/>
      <c r="F389" s="325"/>
      <c r="G389" s="324"/>
      <c r="H389" s="324">
        <v>14332.02</v>
      </c>
      <c r="I389" s="325">
        <v>8776.02</v>
      </c>
      <c r="J389" s="325"/>
      <c r="K389" s="325">
        <f t="shared" si="78"/>
        <v>0</v>
      </c>
      <c r="L389" s="325">
        <f t="shared" si="79"/>
        <v>0</v>
      </c>
      <c r="M389" s="407">
        <v>13.33</v>
      </c>
      <c r="N389" s="408" t="s">
        <v>289</v>
      </c>
      <c r="O389" s="325">
        <f t="shared" si="82"/>
        <v>0</v>
      </c>
      <c r="P389" s="325">
        <f t="shared" si="83"/>
        <v>0</v>
      </c>
      <c r="Q389" s="325">
        <f t="shared" si="84"/>
        <v>0</v>
      </c>
      <c r="R389" s="325">
        <f t="shared" si="85"/>
        <v>584</v>
      </c>
      <c r="S389" s="325">
        <f t="shared" si="86"/>
        <v>0</v>
      </c>
      <c r="T389" s="325">
        <f t="shared" si="87"/>
        <v>584</v>
      </c>
      <c r="U389" s="409">
        <f t="shared" si="80"/>
        <v>8192.02</v>
      </c>
      <c r="V389" s="325">
        <f t="shared" si="81"/>
        <v>0</v>
      </c>
      <c r="W389" s="449" cm="1">
        <f t="array" ref="W389">+IF(U389&lt;0,error,0)</f>
        <v>0</v>
      </c>
    </row>
    <row r="390" spans="1:23" ht="18" customHeight="1" x14ac:dyDescent="0.2">
      <c r="A390" s="402" t="s">
        <v>843</v>
      </c>
      <c r="B390" s="403"/>
      <c r="C390" s="404" t="s">
        <v>842</v>
      </c>
      <c r="D390" s="405">
        <v>42559</v>
      </c>
      <c r="E390" s="406"/>
      <c r="F390" s="325"/>
      <c r="G390" s="324"/>
      <c r="H390" s="324">
        <v>14332.03</v>
      </c>
      <c r="I390" s="325">
        <v>8776.0300000000007</v>
      </c>
      <c r="J390" s="325"/>
      <c r="K390" s="325">
        <f t="shared" si="78"/>
        <v>0</v>
      </c>
      <c r="L390" s="325">
        <f t="shared" si="79"/>
        <v>0</v>
      </c>
      <c r="M390" s="407">
        <v>13.33</v>
      </c>
      <c r="N390" s="408" t="s">
        <v>289</v>
      </c>
      <c r="O390" s="325">
        <f t="shared" si="82"/>
        <v>0</v>
      </c>
      <c r="P390" s="325">
        <f t="shared" si="83"/>
        <v>0</v>
      </c>
      <c r="Q390" s="325">
        <f t="shared" si="84"/>
        <v>0</v>
      </c>
      <c r="R390" s="325">
        <f t="shared" si="85"/>
        <v>584</v>
      </c>
      <c r="S390" s="325">
        <f t="shared" si="86"/>
        <v>0</v>
      </c>
      <c r="T390" s="325">
        <f t="shared" si="87"/>
        <v>584</v>
      </c>
      <c r="U390" s="409">
        <f t="shared" si="80"/>
        <v>8192.0300000000007</v>
      </c>
      <c r="V390" s="325">
        <f t="shared" si="81"/>
        <v>0</v>
      </c>
      <c r="W390" s="449" cm="1">
        <f t="array" ref="W390">+IF(U390&lt;0,error,0)</f>
        <v>0</v>
      </c>
    </row>
    <row r="391" spans="1:23" ht="18" customHeight="1" x14ac:dyDescent="0.2">
      <c r="A391" s="402" t="s">
        <v>844</v>
      </c>
      <c r="B391" s="403"/>
      <c r="C391" s="404" t="s">
        <v>845</v>
      </c>
      <c r="D391" s="405">
        <v>42559</v>
      </c>
      <c r="E391" s="406"/>
      <c r="F391" s="325"/>
      <c r="G391" s="324"/>
      <c r="H391" s="324">
        <v>10781.01</v>
      </c>
      <c r="I391" s="325">
        <v>6601.01</v>
      </c>
      <c r="J391" s="325"/>
      <c r="K391" s="325">
        <f t="shared" si="78"/>
        <v>0</v>
      </c>
      <c r="L391" s="325">
        <f t="shared" si="79"/>
        <v>0</v>
      </c>
      <c r="M391" s="407">
        <v>13.33</v>
      </c>
      <c r="N391" s="408" t="s">
        <v>289</v>
      </c>
      <c r="O391" s="325">
        <f t="shared" si="82"/>
        <v>0</v>
      </c>
      <c r="P391" s="325">
        <f t="shared" si="83"/>
        <v>0</v>
      </c>
      <c r="Q391" s="325">
        <f t="shared" si="84"/>
        <v>0</v>
      </c>
      <c r="R391" s="325">
        <f t="shared" si="85"/>
        <v>439</v>
      </c>
      <c r="S391" s="325">
        <f t="shared" si="86"/>
        <v>0</v>
      </c>
      <c r="T391" s="325">
        <f t="shared" si="87"/>
        <v>439</v>
      </c>
      <c r="U391" s="409">
        <f t="shared" si="80"/>
        <v>6162.01</v>
      </c>
      <c r="V391" s="325">
        <f t="shared" si="81"/>
        <v>0</v>
      </c>
      <c r="W391" s="449" cm="1">
        <f t="array" ref="W391">+IF(U391&lt;0,error,0)</f>
        <v>0</v>
      </c>
    </row>
    <row r="392" spans="1:23" ht="18" customHeight="1" x14ac:dyDescent="0.2">
      <c r="A392" s="402" t="s">
        <v>846</v>
      </c>
      <c r="B392" s="403"/>
      <c r="C392" s="404" t="s">
        <v>845</v>
      </c>
      <c r="D392" s="405">
        <v>42559</v>
      </c>
      <c r="E392" s="406"/>
      <c r="F392" s="325"/>
      <c r="G392" s="324"/>
      <c r="H392" s="324">
        <v>10781.01</v>
      </c>
      <c r="I392" s="325">
        <v>6601.01</v>
      </c>
      <c r="J392" s="325"/>
      <c r="K392" s="325">
        <f t="shared" si="78"/>
        <v>0</v>
      </c>
      <c r="L392" s="325">
        <f t="shared" si="79"/>
        <v>0</v>
      </c>
      <c r="M392" s="407">
        <v>13.33</v>
      </c>
      <c r="N392" s="408" t="s">
        <v>289</v>
      </c>
      <c r="O392" s="325">
        <f t="shared" si="82"/>
        <v>0</v>
      </c>
      <c r="P392" s="325">
        <f t="shared" si="83"/>
        <v>0</v>
      </c>
      <c r="Q392" s="325">
        <f t="shared" si="84"/>
        <v>0</v>
      </c>
      <c r="R392" s="325">
        <f t="shared" si="85"/>
        <v>439</v>
      </c>
      <c r="S392" s="325">
        <f t="shared" si="86"/>
        <v>0</v>
      </c>
      <c r="T392" s="325">
        <f t="shared" si="87"/>
        <v>439</v>
      </c>
      <c r="U392" s="409">
        <f t="shared" si="80"/>
        <v>6162.01</v>
      </c>
      <c r="V392" s="325">
        <f t="shared" si="81"/>
        <v>0</v>
      </c>
      <c r="W392" s="449" cm="1">
        <f t="array" ref="W392">+IF(U392&lt;0,error,0)</f>
        <v>0</v>
      </c>
    </row>
    <row r="393" spans="1:23" ht="18" customHeight="1" x14ac:dyDescent="0.2">
      <c r="A393" s="402" t="s">
        <v>847</v>
      </c>
      <c r="B393" s="403"/>
      <c r="C393" s="404" t="s">
        <v>845</v>
      </c>
      <c r="D393" s="405">
        <v>42559</v>
      </c>
      <c r="E393" s="406"/>
      <c r="F393" s="325"/>
      <c r="G393" s="324"/>
      <c r="H393" s="324">
        <v>10781.01</v>
      </c>
      <c r="I393" s="325">
        <v>6601.01</v>
      </c>
      <c r="J393" s="325"/>
      <c r="K393" s="325">
        <f t="shared" si="78"/>
        <v>0</v>
      </c>
      <c r="L393" s="325">
        <f t="shared" si="79"/>
        <v>0</v>
      </c>
      <c r="M393" s="407">
        <v>13.33</v>
      </c>
      <c r="N393" s="408" t="s">
        <v>289</v>
      </c>
      <c r="O393" s="325">
        <f t="shared" si="82"/>
        <v>0</v>
      </c>
      <c r="P393" s="325">
        <f t="shared" si="83"/>
        <v>0</v>
      </c>
      <c r="Q393" s="325">
        <f t="shared" si="84"/>
        <v>0</v>
      </c>
      <c r="R393" s="325">
        <f t="shared" si="85"/>
        <v>439</v>
      </c>
      <c r="S393" s="325">
        <f t="shared" si="86"/>
        <v>0</v>
      </c>
      <c r="T393" s="325">
        <f t="shared" si="87"/>
        <v>439</v>
      </c>
      <c r="U393" s="409">
        <f t="shared" si="80"/>
        <v>6162.01</v>
      </c>
      <c r="V393" s="325">
        <f t="shared" si="81"/>
        <v>0</v>
      </c>
      <c r="W393" s="449" cm="1">
        <f t="array" ref="W393">+IF(U393&lt;0,error,0)</f>
        <v>0</v>
      </c>
    </row>
    <row r="394" spans="1:23" ht="18" customHeight="1" x14ac:dyDescent="0.2">
      <c r="A394" s="402" t="s">
        <v>848</v>
      </c>
      <c r="B394" s="403"/>
      <c r="C394" s="404" t="s">
        <v>845</v>
      </c>
      <c r="D394" s="405">
        <v>42559</v>
      </c>
      <c r="E394" s="406"/>
      <c r="F394" s="325"/>
      <c r="G394" s="324"/>
      <c r="H394" s="324">
        <v>10781.01</v>
      </c>
      <c r="I394" s="325">
        <v>6601.01</v>
      </c>
      <c r="J394" s="325"/>
      <c r="K394" s="325">
        <f t="shared" si="78"/>
        <v>0</v>
      </c>
      <c r="L394" s="325">
        <f t="shared" si="79"/>
        <v>0</v>
      </c>
      <c r="M394" s="407">
        <v>13.33</v>
      </c>
      <c r="N394" s="408" t="s">
        <v>289</v>
      </c>
      <c r="O394" s="325">
        <f t="shared" si="82"/>
        <v>0</v>
      </c>
      <c r="P394" s="325">
        <f t="shared" si="83"/>
        <v>0</v>
      </c>
      <c r="Q394" s="325">
        <f t="shared" si="84"/>
        <v>0</v>
      </c>
      <c r="R394" s="325">
        <f t="shared" si="85"/>
        <v>439</v>
      </c>
      <c r="S394" s="325">
        <f t="shared" si="86"/>
        <v>0</v>
      </c>
      <c r="T394" s="325">
        <f t="shared" si="87"/>
        <v>439</v>
      </c>
      <c r="U394" s="409">
        <f t="shared" si="80"/>
        <v>6162.01</v>
      </c>
      <c r="V394" s="325">
        <f t="shared" si="81"/>
        <v>0</v>
      </c>
      <c r="W394" s="449" cm="1">
        <f t="array" ref="W394">+IF(U394&lt;0,error,0)</f>
        <v>0</v>
      </c>
    </row>
    <row r="395" spans="1:23" ht="18" customHeight="1" x14ac:dyDescent="0.2">
      <c r="A395" s="402" t="s">
        <v>849</v>
      </c>
      <c r="B395" s="403"/>
      <c r="C395" s="404" t="s">
        <v>845</v>
      </c>
      <c r="D395" s="405">
        <v>42559</v>
      </c>
      <c r="E395" s="406"/>
      <c r="F395" s="325"/>
      <c r="G395" s="324"/>
      <c r="H395" s="324">
        <v>10781.01</v>
      </c>
      <c r="I395" s="325">
        <v>6601.01</v>
      </c>
      <c r="J395" s="325"/>
      <c r="K395" s="325">
        <f t="shared" si="78"/>
        <v>0</v>
      </c>
      <c r="L395" s="325">
        <f t="shared" si="79"/>
        <v>0</v>
      </c>
      <c r="M395" s="407">
        <v>13.33</v>
      </c>
      <c r="N395" s="408" t="s">
        <v>289</v>
      </c>
      <c r="O395" s="325">
        <f t="shared" si="82"/>
        <v>0</v>
      </c>
      <c r="P395" s="325">
        <f t="shared" si="83"/>
        <v>0</v>
      </c>
      <c r="Q395" s="325">
        <f t="shared" si="84"/>
        <v>0</v>
      </c>
      <c r="R395" s="325">
        <f t="shared" si="85"/>
        <v>439</v>
      </c>
      <c r="S395" s="325">
        <f t="shared" si="86"/>
        <v>0</v>
      </c>
      <c r="T395" s="325">
        <f t="shared" si="87"/>
        <v>439</v>
      </c>
      <c r="U395" s="409">
        <f t="shared" si="80"/>
        <v>6162.01</v>
      </c>
      <c r="V395" s="325">
        <f t="shared" si="81"/>
        <v>0</v>
      </c>
      <c r="W395" s="449" cm="1">
        <f t="array" ref="W395">+IF(U395&lt;0,error,0)</f>
        <v>0</v>
      </c>
    </row>
    <row r="396" spans="1:23" ht="18" customHeight="1" x14ac:dyDescent="0.2">
      <c r="A396" s="402" t="s">
        <v>850</v>
      </c>
      <c r="B396" s="403"/>
      <c r="C396" s="404" t="s">
        <v>845</v>
      </c>
      <c r="D396" s="405">
        <v>42559</v>
      </c>
      <c r="E396" s="406"/>
      <c r="F396" s="325"/>
      <c r="G396" s="324"/>
      <c r="H396" s="324">
        <v>10781.01</v>
      </c>
      <c r="I396" s="325">
        <v>6601.01</v>
      </c>
      <c r="J396" s="325"/>
      <c r="K396" s="325">
        <f t="shared" si="78"/>
        <v>0</v>
      </c>
      <c r="L396" s="325">
        <f t="shared" si="79"/>
        <v>0</v>
      </c>
      <c r="M396" s="407">
        <v>13.33</v>
      </c>
      <c r="N396" s="408" t="s">
        <v>289</v>
      </c>
      <c r="O396" s="325">
        <f t="shared" si="82"/>
        <v>0</v>
      </c>
      <c r="P396" s="325">
        <f t="shared" si="83"/>
        <v>0</v>
      </c>
      <c r="Q396" s="325">
        <f t="shared" si="84"/>
        <v>0</v>
      </c>
      <c r="R396" s="325">
        <f t="shared" si="85"/>
        <v>439</v>
      </c>
      <c r="S396" s="325">
        <f t="shared" si="86"/>
        <v>0</v>
      </c>
      <c r="T396" s="325">
        <f t="shared" si="87"/>
        <v>439</v>
      </c>
      <c r="U396" s="409">
        <f t="shared" si="80"/>
        <v>6162.01</v>
      </c>
      <c r="V396" s="325">
        <f t="shared" si="81"/>
        <v>0</v>
      </c>
      <c r="W396" s="449" cm="1">
        <f t="array" ref="W396">+IF(U396&lt;0,error,0)</f>
        <v>0</v>
      </c>
    </row>
    <row r="397" spans="1:23" ht="18" customHeight="1" x14ac:dyDescent="0.2">
      <c r="A397" s="402" t="s">
        <v>851</v>
      </c>
      <c r="B397" s="403"/>
      <c r="C397" s="404" t="s">
        <v>845</v>
      </c>
      <c r="D397" s="405">
        <v>42559</v>
      </c>
      <c r="E397" s="406"/>
      <c r="F397" s="325"/>
      <c r="G397" s="324"/>
      <c r="H397" s="324">
        <v>10781.01</v>
      </c>
      <c r="I397" s="325">
        <v>6601.01</v>
      </c>
      <c r="J397" s="325"/>
      <c r="K397" s="325">
        <f t="shared" si="78"/>
        <v>0</v>
      </c>
      <c r="L397" s="325">
        <f t="shared" si="79"/>
        <v>0</v>
      </c>
      <c r="M397" s="407">
        <v>13.33</v>
      </c>
      <c r="N397" s="408" t="s">
        <v>289</v>
      </c>
      <c r="O397" s="325">
        <f t="shared" si="82"/>
        <v>0</v>
      </c>
      <c r="P397" s="325">
        <f t="shared" si="83"/>
        <v>0</v>
      </c>
      <c r="Q397" s="325">
        <f t="shared" si="84"/>
        <v>0</v>
      </c>
      <c r="R397" s="325">
        <f t="shared" si="85"/>
        <v>439</v>
      </c>
      <c r="S397" s="325">
        <f t="shared" si="86"/>
        <v>0</v>
      </c>
      <c r="T397" s="325">
        <f t="shared" si="87"/>
        <v>439</v>
      </c>
      <c r="U397" s="409">
        <f t="shared" si="80"/>
        <v>6162.01</v>
      </c>
      <c r="V397" s="325">
        <f t="shared" si="81"/>
        <v>0</v>
      </c>
      <c r="W397" s="449" cm="1">
        <f t="array" ref="W397">+IF(U397&lt;0,error,0)</f>
        <v>0</v>
      </c>
    </row>
    <row r="398" spans="1:23" ht="18" customHeight="1" x14ac:dyDescent="0.2">
      <c r="A398" s="402" t="s">
        <v>852</v>
      </c>
      <c r="B398" s="403"/>
      <c r="C398" s="404" t="s">
        <v>845</v>
      </c>
      <c r="D398" s="405">
        <v>42559</v>
      </c>
      <c r="E398" s="406"/>
      <c r="F398" s="325"/>
      <c r="G398" s="324"/>
      <c r="H398" s="324">
        <v>10781.01</v>
      </c>
      <c r="I398" s="325">
        <v>6601.01</v>
      </c>
      <c r="J398" s="325"/>
      <c r="K398" s="325">
        <f t="shared" si="78"/>
        <v>0</v>
      </c>
      <c r="L398" s="325">
        <f t="shared" si="79"/>
        <v>0</v>
      </c>
      <c r="M398" s="407">
        <v>13.33</v>
      </c>
      <c r="N398" s="408" t="s">
        <v>289</v>
      </c>
      <c r="O398" s="325">
        <f t="shared" si="82"/>
        <v>0</v>
      </c>
      <c r="P398" s="325">
        <f t="shared" si="83"/>
        <v>0</v>
      </c>
      <c r="Q398" s="325">
        <f t="shared" si="84"/>
        <v>0</v>
      </c>
      <c r="R398" s="325">
        <f t="shared" si="85"/>
        <v>439</v>
      </c>
      <c r="S398" s="325">
        <f t="shared" si="86"/>
        <v>0</v>
      </c>
      <c r="T398" s="325">
        <f t="shared" si="87"/>
        <v>439</v>
      </c>
      <c r="U398" s="409">
        <f t="shared" si="80"/>
        <v>6162.01</v>
      </c>
      <c r="V398" s="325">
        <f t="shared" si="81"/>
        <v>0</v>
      </c>
      <c r="W398" s="449" cm="1">
        <f t="array" ref="W398">+IF(U398&lt;0,error,0)</f>
        <v>0</v>
      </c>
    </row>
    <row r="399" spans="1:23" ht="18" customHeight="1" x14ac:dyDescent="0.2">
      <c r="A399" s="402" t="s">
        <v>853</v>
      </c>
      <c r="B399" s="403"/>
      <c r="C399" s="404" t="s">
        <v>845</v>
      </c>
      <c r="D399" s="405">
        <v>42559</v>
      </c>
      <c r="E399" s="406"/>
      <c r="F399" s="325"/>
      <c r="G399" s="324"/>
      <c r="H399" s="324">
        <v>10781.01</v>
      </c>
      <c r="I399" s="325">
        <v>6601.01</v>
      </c>
      <c r="J399" s="325"/>
      <c r="K399" s="325">
        <f t="shared" si="78"/>
        <v>0</v>
      </c>
      <c r="L399" s="325">
        <f t="shared" si="79"/>
        <v>0</v>
      </c>
      <c r="M399" s="407">
        <v>13.33</v>
      </c>
      <c r="N399" s="408" t="s">
        <v>289</v>
      </c>
      <c r="O399" s="325">
        <f t="shared" si="82"/>
        <v>0</v>
      </c>
      <c r="P399" s="325">
        <f t="shared" si="83"/>
        <v>0</v>
      </c>
      <c r="Q399" s="325">
        <f t="shared" si="84"/>
        <v>0</v>
      </c>
      <c r="R399" s="325">
        <f t="shared" si="85"/>
        <v>439</v>
      </c>
      <c r="S399" s="325">
        <f t="shared" si="86"/>
        <v>0</v>
      </c>
      <c r="T399" s="325">
        <f t="shared" si="87"/>
        <v>439</v>
      </c>
      <c r="U399" s="409">
        <f t="shared" si="80"/>
        <v>6162.01</v>
      </c>
      <c r="V399" s="325">
        <f t="shared" si="81"/>
        <v>0</v>
      </c>
      <c r="W399" s="449" cm="1">
        <f t="array" ref="W399">+IF(U399&lt;0,error,0)</f>
        <v>0</v>
      </c>
    </row>
    <row r="400" spans="1:23" ht="18" customHeight="1" x14ac:dyDescent="0.2">
      <c r="A400" s="402" t="s">
        <v>854</v>
      </c>
      <c r="B400" s="403"/>
      <c r="C400" s="404" t="s">
        <v>845</v>
      </c>
      <c r="D400" s="405">
        <v>42559</v>
      </c>
      <c r="E400" s="406"/>
      <c r="F400" s="325"/>
      <c r="G400" s="324"/>
      <c r="H400" s="324">
        <v>10781.01</v>
      </c>
      <c r="I400" s="325">
        <v>6601.01</v>
      </c>
      <c r="J400" s="325"/>
      <c r="K400" s="325">
        <f t="shared" si="78"/>
        <v>0</v>
      </c>
      <c r="L400" s="325">
        <f t="shared" si="79"/>
        <v>0</v>
      </c>
      <c r="M400" s="407">
        <v>13.33</v>
      </c>
      <c r="N400" s="408" t="s">
        <v>289</v>
      </c>
      <c r="O400" s="325">
        <f t="shared" si="82"/>
        <v>0</v>
      </c>
      <c r="P400" s="325">
        <f t="shared" si="83"/>
        <v>0</v>
      </c>
      <c r="Q400" s="325">
        <f t="shared" si="84"/>
        <v>0</v>
      </c>
      <c r="R400" s="325">
        <f t="shared" si="85"/>
        <v>439</v>
      </c>
      <c r="S400" s="325">
        <f t="shared" si="86"/>
        <v>0</v>
      </c>
      <c r="T400" s="325">
        <f t="shared" si="87"/>
        <v>439</v>
      </c>
      <c r="U400" s="409">
        <f t="shared" si="80"/>
        <v>6162.01</v>
      </c>
      <c r="V400" s="325">
        <f t="shared" si="81"/>
        <v>0</v>
      </c>
      <c r="W400" s="449" cm="1">
        <f t="array" ref="W400">+IF(U400&lt;0,error,0)</f>
        <v>0</v>
      </c>
    </row>
    <row r="401" spans="1:23" ht="18" customHeight="1" x14ac:dyDescent="0.2">
      <c r="A401" s="402" t="s">
        <v>855</v>
      </c>
      <c r="B401" s="403"/>
      <c r="C401" s="404" t="s">
        <v>845</v>
      </c>
      <c r="D401" s="405">
        <v>42559</v>
      </c>
      <c r="E401" s="406"/>
      <c r="F401" s="325"/>
      <c r="G401" s="324"/>
      <c r="H401" s="324">
        <v>10781.01</v>
      </c>
      <c r="I401" s="325">
        <v>6601.01</v>
      </c>
      <c r="J401" s="325"/>
      <c r="K401" s="325">
        <f t="shared" si="78"/>
        <v>0</v>
      </c>
      <c r="L401" s="325">
        <f t="shared" si="79"/>
        <v>0</v>
      </c>
      <c r="M401" s="407">
        <v>13.33</v>
      </c>
      <c r="N401" s="408" t="s">
        <v>289</v>
      </c>
      <c r="O401" s="325">
        <f t="shared" si="82"/>
        <v>0</v>
      </c>
      <c r="P401" s="325">
        <f t="shared" si="83"/>
        <v>0</v>
      </c>
      <c r="Q401" s="325">
        <f t="shared" si="84"/>
        <v>0</v>
      </c>
      <c r="R401" s="325">
        <f t="shared" si="85"/>
        <v>439</v>
      </c>
      <c r="S401" s="325">
        <f t="shared" si="86"/>
        <v>0</v>
      </c>
      <c r="T401" s="325">
        <f t="shared" si="87"/>
        <v>439</v>
      </c>
      <c r="U401" s="409">
        <f t="shared" si="80"/>
        <v>6162.01</v>
      </c>
      <c r="V401" s="325">
        <f t="shared" si="81"/>
        <v>0</v>
      </c>
      <c r="W401" s="449" cm="1">
        <f t="array" ref="W401">+IF(U401&lt;0,error,0)</f>
        <v>0</v>
      </c>
    </row>
    <row r="402" spans="1:23" ht="18" customHeight="1" x14ac:dyDescent="0.2">
      <c r="A402" s="402" t="s">
        <v>856</v>
      </c>
      <c r="B402" s="403"/>
      <c r="C402" s="404" t="s">
        <v>845</v>
      </c>
      <c r="D402" s="405">
        <v>42559</v>
      </c>
      <c r="E402" s="406"/>
      <c r="F402" s="325"/>
      <c r="G402" s="324"/>
      <c r="H402" s="324">
        <v>10781.04</v>
      </c>
      <c r="I402" s="325">
        <v>6601.04</v>
      </c>
      <c r="J402" s="325"/>
      <c r="K402" s="325">
        <f t="shared" si="78"/>
        <v>0</v>
      </c>
      <c r="L402" s="325">
        <f t="shared" si="79"/>
        <v>0</v>
      </c>
      <c r="M402" s="407">
        <v>13.33</v>
      </c>
      <c r="N402" s="408" t="s">
        <v>289</v>
      </c>
      <c r="O402" s="325">
        <f t="shared" si="82"/>
        <v>0</v>
      </c>
      <c r="P402" s="325">
        <f t="shared" si="83"/>
        <v>0</v>
      </c>
      <c r="Q402" s="325">
        <f t="shared" si="84"/>
        <v>0</v>
      </c>
      <c r="R402" s="325">
        <f t="shared" si="85"/>
        <v>439</v>
      </c>
      <c r="S402" s="325">
        <f t="shared" si="86"/>
        <v>0</v>
      </c>
      <c r="T402" s="325">
        <f t="shared" si="87"/>
        <v>439</v>
      </c>
      <c r="U402" s="409">
        <f t="shared" si="80"/>
        <v>6162.04</v>
      </c>
      <c r="V402" s="325">
        <f t="shared" si="81"/>
        <v>0</v>
      </c>
      <c r="W402" s="449" cm="1">
        <f t="array" ref="W402">+IF(U402&lt;0,error,0)</f>
        <v>0</v>
      </c>
    </row>
    <row r="403" spans="1:23" ht="18" customHeight="1" x14ac:dyDescent="0.2">
      <c r="A403" s="402" t="s">
        <v>857</v>
      </c>
      <c r="B403" s="403"/>
      <c r="C403" s="404" t="s">
        <v>858</v>
      </c>
      <c r="D403" s="405">
        <v>42559</v>
      </c>
      <c r="E403" s="406"/>
      <c r="F403" s="325"/>
      <c r="G403" s="324"/>
      <c r="H403" s="324">
        <v>12100.24</v>
      </c>
      <c r="I403" s="325">
        <v>7408.24</v>
      </c>
      <c r="J403" s="325"/>
      <c r="K403" s="325">
        <f t="shared" si="78"/>
        <v>0</v>
      </c>
      <c r="L403" s="325">
        <f t="shared" si="79"/>
        <v>0</v>
      </c>
      <c r="M403" s="407">
        <v>13.33</v>
      </c>
      <c r="N403" s="408" t="s">
        <v>289</v>
      </c>
      <c r="O403" s="325">
        <f t="shared" si="82"/>
        <v>0</v>
      </c>
      <c r="P403" s="325">
        <f t="shared" si="83"/>
        <v>0</v>
      </c>
      <c r="Q403" s="325">
        <f t="shared" si="84"/>
        <v>0</v>
      </c>
      <c r="R403" s="325">
        <f t="shared" si="85"/>
        <v>493</v>
      </c>
      <c r="S403" s="325">
        <f t="shared" si="86"/>
        <v>0</v>
      </c>
      <c r="T403" s="325">
        <f t="shared" si="87"/>
        <v>493</v>
      </c>
      <c r="U403" s="409">
        <f t="shared" si="80"/>
        <v>6915.24</v>
      </c>
      <c r="V403" s="325">
        <f t="shared" si="81"/>
        <v>0</v>
      </c>
      <c r="W403" s="449" cm="1">
        <f t="array" ref="W403">+IF(U403&lt;0,error,0)</f>
        <v>0</v>
      </c>
    </row>
    <row r="404" spans="1:23" ht="18" customHeight="1" x14ac:dyDescent="0.2">
      <c r="A404" s="402" t="s">
        <v>859</v>
      </c>
      <c r="B404" s="403"/>
      <c r="C404" s="404" t="s">
        <v>860</v>
      </c>
      <c r="D404" s="405">
        <v>42559</v>
      </c>
      <c r="E404" s="406"/>
      <c r="F404" s="325"/>
      <c r="G404" s="324"/>
      <c r="H404" s="324">
        <v>12063.04</v>
      </c>
      <c r="I404" s="325">
        <v>7385.0400000000009</v>
      </c>
      <c r="J404" s="325"/>
      <c r="K404" s="325">
        <f t="shared" si="78"/>
        <v>0</v>
      </c>
      <c r="L404" s="325">
        <f t="shared" si="79"/>
        <v>0</v>
      </c>
      <c r="M404" s="407">
        <v>13.33</v>
      </c>
      <c r="N404" s="408" t="s">
        <v>289</v>
      </c>
      <c r="O404" s="325">
        <f t="shared" si="82"/>
        <v>0</v>
      </c>
      <c r="P404" s="325">
        <f t="shared" si="83"/>
        <v>0</v>
      </c>
      <c r="Q404" s="325">
        <f t="shared" si="84"/>
        <v>0</v>
      </c>
      <c r="R404" s="325">
        <f t="shared" si="85"/>
        <v>492</v>
      </c>
      <c r="S404" s="325">
        <f t="shared" si="86"/>
        <v>0</v>
      </c>
      <c r="T404" s="325">
        <f t="shared" si="87"/>
        <v>492</v>
      </c>
      <c r="U404" s="409">
        <f t="shared" si="80"/>
        <v>6893.0400000000009</v>
      </c>
      <c r="V404" s="325">
        <f t="shared" si="81"/>
        <v>0</v>
      </c>
      <c r="W404" s="449" cm="1">
        <f t="array" ref="W404">+IF(U404&lt;0,error,0)</f>
        <v>0</v>
      </c>
    </row>
    <row r="405" spans="1:23" ht="18" customHeight="1" x14ac:dyDescent="0.2">
      <c r="A405" s="402" t="s">
        <v>861</v>
      </c>
      <c r="B405" s="403"/>
      <c r="C405" s="404" t="s">
        <v>862</v>
      </c>
      <c r="D405" s="405">
        <v>42559</v>
      </c>
      <c r="E405" s="406"/>
      <c r="F405" s="325"/>
      <c r="G405" s="324"/>
      <c r="H405" s="324">
        <v>9762.02</v>
      </c>
      <c r="I405" s="325">
        <v>5978.02</v>
      </c>
      <c r="J405" s="325"/>
      <c r="K405" s="325">
        <f t="shared" si="78"/>
        <v>0</v>
      </c>
      <c r="L405" s="325">
        <f t="shared" si="79"/>
        <v>0</v>
      </c>
      <c r="M405" s="407">
        <v>13.33</v>
      </c>
      <c r="N405" s="408" t="s">
        <v>289</v>
      </c>
      <c r="O405" s="325">
        <f t="shared" si="82"/>
        <v>0</v>
      </c>
      <c r="P405" s="325">
        <f t="shared" si="83"/>
        <v>0</v>
      </c>
      <c r="Q405" s="325">
        <f t="shared" si="84"/>
        <v>0</v>
      </c>
      <c r="R405" s="325">
        <f t="shared" si="85"/>
        <v>398</v>
      </c>
      <c r="S405" s="325">
        <f t="shared" si="86"/>
        <v>0</v>
      </c>
      <c r="T405" s="325">
        <f t="shared" si="87"/>
        <v>398</v>
      </c>
      <c r="U405" s="409">
        <f t="shared" si="80"/>
        <v>5580.02</v>
      </c>
      <c r="V405" s="325">
        <f t="shared" si="81"/>
        <v>0</v>
      </c>
      <c r="W405" s="449" cm="1">
        <f t="array" ref="W405">+IF(U405&lt;0,error,0)</f>
        <v>0</v>
      </c>
    </row>
    <row r="406" spans="1:23" ht="18" customHeight="1" x14ac:dyDescent="0.2">
      <c r="A406" s="402" t="s">
        <v>863</v>
      </c>
      <c r="B406" s="403"/>
      <c r="C406" s="404" t="s">
        <v>864</v>
      </c>
      <c r="D406" s="405">
        <v>42559</v>
      </c>
      <c r="E406" s="406"/>
      <c r="F406" s="325"/>
      <c r="G406" s="324"/>
      <c r="H406" s="324">
        <v>14643.04</v>
      </c>
      <c r="I406" s="325">
        <v>8965.0400000000009</v>
      </c>
      <c r="J406" s="325"/>
      <c r="K406" s="325">
        <f t="shared" si="78"/>
        <v>0</v>
      </c>
      <c r="L406" s="325">
        <f t="shared" si="79"/>
        <v>0</v>
      </c>
      <c r="M406" s="407">
        <v>13.33</v>
      </c>
      <c r="N406" s="408" t="s">
        <v>289</v>
      </c>
      <c r="O406" s="325">
        <f t="shared" si="82"/>
        <v>0</v>
      </c>
      <c r="P406" s="325">
        <f t="shared" si="83"/>
        <v>0</v>
      </c>
      <c r="Q406" s="325">
        <f t="shared" si="84"/>
        <v>0</v>
      </c>
      <c r="R406" s="325">
        <f t="shared" si="85"/>
        <v>597</v>
      </c>
      <c r="S406" s="325">
        <f t="shared" si="86"/>
        <v>0</v>
      </c>
      <c r="T406" s="325">
        <f t="shared" si="87"/>
        <v>597</v>
      </c>
      <c r="U406" s="409">
        <f t="shared" si="80"/>
        <v>8368.0400000000009</v>
      </c>
      <c r="V406" s="325">
        <f t="shared" si="81"/>
        <v>0</v>
      </c>
      <c r="W406" s="449" cm="1">
        <f t="array" ref="W406">+IF(U406&lt;0,error,0)</f>
        <v>0</v>
      </c>
    </row>
    <row r="407" spans="1:23" ht="18" customHeight="1" x14ac:dyDescent="0.2">
      <c r="A407" s="402" t="s">
        <v>865</v>
      </c>
      <c r="B407" s="403"/>
      <c r="C407" s="404" t="s">
        <v>866</v>
      </c>
      <c r="D407" s="405">
        <v>42559</v>
      </c>
      <c r="E407" s="406"/>
      <c r="F407" s="325"/>
      <c r="G407" s="324"/>
      <c r="H407" s="324">
        <v>15141.01</v>
      </c>
      <c r="I407" s="325">
        <v>11929.01</v>
      </c>
      <c r="J407" s="325"/>
      <c r="K407" s="325">
        <f t="shared" si="78"/>
        <v>0</v>
      </c>
      <c r="L407" s="325">
        <f t="shared" si="79"/>
        <v>0</v>
      </c>
      <c r="M407" s="407">
        <v>6.67</v>
      </c>
      <c r="N407" s="408" t="s">
        <v>289</v>
      </c>
      <c r="O407" s="325">
        <f t="shared" si="82"/>
        <v>0</v>
      </c>
      <c r="P407" s="325">
        <f t="shared" si="83"/>
        <v>0</v>
      </c>
      <c r="Q407" s="325">
        <f t="shared" si="84"/>
        <v>0</v>
      </c>
      <c r="R407" s="325">
        <f t="shared" si="85"/>
        <v>397</v>
      </c>
      <c r="S407" s="325">
        <f t="shared" si="86"/>
        <v>0</v>
      </c>
      <c r="T407" s="325">
        <f t="shared" si="87"/>
        <v>397</v>
      </c>
      <c r="U407" s="409">
        <f t="shared" si="80"/>
        <v>11532.01</v>
      </c>
      <c r="V407" s="325">
        <f t="shared" si="81"/>
        <v>0</v>
      </c>
      <c r="W407" s="449" cm="1">
        <f t="array" ref="W407">+IF(U407&lt;0,error,0)</f>
        <v>0</v>
      </c>
    </row>
    <row r="408" spans="1:23" ht="18" customHeight="1" x14ac:dyDescent="0.2">
      <c r="A408" s="402" t="s">
        <v>867</v>
      </c>
      <c r="B408" s="403"/>
      <c r="C408" s="404" t="s">
        <v>866</v>
      </c>
      <c r="D408" s="405">
        <v>42559</v>
      </c>
      <c r="E408" s="406"/>
      <c r="F408" s="325"/>
      <c r="G408" s="324"/>
      <c r="H408" s="324">
        <v>15141.01</v>
      </c>
      <c r="I408" s="325">
        <v>7093.01</v>
      </c>
      <c r="J408" s="325"/>
      <c r="K408" s="325">
        <f t="shared" si="78"/>
        <v>0</v>
      </c>
      <c r="L408" s="325">
        <f t="shared" si="79"/>
        <v>0</v>
      </c>
      <c r="M408" s="407">
        <v>20</v>
      </c>
      <c r="N408" s="408" t="s">
        <v>289</v>
      </c>
      <c r="O408" s="325">
        <f t="shared" si="82"/>
        <v>0</v>
      </c>
      <c r="P408" s="325">
        <f t="shared" si="83"/>
        <v>0</v>
      </c>
      <c r="Q408" s="325">
        <f t="shared" si="84"/>
        <v>0</v>
      </c>
      <c r="R408" s="325">
        <f t="shared" si="85"/>
        <v>709</v>
      </c>
      <c r="S408" s="325">
        <f t="shared" si="86"/>
        <v>0</v>
      </c>
      <c r="T408" s="325">
        <f t="shared" si="87"/>
        <v>709</v>
      </c>
      <c r="U408" s="409">
        <f t="shared" si="80"/>
        <v>6384.01</v>
      </c>
      <c r="V408" s="325">
        <f t="shared" si="81"/>
        <v>0</v>
      </c>
      <c r="W408" s="449" cm="1">
        <f t="array" ref="W408">+IF(U408&lt;0,error,0)</f>
        <v>0</v>
      </c>
    </row>
    <row r="409" spans="1:23" ht="18" customHeight="1" x14ac:dyDescent="0.2">
      <c r="A409" s="402" t="s">
        <v>868</v>
      </c>
      <c r="B409" s="403"/>
      <c r="C409" s="404" t="s">
        <v>866</v>
      </c>
      <c r="D409" s="405">
        <v>42559</v>
      </c>
      <c r="E409" s="406"/>
      <c r="F409" s="325"/>
      <c r="G409" s="324"/>
      <c r="H409" s="324">
        <v>15141.01</v>
      </c>
      <c r="I409" s="325">
        <v>11929.01</v>
      </c>
      <c r="J409" s="325"/>
      <c r="K409" s="325">
        <f t="shared" si="78"/>
        <v>0</v>
      </c>
      <c r="L409" s="325">
        <f t="shared" si="79"/>
        <v>0</v>
      </c>
      <c r="M409" s="407">
        <v>6.67</v>
      </c>
      <c r="N409" s="408" t="s">
        <v>289</v>
      </c>
      <c r="O409" s="325">
        <f t="shared" si="82"/>
        <v>0</v>
      </c>
      <c r="P409" s="325">
        <f t="shared" si="83"/>
        <v>0</v>
      </c>
      <c r="Q409" s="325">
        <f t="shared" si="84"/>
        <v>0</v>
      </c>
      <c r="R409" s="325">
        <f t="shared" si="85"/>
        <v>397</v>
      </c>
      <c r="S409" s="325">
        <f t="shared" si="86"/>
        <v>0</v>
      </c>
      <c r="T409" s="325">
        <f t="shared" si="87"/>
        <v>397</v>
      </c>
      <c r="U409" s="409">
        <f t="shared" si="80"/>
        <v>11532.01</v>
      </c>
      <c r="V409" s="325">
        <f t="shared" si="81"/>
        <v>0</v>
      </c>
      <c r="W409" s="449" cm="1">
        <f t="array" ref="W409">+IF(U409&lt;0,error,0)</f>
        <v>0</v>
      </c>
    </row>
    <row r="410" spans="1:23" ht="18" customHeight="1" x14ac:dyDescent="0.2">
      <c r="A410" s="402" t="s">
        <v>869</v>
      </c>
      <c r="B410" s="403"/>
      <c r="C410" s="404" t="s">
        <v>866</v>
      </c>
      <c r="D410" s="405">
        <v>42559</v>
      </c>
      <c r="E410" s="406"/>
      <c r="F410" s="325"/>
      <c r="G410" s="324"/>
      <c r="H410" s="324">
        <v>15141.01</v>
      </c>
      <c r="I410" s="325">
        <v>11929.01</v>
      </c>
      <c r="J410" s="325"/>
      <c r="K410" s="325">
        <f t="shared" si="78"/>
        <v>0</v>
      </c>
      <c r="L410" s="325">
        <f t="shared" si="79"/>
        <v>0</v>
      </c>
      <c r="M410" s="407">
        <v>6.67</v>
      </c>
      <c r="N410" s="408" t="s">
        <v>289</v>
      </c>
      <c r="O410" s="325">
        <f t="shared" si="82"/>
        <v>0</v>
      </c>
      <c r="P410" s="325">
        <f t="shared" si="83"/>
        <v>0</v>
      </c>
      <c r="Q410" s="325">
        <f t="shared" si="84"/>
        <v>0</v>
      </c>
      <c r="R410" s="325">
        <f t="shared" si="85"/>
        <v>397</v>
      </c>
      <c r="S410" s="325">
        <f t="shared" si="86"/>
        <v>0</v>
      </c>
      <c r="T410" s="325">
        <f t="shared" si="87"/>
        <v>397</v>
      </c>
      <c r="U410" s="409">
        <f t="shared" si="80"/>
        <v>11532.01</v>
      </c>
      <c r="V410" s="325">
        <f t="shared" si="81"/>
        <v>0</v>
      </c>
      <c r="W410" s="449" cm="1">
        <f t="array" ref="W410">+IF(U410&lt;0,error,0)</f>
        <v>0</v>
      </c>
    </row>
    <row r="411" spans="1:23" ht="18" customHeight="1" x14ac:dyDescent="0.2">
      <c r="A411" s="402" t="s">
        <v>870</v>
      </c>
      <c r="B411" s="403"/>
      <c r="C411" s="404" t="s">
        <v>866</v>
      </c>
      <c r="D411" s="405">
        <v>42559</v>
      </c>
      <c r="E411" s="406"/>
      <c r="F411" s="325"/>
      <c r="G411" s="324"/>
      <c r="H411" s="324">
        <v>15141.02</v>
      </c>
      <c r="I411" s="325">
        <v>11929.02</v>
      </c>
      <c r="J411" s="325"/>
      <c r="K411" s="325">
        <f t="shared" si="78"/>
        <v>0</v>
      </c>
      <c r="L411" s="325">
        <f t="shared" si="79"/>
        <v>0</v>
      </c>
      <c r="M411" s="407">
        <v>6.67</v>
      </c>
      <c r="N411" s="408" t="s">
        <v>289</v>
      </c>
      <c r="O411" s="325">
        <f t="shared" si="82"/>
        <v>0</v>
      </c>
      <c r="P411" s="325">
        <f t="shared" si="83"/>
        <v>0</v>
      </c>
      <c r="Q411" s="325">
        <f t="shared" si="84"/>
        <v>0</v>
      </c>
      <c r="R411" s="325">
        <f t="shared" si="85"/>
        <v>397</v>
      </c>
      <c r="S411" s="325">
        <f t="shared" si="86"/>
        <v>0</v>
      </c>
      <c r="T411" s="325">
        <f t="shared" si="87"/>
        <v>397</v>
      </c>
      <c r="U411" s="409">
        <f t="shared" si="80"/>
        <v>11532.02</v>
      </c>
      <c r="V411" s="325">
        <f t="shared" si="81"/>
        <v>0</v>
      </c>
      <c r="W411" s="449" cm="1">
        <f t="array" ref="W411">+IF(U411&lt;0,error,0)</f>
        <v>0</v>
      </c>
    </row>
    <row r="412" spans="1:23" ht="18" customHeight="1" x14ac:dyDescent="0.2">
      <c r="A412" s="402" t="s">
        <v>871</v>
      </c>
      <c r="B412" s="403"/>
      <c r="C412" s="404" t="s">
        <v>872</v>
      </c>
      <c r="D412" s="405">
        <v>42559</v>
      </c>
      <c r="E412" s="406"/>
      <c r="F412" s="325"/>
      <c r="G412" s="324"/>
      <c r="H412" s="324">
        <v>20581.010000000002</v>
      </c>
      <c r="I412" s="325">
        <v>16214.010000000002</v>
      </c>
      <c r="J412" s="325"/>
      <c r="K412" s="325">
        <f t="shared" si="78"/>
        <v>0</v>
      </c>
      <c r="L412" s="325">
        <f t="shared" si="79"/>
        <v>0</v>
      </c>
      <c r="M412" s="407">
        <v>6.67</v>
      </c>
      <c r="N412" s="408" t="s">
        <v>289</v>
      </c>
      <c r="O412" s="325">
        <f t="shared" si="82"/>
        <v>0</v>
      </c>
      <c r="P412" s="325">
        <f t="shared" si="83"/>
        <v>0</v>
      </c>
      <c r="Q412" s="325">
        <f t="shared" si="84"/>
        <v>0</v>
      </c>
      <c r="R412" s="325">
        <f t="shared" si="85"/>
        <v>540</v>
      </c>
      <c r="S412" s="325">
        <f t="shared" si="86"/>
        <v>0</v>
      </c>
      <c r="T412" s="325">
        <f t="shared" si="87"/>
        <v>540</v>
      </c>
      <c r="U412" s="409">
        <f t="shared" si="80"/>
        <v>15674.010000000002</v>
      </c>
      <c r="V412" s="325">
        <f t="shared" si="81"/>
        <v>0</v>
      </c>
      <c r="W412" s="449" cm="1">
        <f t="array" ref="W412">+IF(U412&lt;0,error,0)</f>
        <v>0</v>
      </c>
    </row>
    <row r="413" spans="1:23" ht="18" customHeight="1" x14ac:dyDescent="0.2">
      <c r="A413" s="402" t="s">
        <v>873</v>
      </c>
      <c r="B413" s="403"/>
      <c r="C413" s="404" t="s">
        <v>872</v>
      </c>
      <c r="D413" s="405">
        <v>42559</v>
      </c>
      <c r="E413" s="406"/>
      <c r="F413" s="325"/>
      <c r="G413" s="324"/>
      <c r="H413" s="324">
        <v>20581.010000000002</v>
      </c>
      <c r="I413" s="325">
        <v>16214.010000000002</v>
      </c>
      <c r="J413" s="325"/>
      <c r="K413" s="325">
        <f t="shared" si="78"/>
        <v>0</v>
      </c>
      <c r="L413" s="325">
        <f t="shared" si="79"/>
        <v>0</v>
      </c>
      <c r="M413" s="407">
        <v>6.67</v>
      </c>
      <c r="N413" s="408" t="s">
        <v>289</v>
      </c>
      <c r="O413" s="325">
        <f t="shared" si="82"/>
        <v>0</v>
      </c>
      <c r="P413" s="325">
        <f t="shared" si="83"/>
        <v>0</v>
      </c>
      <c r="Q413" s="325">
        <f t="shared" si="84"/>
        <v>0</v>
      </c>
      <c r="R413" s="325">
        <f t="shared" si="85"/>
        <v>540</v>
      </c>
      <c r="S413" s="325">
        <f t="shared" si="86"/>
        <v>0</v>
      </c>
      <c r="T413" s="325">
        <f t="shared" si="87"/>
        <v>540</v>
      </c>
      <c r="U413" s="409">
        <f t="shared" si="80"/>
        <v>15674.010000000002</v>
      </c>
      <c r="V413" s="325">
        <f t="shared" si="81"/>
        <v>0</v>
      </c>
      <c r="W413" s="449" cm="1">
        <f t="array" ref="W413">+IF(U413&lt;0,error,0)</f>
        <v>0</v>
      </c>
    </row>
    <row r="414" spans="1:23" ht="18" customHeight="1" x14ac:dyDescent="0.2">
      <c r="A414" s="402" t="s">
        <v>874</v>
      </c>
      <c r="B414" s="403"/>
      <c r="C414" s="404" t="s">
        <v>872</v>
      </c>
      <c r="D414" s="405">
        <v>42559</v>
      </c>
      <c r="E414" s="406"/>
      <c r="F414" s="325"/>
      <c r="G414" s="324"/>
      <c r="H414" s="324">
        <v>20581.010000000002</v>
      </c>
      <c r="I414" s="325">
        <v>16214.010000000002</v>
      </c>
      <c r="J414" s="325"/>
      <c r="K414" s="325">
        <f t="shared" si="78"/>
        <v>0</v>
      </c>
      <c r="L414" s="325">
        <f t="shared" si="79"/>
        <v>0</v>
      </c>
      <c r="M414" s="407">
        <v>6.67</v>
      </c>
      <c r="N414" s="408" t="s">
        <v>289</v>
      </c>
      <c r="O414" s="325">
        <f t="shared" si="82"/>
        <v>0</v>
      </c>
      <c r="P414" s="325">
        <f t="shared" si="83"/>
        <v>0</v>
      </c>
      <c r="Q414" s="325">
        <f t="shared" si="84"/>
        <v>0</v>
      </c>
      <c r="R414" s="325">
        <f t="shared" si="85"/>
        <v>540</v>
      </c>
      <c r="S414" s="325">
        <f t="shared" si="86"/>
        <v>0</v>
      </c>
      <c r="T414" s="325">
        <f t="shared" si="87"/>
        <v>540</v>
      </c>
      <c r="U414" s="409">
        <f t="shared" si="80"/>
        <v>15674.010000000002</v>
      </c>
      <c r="V414" s="325">
        <f t="shared" si="81"/>
        <v>0</v>
      </c>
      <c r="W414" s="449" cm="1">
        <f t="array" ref="W414">+IF(U414&lt;0,error,0)</f>
        <v>0</v>
      </c>
    </row>
    <row r="415" spans="1:23" ht="18" customHeight="1" x14ac:dyDescent="0.2">
      <c r="A415" s="402" t="s">
        <v>875</v>
      </c>
      <c r="B415" s="403"/>
      <c r="C415" s="404" t="s">
        <v>872</v>
      </c>
      <c r="D415" s="405">
        <v>42559</v>
      </c>
      <c r="E415" s="406"/>
      <c r="F415" s="325"/>
      <c r="G415" s="324"/>
      <c r="H415" s="324">
        <v>20581.010000000002</v>
      </c>
      <c r="I415" s="325">
        <v>16214.010000000002</v>
      </c>
      <c r="J415" s="325"/>
      <c r="K415" s="325">
        <f t="shared" si="78"/>
        <v>0</v>
      </c>
      <c r="L415" s="325">
        <f t="shared" si="79"/>
        <v>0</v>
      </c>
      <c r="M415" s="407">
        <v>6.67</v>
      </c>
      <c r="N415" s="408" t="s">
        <v>289</v>
      </c>
      <c r="O415" s="325">
        <f t="shared" si="82"/>
        <v>0</v>
      </c>
      <c r="P415" s="325">
        <f t="shared" si="83"/>
        <v>0</v>
      </c>
      <c r="Q415" s="325">
        <f t="shared" si="84"/>
        <v>0</v>
      </c>
      <c r="R415" s="325">
        <f t="shared" si="85"/>
        <v>540</v>
      </c>
      <c r="S415" s="325">
        <f t="shared" si="86"/>
        <v>0</v>
      </c>
      <c r="T415" s="325">
        <f t="shared" si="87"/>
        <v>540</v>
      </c>
      <c r="U415" s="409">
        <f t="shared" si="80"/>
        <v>15674.010000000002</v>
      </c>
      <c r="V415" s="325">
        <f t="shared" si="81"/>
        <v>0</v>
      </c>
      <c r="W415" s="449" cm="1">
        <f t="array" ref="W415">+IF(U415&lt;0,error,0)</f>
        <v>0</v>
      </c>
    </row>
    <row r="416" spans="1:23" ht="18" customHeight="1" x14ac:dyDescent="0.2">
      <c r="A416" s="402" t="s">
        <v>876</v>
      </c>
      <c r="B416" s="403"/>
      <c r="C416" s="404" t="s">
        <v>872</v>
      </c>
      <c r="D416" s="405">
        <v>42559</v>
      </c>
      <c r="E416" s="406"/>
      <c r="F416" s="325"/>
      <c r="G416" s="324"/>
      <c r="H416" s="324">
        <v>20581.010000000002</v>
      </c>
      <c r="I416" s="325">
        <v>16214.010000000002</v>
      </c>
      <c r="J416" s="325"/>
      <c r="K416" s="325">
        <f t="shared" si="78"/>
        <v>0</v>
      </c>
      <c r="L416" s="325">
        <f t="shared" si="79"/>
        <v>0</v>
      </c>
      <c r="M416" s="407">
        <v>6.67</v>
      </c>
      <c r="N416" s="408" t="s">
        <v>289</v>
      </c>
      <c r="O416" s="325">
        <f t="shared" si="82"/>
        <v>0</v>
      </c>
      <c r="P416" s="325">
        <f t="shared" si="83"/>
        <v>0</v>
      </c>
      <c r="Q416" s="325">
        <f t="shared" si="84"/>
        <v>0</v>
      </c>
      <c r="R416" s="325">
        <f t="shared" si="85"/>
        <v>540</v>
      </c>
      <c r="S416" s="325">
        <f t="shared" si="86"/>
        <v>0</v>
      </c>
      <c r="T416" s="325">
        <f t="shared" si="87"/>
        <v>540</v>
      </c>
      <c r="U416" s="409">
        <f t="shared" si="80"/>
        <v>15674.010000000002</v>
      </c>
      <c r="V416" s="325">
        <f t="shared" si="81"/>
        <v>0</v>
      </c>
      <c r="W416" s="449" cm="1">
        <f t="array" ref="W416">+IF(U416&lt;0,error,0)</f>
        <v>0</v>
      </c>
    </row>
    <row r="417" spans="1:23" ht="18" customHeight="1" x14ac:dyDescent="0.2">
      <c r="A417" s="402" t="s">
        <v>877</v>
      </c>
      <c r="B417" s="403"/>
      <c r="C417" s="404" t="s">
        <v>872</v>
      </c>
      <c r="D417" s="405">
        <v>42559</v>
      </c>
      <c r="E417" s="406"/>
      <c r="F417" s="325"/>
      <c r="G417" s="324"/>
      <c r="H417" s="324">
        <v>20581.010000000002</v>
      </c>
      <c r="I417" s="325">
        <v>16214.010000000002</v>
      </c>
      <c r="J417" s="325"/>
      <c r="K417" s="325">
        <f t="shared" si="78"/>
        <v>0</v>
      </c>
      <c r="L417" s="325">
        <f t="shared" si="79"/>
        <v>0</v>
      </c>
      <c r="M417" s="407">
        <v>6.67</v>
      </c>
      <c r="N417" s="408" t="s">
        <v>289</v>
      </c>
      <c r="O417" s="325">
        <f t="shared" si="82"/>
        <v>0</v>
      </c>
      <c r="P417" s="325">
        <f t="shared" si="83"/>
        <v>0</v>
      </c>
      <c r="Q417" s="325">
        <f t="shared" si="84"/>
        <v>0</v>
      </c>
      <c r="R417" s="325">
        <f t="shared" si="85"/>
        <v>540</v>
      </c>
      <c r="S417" s="325">
        <f t="shared" si="86"/>
        <v>0</v>
      </c>
      <c r="T417" s="325">
        <f t="shared" si="87"/>
        <v>540</v>
      </c>
      <c r="U417" s="409">
        <f t="shared" si="80"/>
        <v>15674.010000000002</v>
      </c>
      <c r="V417" s="325">
        <f t="shared" si="81"/>
        <v>0</v>
      </c>
      <c r="W417" s="449" cm="1">
        <f t="array" ref="W417">+IF(U417&lt;0,error,0)</f>
        <v>0</v>
      </c>
    </row>
    <row r="418" spans="1:23" ht="18" customHeight="1" x14ac:dyDescent="0.2">
      <c r="A418" s="402" t="s">
        <v>878</v>
      </c>
      <c r="B418" s="403"/>
      <c r="C418" s="404" t="s">
        <v>872</v>
      </c>
      <c r="D418" s="405">
        <v>42559</v>
      </c>
      <c r="E418" s="406"/>
      <c r="F418" s="325"/>
      <c r="G418" s="324"/>
      <c r="H418" s="324">
        <v>20581.010000000002</v>
      </c>
      <c r="I418" s="325">
        <v>16214.010000000002</v>
      </c>
      <c r="J418" s="325"/>
      <c r="K418" s="325">
        <f t="shared" si="78"/>
        <v>0</v>
      </c>
      <c r="L418" s="325">
        <f t="shared" si="79"/>
        <v>0</v>
      </c>
      <c r="M418" s="407">
        <v>6.67</v>
      </c>
      <c r="N418" s="408" t="s">
        <v>289</v>
      </c>
      <c r="O418" s="325">
        <f t="shared" si="82"/>
        <v>0</v>
      </c>
      <c r="P418" s="325">
        <f t="shared" si="83"/>
        <v>0</v>
      </c>
      <c r="Q418" s="325">
        <f t="shared" si="84"/>
        <v>0</v>
      </c>
      <c r="R418" s="325">
        <f t="shared" si="85"/>
        <v>540</v>
      </c>
      <c r="S418" s="325">
        <f t="shared" si="86"/>
        <v>0</v>
      </c>
      <c r="T418" s="325">
        <f t="shared" si="87"/>
        <v>540</v>
      </c>
      <c r="U418" s="409">
        <f t="shared" si="80"/>
        <v>15674.010000000002</v>
      </c>
      <c r="V418" s="325">
        <f t="shared" si="81"/>
        <v>0</v>
      </c>
      <c r="W418" s="449" cm="1">
        <f t="array" ref="W418">+IF(U418&lt;0,error,0)</f>
        <v>0</v>
      </c>
    </row>
    <row r="419" spans="1:23" ht="18" customHeight="1" x14ac:dyDescent="0.2">
      <c r="A419" s="402" t="s">
        <v>879</v>
      </c>
      <c r="B419" s="403"/>
      <c r="C419" s="404" t="s">
        <v>872</v>
      </c>
      <c r="D419" s="405">
        <v>42559</v>
      </c>
      <c r="E419" s="406"/>
      <c r="F419" s="325"/>
      <c r="G419" s="324"/>
      <c r="H419" s="324">
        <v>20581.010000000002</v>
      </c>
      <c r="I419" s="325">
        <v>16214.010000000002</v>
      </c>
      <c r="J419" s="325"/>
      <c r="K419" s="325">
        <f t="shared" si="78"/>
        <v>0</v>
      </c>
      <c r="L419" s="325">
        <f t="shared" si="79"/>
        <v>0</v>
      </c>
      <c r="M419" s="407">
        <v>6.67</v>
      </c>
      <c r="N419" s="408" t="s">
        <v>289</v>
      </c>
      <c r="O419" s="325">
        <f t="shared" si="82"/>
        <v>0</v>
      </c>
      <c r="P419" s="325">
        <f t="shared" si="83"/>
        <v>0</v>
      </c>
      <c r="Q419" s="325">
        <f t="shared" si="84"/>
        <v>0</v>
      </c>
      <c r="R419" s="325">
        <f t="shared" si="85"/>
        <v>540</v>
      </c>
      <c r="S419" s="325">
        <f t="shared" si="86"/>
        <v>0</v>
      </c>
      <c r="T419" s="325">
        <f t="shared" si="87"/>
        <v>540</v>
      </c>
      <c r="U419" s="409">
        <f t="shared" si="80"/>
        <v>15674.010000000002</v>
      </c>
      <c r="V419" s="325">
        <f t="shared" si="81"/>
        <v>0</v>
      </c>
      <c r="W419" s="449" cm="1">
        <f t="array" ref="W419">+IF(U419&lt;0,error,0)</f>
        <v>0</v>
      </c>
    </row>
    <row r="420" spans="1:23" ht="18" customHeight="1" x14ac:dyDescent="0.2">
      <c r="A420" s="402" t="s">
        <v>880</v>
      </c>
      <c r="B420" s="403"/>
      <c r="C420" s="404" t="s">
        <v>872</v>
      </c>
      <c r="D420" s="405">
        <v>42559</v>
      </c>
      <c r="E420" s="406"/>
      <c r="F420" s="325"/>
      <c r="G420" s="324"/>
      <c r="H420" s="324">
        <v>20581.010000000002</v>
      </c>
      <c r="I420" s="325">
        <v>16214.010000000002</v>
      </c>
      <c r="J420" s="325"/>
      <c r="K420" s="325">
        <f t="shared" si="78"/>
        <v>0</v>
      </c>
      <c r="L420" s="325">
        <f t="shared" si="79"/>
        <v>0</v>
      </c>
      <c r="M420" s="407">
        <v>6.67</v>
      </c>
      <c r="N420" s="408" t="s">
        <v>289</v>
      </c>
      <c r="O420" s="325">
        <f t="shared" si="82"/>
        <v>0</v>
      </c>
      <c r="P420" s="325">
        <f t="shared" si="83"/>
        <v>0</v>
      </c>
      <c r="Q420" s="325">
        <f t="shared" si="84"/>
        <v>0</v>
      </c>
      <c r="R420" s="325">
        <f t="shared" si="85"/>
        <v>540</v>
      </c>
      <c r="S420" s="325">
        <f t="shared" si="86"/>
        <v>0</v>
      </c>
      <c r="T420" s="325">
        <f t="shared" si="87"/>
        <v>540</v>
      </c>
      <c r="U420" s="409">
        <f t="shared" si="80"/>
        <v>15674.010000000002</v>
      </c>
      <c r="V420" s="325">
        <f t="shared" si="81"/>
        <v>0</v>
      </c>
      <c r="W420" s="449" cm="1">
        <f t="array" ref="W420">+IF(U420&lt;0,error,0)</f>
        <v>0</v>
      </c>
    </row>
    <row r="421" spans="1:23" ht="18" customHeight="1" x14ac:dyDescent="0.2">
      <c r="A421" s="402" t="s">
        <v>881</v>
      </c>
      <c r="B421" s="403"/>
      <c r="C421" s="404" t="s">
        <v>872</v>
      </c>
      <c r="D421" s="405">
        <v>42559</v>
      </c>
      <c r="E421" s="406"/>
      <c r="F421" s="325"/>
      <c r="G421" s="324"/>
      <c r="H421" s="324">
        <v>20581.03</v>
      </c>
      <c r="I421" s="325">
        <v>16214.029999999999</v>
      </c>
      <c r="J421" s="325"/>
      <c r="K421" s="325">
        <f t="shared" si="78"/>
        <v>0</v>
      </c>
      <c r="L421" s="325">
        <f t="shared" si="79"/>
        <v>0</v>
      </c>
      <c r="M421" s="407">
        <v>6.67</v>
      </c>
      <c r="N421" s="408" t="s">
        <v>289</v>
      </c>
      <c r="O421" s="325">
        <f t="shared" si="82"/>
        <v>0</v>
      </c>
      <c r="P421" s="325">
        <f t="shared" si="83"/>
        <v>0</v>
      </c>
      <c r="Q421" s="325">
        <f t="shared" si="84"/>
        <v>0</v>
      </c>
      <c r="R421" s="325">
        <f t="shared" si="85"/>
        <v>540</v>
      </c>
      <c r="S421" s="325">
        <f t="shared" si="86"/>
        <v>0</v>
      </c>
      <c r="T421" s="325">
        <f t="shared" si="87"/>
        <v>540</v>
      </c>
      <c r="U421" s="409">
        <f t="shared" si="80"/>
        <v>15674.029999999999</v>
      </c>
      <c r="V421" s="325">
        <f t="shared" si="81"/>
        <v>0</v>
      </c>
      <c r="W421" s="449" cm="1">
        <f t="array" ref="W421">+IF(U421&lt;0,error,0)</f>
        <v>0</v>
      </c>
    </row>
    <row r="422" spans="1:23" ht="18" customHeight="1" x14ac:dyDescent="0.2">
      <c r="A422" s="402" t="s">
        <v>882</v>
      </c>
      <c r="B422" s="403"/>
      <c r="C422" s="404" t="s">
        <v>872</v>
      </c>
      <c r="D422" s="405">
        <v>42559</v>
      </c>
      <c r="E422" s="406"/>
      <c r="F422" s="325"/>
      <c r="G422" s="324"/>
      <c r="H422" s="324">
        <v>16011.01</v>
      </c>
      <c r="I422" s="325">
        <v>12613.01</v>
      </c>
      <c r="J422" s="325"/>
      <c r="K422" s="325">
        <f t="shared" si="78"/>
        <v>0</v>
      </c>
      <c r="L422" s="325">
        <f t="shared" si="79"/>
        <v>0</v>
      </c>
      <c r="M422" s="407">
        <v>6.67</v>
      </c>
      <c r="N422" s="408" t="s">
        <v>289</v>
      </c>
      <c r="O422" s="325">
        <f t="shared" si="82"/>
        <v>0</v>
      </c>
      <c r="P422" s="325">
        <f t="shared" si="83"/>
        <v>0</v>
      </c>
      <c r="Q422" s="325">
        <f t="shared" si="84"/>
        <v>0</v>
      </c>
      <c r="R422" s="325">
        <f t="shared" si="85"/>
        <v>420</v>
      </c>
      <c r="S422" s="325">
        <f t="shared" si="86"/>
        <v>0</v>
      </c>
      <c r="T422" s="325">
        <f t="shared" si="87"/>
        <v>420</v>
      </c>
      <c r="U422" s="409">
        <f t="shared" si="80"/>
        <v>12193.01</v>
      </c>
      <c r="V422" s="325">
        <f t="shared" si="81"/>
        <v>0</v>
      </c>
      <c r="W422" s="449" cm="1">
        <f t="array" ref="W422">+IF(U422&lt;0,error,0)</f>
        <v>0</v>
      </c>
    </row>
    <row r="423" spans="1:23" ht="18" customHeight="1" x14ac:dyDescent="0.2">
      <c r="A423" s="402" t="s">
        <v>883</v>
      </c>
      <c r="B423" s="403"/>
      <c r="C423" s="404" t="s">
        <v>872</v>
      </c>
      <c r="D423" s="405">
        <v>42559</v>
      </c>
      <c r="E423" s="406"/>
      <c r="F423" s="325"/>
      <c r="G423" s="324"/>
      <c r="H423" s="324">
        <v>16011.01</v>
      </c>
      <c r="I423" s="325">
        <v>12613.01</v>
      </c>
      <c r="J423" s="325"/>
      <c r="K423" s="325">
        <f t="shared" si="78"/>
        <v>0</v>
      </c>
      <c r="L423" s="325">
        <f t="shared" si="79"/>
        <v>0</v>
      </c>
      <c r="M423" s="407">
        <v>6.67</v>
      </c>
      <c r="N423" s="408" t="s">
        <v>289</v>
      </c>
      <c r="O423" s="325">
        <f t="shared" si="82"/>
        <v>0</v>
      </c>
      <c r="P423" s="325">
        <f t="shared" si="83"/>
        <v>0</v>
      </c>
      <c r="Q423" s="325">
        <f t="shared" si="84"/>
        <v>0</v>
      </c>
      <c r="R423" s="325">
        <f t="shared" si="85"/>
        <v>420</v>
      </c>
      <c r="S423" s="325">
        <f t="shared" si="86"/>
        <v>0</v>
      </c>
      <c r="T423" s="325">
        <f t="shared" si="87"/>
        <v>420</v>
      </c>
      <c r="U423" s="409">
        <f t="shared" si="80"/>
        <v>12193.01</v>
      </c>
      <c r="V423" s="325">
        <f t="shared" si="81"/>
        <v>0</v>
      </c>
      <c r="W423" s="449" cm="1">
        <f t="array" ref="W423">+IF(U423&lt;0,error,0)</f>
        <v>0</v>
      </c>
    </row>
    <row r="424" spans="1:23" ht="18" customHeight="1" x14ac:dyDescent="0.2">
      <c r="A424" s="402" t="s">
        <v>884</v>
      </c>
      <c r="B424" s="403"/>
      <c r="C424" s="404" t="s">
        <v>872</v>
      </c>
      <c r="D424" s="405">
        <v>42559</v>
      </c>
      <c r="E424" s="406"/>
      <c r="F424" s="325"/>
      <c r="G424" s="324"/>
      <c r="H424" s="324">
        <v>16011.01</v>
      </c>
      <c r="I424" s="325">
        <v>12613.01</v>
      </c>
      <c r="J424" s="325"/>
      <c r="K424" s="325">
        <f t="shared" si="78"/>
        <v>0</v>
      </c>
      <c r="L424" s="325">
        <f t="shared" si="79"/>
        <v>0</v>
      </c>
      <c r="M424" s="407">
        <v>6.67</v>
      </c>
      <c r="N424" s="408" t="s">
        <v>289</v>
      </c>
      <c r="O424" s="325">
        <f t="shared" si="82"/>
        <v>0</v>
      </c>
      <c r="P424" s="325">
        <f t="shared" si="83"/>
        <v>0</v>
      </c>
      <c r="Q424" s="325">
        <f t="shared" si="84"/>
        <v>0</v>
      </c>
      <c r="R424" s="325">
        <f t="shared" si="85"/>
        <v>420</v>
      </c>
      <c r="S424" s="325">
        <f t="shared" si="86"/>
        <v>0</v>
      </c>
      <c r="T424" s="325">
        <f t="shared" si="87"/>
        <v>420</v>
      </c>
      <c r="U424" s="409">
        <f t="shared" si="80"/>
        <v>12193.01</v>
      </c>
      <c r="V424" s="325">
        <f t="shared" si="81"/>
        <v>0</v>
      </c>
      <c r="W424" s="449" cm="1">
        <f t="array" ref="W424">+IF(U424&lt;0,error,0)</f>
        <v>0</v>
      </c>
    </row>
    <row r="425" spans="1:23" ht="18" customHeight="1" x14ac:dyDescent="0.2">
      <c r="A425" s="402" t="s">
        <v>885</v>
      </c>
      <c r="B425" s="403"/>
      <c r="C425" s="404" t="s">
        <v>872</v>
      </c>
      <c r="D425" s="405">
        <v>42559</v>
      </c>
      <c r="E425" s="406"/>
      <c r="F425" s="325"/>
      <c r="G425" s="324"/>
      <c r="H425" s="324">
        <v>16011.01</v>
      </c>
      <c r="I425" s="325">
        <v>12613.01</v>
      </c>
      <c r="J425" s="325"/>
      <c r="K425" s="325">
        <f t="shared" si="78"/>
        <v>0</v>
      </c>
      <c r="L425" s="325">
        <f t="shared" si="79"/>
        <v>0</v>
      </c>
      <c r="M425" s="407">
        <v>6.67</v>
      </c>
      <c r="N425" s="408" t="s">
        <v>289</v>
      </c>
      <c r="O425" s="325">
        <f t="shared" si="82"/>
        <v>0</v>
      </c>
      <c r="P425" s="325">
        <f t="shared" si="83"/>
        <v>0</v>
      </c>
      <c r="Q425" s="325">
        <f t="shared" si="84"/>
        <v>0</v>
      </c>
      <c r="R425" s="325">
        <f t="shared" si="85"/>
        <v>420</v>
      </c>
      <c r="S425" s="325">
        <f t="shared" si="86"/>
        <v>0</v>
      </c>
      <c r="T425" s="325">
        <f t="shared" si="87"/>
        <v>420</v>
      </c>
      <c r="U425" s="409">
        <f t="shared" si="80"/>
        <v>12193.01</v>
      </c>
      <c r="V425" s="325">
        <f t="shared" si="81"/>
        <v>0</v>
      </c>
      <c r="W425" s="449" cm="1">
        <f t="array" ref="W425">+IF(U425&lt;0,error,0)</f>
        <v>0</v>
      </c>
    </row>
    <row r="426" spans="1:23" ht="18" customHeight="1" x14ac:dyDescent="0.2">
      <c r="A426" s="402" t="s">
        <v>886</v>
      </c>
      <c r="B426" s="403"/>
      <c r="C426" s="404" t="s">
        <v>872</v>
      </c>
      <c r="D426" s="405">
        <v>42559</v>
      </c>
      <c r="E426" s="406"/>
      <c r="F426" s="325"/>
      <c r="G426" s="324"/>
      <c r="H426" s="324">
        <v>16011.01</v>
      </c>
      <c r="I426" s="325">
        <v>12613.01</v>
      </c>
      <c r="J426" s="325"/>
      <c r="K426" s="325">
        <f t="shared" si="78"/>
        <v>0</v>
      </c>
      <c r="L426" s="325">
        <f t="shared" si="79"/>
        <v>0</v>
      </c>
      <c r="M426" s="407">
        <v>6.67</v>
      </c>
      <c r="N426" s="408" t="s">
        <v>289</v>
      </c>
      <c r="O426" s="325">
        <f t="shared" si="82"/>
        <v>0</v>
      </c>
      <c r="P426" s="325">
        <f t="shared" si="83"/>
        <v>0</v>
      </c>
      <c r="Q426" s="325">
        <f t="shared" si="84"/>
        <v>0</v>
      </c>
      <c r="R426" s="325">
        <f t="shared" si="85"/>
        <v>420</v>
      </c>
      <c r="S426" s="325">
        <f t="shared" si="86"/>
        <v>0</v>
      </c>
      <c r="T426" s="325">
        <f t="shared" si="87"/>
        <v>420</v>
      </c>
      <c r="U426" s="409">
        <f t="shared" si="80"/>
        <v>12193.01</v>
      </c>
      <c r="V426" s="325">
        <f t="shared" si="81"/>
        <v>0</v>
      </c>
      <c r="W426" s="449" cm="1">
        <f t="array" ref="W426">+IF(U426&lt;0,error,0)</f>
        <v>0</v>
      </c>
    </row>
    <row r="427" spans="1:23" ht="18" customHeight="1" x14ac:dyDescent="0.2">
      <c r="A427" s="402" t="s">
        <v>887</v>
      </c>
      <c r="B427" s="403"/>
      <c r="C427" s="404" t="s">
        <v>872</v>
      </c>
      <c r="D427" s="405">
        <v>42559</v>
      </c>
      <c r="E427" s="406"/>
      <c r="F427" s="325"/>
      <c r="G427" s="324"/>
      <c r="H427" s="324">
        <v>16011.01</v>
      </c>
      <c r="I427" s="325">
        <v>12613.01</v>
      </c>
      <c r="J427" s="325"/>
      <c r="K427" s="325">
        <f t="shared" si="78"/>
        <v>0</v>
      </c>
      <c r="L427" s="325">
        <f t="shared" si="79"/>
        <v>0</v>
      </c>
      <c r="M427" s="407">
        <v>6.67</v>
      </c>
      <c r="N427" s="408" t="s">
        <v>289</v>
      </c>
      <c r="O427" s="325">
        <f t="shared" si="82"/>
        <v>0</v>
      </c>
      <c r="P427" s="325">
        <f t="shared" si="83"/>
        <v>0</v>
      </c>
      <c r="Q427" s="325">
        <f t="shared" si="84"/>
        <v>0</v>
      </c>
      <c r="R427" s="325">
        <f t="shared" si="85"/>
        <v>420</v>
      </c>
      <c r="S427" s="325">
        <f t="shared" si="86"/>
        <v>0</v>
      </c>
      <c r="T427" s="325">
        <f t="shared" si="87"/>
        <v>420</v>
      </c>
      <c r="U427" s="409">
        <f t="shared" si="80"/>
        <v>12193.01</v>
      </c>
      <c r="V427" s="325">
        <f t="shared" si="81"/>
        <v>0</v>
      </c>
      <c r="W427" s="449" cm="1">
        <f t="array" ref="W427">+IF(U427&lt;0,error,0)</f>
        <v>0</v>
      </c>
    </row>
    <row r="428" spans="1:23" ht="18" customHeight="1" x14ac:dyDescent="0.2">
      <c r="A428" s="402" t="s">
        <v>888</v>
      </c>
      <c r="B428" s="403"/>
      <c r="C428" s="404" t="s">
        <v>872</v>
      </c>
      <c r="D428" s="405">
        <v>42559</v>
      </c>
      <c r="E428" s="406"/>
      <c r="F428" s="325"/>
      <c r="G428" s="324"/>
      <c r="H428" s="324">
        <v>16011.01</v>
      </c>
      <c r="I428" s="325">
        <v>12613.01</v>
      </c>
      <c r="J428" s="325"/>
      <c r="K428" s="325">
        <f t="shared" si="78"/>
        <v>0</v>
      </c>
      <c r="L428" s="325">
        <f t="shared" si="79"/>
        <v>0</v>
      </c>
      <c r="M428" s="407">
        <v>6.67</v>
      </c>
      <c r="N428" s="408" t="s">
        <v>289</v>
      </c>
      <c r="O428" s="325">
        <f t="shared" si="82"/>
        <v>0</v>
      </c>
      <c r="P428" s="325">
        <f t="shared" si="83"/>
        <v>0</v>
      </c>
      <c r="Q428" s="325">
        <f t="shared" si="84"/>
        <v>0</v>
      </c>
      <c r="R428" s="325">
        <f t="shared" si="85"/>
        <v>420</v>
      </c>
      <c r="S428" s="325">
        <f t="shared" si="86"/>
        <v>0</v>
      </c>
      <c r="T428" s="325">
        <f t="shared" si="87"/>
        <v>420</v>
      </c>
      <c r="U428" s="409">
        <f t="shared" si="80"/>
        <v>12193.01</v>
      </c>
      <c r="V428" s="325">
        <f t="shared" si="81"/>
        <v>0</v>
      </c>
      <c r="W428" s="449" cm="1">
        <f t="array" ref="W428">+IF(U428&lt;0,error,0)</f>
        <v>0</v>
      </c>
    </row>
    <row r="429" spans="1:23" ht="18" customHeight="1" x14ac:dyDescent="0.2">
      <c r="A429" s="402" t="s">
        <v>889</v>
      </c>
      <c r="B429" s="403"/>
      <c r="C429" s="404" t="s">
        <v>872</v>
      </c>
      <c r="D429" s="405">
        <v>42559</v>
      </c>
      <c r="E429" s="406"/>
      <c r="F429" s="325"/>
      <c r="G429" s="324"/>
      <c r="H429" s="324">
        <v>16011.01</v>
      </c>
      <c r="I429" s="325">
        <v>12613.01</v>
      </c>
      <c r="J429" s="325"/>
      <c r="K429" s="325">
        <f t="shared" si="78"/>
        <v>0</v>
      </c>
      <c r="L429" s="325">
        <f t="shared" si="79"/>
        <v>0</v>
      </c>
      <c r="M429" s="407">
        <v>6.67</v>
      </c>
      <c r="N429" s="408" t="s">
        <v>289</v>
      </c>
      <c r="O429" s="325">
        <f t="shared" si="82"/>
        <v>0</v>
      </c>
      <c r="P429" s="325">
        <f t="shared" si="83"/>
        <v>0</v>
      </c>
      <c r="Q429" s="325">
        <f t="shared" si="84"/>
        <v>0</v>
      </c>
      <c r="R429" s="325">
        <f t="shared" si="85"/>
        <v>420</v>
      </c>
      <c r="S429" s="325">
        <f t="shared" si="86"/>
        <v>0</v>
      </c>
      <c r="T429" s="325">
        <f t="shared" si="87"/>
        <v>420</v>
      </c>
      <c r="U429" s="409">
        <f t="shared" si="80"/>
        <v>12193.01</v>
      </c>
      <c r="V429" s="325">
        <f t="shared" si="81"/>
        <v>0</v>
      </c>
      <c r="W429" s="449" cm="1">
        <f t="array" ref="W429">+IF(U429&lt;0,error,0)</f>
        <v>0</v>
      </c>
    </row>
    <row r="430" spans="1:23" ht="18" customHeight="1" x14ac:dyDescent="0.2">
      <c r="A430" s="402" t="s">
        <v>890</v>
      </c>
      <c r="B430" s="403"/>
      <c r="C430" s="404" t="s">
        <v>872</v>
      </c>
      <c r="D430" s="405">
        <v>42559</v>
      </c>
      <c r="E430" s="406"/>
      <c r="F430" s="325"/>
      <c r="G430" s="324"/>
      <c r="H430" s="324">
        <v>16011.01</v>
      </c>
      <c r="I430" s="325">
        <v>12613.01</v>
      </c>
      <c r="J430" s="325"/>
      <c r="K430" s="325">
        <f t="shared" si="78"/>
        <v>0</v>
      </c>
      <c r="L430" s="325">
        <f t="shared" si="79"/>
        <v>0</v>
      </c>
      <c r="M430" s="407">
        <v>6.67</v>
      </c>
      <c r="N430" s="408" t="s">
        <v>289</v>
      </c>
      <c r="O430" s="325">
        <f t="shared" si="82"/>
        <v>0</v>
      </c>
      <c r="P430" s="325">
        <f t="shared" si="83"/>
        <v>0</v>
      </c>
      <c r="Q430" s="325">
        <f t="shared" si="84"/>
        <v>0</v>
      </c>
      <c r="R430" s="325">
        <f t="shared" si="85"/>
        <v>420</v>
      </c>
      <c r="S430" s="325">
        <f t="shared" si="86"/>
        <v>0</v>
      </c>
      <c r="T430" s="325">
        <f t="shared" si="87"/>
        <v>420</v>
      </c>
      <c r="U430" s="409">
        <f t="shared" si="80"/>
        <v>12193.01</v>
      </c>
      <c r="V430" s="325">
        <f t="shared" si="81"/>
        <v>0</v>
      </c>
      <c r="W430" s="449" cm="1">
        <f t="array" ref="W430">+IF(U430&lt;0,error,0)</f>
        <v>0</v>
      </c>
    </row>
    <row r="431" spans="1:23" ht="18" customHeight="1" x14ac:dyDescent="0.2">
      <c r="A431" s="402" t="s">
        <v>891</v>
      </c>
      <c r="B431" s="403"/>
      <c r="C431" s="404" t="s">
        <v>872</v>
      </c>
      <c r="D431" s="405">
        <v>42559</v>
      </c>
      <c r="E431" s="406"/>
      <c r="F431" s="325"/>
      <c r="G431" s="324"/>
      <c r="H431" s="324">
        <v>16011.03</v>
      </c>
      <c r="I431" s="325">
        <v>12613.03</v>
      </c>
      <c r="J431" s="325"/>
      <c r="K431" s="325">
        <f t="shared" si="78"/>
        <v>0</v>
      </c>
      <c r="L431" s="325">
        <f t="shared" si="79"/>
        <v>0</v>
      </c>
      <c r="M431" s="407">
        <v>6.67</v>
      </c>
      <c r="N431" s="408" t="s">
        <v>289</v>
      </c>
      <c r="O431" s="325">
        <f t="shared" si="82"/>
        <v>0</v>
      </c>
      <c r="P431" s="325">
        <f t="shared" si="83"/>
        <v>0</v>
      </c>
      <c r="Q431" s="325">
        <f t="shared" si="84"/>
        <v>0</v>
      </c>
      <c r="R431" s="325">
        <f t="shared" si="85"/>
        <v>420</v>
      </c>
      <c r="S431" s="325">
        <f t="shared" si="86"/>
        <v>0</v>
      </c>
      <c r="T431" s="325">
        <f t="shared" si="87"/>
        <v>420</v>
      </c>
      <c r="U431" s="409">
        <f t="shared" si="80"/>
        <v>12193.03</v>
      </c>
      <c r="V431" s="325">
        <f t="shared" si="81"/>
        <v>0</v>
      </c>
      <c r="W431" s="449" cm="1">
        <f t="array" ref="W431">+IF(U431&lt;0,error,0)</f>
        <v>0</v>
      </c>
    </row>
    <row r="432" spans="1:23" ht="18" customHeight="1" x14ac:dyDescent="0.2">
      <c r="A432" s="402" t="s">
        <v>892</v>
      </c>
      <c r="B432" s="403"/>
      <c r="C432" s="404" t="s">
        <v>893</v>
      </c>
      <c r="D432" s="405">
        <v>42559</v>
      </c>
      <c r="E432" s="406"/>
      <c r="F432" s="325"/>
      <c r="G432" s="324"/>
      <c r="H432" s="324">
        <v>14261.01</v>
      </c>
      <c r="I432" s="325">
        <v>11234.01</v>
      </c>
      <c r="J432" s="325"/>
      <c r="K432" s="325">
        <f t="shared" ref="K432:K495" si="88">INT(IF($E432&gt;0,IF(+F432-I432+Q432&lt;0,0,+F432-I432+Q432),0))</f>
        <v>0</v>
      </c>
      <c r="L432" s="325">
        <f t="shared" ref="L432:L495" si="89">INT(IF($E432&gt;0,IF(K432=0,-F432+I432-Q432,0),0))</f>
        <v>0</v>
      </c>
      <c r="M432" s="407">
        <v>6.67</v>
      </c>
      <c r="N432" s="408" t="s">
        <v>289</v>
      </c>
      <c r="O432" s="325">
        <f t="shared" si="82"/>
        <v>0</v>
      </c>
      <c r="P432" s="325">
        <f t="shared" si="83"/>
        <v>0</v>
      </c>
      <c r="Q432" s="325">
        <f t="shared" si="84"/>
        <v>0</v>
      </c>
      <c r="R432" s="325">
        <f t="shared" si="85"/>
        <v>374</v>
      </c>
      <c r="S432" s="325">
        <f t="shared" si="86"/>
        <v>0</v>
      </c>
      <c r="T432" s="325">
        <f t="shared" si="87"/>
        <v>374</v>
      </c>
      <c r="U432" s="409">
        <f t="shared" ref="U432:U495" si="90">+I432+J432-T432-F432+K432-L432</f>
        <v>10860.01</v>
      </c>
      <c r="V432" s="325">
        <f t="shared" ref="V432:V495" si="91">IF(E432&gt;0,+H432+J432,0)</f>
        <v>0</v>
      </c>
      <c r="W432" s="449" cm="1">
        <f t="array" ref="W432">+IF(U432&lt;0,error,0)</f>
        <v>0</v>
      </c>
    </row>
    <row r="433" spans="1:23" ht="18" customHeight="1" x14ac:dyDescent="0.2">
      <c r="A433" s="402" t="s">
        <v>894</v>
      </c>
      <c r="B433" s="403"/>
      <c r="C433" s="404" t="s">
        <v>895</v>
      </c>
      <c r="D433" s="405">
        <v>42634</v>
      </c>
      <c r="E433" s="406"/>
      <c r="F433" s="325"/>
      <c r="G433" s="324"/>
      <c r="H433" s="324">
        <v>7161.01</v>
      </c>
      <c r="I433" s="325">
        <v>4524.01</v>
      </c>
      <c r="J433" s="325"/>
      <c r="K433" s="325">
        <f t="shared" si="88"/>
        <v>0</v>
      </c>
      <c r="L433" s="325">
        <f t="shared" si="89"/>
        <v>0</v>
      </c>
      <c r="M433" s="407">
        <v>13.33</v>
      </c>
      <c r="N433" s="408" t="s">
        <v>289</v>
      </c>
      <c r="O433" s="325">
        <f t="shared" ref="O433:O496" si="92">IF(E433&gt;0,INT(IF($N433="D",IF($D433&lt;$H$3,$I433*($M433/100)*((E433-$H$3)/365),$J433*($M433/100)*($J$3-$D433)/365),0)),0)</f>
        <v>0</v>
      </c>
      <c r="P433" s="325">
        <f t="shared" ref="P433:P496" si="93">IF(E433&gt;0,INT(IF($N433="P",IF($D433&lt;$H$3,$H433*($M433/100)*(E433-$H$3)/365,$J433*($M433/100)*($J$3-$D433)/365),0)),0)</f>
        <v>0</v>
      </c>
      <c r="Q433" s="325">
        <f t="shared" ref="Q433:Q496" si="94">+O433+P433</f>
        <v>0</v>
      </c>
      <c r="R433" s="325">
        <f t="shared" ref="R433:R496" si="95">INT(IF($E433&gt;0,0,(IF($N433="D",IF($D433&lt;$H$3,$I433*($M433/100)*$U$3/12,$J433*($M433/100)*($J$3-$D433)/365),0))))</f>
        <v>301</v>
      </c>
      <c r="S433" s="325">
        <f t="shared" ref="S433:S496" si="96">INT(IF($E433&gt;0,0,(IF($N433="P",IF($D433&lt;$H$3,$H433*($M433/100)*$U$3/12,$J433*($M433/100)*($J$3-$D433)/365),0))))</f>
        <v>0</v>
      </c>
      <c r="T433" s="325">
        <f t="shared" si="87"/>
        <v>301</v>
      </c>
      <c r="U433" s="409">
        <f t="shared" si="90"/>
        <v>4223.01</v>
      </c>
      <c r="V433" s="325">
        <f t="shared" si="91"/>
        <v>0</v>
      </c>
      <c r="W433" s="449" cm="1">
        <f t="array" ref="W433">+IF(U433&lt;0,error,0)</f>
        <v>0</v>
      </c>
    </row>
    <row r="434" spans="1:23" ht="18" customHeight="1" x14ac:dyDescent="0.2">
      <c r="A434" s="402" t="s">
        <v>896</v>
      </c>
      <c r="B434" s="403"/>
      <c r="C434" s="404" t="s">
        <v>897</v>
      </c>
      <c r="D434" s="405">
        <v>42782</v>
      </c>
      <c r="E434" s="406"/>
      <c r="F434" s="325"/>
      <c r="G434" s="324"/>
      <c r="H434" s="324">
        <v>4493.01</v>
      </c>
      <c r="I434" s="325">
        <v>3695.01</v>
      </c>
      <c r="J434" s="325"/>
      <c r="K434" s="325">
        <f t="shared" si="88"/>
        <v>0</v>
      </c>
      <c r="L434" s="325">
        <f t="shared" si="89"/>
        <v>0</v>
      </c>
      <c r="M434" s="407">
        <v>6.67</v>
      </c>
      <c r="N434" s="408" t="s">
        <v>289</v>
      </c>
      <c r="O434" s="325">
        <f t="shared" si="92"/>
        <v>0</v>
      </c>
      <c r="P434" s="325">
        <f t="shared" si="93"/>
        <v>0</v>
      </c>
      <c r="Q434" s="325">
        <f t="shared" si="94"/>
        <v>0</v>
      </c>
      <c r="R434" s="325">
        <f t="shared" si="95"/>
        <v>123</v>
      </c>
      <c r="S434" s="325">
        <f t="shared" si="96"/>
        <v>0</v>
      </c>
      <c r="T434" s="325">
        <f t="shared" si="87"/>
        <v>123</v>
      </c>
      <c r="U434" s="409">
        <f t="shared" si="90"/>
        <v>3572.01</v>
      </c>
      <c r="V434" s="325">
        <f t="shared" si="91"/>
        <v>0</v>
      </c>
      <c r="W434" s="449" cm="1">
        <f t="array" ref="W434">+IF(U434&lt;0,error,0)</f>
        <v>0</v>
      </c>
    </row>
    <row r="435" spans="1:23" ht="18" customHeight="1" x14ac:dyDescent="0.2">
      <c r="A435" s="402" t="s">
        <v>898</v>
      </c>
      <c r="B435" s="403"/>
      <c r="C435" s="404" t="s">
        <v>899</v>
      </c>
      <c r="D435" s="405">
        <v>42782</v>
      </c>
      <c r="E435" s="406"/>
      <c r="F435" s="325"/>
      <c r="G435" s="324"/>
      <c r="H435" s="324">
        <v>10161.01</v>
      </c>
      <c r="I435" s="325">
        <v>6805.01</v>
      </c>
      <c r="J435" s="325"/>
      <c r="K435" s="325">
        <f t="shared" si="88"/>
        <v>0</v>
      </c>
      <c r="L435" s="325">
        <f t="shared" si="89"/>
        <v>0</v>
      </c>
      <c r="M435" s="407">
        <v>13.33</v>
      </c>
      <c r="N435" s="408" t="s">
        <v>289</v>
      </c>
      <c r="O435" s="325">
        <f t="shared" si="92"/>
        <v>0</v>
      </c>
      <c r="P435" s="325">
        <f t="shared" si="93"/>
        <v>0</v>
      </c>
      <c r="Q435" s="325">
        <f t="shared" si="94"/>
        <v>0</v>
      </c>
      <c r="R435" s="325">
        <f t="shared" si="95"/>
        <v>453</v>
      </c>
      <c r="S435" s="325">
        <f t="shared" si="96"/>
        <v>0</v>
      </c>
      <c r="T435" s="325">
        <f t="shared" si="87"/>
        <v>453</v>
      </c>
      <c r="U435" s="409">
        <f t="shared" si="90"/>
        <v>6352.01</v>
      </c>
      <c r="V435" s="325">
        <f t="shared" si="91"/>
        <v>0</v>
      </c>
      <c r="W435" s="449" cm="1">
        <f t="array" ref="W435">+IF(U435&lt;0,error,0)</f>
        <v>0</v>
      </c>
    </row>
    <row r="436" spans="1:23" ht="18" customHeight="1" x14ac:dyDescent="0.2">
      <c r="A436" s="402" t="s">
        <v>900</v>
      </c>
      <c r="B436" s="403"/>
      <c r="C436" s="404" t="s">
        <v>899</v>
      </c>
      <c r="D436" s="405">
        <v>42782</v>
      </c>
      <c r="E436" s="406"/>
      <c r="F436" s="325"/>
      <c r="G436" s="324"/>
      <c r="H436" s="324">
        <v>10161.01</v>
      </c>
      <c r="I436" s="325">
        <v>6805.01</v>
      </c>
      <c r="J436" s="325"/>
      <c r="K436" s="325">
        <f t="shared" si="88"/>
        <v>0</v>
      </c>
      <c r="L436" s="325">
        <f t="shared" si="89"/>
        <v>0</v>
      </c>
      <c r="M436" s="407">
        <v>13.33</v>
      </c>
      <c r="N436" s="408" t="s">
        <v>289</v>
      </c>
      <c r="O436" s="325">
        <f t="shared" si="92"/>
        <v>0</v>
      </c>
      <c r="P436" s="325">
        <f t="shared" si="93"/>
        <v>0</v>
      </c>
      <c r="Q436" s="325">
        <f t="shared" si="94"/>
        <v>0</v>
      </c>
      <c r="R436" s="325">
        <f t="shared" si="95"/>
        <v>453</v>
      </c>
      <c r="S436" s="325">
        <f t="shared" si="96"/>
        <v>0</v>
      </c>
      <c r="T436" s="325">
        <f t="shared" si="87"/>
        <v>453</v>
      </c>
      <c r="U436" s="409">
        <f t="shared" si="90"/>
        <v>6352.01</v>
      </c>
      <c r="V436" s="325">
        <f t="shared" si="91"/>
        <v>0</v>
      </c>
      <c r="W436" s="449" cm="1">
        <f t="array" ref="W436">+IF(U436&lt;0,error,0)</f>
        <v>0</v>
      </c>
    </row>
    <row r="437" spans="1:23" ht="18" customHeight="1" x14ac:dyDescent="0.2">
      <c r="A437" s="402" t="s">
        <v>901</v>
      </c>
      <c r="B437" s="403"/>
      <c r="C437" s="404" t="s">
        <v>899</v>
      </c>
      <c r="D437" s="405">
        <v>42782</v>
      </c>
      <c r="E437" s="406"/>
      <c r="F437" s="325"/>
      <c r="G437" s="324"/>
      <c r="H437" s="324">
        <v>10161.02</v>
      </c>
      <c r="I437" s="325">
        <v>6805.02</v>
      </c>
      <c r="J437" s="325"/>
      <c r="K437" s="325">
        <f t="shared" si="88"/>
        <v>0</v>
      </c>
      <c r="L437" s="325">
        <f t="shared" si="89"/>
        <v>0</v>
      </c>
      <c r="M437" s="407">
        <v>13.33</v>
      </c>
      <c r="N437" s="408" t="s">
        <v>289</v>
      </c>
      <c r="O437" s="325">
        <f t="shared" si="92"/>
        <v>0</v>
      </c>
      <c r="P437" s="325">
        <f t="shared" si="93"/>
        <v>0</v>
      </c>
      <c r="Q437" s="325">
        <f t="shared" si="94"/>
        <v>0</v>
      </c>
      <c r="R437" s="325">
        <f t="shared" si="95"/>
        <v>453</v>
      </c>
      <c r="S437" s="325">
        <f t="shared" si="96"/>
        <v>0</v>
      </c>
      <c r="T437" s="325">
        <f t="shared" si="87"/>
        <v>453</v>
      </c>
      <c r="U437" s="409">
        <f t="shared" si="90"/>
        <v>6352.02</v>
      </c>
      <c r="V437" s="325">
        <f t="shared" si="91"/>
        <v>0</v>
      </c>
      <c r="W437" s="449" cm="1">
        <f t="array" ref="W437">+IF(U437&lt;0,error,0)</f>
        <v>0</v>
      </c>
    </row>
    <row r="438" spans="1:23" ht="18" customHeight="1" x14ac:dyDescent="0.2">
      <c r="A438" s="402" t="s">
        <v>902</v>
      </c>
      <c r="B438" s="403"/>
      <c r="C438" s="404" t="s">
        <v>903</v>
      </c>
      <c r="D438" s="405">
        <v>42879</v>
      </c>
      <c r="E438" s="406"/>
      <c r="F438" s="325"/>
      <c r="G438" s="324"/>
      <c r="H438" s="324">
        <v>103895.25</v>
      </c>
      <c r="I438" s="325">
        <v>79308.25</v>
      </c>
      <c r="J438" s="325"/>
      <c r="K438" s="325">
        <f t="shared" si="88"/>
        <v>0</v>
      </c>
      <c r="L438" s="325">
        <f t="shared" si="89"/>
        <v>0</v>
      </c>
      <c r="M438" s="407">
        <v>10</v>
      </c>
      <c r="N438" s="408" t="s">
        <v>289</v>
      </c>
      <c r="O438" s="325">
        <f t="shared" si="92"/>
        <v>0</v>
      </c>
      <c r="P438" s="325">
        <f t="shared" si="93"/>
        <v>0</v>
      </c>
      <c r="Q438" s="325">
        <f t="shared" si="94"/>
        <v>0</v>
      </c>
      <c r="R438" s="325">
        <f t="shared" si="95"/>
        <v>3965</v>
      </c>
      <c r="S438" s="325">
        <f t="shared" si="96"/>
        <v>0</v>
      </c>
      <c r="T438" s="325">
        <f t="shared" si="87"/>
        <v>3965</v>
      </c>
      <c r="U438" s="409">
        <f t="shared" si="90"/>
        <v>75343.25</v>
      </c>
      <c r="V438" s="325">
        <f t="shared" si="91"/>
        <v>0</v>
      </c>
      <c r="W438" s="449" cm="1">
        <f t="array" ref="W438">+IF(U438&lt;0,error,0)</f>
        <v>0</v>
      </c>
    </row>
    <row r="439" spans="1:23" ht="18" customHeight="1" x14ac:dyDescent="0.2">
      <c r="A439" s="402" t="s">
        <v>904</v>
      </c>
      <c r="B439" s="403"/>
      <c r="C439" s="404" t="s">
        <v>905</v>
      </c>
      <c r="D439" s="405">
        <v>42698</v>
      </c>
      <c r="E439" s="406"/>
      <c r="F439" s="325"/>
      <c r="G439" s="324"/>
      <c r="H439" s="324">
        <v>190864.32</v>
      </c>
      <c r="I439" s="325">
        <v>123673.32</v>
      </c>
      <c r="J439" s="325"/>
      <c r="K439" s="325">
        <f t="shared" si="88"/>
        <v>0</v>
      </c>
      <c r="L439" s="325">
        <f t="shared" si="89"/>
        <v>0</v>
      </c>
      <c r="M439" s="407">
        <v>13.33</v>
      </c>
      <c r="N439" s="408" t="s">
        <v>289</v>
      </c>
      <c r="O439" s="325">
        <f t="shared" si="92"/>
        <v>0</v>
      </c>
      <c r="P439" s="325">
        <f t="shared" si="93"/>
        <v>0</v>
      </c>
      <c r="Q439" s="325">
        <f t="shared" si="94"/>
        <v>0</v>
      </c>
      <c r="R439" s="325">
        <f t="shared" si="95"/>
        <v>8242</v>
      </c>
      <c r="S439" s="325">
        <f t="shared" si="96"/>
        <v>0</v>
      </c>
      <c r="T439" s="325">
        <f t="shared" si="87"/>
        <v>8242</v>
      </c>
      <c r="U439" s="409">
        <f t="shared" si="90"/>
        <v>115431.32</v>
      </c>
      <c r="V439" s="325">
        <f t="shared" si="91"/>
        <v>0</v>
      </c>
      <c r="W439" s="449" cm="1">
        <f t="array" ref="W439">+IF(U439&lt;0,error,0)</f>
        <v>0</v>
      </c>
    </row>
    <row r="440" spans="1:23" ht="18" customHeight="1" x14ac:dyDescent="0.2">
      <c r="A440" s="402" t="s">
        <v>906</v>
      </c>
      <c r="B440" s="403"/>
      <c r="C440" s="404" t="s">
        <v>907</v>
      </c>
      <c r="D440" s="405">
        <v>42611</v>
      </c>
      <c r="E440" s="406"/>
      <c r="F440" s="325"/>
      <c r="G440" s="324"/>
      <c r="H440" s="324">
        <v>24295.25</v>
      </c>
      <c r="I440" s="325">
        <v>15200.25</v>
      </c>
      <c r="J440" s="325"/>
      <c r="K440" s="325">
        <f t="shared" si="88"/>
        <v>0</v>
      </c>
      <c r="L440" s="325">
        <f t="shared" si="89"/>
        <v>0</v>
      </c>
      <c r="M440" s="407">
        <v>13.33</v>
      </c>
      <c r="N440" s="408" t="s">
        <v>289</v>
      </c>
      <c r="O440" s="325">
        <f t="shared" si="92"/>
        <v>0</v>
      </c>
      <c r="P440" s="325">
        <f t="shared" si="93"/>
        <v>0</v>
      </c>
      <c r="Q440" s="325">
        <f t="shared" si="94"/>
        <v>0</v>
      </c>
      <c r="R440" s="325">
        <f t="shared" si="95"/>
        <v>1013</v>
      </c>
      <c r="S440" s="325">
        <f t="shared" si="96"/>
        <v>0</v>
      </c>
      <c r="T440" s="325">
        <f t="shared" si="87"/>
        <v>1013</v>
      </c>
      <c r="U440" s="409">
        <f t="shared" si="90"/>
        <v>14187.25</v>
      </c>
      <c r="V440" s="325">
        <f t="shared" si="91"/>
        <v>0</v>
      </c>
      <c r="W440" s="449" cm="1">
        <f t="array" ref="W440">+IF(U440&lt;0,error,0)</f>
        <v>0</v>
      </c>
    </row>
    <row r="441" spans="1:23" ht="18" customHeight="1" x14ac:dyDescent="0.2">
      <c r="A441" s="402" t="s">
        <v>908</v>
      </c>
      <c r="B441" s="403"/>
      <c r="C441" s="404" t="s">
        <v>909</v>
      </c>
      <c r="D441" s="405">
        <v>42829</v>
      </c>
      <c r="E441" s="406"/>
      <c r="F441" s="325"/>
      <c r="G441" s="324"/>
      <c r="H441" s="324">
        <v>27978.93</v>
      </c>
      <c r="I441" s="325">
        <v>19073.93</v>
      </c>
      <c r="J441" s="325"/>
      <c r="K441" s="325">
        <f t="shared" si="88"/>
        <v>0</v>
      </c>
      <c r="L441" s="325">
        <f t="shared" si="89"/>
        <v>0</v>
      </c>
      <c r="M441" s="407">
        <v>13.33</v>
      </c>
      <c r="N441" s="408" t="s">
        <v>289</v>
      </c>
      <c r="O441" s="325">
        <f t="shared" si="92"/>
        <v>0</v>
      </c>
      <c r="P441" s="325">
        <f t="shared" si="93"/>
        <v>0</v>
      </c>
      <c r="Q441" s="325">
        <f t="shared" si="94"/>
        <v>0</v>
      </c>
      <c r="R441" s="325">
        <f t="shared" si="95"/>
        <v>1271</v>
      </c>
      <c r="S441" s="325">
        <f t="shared" si="96"/>
        <v>0</v>
      </c>
      <c r="T441" s="325">
        <f t="shared" si="87"/>
        <v>1271</v>
      </c>
      <c r="U441" s="409">
        <f t="shared" si="90"/>
        <v>17802.93</v>
      </c>
      <c r="V441" s="325">
        <f t="shared" si="91"/>
        <v>0</v>
      </c>
      <c r="W441" s="449" cm="1">
        <f t="array" ref="W441">+IF(U441&lt;0,error,0)</f>
        <v>0</v>
      </c>
    </row>
    <row r="442" spans="1:23" ht="18" customHeight="1" x14ac:dyDescent="0.2">
      <c r="A442" s="402" t="s">
        <v>910</v>
      </c>
      <c r="B442" s="403"/>
      <c r="C442" s="412" t="s">
        <v>911</v>
      </c>
      <c r="D442" s="405">
        <v>42735</v>
      </c>
      <c r="E442" s="406"/>
      <c r="F442" s="325"/>
      <c r="G442" s="324"/>
      <c r="H442" s="324">
        <v>26028</v>
      </c>
      <c r="I442" s="325">
        <v>13654</v>
      </c>
      <c r="J442" s="325"/>
      <c r="K442" s="325">
        <f t="shared" si="88"/>
        <v>0</v>
      </c>
      <c r="L442" s="325">
        <f t="shared" si="89"/>
        <v>0</v>
      </c>
      <c r="M442" s="407">
        <v>20</v>
      </c>
      <c r="N442" s="408" t="s">
        <v>289</v>
      </c>
      <c r="O442" s="325">
        <f t="shared" si="92"/>
        <v>0</v>
      </c>
      <c r="P442" s="325">
        <f t="shared" si="93"/>
        <v>0</v>
      </c>
      <c r="Q442" s="325">
        <f t="shared" si="94"/>
        <v>0</v>
      </c>
      <c r="R442" s="325">
        <f t="shared" si="95"/>
        <v>1365</v>
      </c>
      <c r="S442" s="325">
        <f t="shared" si="96"/>
        <v>0</v>
      </c>
      <c r="T442" s="325">
        <f t="shared" si="87"/>
        <v>1365</v>
      </c>
      <c r="U442" s="409">
        <f t="shared" si="90"/>
        <v>12289</v>
      </c>
      <c r="V442" s="325">
        <f t="shared" si="91"/>
        <v>0</v>
      </c>
      <c r="W442" s="449" cm="1">
        <f t="array" ref="W442">+IF(U442&lt;0,error,0)</f>
        <v>0</v>
      </c>
    </row>
    <row r="443" spans="1:23" ht="18" customHeight="1" x14ac:dyDescent="0.2">
      <c r="A443" s="402" t="s">
        <v>912</v>
      </c>
      <c r="B443" s="403"/>
      <c r="C443" s="404" t="s">
        <v>913</v>
      </c>
      <c r="D443" s="405">
        <v>42792</v>
      </c>
      <c r="E443" s="406"/>
      <c r="F443" s="325"/>
      <c r="G443" s="324"/>
      <c r="H443" s="324">
        <v>2180</v>
      </c>
      <c r="I443" s="325">
        <v>1185</v>
      </c>
      <c r="J443" s="325"/>
      <c r="K443" s="325">
        <f t="shared" si="88"/>
        <v>0</v>
      </c>
      <c r="L443" s="325">
        <f t="shared" si="89"/>
        <v>0</v>
      </c>
      <c r="M443" s="407">
        <v>20</v>
      </c>
      <c r="N443" s="408" t="s">
        <v>289</v>
      </c>
      <c r="O443" s="325">
        <f t="shared" si="92"/>
        <v>0</v>
      </c>
      <c r="P443" s="325">
        <f t="shared" si="93"/>
        <v>0</v>
      </c>
      <c r="Q443" s="325">
        <f t="shared" si="94"/>
        <v>0</v>
      </c>
      <c r="R443" s="325">
        <f t="shared" si="95"/>
        <v>118</v>
      </c>
      <c r="S443" s="325">
        <f t="shared" si="96"/>
        <v>0</v>
      </c>
      <c r="T443" s="325">
        <f t="shared" si="87"/>
        <v>118</v>
      </c>
      <c r="U443" s="409">
        <f t="shared" si="90"/>
        <v>1067</v>
      </c>
      <c r="V443" s="325">
        <f t="shared" si="91"/>
        <v>0</v>
      </c>
      <c r="W443" s="449" cm="1">
        <f t="array" ref="W443">+IF(U443&lt;0,error,0)</f>
        <v>0</v>
      </c>
    </row>
    <row r="444" spans="1:23" ht="18" customHeight="1" x14ac:dyDescent="0.2">
      <c r="A444" s="402" t="s">
        <v>914</v>
      </c>
      <c r="B444" s="403"/>
      <c r="C444" s="404" t="s">
        <v>915</v>
      </c>
      <c r="D444" s="405">
        <v>42792</v>
      </c>
      <c r="E444" s="406"/>
      <c r="F444" s="325"/>
      <c r="G444" s="324"/>
      <c r="H444" s="324">
        <v>2740</v>
      </c>
      <c r="I444" s="325">
        <v>1488</v>
      </c>
      <c r="J444" s="325"/>
      <c r="K444" s="325">
        <f t="shared" si="88"/>
        <v>0</v>
      </c>
      <c r="L444" s="325">
        <f t="shared" si="89"/>
        <v>0</v>
      </c>
      <c r="M444" s="407">
        <v>20</v>
      </c>
      <c r="N444" s="408" t="s">
        <v>289</v>
      </c>
      <c r="O444" s="325">
        <f t="shared" si="92"/>
        <v>0</v>
      </c>
      <c r="P444" s="325">
        <f t="shared" si="93"/>
        <v>0</v>
      </c>
      <c r="Q444" s="325">
        <f t="shared" si="94"/>
        <v>0</v>
      </c>
      <c r="R444" s="325">
        <f t="shared" si="95"/>
        <v>148</v>
      </c>
      <c r="S444" s="325">
        <f t="shared" si="96"/>
        <v>0</v>
      </c>
      <c r="T444" s="325">
        <f t="shared" si="87"/>
        <v>148</v>
      </c>
      <c r="U444" s="409">
        <f t="shared" si="90"/>
        <v>1340</v>
      </c>
      <c r="V444" s="325">
        <f t="shared" si="91"/>
        <v>0</v>
      </c>
      <c r="W444" s="449" cm="1">
        <f t="array" ref="W444">+IF(U444&lt;0,error,0)</f>
        <v>0</v>
      </c>
    </row>
    <row r="445" spans="1:23" ht="18" customHeight="1" x14ac:dyDescent="0.2">
      <c r="A445" s="402" t="s">
        <v>916</v>
      </c>
      <c r="B445" s="403"/>
      <c r="C445" s="412" t="s">
        <v>917</v>
      </c>
      <c r="D445" s="405">
        <v>42792</v>
      </c>
      <c r="E445" s="406"/>
      <c r="F445" s="325"/>
      <c r="G445" s="324"/>
      <c r="H445" s="324">
        <v>2000</v>
      </c>
      <c r="I445" s="325">
        <v>1086</v>
      </c>
      <c r="J445" s="325"/>
      <c r="K445" s="325">
        <f t="shared" si="88"/>
        <v>0</v>
      </c>
      <c r="L445" s="325">
        <f t="shared" si="89"/>
        <v>0</v>
      </c>
      <c r="M445" s="407">
        <v>20</v>
      </c>
      <c r="N445" s="408" t="s">
        <v>289</v>
      </c>
      <c r="O445" s="325">
        <f t="shared" si="92"/>
        <v>0</v>
      </c>
      <c r="P445" s="325">
        <f t="shared" si="93"/>
        <v>0</v>
      </c>
      <c r="Q445" s="325">
        <f t="shared" si="94"/>
        <v>0</v>
      </c>
      <c r="R445" s="325">
        <f t="shared" si="95"/>
        <v>108</v>
      </c>
      <c r="S445" s="325">
        <f t="shared" si="96"/>
        <v>0</v>
      </c>
      <c r="T445" s="325">
        <f t="shared" si="87"/>
        <v>108</v>
      </c>
      <c r="U445" s="409">
        <f t="shared" si="90"/>
        <v>978</v>
      </c>
      <c r="V445" s="325">
        <f t="shared" si="91"/>
        <v>0</v>
      </c>
      <c r="W445" s="449" cm="1">
        <f t="array" ref="W445">+IF(U445&lt;0,error,0)</f>
        <v>0</v>
      </c>
    </row>
    <row r="446" spans="1:23" ht="18" customHeight="1" x14ac:dyDescent="0.2">
      <c r="A446" s="402" t="s">
        <v>918</v>
      </c>
      <c r="B446" s="403"/>
      <c r="C446" s="404" t="s">
        <v>919</v>
      </c>
      <c r="D446" s="405">
        <v>42818</v>
      </c>
      <c r="E446" s="406"/>
      <c r="F446" s="325"/>
      <c r="G446" s="324"/>
      <c r="H446" s="324">
        <v>5512</v>
      </c>
      <c r="I446" s="325">
        <v>3038</v>
      </c>
      <c r="J446" s="325"/>
      <c r="K446" s="325">
        <f t="shared" si="88"/>
        <v>0</v>
      </c>
      <c r="L446" s="325">
        <f t="shared" si="89"/>
        <v>0</v>
      </c>
      <c r="M446" s="407">
        <v>20</v>
      </c>
      <c r="N446" s="408" t="s">
        <v>289</v>
      </c>
      <c r="O446" s="325">
        <f t="shared" si="92"/>
        <v>0</v>
      </c>
      <c r="P446" s="325">
        <f t="shared" si="93"/>
        <v>0</v>
      </c>
      <c r="Q446" s="325">
        <f t="shared" si="94"/>
        <v>0</v>
      </c>
      <c r="R446" s="325">
        <f t="shared" si="95"/>
        <v>303</v>
      </c>
      <c r="S446" s="325">
        <f t="shared" si="96"/>
        <v>0</v>
      </c>
      <c r="T446" s="325">
        <f t="shared" si="87"/>
        <v>303</v>
      </c>
      <c r="U446" s="409">
        <f t="shared" si="90"/>
        <v>2735</v>
      </c>
      <c r="V446" s="325">
        <f t="shared" si="91"/>
        <v>0</v>
      </c>
      <c r="W446" s="449" cm="1">
        <f t="array" ref="W446">+IF(U446&lt;0,error,0)</f>
        <v>0</v>
      </c>
    </row>
    <row r="447" spans="1:23" ht="18" customHeight="1" x14ac:dyDescent="0.2">
      <c r="A447" s="402" t="s">
        <v>920</v>
      </c>
      <c r="B447" s="403"/>
      <c r="C447" s="404" t="s">
        <v>921</v>
      </c>
      <c r="D447" s="405">
        <v>42816</v>
      </c>
      <c r="E447" s="406"/>
      <c r="F447" s="325"/>
      <c r="G447" s="324"/>
      <c r="H447" s="324">
        <v>4772</v>
      </c>
      <c r="I447" s="325">
        <v>1300</v>
      </c>
      <c r="J447" s="325"/>
      <c r="K447" s="325">
        <f t="shared" si="88"/>
        <v>0</v>
      </c>
      <c r="L447" s="325">
        <f t="shared" si="89"/>
        <v>0</v>
      </c>
      <c r="M447" s="407">
        <v>40</v>
      </c>
      <c r="N447" s="408" t="s">
        <v>289</v>
      </c>
      <c r="O447" s="325">
        <f t="shared" si="92"/>
        <v>0</v>
      </c>
      <c r="P447" s="325">
        <f t="shared" si="93"/>
        <v>0</v>
      </c>
      <c r="Q447" s="325">
        <f t="shared" si="94"/>
        <v>0</v>
      </c>
      <c r="R447" s="325">
        <f t="shared" si="95"/>
        <v>260</v>
      </c>
      <c r="S447" s="325">
        <f t="shared" si="96"/>
        <v>0</v>
      </c>
      <c r="T447" s="325">
        <f t="shared" ref="T447:T509" si="97">+R447+S447+Q447</f>
        <v>260</v>
      </c>
      <c r="U447" s="409">
        <f t="shared" si="90"/>
        <v>1040</v>
      </c>
      <c r="V447" s="325">
        <f t="shared" si="91"/>
        <v>0</v>
      </c>
      <c r="W447" s="449" cm="1">
        <f t="array" ref="W447">+IF(U447&lt;0,error,0)</f>
        <v>0</v>
      </c>
    </row>
    <row r="448" spans="1:23" ht="18" customHeight="1" x14ac:dyDescent="0.2">
      <c r="A448" s="402" t="s">
        <v>922</v>
      </c>
      <c r="B448" s="403"/>
      <c r="C448" s="404" t="s">
        <v>923</v>
      </c>
      <c r="D448" s="405">
        <v>42822</v>
      </c>
      <c r="E448" s="406"/>
      <c r="F448" s="325"/>
      <c r="G448" s="324"/>
      <c r="H448" s="324">
        <v>19447.55</v>
      </c>
      <c r="I448" s="325">
        <v>13222.550000000001</v>
      </c>
      <c r="J448" s="325"/>
      <c r="K448" s="325">
        <f t="shared" si="88"/>
        <v>0</v>
      </c>
      <c r="L448" s="325">
        <f t="shared" si="89"/>
        <v>0</v>
      </c>
      <c r="M448" s="407">
        <v>13.33</v>
      </c>
      <c r="N448" s="408" t="s">
        <v>289</v>
      </c>
      <c r="O448" s="325">
        <f t="shared" si="92"/>
        <v>0</v>
      </c>
      <c r="P448" s="325">
        <f t="shared" si="93"/>
        <v>0</v>
      </c>
      <c r="Q448" s="325">
        <f t="shared" si="94"/>
        <v>0</v>
      </c>
      <c r="R448" s="325">
        <f t="shared" si="95"/>
        <v>881</v>
      </c>
      <c r="S448" s="325">
        <f t="shared" si="96"/>
        <v>0</v>
      </c>
      <c r="T448" s="325">
        <f t="shared" si="97"/>
        <v>881</v>
      </c>
      <c r="U448" s="409">
        <f t="shared" si="90"/>
        <v>12341.550000000001</v>
      </c>
      <c r="V448" s="325">
        <f t="shared" si="91"/>
        <v>0</v>
      </c>
      <c r="W448" s="449" cm="1">
        <f t="array" ref="W448">+IF(U448&lt;0,error,0)</f>
        <v>0</v>
      </c>
    </row>
    <row r="449" spans="1:23" ht="18" customHeight="1" x14ac:dyDescent="0.2">
      <c r="A449" s="402" t="s">
        <v>924</v>
      </c>
      <c r="B449" s="403"/>
      <c r="C449" s="404" t="s">
        <v>923</v>
      </c>
      <c r="D449" s="405">
        <v>42822</v>
      </c>
      <c r="E449" s="406"/>
      <c r="F449" s="325"/>
      <c r="G449" s="324"/>
      <c r="H449" s="324">
        <v>19447.560000000001</v>
      </c>
      <c r="I449" s="325">
        <v>13222.56</v>
      </c>
      <c r="J449" s="325"/>
      <c r="K449" s="325">
        <f t="shared" si="88"/>
        <v>0</v>
      </c>
      <c r="L449" s="325">
        <f t="shared" si="89"/>
        <v>0</v>
      </c>
      <c r="M449" s="407">
        <v>13.33</v>
      </c>
      <c r="N449" s="408" t="s">
        <v>289</v>
      </c>
      <c r="O449" s="325">
        <f t="shared" si="92"/>
        <v>0</v>
      </c>
      <c r="P449" s="325">
        <f t="shared" si="93"/>
        <v>0</v>
      </c>
      <c r="Q449" s="325">
        <f t="shared" si="94"/>
        <v>0</v>
      </c>
      <c r="R449" s="325">
        <f t="shared" si="95"/>
        <v>881</v>
      </c>
      <c r="S449" s="325">
        <f t="shared" si="96"/>
        <v>0</v>
      </c>
      <c r="T449" s="325">
        <f t="shared" si="97"/>
        <v>881</v>
      </c>
      <c r="U449" s="409">
        <f t="shared" si="90"/>
        <v>12341.56</v>
      </c>
      <c r="V449" s="325">
        <f t="shared" si="91"/>
        <v>0</v>
      </c>
      <c r="W449" s="449" cm="1">
        <f t="array" ref="W449">+IF(U449&lt;0,error,0)</f>
        <v>0</v>
      </c>
    </row>
    <row r="450" spans="1:23" ht="18" customHeight="1" x14ac:dyDescent="0.2">
      <c r="A450" s="402" t="s">
        <v>925</v>
      </c>
      <c r="B450" s="403"/>
      <c r="C450" s="404" t="s">
        <v>926</v>
      </c>
      <c r="D450" s="405">
        <v>42873</v>
      </c>
      <c r="E450" s="406"/>
      <c r="F450" s="325"/>
      <c r="G450" s="324"/>
      <c r="H450" s="324">
        <v>5826.29</v>
      </c>
      <c r="I450" s="325">
        <v>1699.29</v>
      </c>
      <c r="J450" s="325"/>
      <c r="K450" s="325">
        <f t="shared" si="88"/>
        <v>0</v>
      </c>
      <c r="L450" s="325">
        <f t="shared" si="89"/>
        <v>0</v>
      </c>
      <c r="M450" s="407">
        <v>40</v>
      </c>
      <c r="N450" s="408" t="s">
        <v>289</v>
      </c>
      <c r="O450" s="325">
        <f t="shared" si="92"/>
        <v>0</v>
      </c>
      <c r="P450" s="325">
        <f t="shared" si="93"/>
        <v>0</v>
      </c>
      <c r="Q450" s="325">
        <f t="shared" si="94"/>
        <v>0</v>
      </c>
      <c r="R450" s="325">
        <f t="shared" si="95"/>
        <v>339</v>
      </c>
      <c r="S450" s="325">
        <f t="shared" si="96"/>
        <v>0</v>
      </c>
      <c r="T450" s="325">
        <f t="shared" si="97"/>
        <v>339</v>
      </c>
      <c r="U450" s="409">
        <f t="shared" si="90"/>
        <v>1360.29</v>
      </c>
      <c r="V450" s="325">
        <f t="shared" si="91"/>
        <v>0</v>
      </c>
      <c r="W450" s="449" cm="1">
        <f t="array" ref="W450">+IF(U450&lt;0,error,0)</f>
        <v>0</v>
      </c>
    </row>
    <row r="451" spans="1:23" ht="18" customHeight="1" x14ac:dyDescent="0.2">
      <c r="A451" s="402" t="s">
        <v>927</v>
      </c>
      <c r="B451" s="403"/>
      <c r="C451" s="404" t="s">
        <v>928</v>
      </c>
      <c r="D451" s="405">
        <v>42552</v>
      </c>
      <c r="E451" s="406"/>
      <c r="F451" s="325"/>
      <c r="G451" s="324"/>
      <c r="H451" s="324">
        <v>893.86</v>
      </c>
      <c r="I451" s="325">
        <v>29.86</v>
      </c>
      <c r="J451" s="325"/>
      <c r="K451" s="325">
        <f t="shared" si="88"/>
        <v>0</v>
      </c>
      <c r="L451" s="325">
        <f t="shared" si="89"/>
        <v>0</v>
      </c>
      <c r="M451" s="407">
        <v>66.67</v>
      </c>
      <c r="N451" s="408" t="s">
        <v>289</v>
      </c>
      <c r="O451" s="325">
        <f t="shared" si="92"/>
        <v>0</v>
      </c>
      <c r="P451" s="325">
        <f t="shared" si="93"/>
        <v>0</v>
      </c>
      <c r="Q451" s="325">
        <f t="shared" si="94"/>
        <v>0</v>
      </c>
      <c r="R451" s="325">
        <f t="shared" si="95"/>
        <v>9</v>
      </c>
      <c r="S451" s="325">
        <f t="shared" si="96"/>
        <v>0</v>
      </c>
      <c r="T451" s="325">
        <f>30-0.14</f>
        <v>29.86</v>
      </c>
      <c r="U451" s="486">
        <f t="shared" si="90"/>
        <v>0</v>
      </c>
      <c r="V451" s="325">
        <f t="shared" si="91"/>
        <v>0</v>
      </c>
      <c r="W451" s="449" cm="1">
        <f t="array" ref="W451">+IF(U451&lt;0,error,0)</f>
        <v>0</v>
      </c>
    </row>
    <row r="452" spans="1:23" ht="18" customHeight="1" x14ac:dyDescent="0.2">
      <c r="A452" s="402" t="s">
        <v>929</v>
      </c>
      <c r="B452" s="403"/>
      <c r="C452" s="404" t="s">
        <v>2270</v>
      </c>
      <c r="D452" s="405">
        <v>42590</v>
      </c>
      <c r="E452" s="406"/>
      <c r="F452" s="325"/>
      <c r="G452" s="324"/>
      <c r="H452" s="324">
        <v>30000</v>
      </c>
      <c r="I452" s="325">
        <v>15427</v>
      </c>
      <c r="J452" s="325"/>
      <c r="K452" s="325">
        <f t="shared" si="88"/>
        <v>0</v>
      </c>
      <c r="L452" s="325">
        <f t="shared" si="89"/>
        <v>0</v>
      </c>
      <c r="M452" s="407">
        <v>18.18</v>
      </c>
      <c r="N452" s="408" t="s">
        <v>289</v>
      </c>
      <c r="O452" s="325">
        <f t="shared" si="92"/>
        <v>0</v>
      </c>
      <c r="P452" s="325">
        <f t="shared" si="93"/>
        <v>0</v>
      </c>
      <c r="Q452" s="325">
        <f t="shared" si="94"/>
        <v>0</v>
      </c>
      <c r="R452" s="325">
        <f t="shared" si="95"/>
        <v>1402</v>
      </c>
      <c r="S452" s="325">
        <f t="shared" si="96"/>
        <v>0</v>
      </c>
      <c r="T452" s="325">
        <f t="shared" si="97"/>
        <v>1402</v>
      </c>
      <c r="U452" s="409">
        <f t="shared" si="90"/>
        <v>14025</v>
      </c>
      <c r="V452" s="325">
        <f t="shared" si="91"/>
        <v>0</v>
      </c>
      <c r="W452" s="449" cm="1">
        <f t="array" ref="W452">+IF(U452&lt;0,error,0)</f>
        <v>0</v>
      </c>
    </row>
    <row r="453" spans="1:23" ht="18" customHeight="1" x14ac:dyDescent="0.2">
      <c r="A453" s="402" t="s">
        <v>931</v>
      </c>
      <c r="B453" s="403"/>
      <c r="C453" s="412" t="s">
        <v>932</v>
      </c>
      <c r="D453" s="405">
        <v>42641</v>
      </c>
      <c r="E453" s="406"/>
      <c r="F453" s="325"/>
      <c r="G453" s="324"/>
      <c r="H453" s="324">
        <v>6750</v>
      </c>
      <c r="I453" s="325">
        <v>3339</v>
      </c>
      <c r="J453" s="325"/>
      <c r="K453" s="325">
        <f t="shared" si="88"/>
        <v>0</v>
      </c>
      <c r="L453" s="325">
        <f t="shared" si="89"/>
        <v>0</v>
      </c>
      <c r="M453" s="407">
        <v>20</v>
      </c>
      <c r="N453" s="408" t="s">
        <v>289</v>
      </c>
      <c r="O453" s="325">
        <f t="shared" si="92"/>
        <v>0</v>
      </c>
      <c r="P453" s="325">
        <f t="shared" si="93"/>
        <v>0</v>
      </c>
      <c r="Q453" s="325">
        <f t="shared" si="94"/>
        <v>0</v>
      </c>
      <c r="R453" s="325">
        <f t="shared" si="95"/>
        <v>333</v>
      </c>
      <c r="S453" s="325">
        <f t="shared" si="96"/>
        <v>0</v>
      </c>
      <c r="T453" s="325">
        <f t="shared" si="97"/>
        <v>333</v>
      </c>
      <c r="U453" s="409">
        <f t="shared" si="90"/>
        <v>3006</v>
      </c>
      <c r="V453" s="325">
        <f t="shared" si="91"/>
        <v>0</v>
      </c>
      <c r="W453" s="449" cm="1">
        <f t="array" ref="W453">+IF(U453&lt;0,error,0)</f>
        <v>0</v>
      </c>
    </row>
    <row r="454" spans="1:23" ht="18" customHeight="1" x14ac:dyDescent="0.2">
      <c r="A454" s="402" t="s">
        <v>933</v>
      </c>
      <c r="B454" s="403"/>
      <c r="C454" s="404" t="s">
        <v>934</v>
      </c>
      <c r="D454" s="405">
        <v>42648</v>
      </c>
      <c r="E454" s="406"/>
      <c r="F454" s="325"/>
      <c r="G454" s="324"/>
      <c r="H454" s="324">
        <v>4500</v>
      </c>
      <c r="I454" s="325">
        <v>3216</v>
      </c>
      <c r="J454" s="325"/>
      <c r="K454" s="325">
        <f t="shared" si="88"/>
        <v>0</v>
      </c>
      <c r="L454" s="325">
        <f t="shared" si="89"/>
        <v>0</v>
      </c>
      <c r="M454" s="407">
        <v>10</v>
      </c>
      <c r="N454" s="408" t="s">
        <v>289</v>
      </c>
      <c r="O454" s="325">
        <f t="shared" si="92"/>
        <v>0</v>
      </c>
      <c r="P454" s="325">
        <f t="shared" si="93"/>
        <v>0</v>
      </c>
      <c r="Q454" s="325">
        <f t="shared" si="94"/>
        <v>0</v>
      </c>
      <c r="R454" s="325">
        <f t="shared" si="95"/>
        <v>160</v>
      </c>
      <c r="S454" s="325">
        <f t="shared" si="96"/>
        <v>0</v>
      </c>
      <c r="T454" s="325">
        <f t="shared" si="97"/>
        <v>160</v>
      </c>
      <c r="U454" s="409">
        <f t="shared" si="90"/>
        <v>3056</v>
      </c>
      <c r="V454" s="325">
        <f t="shared" si="91"/>
        <v>0</v>
      </c>
      <c r="W454" s="449" cm="1">
        <f t="array" ref="W454">+IF(U454&lt;0,error,0)</f>
        <v>0</v>
      </c>
    </row>
    <row r="455" spans="1:23" ht="18" customHeight="1" x14ac:dyDescent="0.2">
      <c r="A455" s="402" t="s">
        <v>935</v>
      </c>
      <c r="B455" s="403"/>
      <c r="C455" s="404" t="s">
        <v>936</v>
      </c>
      <c r="D455" s="405">
        <v>42664</v>
      </c>
      <c r="E455" s="406"/>
      <c r="F455" s="325"/>
      <c r="G455" s="324"/>
      <c r="H455" s="324">
        <v>817.27</v>
      </c>
      <c r="I455" s="325">
        <v>411.27</v>
      </c>
      <c r="J455" s="325"/>
      <c r="K455" s="325">
        <f t="shared" si="88"/>
        <v>0</v>
      </c>
      <c r="L455" s="325">
        <f t="shared" si="89"/>
        <v>0</v>
      </c>
      <c r="M455" s="407">
        <v>20</v>
      </c>
      <c r="N455" s="408" t="s">
        <v>289</v>
      </c>
      <c r="O455" s="325">
        <f t="shared" si="92"/>
        <v>0</v>
      </c>
      <c r="P455" s="325">
        <f t="shared" si="93"/>
        <v>0</v>
      </c>
      <c r="Q455" s="325">
        <f t="shared" si="94"/>
        <v>0</v>
      </c>
      <c r="R455" s="325">
        <f t="shared" si="95"/>
        <v>41</v>
      </c>
      <c r="S455" s="325">
        <f t="shared" si="96"/>
        <v>0</v>
      </c>
      <c r="T455" s="325">
        <f t="shared" si="97"/>
        <v>41</v>
      </c>
      <c r="U455" s="409">
        <f t="shared" si="90"/>
        <v>370.27</v>
      </c>
      <c r="V455" s="325">
        <f t="shared" si="91"/>
        <v>0</v>
      </c>
      <c r="W455" s="449" cm="1">
        <f t="array" ref="W455">+IF(U455&lt;0,error,0)</f>
        <v>0</v>
      </c>
    </row>
    <row r="456" spans="1:23" ht="18" customHeight="1" x14ac:dyDescent="0.2">
      <c r="A456" s="402" t="s">
        <v>937</v>
      </c>
      <c r="B456" s="403"/>
      <c r="C456" s="404" t="s">
        <v>938</v>
      </c>
      <c r="D456" s="405">
        <v>42677</v>
      </c>
      <c r="E456" s="406"/>
      <c r="F456" s="325"/>
      <c r="G456" s="324"/>
      <c r="H456" s="324">
        <v>754.38</v>
      </c>
      <c r="I456" s="325">
        <v>382.38</v>
      </c>
      <c r="J456" s="325"/>
      <c r="K456" s="325">
        <f t="shared" si="88"/>
        <v>0</v>
      </c>
      <c r="L456" s="325">
        <f t="shared" si="89"/>
        <v>0</v>
      </c>
      <c r="M456" s="407">
        <v>20</v>
      </c>
      <c r="N456" s="408" t="s">
        <v>289</v>
      </c>
      <c r="O456" s="325">
        <f t="shared" si="92"/>
        <v>0</v>
      </c>
      <c r="P456" s="325">
        <f t="shared" si="93"/>
        <v>0</v>
      </c>
      <c r="Q456" s="325">
        <f t="shared" si="94"/>
        <v>0</v>
      </c>
      <c r="R456" s="325">
        <f t="shared" si="95"/>
        <v>38</v>
      </c>
      <c r="S456" s="325">
        <f t="shared" si="96"/>
        <v>0</v>
      </c>
      <c r="T456" s="325">
        <f t="shared" si="97"/>
        <v>38</v>
      </c>
      <c r="U456" s="409">
        <f t="shared" si="90"/>
        <v>344.38</v>
      </c>
      <c r="V456" s="325">
        <f t="shared" si="91"/>
        <v>0</v>
      </c>
      <c r="W456" s="449" cm="1">
        <f t="array" ref="W456">+IF(U456&lt;0,error,0)</f>
        <v>0</v>
      </c>
    </row>
    <row r="457" spans="1:23" ht="18" customHeight="1" x14ac:dyDescent="0.2">
      <c r="A457" s="402" t="s">
        <v>939</v>
      </c>
      <c r="B457" s="403"/>
      <c r="C457" s="404" t="s">
        <v>940</v>
      </c>
      <c r="D457" s="405">
        <v>42744</v>
      </c>
      <c r="E457" s="406"/>
      <c r="F457" s="325"/>
      <c r="G457" s="324"/>
      <c r="H457" s="324">
        <v>4545.45</v>
      </c>
      <c r="I457" s="325">
        <v>1128.45</v>
      </c>
      <c r="J457" s="325"/>
      <c r="K457" s="325">
        <f t="shared" si="88"/>
        <v>0</v>
      </c>
      <c r="L457" s="325">
        <f t="shared" si="89"/>
        <v>0</v>
      </c>
      <c r="M457" s="407">
        <v>40</v>
      </c>
      <c r="N457" s="408" t="s">
        <v>289</v>
      </c>
      <c r="O457" s="325">
        <f t="shared" si="92"/>
        <v>0</v>
      </c>
      <c r="P457" s="325">
        <f t="shared" si="93"/>
        <v>0</v>
      </c>
      <c r="Q457" s="325">
        <f t="shared" si="94"/>
        <v>0</v>
      </c>
      <c r="R457" s="325">
        <f t="shared" si="95"/>
        <v>225</v>
      </c>
      <c r="S457" s="325">
        <f t="shared" si="96"/>
        <v>0</v>
      </c>
      <c r="T457" s="325">
        <f t="shared" si="97"/>
        <v>225</v>
      </c>
      <c r="U457" s="409">
        <f t="shared" si="90"/>
        <v>903.45</v>
      </c>
      <c r="V457" s="325">
        <f t="shared" si="91"/>
        <v>0</v>
      </c>
      <c r="W457" s="449" cm="1">
        <f t="array" ref="W457">+IF(U457&lt;0,error,0)</f>
        <v>0</v>
      </c>
    </row>
    <row r="458" spans="1:23" ht="18" customHeight="1" x14ac:dyDescent="0.2">
      <c r="A458" s="402" t="s">
        <v>941</v>
      </c>
      <c r="B458" s="403"/>
      <c r="C458" s="404" t="s">
        <v>942</v>
      </c>
      <c r="D458" s="405">
        <v>42766</v>
      </c>
      <c r="E458" s="406"/>
      <c r="F458" s="325"/>
      <c r="G458" s="324"/>
      <c r="H458" s="324">
        <v>2208.23</v>
      </c>
      <c r="I458" s="325">
        <v>1180.23</v>
      </c>
      <c r="J458" s="325"/>
      <c r="K458" s="325">
        <f t="shared" si="88"/>
        <v>0</v>
      </c>
      <c r="L458" s="325">
        <f t="shared" si="89"/>
        <v>0</v>
      </c>
      <c r="M458" s="407">
        <v>20</v>
      </c>
      <c r="N458" s="408" t="s">
        <v>289</v>
      </c>
      <c r="O458" s="325">
        <f t="shared" si="92"/>
        <v>0</v>
      </c>
      <c r="P458" s="325">
        <f t="shared" si="93"/>
        <v>0</v>
      </c>
      <c r="Q458" s="325">
        <f t="shared" si="94"/>
        <v>0</v>
      </c>
      <c r="R458" s="325">
        <f t="shared" si="95"/>
        <v>118</v>
      </c>
      <c r="S458" s="325">
        <f t="shared" si="96"/>
        <v>0</v>
      </c>
      <c r="T458" s="325">
        <f t="shared" si="97"/>
        <v>118</v>
      </c>
      <c r="U458" s="409">
        <f t="shared" si="90"/>
        <v>1062.23</v>
      </c>
      <c r="V458" s="325">
        <f t="shared" si="91"/>
        <v>0</v>
      </c>
      <c r="W458" s="449" cm="1">
        <f t="array" ref="W458">+IF(U458&lt;0,error,0)</f>
        <v>0</v>
      </c>
    </row>
    <row r="459" spans="1:23" ht="18" customHeight="1" x14ac:dyDescent="0.2">
      <c r="A459" s="402" t="s">
        <v>943</v>
      </c>
      <c r="B459" s="403"/>
      <c r="C459" s="404" t="s">
        <v>944</v>
      </c>
      <c r="D459" s="405">
        <v>42775</v>
      </c>
      <c r="E459" s="406"/>
      <c r="F459" s="325"/>
      <c r="G459" s="324"/>
      <c r="H459" s="324">
        <v>14147.26</v>
      </c>
      <c r="I459" s="325">
        <v>10489.26</v>
      </c>
      <c r="J459" s="325"/>
      <c r="K459" s="325">
        <f t="shared" si="88"/>
        <v>0</v>
      </c>
      <c r="L459" s="325">
        <f t="shared" si="89"/>
        <v>0</v>
      </c>
      <c r="M459" s="407">
        <v>10</v>
      </c>
      <c r="N459" s="408" t="s">
        <v>289</v>
      </c>
      <c r="O459" s="325">
        <f t="shared" si="92"/>
        <v>0</v>
      </c>
      <c r="P459" s="325">
        <f t="shared" si="93"/>
        <v>0</v>
      </c>
      <c r="Q459" s="325">
        <f t="shared" si="94"/>
        <v>0</v>
      </c>
      <c r="R459" s="325">
        <f t="shared" si="95"/>
        <v>524</v>
      </c>
      <c r="S459" s="325">
        <f t="shared" si="96"/>
        <v>0</v>
      </c>
      <c r="T459" s="325">
        <f t="shared" si="97"/>
        <v>524</v>
      </c>
      <c r="U459" s="409">
        <f t="shared" si="90"/>
        <v>9965.26</v>
      </c>
      <c r="V459" s="325">
        <f t="shared" si="91"/>
        <v>0</v>
      </c>
      <c r="W459" s="449" cm="1">
        <f t="array" ref="W459">+IF(U459&lt;0,error,0)</f>
        <v>0</v>
      </c>
    </row>
    <row r="460" spans="1:23" ht="18" customHeight="1" x14ac:dyDescent="0.2">
      <c r="A460" s="402" t="s">
        <v>945</v>
      </c>
      <c r="B460" s="403"/>
      <c r="C460" s="404" t="s">
        <v>946</v>
      </c>
      <c r="D460" s="405">
        <v>42837</v>
      </c>
      <c r="E460" s="406"/>
      <c r="F460" s="325"/>
      <c r="G460" s="324"/>
      <c r="H460" s="324">
        <v>5000</v>
      </c>
      <c r="I460" s="325">
        <v>2106</v>
      </c>
      <c r="J460" s="325"/>
      <c r="K460" s="325">
        <f t="shared" si="88"/>
        <v>0</v>
      </c>
      <c r="L460" s="325">
        <f t="shared" si="89"/>
        <v>0</v>
      </c>
      <c r="M460" s="407">
        <v>28.57</v>
      </c>
      <c r="N460" s="408" t="s">
        <v>289</v>
      </c>
      <c r="O460" s="325">
        <f t="shared" si="92"/>
        <v>0</v>
      </c>
      <c r="P460" s="325">
        <f t="shared" si="93"/>
        <v>0</v>
      </c>
      <c r="Q460" s="325">
        <f t="shared" si="94"/>
        <v>0</v>
      </c>
      <c r="R460" s="325">
        <f t="shared" si="95"/>
        <v>300</v>
      </c>
      <c r="S460" s="325">
        <f t="shared" si="96"/>
        <v>0</v>
      </c>
      <c r="T460" s="325">
        <f t="shared" si="97"/>
        <v>300</v>
      </c>
      <c r="U460" s="409">
        <f t="shared" si="90"/>
        <v>1806</v>
      </c>
      <c r="V460" s="325">
        <f t="shared" si="91"/>
        <v>0</v>
      </c>
      <c r="W460" s="449" cm="1">
        <f t="array" ref="W460">+IF(U460&lt;0,error,0)</f>
        <v>0</v>
      </c>
    </row>
    <row r="461" spans="1:23" ht="18" customHeight="1" x14ac:dyDescent="0.2">
      <c r="A461" s="402" t="s">
        <v>947</v>
      </c>
      <c r="B461" s="403"/>
      <c r="C461" s="404" t="s">
        <v>948</v>
      </c>
      <c r="D461" s="405">
        <v>42905</v>
      </c>
      <c r="E461" s="406"/>
      <c r="F461" s="325"/>
      <c r="G461" s="324"/>
      <c r="H461" s="324">
        <v>3505.09</v>
      </c>
      <c r="I461" s="325">
        <v>1060.0900000000001</v>
      </c>
      <c r="J461" s="325"/>
      <c r="K461" s="325">
        <f t="shared" si="88"/>
        <v>0</v>
      </c>
      <c r="L461" s="325">
        <f t="shared" si="89"/>
        <v>0</v>
      </c>
      <c r="M461" s="407">
        <v>40</v>
      </c>
      <c r="N461" s="408" t="s">
        <v>289</v>
      </c>
      <c r="O461" s="325">
        <f t="shared" si="92"/>
        <v>0</v>
      </c>
      <c r="P461" s="325">
        <f t="shared" si="93"/>
        <v>0</v>
      </c>
      <c r="Q461" s="325">
        <f t="shared" si="94"/>
        <v>0</v>
      </c>
      <c r="R461" s="325">
        <f t="shared" si="95"/>
        <v>212</v>
      </c>
      <c r="S461" s="325">
        <f t="shared" si="96"/>
        <v>0</v>
      </c>
      <c r="T461" s="325">
        <f t="shared" si="97"/>
        <v>212</v>
      </c>
      <c r="U461" s="409">
        <f t="shared" si="90"/>
        <v>848.09000000000015</v>
      </c>
      <c r="V461" s="325">
        <f t="shared" si="91"/>
        <v>0</v>
      </c>
      <c r="W461" s="449" cm="1">
        <f t="array" ref="W461">+IF(U461&lt;0,error,0)</f>
        <v>0</v>
      </c>
    </row>
    <row r="462" spans="1:23" ht="18" customHeight="1" x14ac:dyDescent="0.2">
      <c r="A462" s="402" t="s">
        <v>949</v>
      </c>
      <c r="B462" s="403"/>
      <c r="C462" s="404" t="s">
        <v>950</v>
      </c>
      <c r="D462" s="405">
        <v>42916</v>
      </c>
      <c r="E462" s="406"/>
      <c r="F462" s="325"/>
      <c r="G462" s="324"/>
      <c r="H462" s="324">
        <v>3906</v>
      </c>
      <c r="I462" s="325">
        <v>2751</v>
      </c>
      <c r="J462" s="325"/>
      <c r="K462" s="325">
        <f t="shared" si="88"/>
        <v>0</v>
      </c>
      <c r="L462" s="325">
        <f t="shared" si="89"/>
        <v>0</v>
      </c>
      <c r="M462" s="407">
        <v>13.33</v>
      </c>
      <c r="N462" s="408" t="s">
        <v>289</v>
      </c>
      <c r="O462" s="325">
        <f t="shared" si="92"/>
        <v>0</v>
      </c>
      <c r="P462" s="325">
        <f t="shared" si="93"/>
        <v>0</v>
      </c>
      <c r="Q462" s="325">
        <f t="shared" si="94"/>
        <v>0</v>
      </c>
      <c r="R462" s="325">
        <f t="shared" si="95"/>
        <v>183</v>
      </c>
      <c r="S462" s="325">
        <f t="shared" si="96"/>
        <v>0</v>
      </c>
      <c r="T462" s="325">
        <f t="shared" si="97"/>
        <v>183</v>
      </c>
      <c r="U462" s="409">
        <f t="shared" si="90"/>
        <v>2568</v>
      </c>
      <c r="V462" s="325">
        <f t="shared" si="91"/>
        <v>0</v>
      </c>
      <c r="W462" s="449" cm="1">
        <f t="array" ref="W462">+IF(U462&lt;0,error,0)</f>
        <v>0</v>
      </c>
    </row>
    <row r="463" spans="1:23" ht="18" customHeight="1" x14ac:dyDescent="0.2">
      <c r="A463" s="402" t="s">
        <v>951</v>
      </c>
      <c r="B463" s="403"/>
      <c r="C463" s="404" t="s">
        <v>952</v>
      </c>
      <c r="D463" s="405">
        <v>42864</v>
      </c>
      <c r="E463" s="406"/>
      <c r="F463" s="325"/>
      <c r="G463" s="324"/>
      <c r="H463" s="324">
        <v>9572.5</v>
      </c>
      <c r="I463" s="325">
        <v>5417.5</v>
      </c>
      <c r="J463" s="325"/>
      <c r="K463" s="325">
        <f t="shared" si="88"/>
        <v>0</v>
      </c>
      <c r="L463" s="325">
        <f t="shared" si="89"/>
        <v>0</v>
      </c>
      <c r="M463" s="407">
        <v>20</v>
      </c>
      <c r="N463" s="408" t="s">
        <v>289</v>
      </c>
      <c r="O463" s="325">
        <f t="shared" si="92"/>
        <v>0</v>
      </c>
      <c r="P463" s="325">
        <f t="shared" si="93"/>
        <v>0</v>
      </c>
      <c r="Q463" s="325">
        <f t="shared" si="94"/>
        <v>0</v>
      </c>
      <c r="R463" s="325">
        <f t="shared" si="95"/>
        <v>541</v>
      </c>
      <c r="S463" s="325">
        <f t="shared" si="96"/>
        <v>0</v>
      </c>
      <c r="T463" s="325">
        <f t="shared" si="97"/>
        <v>541</v>
      </c>
      <c r="U463" s="409">
        <f t="shared" si="90"/>
        <v>4876.5</v>
      </c>
      <c r="V463" s="325">
        <f t="shared" si="91"/>
        <v>0</v>
      </c>
      <c r="W463" s="449" cm="1">
        <f t="array" ref="W463">+IF(U463&lt;0,error,0)</f>
        <v>0</v>
      </c>
    </row>
    <row r="464" spans="1:23" ht="18" customHeight="1" x14ac:dyDescent="0.2">
      <c r="A464" s="402" t="s">
        <v>953</v>
      </c>
      <c r="B464" s="403"/>
      <c r="C464" s="404" t="s">
        <v>954</v>
      </c>
      <c r="D464" s="405">
        <v>42803</v>
      </c>
      <c r="E464" s="406"/>
      <c r="F464" s="325"/>
      <c r="G464" s="324"/>
      <c r="H464" s="324">
        <v>1170</v>
      </c>
      <c r="I464" s="325">
        <v>314</v>
      </c>
      <c r="J464" s="325"/>
      <c r="K464" s="325">
        <f t="shared" si="88"/>
        <v>0</v>
      </c>
      <c r="L464" s="325">
        <f t="shared" si="89"/>
        <v>0</v>
      </c>
      <c r="M464" s="407">
        <v>40</v>
      </c>
      <c r="N464" s="408" t="s">
        <v>289</v>
      </c>
      <c r="O464" s="325">
        <f t="shared" si="92"/>
        <v>0</v>
      </c>
      <c r="P464" s="325">
        <f t="shared" si="93"/>
        <v>0</v>
      </c>
      <c r="Q464" s="325">
        <f t="shared" si="94"/>
        <v>0</v>
      </c>
      <c r="R464" s="325">
        <f t="shared" si="95"/>
        <v>62</v>
      </c>
      <c r="S464" s="325">
        <f t="shared" si="96"/>
        <v>0</v>
      </c>
      <c r="T464" s="325">
        <f t="shared" si="97"/>
        <v>62</v>
      </c>
      <c r="U464" s="409">
        <f t="shared" si="90"/>
        <v>252</v>
      </c>
      <c r="V464" s="325">
        <f t="shared" si="91"/>
        <v>0</v>
      </c>
      <c r="W464" s="449" cm="1">
        <f t="array" ref="W464">+IF(U464&lt;0,error,0)</f>
        <v>0</v>
      </c>
    </row>
    <row r="465" spans="1:23" ht="18" customHeight="1" x14ac:dyDescent="0.2">
      <c r="A465" s="402" t="s">
        <v>955</v>
      </c>
      <c r="B465" s="403"/>
      <c r="C465" s="404" t="s">
        <v>956</v>
      </c>
      <c r="D465" s="405">
        <v>42803</v>
      </c>
      <c r="E465" s="406"/>
      <c r="F465" s="325"/>
      <c r="G465" s="324"/>
      <c r="H465" s="324">
        <v>1320</v>
      </c>
      <c r="I465" s="325">
        <v>355</v>
      </c>
      <c r="J465" s="325"/>
      <c r="K465" s="325">
        <f t="shared" si="88"/>
        <v>0</v>
      </c>
      <c r="L465" s="325">
        <f t="shared" si="89"/>
        <v>0</v>
      </c>
      <c r="M465" s="407">
        <v>40</v>
      </c>
      <c r="N465" s="408" t="s">
        <v>289</v>
      </c>
      <c r="O465" s="325">
        <f t="shared" si="92"/>
        <v>0</v>
      </c>
      <c r="P465" s="325">
        <f t="shared" si="93"/>
        <v>0</v>
      </c>
      <c r="Q465" s="325">
        <f t="shared" si="94"/>
        <v>0</v>
      </c>
      <c r="R465" s="325">
        <f t="shared" si="95"/>
        <v>71</v>
      </c>
      <c r="S465" s="325">
        <f t="shared" si="96"/>
        <v>0</v>
      </c>
      <c r="T465" s="325">
        <f t="shared" si="97"/>
        <v>71</v>
      </c>
      <c r="U465" s="409">
        <f t="shared" si="90"/>
        <v>284</v>
      </c>
      <c r="V465" s="325">
        <f t="shared" si="91"/>
        <v>0</v>
      </c>
      <c r="W465" s="449" cm="1">
        <f t="array" ref="W465">+IF(U465&lt;0,error,0)</f>
        <v>0</v>
      </c>
    </row>
    <row r="466" spans="1:23" ht="18" customHeight="1" x14ac:dyDescent="0.2">
      <c r="A466" s="402" t="s">
        <v>957</v>
      </c>
      <c r="B466" s="403"/>
      <c r="C466" s="404" t="s">
        <v>958</v>
      </c>
      <c r="D466" s="405">
        <v>42803</v>
      </c>
      <c r="E466" s="406"/>
      <c r="F466" s="325"/>
      <c r="G466" s="324"/>
      <c r="H466" s="324">
        <v>1192.5</v>
      </c>
      <c r="I466" s="325">
        <v>320.5</v>
      </c>
      <c r="J466" s="325"/>
      <c r="K466" s="325">
        <f t="shared" si="88"/>
        <v>0</v>
      </c>
      <c r="L466" s="325">
        <f t="shared" si="89"/>
        <v>0</v>
      </c>
      <c r="M466" s="407">
        <v>40</v>
      </c>
      <c r="N466" s="408" t="s">
        <v>289</v>
      </c>
      <c r="O466" s="325">
        <f t="shared" si="92"/>
        <v>0</v>
      </c>
      <c r="P466" s="325">
        <f t="shared" si="93"/>
        <v>0</v>
      </c>
      <c r="Q466" s="325">
        <f t="shared" si="94"/>
        <v>0</v>
      </c>
      <c r="R466" s="325">
        <f t="shared" si="95"/>
        <v>64</v>
      </c>
      <c r="S466" s="325">
        <f t="shared" si="96"/>
        <v>0</v>
      </c>
      <c r="T466" s="325">
        <f t="shared" si="97"/>
        <v>64</v>
      </c>
      <c r="U466" s="409">
        <f t="shared" si="90"/>
        <v>256.5</v>
      </c>
      <c r="V466" s="325">
        <f t="shared" si="91"/>
        <v>0</v>
      </c>
      <c r="W466" s="449" cm="1">
        <f t="array" ref="W466">+IF(U466&lt;0,error,0)</f>
        <v>0</v>
      </c>
    </row>
    <row r="467" spans="1:23" ht="18" customHeight="1" x14ac:dyDescent="0.2">
      <c r="A467" s="402" t="s">
        <v>959</v>
      </c>
      <c r="B467" s="403"/>
      <c r="C467" s="404" t="s">
        <v>960</v>
      </c>
      <c r="D467" s="405">
        <v>42978</v>
      </c>
      <c r="E467" s="406"/>
      <c r="F467" s="325"/>
      <c r="G467" s="324"/>
      <c r="H467" s="324">
        <v>3300</v>
      </c>
      <c r="I467" s="325">
        <v>2385</v>
      </c>
      <c r="J467" s="325"/>
      <c r="K467" s="325">
        <f t="shared" si="88"/>
        <v>0</v>
      </c>
      <c r="L467" s="325">
        <f t="shared" si="89"/>
        <v>0</v>
      </c>
      <c r="M467" s="407">
        <v>13.33</v>
      </c>
      <c r="N467" s="408" t="s">
        <v>289</v>
      </c>
      <c r="O467" s="325">
        <f t="shared" si="92"/>
        <v>0</v>
      </c>
      <c r="P467" s="325">
        <f t="shared" si="93"/>
        <v>0</v>
      </c>
      <c r="Q467" s="325">
        <f t="shared" si="94"/>
        <v>0</v>
      </c>
      <c r="R467" s="325">
        <f t="shared" si="95"/>
        <v>158</v>
      </c>
      <c r="S467" s="325">
        <f t="shared" si="96"/>
        <v>0</v>
      </c>
      <c r="T467" s="325">
        <f t="shared" si="97"/>
        <v>158</v>
      </c>
      <c r="U467" s="409">
        <f t="shared" si="90"/>
        <v>2227</v>
      </c>
      <c r="V467" s="325">
        <f t="shared" si="91"/>
        <v>0</v>
      </c>
      <c r="W467" s="449" cm="1">
        <f t="array" ref="W467">+IF(U467&lt;0,error,0)</f>
        <v>0</v>
      </c>
    </row>
    <row r="468" spans="1:23" ht="18" customHeight="1" x14ac:dyDescent="0.2">
      <c r="A468" s="402" t="s">
        <v>961</v>
      </c>
      <c r="B468" s="403"/>
      <c r="C468" s="404" t="s">
        <v>962</v>
      </c>
      <c r="D468" s="405">
        <v>43057</v>
      </c>
      <c r="E468" s="406"/>
      <c r="F468" s="325"/>
      <c r="G468" s="324"/>
      <c r="H468" s="324">
        <v>7000</v>
      </c>
      <c r="I468" s="325">
        <v>5223</v>
      </c>
      <c r="J468" s="325"/>
      <c r="K468" s="325">
        <f t="shared" si="88"/>
        <v>0</v>
      </c>
      <c r="L468" s="325">
        <f t="shared" si="89"/>
        <v>0</v>
      </c>
      <c r="M468" s="407">
        <v>13.33</v>
      </c>
      <c r="N468" s="408" t="s">
        <v>289</v>
      </c>
      <c r="O468" s="325">
        <f t="shared" si="92"/>
        <v>0</v>
      </c>
      <c r="P468" s="325">
        <f t="shared" si="93"/>
        <v>0</v>
      </c>
      <c r="Q468" s="325">
        <f t="shared" si="94"/>
        <v>0</v>
      </c>
      <c r="R468" s="325">
        <f t="shared" si="95"/>
        <v>348</v>
      </c>
      <c r="S468" s="325">
        <f t="shared" si="96"/>
        <v>0</v>
      </c>
      <c r="T468" s="325">
        <f t="shared" si="97"/>
        <v>348</v>
      </c>
      <c r="U468" s="409">
        <f t="shared" si="90"/>
        <v>4875</v>
      </c>
      <c r="V468" s="325">
        <f t="shared" si="91"/>
        <v>0</v>
      </c>
      <c r="W468" s="449" cm="1">
        <f t="array" ref="W468">+IF(U468&lt;0,error,0)</f>
        <v>0</v>
      </c>
    </row>
    <row r="469" spans="1:23" ht="18" customHeight="1" x14ac:dyDescent="0.2">
      <c r="A469" s="402" t="s">
        <v>963</v>
      </c>
      <c r="B469" s="403"/>
      <c r="C469" s="404" t="s">
        <v>964</v>
      </c>
      <c r="D469" s="405">
        <v>43088</v>
      </c>
      <c r="E469" s="406"/>
      <c r="F469" s="325"/>
      <c r="G469" s="324"/>
      <c r="H469" s="324">
        <v>30000</v>
      </c>
      <c r="I469" s="325">
        <v>22653</v>
      </c>
      <c r="J469" s="325"/>
      <c r="K469" s="325">
        <f t="shared" si="88"/>
        <v>0</v>
      </c>
      <c r="L469" s="325">
        <f t="shared" si="89"/>
        <v>0</v>
      </c>
      <c r="M469" s="407">
        <v>13.33</v>
      </c>
      <c r="N469" s="408" t="s">
        <v>289</v>
      </c>
      <c r="O469" s="325">
        <f t="shared" si="92"/>
        <v>0</v>
      </c>
      <c r="P469" s="325">
        <f t="shared" si="93"/>
        <v>0</v>
      </c>
      <c r="Q469" s="325">
        <f t="shared" si="94"/>
        <v>0</v>
      </c>
      <c r="R469" s="325">
        <f t="shared" si="95"/>
        <v>1509</v>
      </c>
      <c r="S469" s="325">
        <f t="shared" si="96"/>
        <v>0</v>
      </c>
      <c r="T469" s="325">
        <f t="shared" si="97"/>
        <v>1509</v>
      </c>
      <c r="U469" s="409">
        <f t="shared" si="90"/>
        <v>21144</v>
      </c>
      <c r="V469" s="325">
        <f t="shared" si="91"/>
        <v>0</v>
      </c>
      <c r="W469" s="449" cm="1">
        <f t="array" ref="W469">+IF(U469&lt;0,error,0)</f>
        <v>0</v>
      </c>
    </row>
    <row r="470" spans="1:23" ht="18" customHeight="1" x14ac:dyDescent="0.2">
      <c r="A470" s="402" t="s">
        <v>965</v>
      </c>
      <c r="B470" s="403"/>
      <c r="C470" s="404" t="s">
        <v>966</v>
      </c>
      <c r="D470" s="405">
        <v>43147</v>
      </c>
      <c r="E470" s="406"/>
      <c r="F470" s="325"/>
      <c r="G470" s="324"/>
      <c r="H470" s="324">
        <v>10000</v>
      </c>
      <c r="I470" s="325">
        <v>7728</v>
      </c>
      <c r="J470" s="325"/>
      <c r="K470" s="325">
        <f t="shared" si="88"/>
        <v>0</v>
      </c>
      <c r="L470" s="325">
        <f t="shared" si="89"/>
        <v>0</v>
      </c>
      <c r="M470" s="407">
        <v>13.33</v>
      </c>
      <c r="N470" s="408" t="s">
        <v>289</v>
      </c>
      <c r="O470" s="325">
        <f t="shared" si="92"/>
        <v>0</v>
      </c>
      <c r="P470" s="325">
        <f t="shared" si="93"/>
        <v>0</v>
      </c>
      <c r="Q470" s="325">
        <f t="shared" si="94"/>
        <v>0</v>
      </c>
      <c r="R470" s="325">
        <f t="shared" si="95"/>
        <v>515</v>
      </c>
      <c r="S470" s="325">
        <f t="shared" si="96"/>
        <v>0</v>
      </c>
      <c r="T470" s="325">
        <f t="shared" si="97"/>
        <v>515</v>
      </c>
      <c r="U470" s="409">
        <f t="shared" si="90"/>
        <v>7213</v>
      </c>
      <c r="V470" s="325">
        <f t="shared" si="91"/>
        <v>0</v>
      </c>
      <c r="W470" s="449" cm="1">
        <f t="array" ref="W470">+IF(U470&lt;0,error,0)</f>
        <v>0</v>
      </c>
    </row>
    <row r="471" spans="1:23" ht="18" customHeight="1" x14ac:dyDescent="0.2">
      <c r="A471" s="402" t="s">
        <v>967</v>
      </c>
      <c r="B471" s="403"/>
      <c r="C471" s="404" t="s">
        <v>968</v>
      </c>
      <c r="D471" s="405">
        <v>43223</v>
      </c>
      <c r="E471" s="406"/>
      <c r="F471" s="325"/>
      <c r="G471" s="324"/>
      <c r="H471" s="324">
        <v>12717</v>
      </c>
      <c r="I471" s="325">
        <v>10113</v>
      </c>
      <c r="J471" s="325"/>
      <c r="K471" s="325">
        <f t="shared" si="88"/>
        <v>0</v>
      </c>
      <c r="L471" s="325">
        <f t="shared" si="89"/>
        <v>0</v>
      </c>
      <c r="M471" s="407">
        <v>13.33</v>
      </c>
      <c r="N471" s="408" t="s">
        <v>289</v>
      </c>
      <c r="O471" s="325">
        <f t="shared" si="92"/>
        <v>0</v>
      </c>
      <c r="P471" s="325">
        <f t="shared" si="93"/>
        <v>0</v>
      </c>
      <c r="Q471" s="325">
        <f t="shared" si="94"/>
        <v>0</v>
      </c>
      <c r="R471" s="325">
        <f t="shared" si="95"/>
        <v>674</v>
      </c>
      <c r="S471" s="325">
        <f t="shared" si="96"/>
        <v>0</v>
      </c>
      <c r="T471" s="325">
        <f t="shared" si="97"/>
        <v>674</v>
      </c>
      <c r="U471" s="409">
        <f t="shared" si="90"/>
        <v>9439</v>
      </c>
      <c r="V471" s="325">
        <f t="shared" si="91"/>
        <v>0</v>
      </c>
      <c r="W471" s="449" cm="1">
        <f t="array" ref="W471">+IF(U471&lt;0,error,0)</f>
        <v>0</v>
      </c>
    </row>
    <row r="472" spans="1:23" ht="18" customHeight="1" x14ac:dyDescent="0.2">
      <c r="A472" s="402" t="s">
        <v>971</v>
      </c>
      <c r="B472" s="403"/>
      <c r="C472" s="404" t="s">
        <v>972</v>
      </c>
      <c r="D472" s="405">
        <v>42917</v>
      </c>
      <c r="E472" s="406"/>
      <c r="F472" s="325"/>
      <c r="G472" s="324"/>
      <c r="H472" s="324">
        <v>1000</v>
      </c>
      <c r="I472" s="325">
        <v>843</v>
      </c>
      <c r="J472" s="325"/>
      <c r="K472" s="325">
        <f t="shared" si="88"/>
        <v>0</v>
      </c>
      <c r="L472" s="325">
        <f t="shared" si="89"/>
        <v>0</v>
      </c>
      <c r="M472" s="407">
        <v>6.67</v>
      </c>
      <c r="N472" s="408" t="s">
        <v>289</v>
      </c>
      <c r="O472" s="325">
        <f t="shared" si="92"/>
        <v>0</v>
      </c>
      <c r="P472" s="325">
        <f t="shared" si="93"/>
        <v>0</v>
      </c>
      <c r="Q472" s="325">
        <f t="shared" si="94"/>
        <v>0</v>
      </c>
      <c r="R472" s="325">
        <f t="shared" si="95"/>
        <v>28</v>
      </c>
      <c r="S472" s="325">
        <f t="shared" si="96"/>
        <v>0</v>
      </c>
      <c r="T472" s="325">
        <f t="shared" si="97"/>
        <v>28</v>
      </c>
      <c r="U472" s="409">
        <f t="shared" si="90"/>
        <v>815</v>
      </c>
      <c r="V472" s="325">
        <f t="shared" si="91"/>
        <v>0</v>
      </c>
      <c r="W472" s="449" cm="1">
        <f t="array" ref="W472">+IF(U472&lt;0,error,0)</f>
        <v>0</v>
      </c>
    </row>
    <row r="473" spans="1:23" ht="18" customHeight="1" x14ac:dyDescent="0.2">
      <c r="A473" s="402" t="s">
        <v>973</v>
      </c>
      <c r="B473" s="403"/>
      <c r="C473" s="404" t="s">
        <v>974</v>
      </c>
      <c r="D473" s="405">
        <v>42917</v>
      </c>
      <c r="E473" s="406"/>
      <c r="F473" s="325"/>
      <c r="G473" s="324"/>
      <c r="H473" s="324">
        <v>2240</v>
      </c>
      <c r="I473" s="325">
        <v>1889</v>
      </c>
      <c r="J473" s="325"/>
      <c r="K473" s="325">
        <f t="shared" si="88"/>
        <v>0</v>
      </c>
      <c r="L473" s="325">
        <f t="shared" si="89"/>
        <v>0</v>
      </c>
      <c r="M473" s="407">
        <v>6.67</v>
      </c>
      <c r="N473" s="408" t="s">
        <v>289</v>
      </c>
      <c r="O473" s="325">
        <f t="shared" si="92"/>
        <v>0</v>
      </c>
      <c r="P473" s="325">
        <f t="shared" si="93"/>
        <v>0</v>
      </c>
      <c r="Q473" s="325">
        <f t="shared" si="94"/>
        <v>0</v>
      </c>
      <c r="R473" s="325">
        <f t="shared" si="95"/>
        <v>62</v>
      </c>
      <c r="S473" s="325">
        <f t="shared" si="96"/>
        <v>0</v>
      </c>
      <c r="T473" s="325">
        <f t="shared" si="97"/>
        <v>62</v>
      </c>
      <c r="U473" s="409">
        <f t="shared" si="90"/>
        <v>1827</v>
      </c>
      <c r="V473" s="325">
        <f t="shared" si="91"/>
        <v>0</v>
      </c>
      <c r="W473" s="449" cm="1">
        <f t="array" ref="W473">+IF(U473&lt;0,error,0)</f>
        <v>0</v>
      </c>
    </row>
    <row r="474" spans="1:23" ht="18" customHeight="1" x14ac:dyDescent="0.2">
      <c r="A474" s="402" t="s">
        <v>975</v>
      </c>
      <c r="B474" s="403"/>
      <c r="C474" s="404" t="s">
        <v>976</v>
      </c>
      <c r="D474" s="405">
        <v>43008</v>
      </c>
      <c r="E474" s="406"/>
      <c r="F474" s="325"/>
      <c r="G474" s="324"/>
      <c r="H474" s="324">
        <v>1858.5</v>
      </c>
      <c r="I474" s="325">
        <v>1360.5</v>
      </c>
      <c r="J474" s="325"/>
      <c r="K474" s="325">
        <f t="shared" si="88"/>
        <v>0</v>
      </c>
      <c r="L474" s="325">
        <f t="shared" si="89"/>
        <v>0</v>
      </c>
      <c r="M474" s="407">
        <v>13.33</v>
      </c>
      <c r="N474" s="408" t="s">
        <v>289</v>
      </c>
      <c r="O474" s="325">
        <f t="shared" si="92"/>
        <v>0</v>
      </c>
      <c r="P474" s="325">
        <f t="shared" si="93"/>
        <v>0</v>
      </c>
      <c r="Q474" s="325">
        <f t="shared" si="94"/>
        <v>0</v>
      </c>
      <c r="R474" s="325">
        <f t="shared" si="95"/>
        <v>90</v>
      </c>
      <c r="S474" s="325">
        <f t="shared" si="96"/>
        <v>0</v>
      </c>
      <c r="T474" s="325">
        <f t="shared" si="97"/>
        <v>90</v>
      </c>
      <c r="U474" s="409">
        <f t="shared" si="90"/>
        <v>1270.5</v>
      </c>
      <c r="V474" s="325">
        <f t="shared" si="91"/>
        <v>0</v>
      </c>
      <c r="W474" s="449" cm="1">
        <f t="array" ref="W474">+IF(U474&lt;0,error,0)</f>
        <v>0</v>
      </c>
    </row>
    <row r="475" spans="1:23" ht="18" customHeight="1" x14ac:dyDescent="0.2">
      <c r="A475" s="402" t="s">
        <v>977</v>
      </c>
      <c r="B475" s="403"/>
      <c r="C475" s="404" t="s">
        <v>978</v>
      </c>
      <c r="D475" s="405">
        <v>43069</v>
      </c>
      <c r="E475" s="406"/>
      <c r="F475" s="325"/>
      <c r="G475" s="324"/>
      <c r="H475" s="324">
        <v>3843</v>
      </c>
      <c r="I475" s="325">
        <v>2881</v>
      </c>
      <c r="J475" s="325"/>
      <c r="K475" s="325">
        <f t="shared" si="88"/>
        <v>0</v>
      </c>
      <c r="L475" s="325">
        <f t="shared" si="89"/>
        <v>0</v>
      </c>
      <c r="M475" s="407">
        <v>13.33</v>
      </c>
      <c r="N475" s="408" t="s">
        <v>289</v>
      </c>
      <c r="O475" s="325">
        <f t="shared" si="92"/>
        <v>0</v>
      </c>
      <c r="P475" s="325">
        <f t="shared" si="93"/>
        <v>0</v>
      </c>
      <c r="Q475" s="325">
        <f t="shared" si="94"/>
        <v>0</v>
      </c>
      <c r="R475" s="325">
        <f t="shared" si="95"/>
        <v>192</v>
      </c>
      <c r="S475" s="325">
        <f t="shared" si="96"/>
        <v>0</v>
      </c>
      <c r="T475" s="325">
        <f t="shared" si="97"/>
        <v>192</v>
      </c>
      <c r="U475" s="409">
        <f t="shared" si="90"/>
        <v>2689</v>
      </c>
      <c r="V475" s="325">
        <f t="shared" si="91"/>
        <v>0</v>
      </c>
      <c r="W475" s="449" cm="1">
        <f t="array" ref="W475">+IF(U475&lt;0,error,0)</f>
        <v>0</v>
      </c>
    </row>
    <row r="476" spans="1:23" ht="18" customHeight="1" x14ac:dyDescent="0.2">
      <c r="A476" s="402" t="s">
        <v>979</v>
      </c>
      <c r="B476" s="403"/>
      <c r="C476" s="440" t="s">
        <v>980</v>
      </c>
      <c r="D476" s="405">
        <v>43131</v>
      </c>
      <c r="E476" s="406"/>
      <c r="F476" s="325"/>
      <c r="G476" s="439"/>
      <c r="H476" s="324">
        <v>3024</v>
      </c>
      <c r="I476" s="325">
        <v>2021</v>
      </c>
      <c r="J476" s="325"/>
      <c r="K476" s="325">
        <f t="shared" si="88"/>
        <v>0</v>
      </c>
      <c r="L476" s="325">
        <f t="shared" si="89"/>
        <v>0</v>
      </c>
      <c r="M476" s="407">
        <v>20</v>
      </c>
      <c r="N476" s="408" t="s">
        <v>289</v>
      </c>
      <c r="O476" s="325">
        <f t="shared" si="92"/>
        <v>0</v>
      </c>
      <c r="P476" s="325">
        <f t="shared" si="93"/>
        <v>0</v>
      </c>
      <c r="Q476" s="325">
        <f t="shared" si="94"/>
        <v>0</v>
      </c>
      <c r="R476" s="325">
        <f t="shared" si="95"/>
        <v>202</v>
      </c>
      <c r="S476" s="325">
        <f t="shared" si="96"/>
        <v>0</v>
      </c>
      <c r="T476" s="325">
        <f t="shared" si="97"/>
        <v>202</v>
      </c>
      <c r="U476" s="409">
        <f t="shared" si="90"/>
        <v>1819</v>
      </c>
      <c r="V476" s="325">
        <f t="shared" si="91"/>
        <v>0</v>
      </c>
      <c r="W476" s="449" cm="1">
        <f t="array" ref="W476">+IF(U476&lt;0,error,0)</f>
        <v>0</v>
      </c>
    </row>
    <row r="477" spans="1:23" ht="18" customHeight="1" x14ac:dyDescent="0.2">
      <c r="A477" s="402" t="s">
        <v>981</v>
      </c>
      <c r="B477" s="403"/>
      <c r="C477" s="404" t="s">
        <v>982</v>
      </c>
      <c r="D477" s="405">
        <v>43131</v>
      </c>
      <c r="E477" s="406"/>
      <c r="F477" s="325"/>
      <c r="G477" s="324"/>
      <c r="H477" s="324">
        <v>1386</v>
      </c>
      <c r="I477" s="325">
        <v>927</v>
      </c>
      <c r="J477" s="325"/>
      <c r="K477" s="325">
        <f t="shared" si="88"/>
        <v>0</v>
      </c>
      <c r="L477" s="325">
        <f t="shared" si="89"/>
        <v>0</v>
      </c>
      <c r="M477" s="407">
        <v>20</v>
      </c>
      <c r="N477" s="408" t="s">
        <v>289</v>
      </c>
      <c r="O477" s="325">
        <f t="shared" si="92"/>
        <v>0</v>
      </c>
      <c r="P477" s="325">
        <f t="shared" si="93"/>
        <v>0</v>
      </c>
      <c r="Q477" s="325">
        <f t="shared" si="94"/>
        <v>0</v>
      </c>
      <c r="R477" s="325">
        <f t="shared" si="95"/>
        <v>92</v>
      </c>
      <c r="S477" s="325">
        <f t="shared" si="96"/>
        <v>0</v>
      </c>
      <c r="T477" s="325">
        <f t="shared" si="97"/>
        <v>92</v>
      </c>
      <c r="U477" s="409">
        <f t="shared" si="90"/>
        <v>835</v>
      </c>
      <c r="V477" s="325">
        <f t="shared" si="91"/>
        <v>0</v>
      </c>
      <c r="W477" s="449" cm="1">
        <f t="array" ref="W477">+IF(U477&lt;0,error,0)</f>
        <v>0</v>
      </c>
    </row>
    <row r="478" spans="1:23" ht="18" customHeight="1" x14ac:dyDescent="0.2">
      <c r="A478" s="402" t="s">
        <v>983</v>
      </c>
      <c r="B478" s="403"/>
      <c r="C478" s="404" t="s">
        <v>984</v>
      </c>
      <c r="D478" s="405">
        <v>43145</v>
      </c>
      <c r="E478" s="406"/>
      <c r="F478" s="325"/>
      <c r="G478" s="324"/>
      <c r="H478" s="324">
        <v>13800</v>
      </c>
      <c r="I478" s="325">
        <v>10654</v>
      </c>
      <c r="J478" s="325"/>
      <c r="K478" s="325">
        <f t="shared" si="88"/>
        <v>0</v>
      </c>
      <c r="L478" s="325">
        <f t="shared" si="89"/>
        <v>0</v>
      </c>
      <c r="M478" s="407">
        <v>13.33</v>
      </c>
      <c r="N478" s="408" t="s">
        <v>289</v>
      </c>
      <c r="O478" s="325">
        <f t="shared" si="92"/>
        <v>0</v>
      </c>
      <c r="P478" s="325">
        <f t="shared" si="93"/>
        <v>0</v>
      </c>
      <c r="Q478" s="325">
        <f t="shared" si="94"/>
        <v>0</v>
      </c>
      <c r="R478" s="325">
        <f t="shared" si="95"/>
        <v>710</v>
      </c>
      <c r="S478" s="325">
        <f t="shared" si="96"/>
        <v>0</v>
      </c>
      <c r="T478" s="325">
        <f t="shared" si="97"/>
        <v>710</v>
      </c>
      <c r="U478" s="409">
        <f t="shared" si="90"/>
        <v>9944</v>
      </c>
      <c r="V478" s="325">
        <f t="shared" si="91"/>
        <v>0</v>
      </c>
      <c r="W478" s="449" cm="1">
        <f t="array" ref="W478">+IF(U478&lt;0,error,0)</f>
        <v>0</v>
      </c>
    </row>
    <row r="479" spans="1:23" ht="18" customHeight="1" x14ac:dyDescent="0.2">
      <c r="A479" s="402" t="s">
        <v>985</v>
      </c>
      <c r="B479" s="403"/>
      <c r="C479" s="404" t="s">
        <v>986</v>
      </c>
      <c r="D479" s="405">
        <v>43145</v>
      </c>
      <c r="E479" s="406"/>
      <c r="F479" s="325"/>
      <c r="G479" s="324"/>
      <c r="H479" s="324">
        <v>4469.54</v>
      </c>
      <c r="I479" s="325">
        <v>3451.54</v>
      </c>
      <c r="J479" s="325"/>
      <c r="K479" s="325">
        <f t="shared" si="88"/>
        <v>0</v>
      </c>
      <c r="L479" s="325">
        <f t="shared" si="89"/>
        <v>0</v>
      </c>
      <c r="M479" s="407">
        <v>13.33</v>
      </c>
      <c r="N479" s="408" t="s">
        <v>289</v>
      </c>
      <c r="O479" s="325">
        <f t="shared" si="92"/>
        <v>0</v>
      </c>
      <c r="P479" s="325">
        <f t="shared" si="93"/>
        <v>0</v>
      </c>
      <c r="Q479" s="325">
        <f t="shared" si="94"/>
        <v>0</v>
      </c>
      <c r="R479" s="325">
        <f t="shared" si="95"/>
        <v>230</v>
      </c>
      <c r="S479" s="325">
        <f t="shared" si="96"/>
        <v>0</v>
      </c>
      <c r="T479" s="325">
        <f t="shared" si="97"/>
        <v>230</v>
      </c>
      <c r="U479" s="409">
        <f t="shared" si="90"/>
        <v>3221.54</v>
      </c>
      <c r="V479" s="325">
        <f t="shared" si="91"/>
        <v>0</v>
      </c>
      <c r="W479" s="449" cm="1">
        <f t="array" ref="W479">+IF(U479&lt;0,error,0)</f>
        <v>0</v>
      </c>
    </row>
    <row r="480" spans="1:23" ht="18" customHeight="1" x14ac:dyDescent="0.2">
      <c r="A480" s="402" t="s">
        <v>987</v>
      </c>
      <c r="B480" s="403"/>
      <c r="C480" s="404" t="s">
        <v>988</v>
      </c>
      <c r="D480" s="405">
        <v>43145</v>
      </c>
      <c r="E480" s="406"/>
      <c r="F480" s="325"/>
      <c r="G480" s="324"/>
      <c r="H480" s="324">
        <v>7285.6</v>
      </c>
      <c r="I480" s="325">
        <v>5624.6</v>
      </c>
      <c r="J480" s="325"/>
      <c r="K480" s="325">
        <f t="shared" si="88"/>
        <v>0</v>
      </c>
      <c r="L480" s="325">
        <f t="shared" si="89"/>
        <v>0</v>
      </c>
      <c r="M480" s="407">
        <v>13.33</v>
      </c>
      <c r="N480" s="408" t="s">
        <v>289</v>
      </c>
      <c r="O480" s="325">
        <f t="shared" si="92"/>
        <v>0</v>
      </c>
      <c r="P480" s="325">
        <f t="shared" si="93"/>
        <v>0</v>
      </c>
      <c r="Q480" s="325">
        <f t="shared" si="94"/>
        <v>0</v>
      </c>
      <c r="R480" s="325">
        <f t="shared" si="95"/>
        <v>374</v>
      </c>
      <c r="S480" s="325">
        <f t="shared" si="96"/>
        <v>0</v>
      </c>
      <c r="T480" s="325">
        <f t="shared" si="97"/>
        <v>374</v>
      </c>
      <c r="U480" s="409">
        <f t="shared" si="90"/>
        <v>5250.6</v>
      </c>
      <c r="V480" s="325">
        <f t="shared" si="91"/>
        <v>0</v>
      </c>
      <c r="W480" s="449" cm="1">
        <f t="array" ref="W480">+IF(U480&lt;0,error,0)</f>
        <v>0</v>
      </c>
    </row>
    <row r="481" spans="1:23" ht="18" customHeight="1" x14ac:dyDescent="0.2">
      <c r="A481" s="402" t="s">
        <v>989</v>
      </c>
      <c r="B481" s="403"/>
      <c r="C481" s="404" t="s">
        <v>990</v>
      </c>
      <c r="D481" s="405">
        <v>43158</v>
      </c>
      <c r="E481" s="406"/>
      <c r="F481" s="325"/>
      <c r="G481" s="324"/>
      <c r="H481" s="324">
        <v>2072.7200000000003</v>
      </c>
      <c r="I481" s="325">
        <v>1608.72</v>
      </c>
      <c r="J481" s="325"/>
      <c r="K481" s="325">
        <f t="shared" si="88"/>
        <v>0</v>
      </c>
      <c r="L481" s="325">
        <f t="shared" si="89"/>
        <v>0</v>
      </c>
      <c r="M481" s="407">
        <v>13.33</v>
      </c>
      <c r="N481" s="408" t="s">
        <v>289</v>
      </c>
      <c r="O481" s="325">
        <f t="shared" si="92"/>
        <v>0</v>
      </c>
      <c r="P481" s="325">
        <f t="shared" si="93"/>
        <v>0</v>
      </c>
      <c r="Q481" s="325">
        <f t="shared" si="94"/>
        <v>0</v>
      </c>
      <c r="R481" s="325">
        <f t="shared" si="95"/>
        <v>107</v>
      </c>
      <c r="S481" s="325">
        <f t="shared" si="96"/>
        <v>0</v>
      </c>
      <c r="T481" s="325">
        <f t="shared" si="97"/>
        <v>107</v>
      </c>
      <c r="U481" s="409">
        <f t="shared" si="90"/>
        <v>1501.72</v>
      </c>
      <c r="V481" s="325">
        <f t="shared" si="91"/>
        <v>0</v>
      </c>
      <c r="W481" s="449" cm="1">
        <f t="array" ref="W481">+IF(U481&lt;0,error,0)</f>
        <v>0</v>
      </c>
    </row>
    <row r="482" spans="1:23" ht="18" customHeight="1" x14ac:dyDescent="0.2">
      <c r="A482" s="402" t="s">
        <v>991</v>
      </c>
      <c r="B482" s="403"/>
      <c r="C482" s="412" t="s">
        <v>992</v>
      </c>
      <c r="D482" s="405">
        <v>43159</v>
      </c>
      <c r="E482" s="406"/>
      <c r="F482" s="325"/>
      <c r="G482" s="324"/>
      <c r="H482" s="324">
        <v>2976</v>
      </c>
      <c r="I482" s="325">
        <v>2022</v>
      </c>
      <c r="J482" s="325"/>
      <c r="K482" s="325">
        <f t="shared" si="88"/>
        <v>0</v>
      </c>
      <c r="L482" s="325">
        <f t="shared" si="89"/>
        <v>0</v>
      </c>
      <c r="M482" s="407">
        <v>20</v>
      </c>
      <c r="N482" s="408" t="s">
        <v>289</v>
      </c>
      <c r="O482" s="325">
        <f t="shared" si="92"/>
        <v>0</v>
      </c>
      <c r="P482" s="325">
        <f t="shared" si="93"/>
        <v>0</v>
      </c>
      <c r="Q482" s="325">
        <f t="shared" si="94"/>
        <v>0</v>
      </c>
      <c r="R482" s="325">
        <f t="shared" si="95"/>
        <v>202</v>
      </c>
      <c r="S482" s="325">
        <f t="shared" si="96"/>
        <v>0</v>
      </c>
      <c r="T482" s="325">
        <f t="shared" si="97"/>
        <v>202</v>
      </c>
      <c r="U482" s="409">
        <f t="shared" si="90"/>
        <v>1820</v>
      </c>
      <c r="V482" s="325">
        <f t="shared" si="91"/>
        <v>0</v>
      </c>
      <c r="W482" s="449" cm="1">
        <f t="array" ref="W482">+IF(U482&lt;0,error,0)</f>
        <v>0</v>
      </c>
    </row>
    <row r="483" spans="1:23" ht="18" customHeight="1" x14ac:dyDescent="0.2">
      <c r="A483" s="402" t="s">
        <v>993</v>
      </c>
      <c r="B483" s="403"/>
      <c r="C483" s="412" t="s">
        <v>994</v>
      </c>
      <c r="D483" s="405">
        <v>43159</v>
      </c>
      <c r="E483" s="406"/>
      <c r="F483" s="325"/>
      <c r="G483" s="324"/>
      <c r="H483" s="324">
        <v>1860</v>
      </c>
      <c r="I483" s="325">
        <v>1265</v>
      </c>
      <c r="J483" s="325"/>
      <c r="K483" s="325">
        <f t="shared" si="88"/>
        <v>0</v>
      </c>
      <c r="L483" s="325">
        <f t="shared" si="89"/>
        <v>0</v>
      </c>
      <c r="M483" s="407">
        <v>20</v>
      </c>
      <c r="N483" s="408" t="s">
        <v>289</v>
      </c>
      <c r="O483" s="325">
        <f t="shared" si="92"/>
        <v>0</v>
      </c>
      <c r="P483" s="325">
        <f t="shared" si="93"/>
        <v>0</v>
      </c>
      <c r="Q483" s="325">
        <f t="shared" si="94"/>
        <v>0</v>
      </c>
      <c r="R483" s="325">
        <f t="shared" si="95"/>
        <v>126</v>
      </c>
      <c r="S483" s="325">
        <f t="shared" si="96"/>
        <v>0</v>
      </c>
      <c r="T483" s="325">
        <f t="shared" si="97"/>
        <v>126</v>
      </c>
      <c r="U483" s="409">
        <f t="shared" si="90"/>
        <v>1139</v>
      </c>
      <c r="V483" s="325">
        <f t="shared" si="91"/>
        <v>0</v>
      </c>
      <c r="W483" s="449" cm="1">
        <f t="array" ref="W483">+IF(U483&lt;0,error,0)</f>
        <v>0</v>
      </c>
    </row>
    <row r="484" spans="1:23" ht="18" customHeight="1" x14ac:dyDescent="0.2">
      <c r="A484" s="402" t="s">
        <v>995</v>
      </c>
      <c r="B484" s="403"/>
      <c r="C484" s="412" t="s">
        <v>996</v>
      </c>
      <c r="D484" s="405">
        <v>43159</v>
      </c>
      <c r="E484" s="406"/>
      <c r="F484" s="325"/>
      <c r="G484" s="324"/>
      <c r="H484" s="324">
        <v>5650</v>
      </c>
      <c r="I484" s="325">
        <v>4989</v>
      </c>
      <c r="J484" s="325"/>
      <c r="K484" s="325">
        <f t="shared" si="88"/>
        <v>0</v>
      </c>
      <c r="L484" s="325">
        <f t="shared" si="89"/>
        <v>0</v>
      </c>
      <c r="M484" s="407">
        <v>6.67</v>
      </c>
      <c r="N484" s="408" t="s">
        <v>289</v>
      </c>
      <c r="O484" s="325">
        <f t="shared" si="92"/>
        <v>0</v>
      </c>
      <c r="P484" s="325">
        <f t="shared" si="93"/>
        <v>0</v>
      </c>
      <c r="Q484" s="325">
        <f t="shared" si="94"/>
        <v>0</v>
      </c>
      <c r="R484" s="325">
        <f t="shared" si="95"/>
        <v>166</v>
      </c>
      <c r="S484" s="325">
        <f t="shared" si="96"/>
        <v>0</v>
      </c>
      <c r="T484" s="325">
        <f t="shared" si="97"/>
        <v>166</v>
      </c>
      <c r="U484" s="409">
        <f t="shared" si="90"/>
        <v>4823</v>
      </c>
      <c r="V484" s="325">
        <f t="shared" si="91"/>
        <v>0</v>
      </c>
      <c r="W484" s="449" cm="1">
        <f t="array" ref="W484">+IF(U484&lt;0,error,0)</f>
        <v>0</v>
      </c>
    </row>
    <row r="485" spans="1:23" ht="18" customHeight="1" x14ac:dyDescent="0.2">
      <c r="A485" s="402" t="s">
        <v>997</v>
      </c>
      <c r="B485" s="403"/>
      <c r="C485" s="412" t="s">
        <v>996</v>
      </c>
      <c r="D485" s="405">
        <v>43159</v>
      </c>
      <c r="E485" s="406"/>
      <c r="F485" s="325"/>
      <c r="G485" s="324"/>
      <c r="H485" s="324">
        <v>9300</v>
      </c>
      <c r="I485" s="325">
        <v>8211</v>
      </c>
      <c r="J485" s="325"/>
      <c r="K485" s="325">
        <f t="shared" si="88"/>
        <v>0</v>
      </c>
      <c r="L485" s="325">
        <f t="shared" si="89"/>
        <v>0</v>
      </c>
      <c r="M485" s="407">
        <v>6.67</v>
      </c>
      <c r="N485" s="408" t="s">
        <v>289</v>
      </c>
      <c r="O485" s="325">
        <f t="shared" si="92"/>
        <v>0</v>
      </c>
      <c r="P485" s="325">
        <f t="shared" si="93"/>
        <v>0</v>
      </c>
      <c r="Q485" s="325">
        <f t="shared" si="94"/>
        <v>0</v>
      </c>
      <c r="R485" s="325">
        <f t="shared" si="95"/>
        <v>273</v>
      </c>
      <c r="S485" s="325">
        <f t="shared" si="96"/>
        <v>0</v>
      </c>
      <c r="T485" s="325">
        <f t="shared" si="97"/>
        <v>273</v>
      </c>
      <c r="U485" s="409">
        <f t="shared" si="90"/>
        <v>7938</v>
      </c>
      <c r="V485" s="325">
        <f t="shared" si="91"/>
        <v>0</v>
      </c>
      <c r="W485" s="449" cm="1">
        <f t="array" ref="W485">+IF(U485&lt;0,error,0)</f>
        <v>0</v>
      </c>
    </row>
    <row r="486" spans="1:23" ht="18" customHeight="1" x14ac:dyDescent="0.2">
      <c r="A486" s="402" t="s">
        <v>998</v>
      </c>
      <c r="B486" s="403"/>
      <c r="C486" s="404" t="s">
        <v>999</v>
      </c>
      <c r="D486" s="405">
        <v>43189</v>
      </c>
      <c r="E486" s="406"/>
      <c r="F486" s="325"/>
      <c r="G486" s="324"/>
      <c r="H486" s="324">
        <v>2542</v>
      </c>
      <c r="I486" s="325">
        <v>1758</v>
      </c>
      <c r="J486" s="325"/>
      <c r="K486" s="325">
        <f t="shared" si="88"/>
        <v>0</v>
      </c>
      <c r="L486" s="325">
        <f t="shared" si="89"/>
        <v>0</v>
      </c>
      <c r="M486" s="407">
        <v>20</v>
      </c>
      <c r="N486" s="408" t="s">
        <v>289</v>
      </c>
      <c r="O486" s="325">
        <f t="shared" si="92"/>
        <v>0</v>
      </c>
      <c r="P486" s="325">
        <f t="shared" si="93"/>
        <v>0</v>
      </c>
      <c r="Q486" s="325">
        <f t="shared" si="94"/>
        <v>0</v>
      </c>
      <c r="R486" s="325">
        <f t="shared" si="95"/>
        <v>175</v>
      </c>
      <c r="S486" s="325">
        <f t="shared" si="96"/>
        <v>0</v>
      </c>
      <c r="T486" s="325">
        <f t="shared" si="97"/>
        <v>175</v>
      </c>
      <c r="U486" s="409">
        <f t="shared" si="90"/>
        <v>1583</v>
      </c>
      <c r="V486" s="325">
        <f t="shared" si="91"/>
        <v>0</v>
      </c>
      <c r="W486" s="449" cm="1">
        <f t="array" ref="W486">+IF(U486&lt;0,error,0)</f>
        <v>0</v>
      </c>
    </row>
    <row r="487" spans="1:23" ht="18" customHeight="1" x14ac:dyDescent="0.2">
      <c r="A487" s="402" t="s">
        <v>1000</v>
      </c>
      <c r="B487" s="403"/>
      <c r="C487" s="404" t="s">
        <v>1001</v>
      </c>
      <c r="D487" s="405">
        <v>43258</v>
      </c>
      <c r="E487" s="406"/>
      <c r="F487" s="325"/>
      <c r="G487" s="324"/>
      <c r="H487" s="324">
        <v>158048</v>
      </c>
      <c r="I487" s="325">
        <v>127315</v>
      </c>
      <c r="J487" s="325"/>
      <c r="K487" s="325">
        <f t="shared" si="88"/>
        <v>0</v>
      </c>
      <c r="L487" s="325">
        <f t="shared" si="89"/>
        <v>0</v>
      </c>
      <c r="M487" s="407">
        <v>13.33</v>
      </c>
      <c r="N487" s="408" t="s">
        <v>289</v>
      </c>
      <c r="O487" s="325">
        <f t="shared" si="92"/>
        <v>0</v>
      </c>
      <c r="P487" s="325">
        <f t="shared" si="93"/>
        <v>0</v>
      </c>
      <c r="Q487" s="325">
        <f t="shared" si="94"/>
        <v>0</v>
      </c>
      <c r="R487" s="325">
        <f t="shared" si="95"/>
        <v>8485</v>
      </c>
      <c r="S487" s="325">
        <f t="shared" si="96"/>
        <v>0</v>
      </c>
      <c r="T487" s="325">
        <f t="shared" si="97"/>
        <v>8485</v>
      </c>
      <c r="U487" s="409">
        <f t="shared" si="90"/>
        <v>118830</v>
      </c>
      <c r="V487" s="325">
        <f t="shared" si="91"/>
        <v>0</v>
      </c>
      <c r="W487" s="449" cm="1">
        <f t="array" ref="W487">+IF(U487&lt;0,error,0)</f>
        <v>0</v>
      </c>
    </row>
    <row r="488" spans="1:23" ht="18" customHeight="1" x14ac:dyDescent="0.2">
      <c r="A488" s="402" t="s">
        <v>1002</v>
      </c>
      <c r="B488" s="403"/>
      <c r="C488" s="404" t="s">
        <v>1003</v>
      </c>
      <c r="D488" s="405">
        <v>42924</v>
      </c>
      <c r="E488" s="406"/>
      <c r="F488" s="325"/>
      <c r="G488" s="324"/>
      <c r="H488" s="324">
        <v>1092.0999999999999</v>
      </c>
      <c r="I488" s="325">
        <v>640.1</v>
      </c>
      <c r="J488" s="325"/>
      <c r="K488" s="325">
        <f t="shared" si="88"/>
        <v>0</v>
      </c>
      <c r="L488" s="325">
        <f t="shared" si="89"/>
        <v>0</v>
      </c>
      <c r="M488" s="407">
        <v>20</v>
      </c>
      <c r="N488" s="408" t="s">
        <v>289</v>
      </c>
      <c r="O488" s="325">
        <f t="shared" si="92"/>
        <v>0</v>
      </c>
      <c r="P488" s="325">
        <f t="shared" si="93"/>
        <v>0</v>
      </c>
      <c r="Q488" s="325">
        <f t="shared" si="94"/>
        <v>0</v>
      </c>
      <c r="R488" s="325">
        <f t="shared" si="95"/>
        <v>64</v>
      </c>
      <c r="S488" s="325">
        <f t="shared" si="96"/>
        <v>0</v>
      </c>
      <c r="T488" s="325">
        <f t="shared" si="97"/>
        <v>64</v>
      </c>
      <c r="U488" s="409">
        <f t="shared" si="90"/>
        <v>576.1</v>
      </c>
      <c r="V488" s="325">
        <f t="shared" si="91"/>
        <v>0</v>
      </c>
      <c r="W488" s="449" cm="1">
        <f t="array" ref="W488">+IF(U488&lt;0,error,0)</f>
        <v>0</v>
      </c>
    </row>
    <row r="489" spans="1:23" ht="18" customHeight="1" x14ac:dyDescent="0.2">
      <c r="A489" s="402" t="s">
        <v>1004</v>
      </c>
      <c r="B489" s="403"/>
      <c r="C489" s="404" t="s">
        <v>1005</v>
      </c>
      <c r="D489" s="405">
        <v>42933</v>
      </c>
      <c r="E489" s="406"/>
      <c r="F489" s="325"/>
      <c r="G489" s="324"/>
      <c r="H489" s="324">
        <v>2876.54</v>
      </c>
      <c r="I489" s="325">
        <v>1695.54</v>
      </c>
      <c r="J489" s="325"/>
      <c r="K489" s="325">
        <f t="shared" si="88"/>
        <v>0</v>
      </c>
      <c r="L489" s="325">
        <f t="shared" si="89"/>
        <v>0</v>
      </c>
      <c r="M489" s="407">
        <v>20</v>
      </c>
      <c r="N489" s="408" t="s">
        <v>289</v>
      </c>
      <c r="O489" s="325">
        <f t="shared" si="92"/>
        <v>0</v>
      </c>
      <c r="P489" s="325">
        <f t="shared" si="93"/>
        <v>0</v>
      </c>
      <c r="Q489" s="325">
        <f t="shared" si="94"/>
        <v>0</v>
      </c>
      <c r="R489" s="325">
        <f t="shared" si="95"/>
        <v>169</v>
      </c>
      <c r="S489" s="325">
        <f t="shared" si="96"/>
        <v>0</v>
      </c>
      <c r="T489" s="325">
        <f t="shared" si="97"/>
        <v>169</v>
      </c>
      <c r="U489" s="409">
        <f t="shared" si="90"/>
        <v>1526.54</v>
      </c>
      <c r="V489" s="325">
        <f t="shared" si="91"/>
        <v>0</v>
      </c>
      <c r="W489" s="449" cm="1">
        <f t="array" ref="W489">+IF(U489&lt;0,error,0)</f>
        <v>0</v>
      </c>
    </row>
    <row r="490" spans="1:23" ht="18" customHeight="1" x14ac:dyDescent="0.2">
      <c r="A490" s="402" t="s">
        <v>1006</v>
      </c>
      <c r="B490" s="403"/>
      <c r="C490" s="404" t="s">
        <v>1007</v>
      </c>
      <c r="D490" s="405">
        <v>42961</v>
      </c>
      <c r="E490" s="406"/>
      <c r="F490" s="325"/>
      <c r="G490" s="324"/>
      <c r="H490" s="324">
        <v>4662</v>
      </c>
      <c r="I490" s="325">
        <v>2799</v>
      </c>
      <c r="J490" s="325"/>
      <c r="K490" s="325">
        <f t="shared" si="88"/>
        <v>0</v>
      </c>
      <c r="L490" s="325">
        <f t="shared" si="89"/>
        <v>0</v>
      </c>
      <c r="M490" s="407">
        <v>20</v>
      </c>
      <c r="N490" s="408" t="s">
        <v>289</v>
      </c>
      <c r="O490" s="325">
        <f t="shared" si="92"/>
        <v>0</v>
      </c>
      <c r="P490" s="325">
        <f t="shared" si="93"/>
        <v>0</v>
      </c>
      <c r="Q490" s="325">
        <f t="shared" si="94"/>
        <v>0</v>
      </c>
      <c r="R490" s="325">
        <f t="shared" si="95"/>
        <v>279</v>
      </c>
      <c r="S490" s="325">
        <f t="shared" si="96"/>
        <v>0</v>
      </c>
      <c r="T490" s="325">
        <f t="shared" si="97"/>
        <v>279</v>
      </c>
      <c r="U490" s="409">
        <f t="shared" si="90"/>
        <v>2520</v>
      </c>
      <c r="V490" s="325">
        <f t="shared" si="91"/>
        <v>0</v>
      </c>
      <c r="W490" s="449" cm="1">
        <f t="array" ref="W490">+IF(U490&lt;0,error,0)</f>
        <v>0</v>
      </c>
    </row>
    <row r="491" spans="1:23" ht="18" customHeight="1" x14ac:dyDescent="0.2">
      <c r="A491" s="402" t="s">
        <v>1008</v>
      </c>
      <c r="B491" s="403"/>
      <c r="C491" s="404" t="s">
        <v>1009</v>
      </c>
      <c r="D491" s="405">
        <v>43140</v>
      </c>
      <c r="E491" s="406"/>
      <c r="F491" s="325"/>
      <c r="G491" s="324"/>
      <c r="H491" s="324">
        <v>12750</v>
      </c>
      <c r="I491" s="325">
        <v>10504</v>
      </c>
      <c r="J491" s="325"/>
      <c r="K491" s="325">
        <f t="shared" si="88"/>
        <v>0</v>
      </c>
      <c r="L491" s="325">
        <f t="shared" si="89"/>
        <v>0</v>
      </c>
      <c r="M491" s="407">
        <v>10</v>
      </c>
      <c r="N491" s="408" t="s">
        <v>289</v>
      </c>
      <c r="O491" s="325">
        <f t="shared" si="92"/>
        <v>0</v>
      </c>
      <c r="P491" s="325">
        <f t="shared" si="93"/>
        <v>0</v>
      </c>
      <c r="Q491" s="325">
        <f t="shared" si="94"/>
        <v>0</v>
      </c>
      <c r="R491" s="325">
        <f t="shared" si="95"/>
        <v>525</v>
      </c>
      <c r="S491" s="325">
        <f t="shared" si="96"/>
        <v>0</v>
      </c>
      <c r="T491" s="325">
        <f t="shared" si="97"/>
        <v>525</v>
      </c>
      <c r="U491" s="409">
        <f t="shared" si="90"/>
        <v>9979</v>
      </c>
      <c r="V491" s="325">
        <f t="shared" si="91"/>
        <v>0</v>
      </c>
      <c r="W491" s="449" cm="1">
        <f t="array" ref="W491">+IF(U491&lt;0,error,0)</f>
        <v>0</v>
      </c>
    </row>
    <row r="492" spans="1:23" ht="18" customHeight="1" x14ac:dyDescent="0.2">
      <c r="A492" s="402" t="s">
        <v>1010</v>
      </c>
      <c r="B492" s="403"/>
      <c r="C492" s="404" t="s">
        <v>1011</v>
      </c>
      <c r="D492" s="405">
        <v>42978</v>
      </c>
      <c r="E492" s="406"/>
      <c r="F492" s="325"/>
      <c r="G492" s="324"/>
      <c r="H492" s="324">
        <v>1638</v>
      </c>
      <c r="I492" s="325">
        <v>996</v>
      </c>
      <c r="J492" s="325"/>
      <c r="K492" s="325">
        <f t="shared" si="88"/>
        <v>0</v>
      </c>
      <c r="L492" s="325">
        <f t="shared" si="89"/>
        <v>0</v>
      </c>
      <c r="M492" s="407">
        <v>20</v>
      </c>
      <c r="N492" s="408" t="s">
        <v>289</v>
      </c>
      <c r="O492" s="325">
        <f t="shared" si="92"/>
        <v>0</v>
      </c>
      <c r="P492" s="325">
        <f t="shared" si="93"/>
        <v>0</v>
      </c>
      <c r="Q492" s="325">
        <f t="shared" si="94"/>
        <v>0</v>
      </c>
      <c r="R492" s="325">
        <f t="shared" si="95"/>
        <v>99</v>
      </c>
      <c r="S492" s="325">
        <f t="shared" si="96"/>
        <v>0</v>
      </c>
      <c r="T492" s="325">
        <f t="shared" si="97"/>
        <v>99</v>
      </c>
      <c r="U492" s="409">
        <f t="shared" si="90"/>
        <v>897</v>
      </c>
      <c r="V492" s="325">
        <f t="shared" si="91"/>
        <v>0</v>
      </c>
      <c r="W492" s="449" cm="1">
        <f t="array" ref="W492">+IF(U492&lt;0,error,0)</f>
        <v>0</v>
      </c>
    </row>
    <row r="493" spans="1:23" ht="18" customHeight="1" x14ac:dyDescent="0.2">
      <c r="A493" s="402" t="s">
        <v>1012</v>
      </c>
      <c r="B493" s="403"/>
      <c r="C493" s="404" t="s">
        <v>1013</v>
      </c>
      <c r="D493" s="405">
        <v>42978</v>
      </c>
      <c r="E493" s="406"/>
      <c r="F493" s="325"/>
      <c r="G493" s="324"/>
      <c r="H493" s="324">
        <v>104498.59</v>
      </c>
      <c r="I493" s="325">
        <v>82105.59</v>
      </c>
      <c r="J493" s="325"/>
      <c r="K493" s="325">
        <f t="shared" si="88"/>
        <v>0</v>
      </c>
      <c r="L493" s="325">
        <f t="shared" si="89"/>
        <v>0</v>
      </c>
      <c r="M493" s="407">
        <v>10</v>
      </c>
      <c r="N493" s="408" t="s">
        <v>289</v>
      </c>
      <c r="O493" s="325">
        <f t="shared" si="92"/>
        <v>0</v>
      </c>
      <c r="P493" s="325">
        <f t="shared" si="93"/>
        <v>0</v>
      </c>
      <c r="Q493" s="325">
        <f t="shared" si="94"/>
        <v>0</v>
      </c>
      <c r="R493" s="325">
        <f t="shared" si="95"/>
        <v>4105</v>
      </c>
      <c r="S493" s="325">
        <f t="shared" si="96"/>
        <v>0</v>
      </c>
      <c r="T493" s="325">
        <f t="shared" si="97"/>
        <v>4105</v>
      </c>
      <c r="U493" s="409">
        <f t="shared" si="90"/>
        <v>78000.59</v>
      </c>
      <c r="V493" s="325">
        <f t="shared" si="91"/>
        <v>0</v>
      </c>
      <c r="W493" s="449" cm="1">
        <f t="array" ref="W493">+IF(U493&lt;0,error,0)</f>
        <v>0</v>
      </c>
    </row>
    <row r="494" spans="1:23" ht="18" customHeight="1" x14ac:dyDescent="0.2">
      <c r="A494" s="402" t="s">
        <v>1014</v>
      </c>
      <c r="B494" s="403"/>
      <c r="C494" s="412" t="s">
        <v>1015</v>
      </c>
      <c r="D494" s="405">
        <v>43100</v>
      </c>
      <c r="E494" s="406"/>
      <c r="F494" s="325"/>
      <c r="G494" s="324"/>
      <c r="H494" s="324">
        <v>1953</v>
      </c>
      <c r="I494" s="325">
        <v>1282</v>
      </c>
      <c r="J494" s="325"/>
      <c r="K494" s="325">
        <f t="shared" si="88"/>
        <v>0</v>
      </c>
      <c r="L494" s="325">
        <f t="shared" si="89"/>
        <v>0</v>
      </c>
      <c r="M494" s="407">
        <v>20</v>
      </c>
      <c r="N494" s="408" t="s">
        <v>289</v>
      </c>
      <c r="O494" s="325">
        <f t="shared" si="92"/>
        <v>0</v>
      </c>
      <c r="P494" s="325">
        <f t="shared" si="93"/>
        <v>0</v>
      </c>
      <c r="Q494" s="325">
        <f t="shared" si="94"/>
        <v>0</v>
      </c>
      <c r="R494" s="325">
        <f t="shared" si="95"/>
        <v>128</v>
      </c>
      <c r="S494" s="325">
        <f t="shared" si="96"/>
        <v>0</v>
      </c>
      <c r="T494" s="325">
        <f t="shared" si="97"/>
        <v>128</v>
      </c>
      <c r="U494" s="409">
        <f t="shared" si="90"/>
        <v>1154</v>
      </c>
      <c r="V494" s="325">
        <f t="shared" si="91"/>
        <v>0</v>
      </c>
      <c r="W494" s="449" cm="1">
        <f t="array" ref="W494">+IF(U494&lt;0,error,0)</f>
        <v>0</v>
      </c>
    </row>
    <row r="495" spans="1:23" ht="18" customHeight="1" x14ac:dyDescent="0.2">
      <c r="A495" s="402" t="s">
        <v>1016</v>
      </c>
      <c r="B495" s="403"/>
      <c r="C495" s="404" t="s">
        <v>1017</v>
      </c>
      <c r="D495" s="405">
        <v>43188</v>
      </c>
      <c r="E495" s="406"/>
      <c r="F495" s="325"/>
      <c r="G495" s="324"/>
      <c r="H495" s="324">
        <v>1143.76</v>
      </c>
      <c r="I495" s="325">
        <v>791.76</v>
      </c>
      <c r="J495" s="325"/>
      <c r="K495" s="325">
        <f t="shared" si="88"/>
        <v>0</v>
      </c>
      <c r="L495" s="325">
        <f t="shared" si="89"/>
        <v>0</v>
      </c>
      <c r="M495" s="407">
        <v>20</v>
      </c>
      <c r="N495" s="408" t="s">
        <v>289</v>
      </c>
      <c r="O495" s="325">
        <f t="shared" si="92"/>
        <v>0</v>
      </c>
      <c r="P495" s="325">
        <f t="shared" si="93"/>
        <v>0</v>
      </c>
      <c r="Q495" s="325">
        <f t="shared" si="94"/>
        <v>0</v>
      </c>
      <c r="R495" s="325">
        <f t="shared" si="95"/>
        <v>79</v>
      </c>
      <c r="S495" s="325">
        <f t="shared" si="96"/>
        <v>0</v>
      </c>
      <c r="T495" s="325">
        <f t="shared" si="97"/>
        <v>79</v>
      </c>
      <c r="U495" s="409">
        <f t="shared" si="90"/>
        <v>712.76</v>
      </c>
      <c r="V495" s="325">
        <f t="shared" si="91"/>
        <v>0</v>
      </c>
      <c r="W495" s="449" cm="1">
        <f t="array" ref="W495">+IF(U495&lt;0,error,0)</f>
        <v>0</v>
      </c>
    </row>
    <row r="496" spans="1:23" ht="18" customHeight="1" x14ac:dyDescent="0.2">
      <c r="A496" s="402" t="s">
        <v>1018</v>
      </c>
      <c r="B496" s="403"/>
      <c r="C496" s="404" t="s">
        <v>1019</v>
      </c>
      <c r="D496" s="405">
        <v>43189</v>
      </c>
      <c r="E496" s="406"/>
      <c r="F496" s="325"/>
      <c r="G496" s="324"/>
      <c r="H496" s="324">
        <v>1798</v>
      </c>
      <c r="I496" s="325">
        <v>1243</v>
      </c>
      <c r="J496" s="325"/>
      <c r="K496" s="325">
        <f t="shared" ref="K496:K558" si="98">INT(IF($E496&gt;0,IF(+F496-I496+Q496&lt;0,0,+F496-I496+Q496),0))</f>
        <v>0</v>
      </c>
      <c r="L496" s="325">
        <f t="shared" ref="L496:L558" si="99">INT(IF($E496&gt;0,IF(K496=0,-F496+I496-Q496,0),0))</f>
        <v>0</v>
      </c>
      <c r="M496" s="407">
        <v>20</v>
      </c>
      <c r="N496" s="408" t="s">
        <v>289</v>
      </c>
      <c r="O496" s="325">
        <f t="shared" si="92"/>
        <v>0</v>
      </c>
      <c r="P496" s="325">
        <f t="shared" si="93"/>
        <v>0</v>
      </c>
      <c r="Q496" s="325">
        <f t="shared" si="94"/>
        <v>0</v>
      </c>
      <c r="R496" s="325">
        <f t="shared" si="95"/>
        <v>124</v>
      </c>
      <c r="S496" s="325">
        <f t="shared" si="96"/>
        <v>0</v>
      </c>
      <c r="T496" s="325">
        <f t="shared" si="97"/>
        <v>124</v>
      </c>
      <c r="U496" s="409">
        <f t="shared" ref="U496:U558" si="100">+I496+J496-T496-F496+K496-L496</f>
        <v>1119</v>
      </c>
      <c r="V496" s="325">
        <f t="shared" ref="V496:V559" si="101">IF(E496&gt;0,+H496+J496,0)</f>
        <v>0</v>
      </c>
      <c r="W496" s="449" cm="1">
        <f t="array" ref="W496">+IF(U496&lt;0,error,0)</f>
        <v>0</v>
      </c>
    </row>
    <row r="497" spans="1:23" ht="18" customHeight="1" x14ac:dyDescent="0.2">
      <c r="A497" s="402" t="s">
        <v>1020</v>
      </c>
      <c r="B497" s="403"/>
      <c r="C497" s="404" t="s">
        <v>1021</v>
      </c>
      <c r="D497" s="405">
        <v>43281</v>
      </c>
      <c r="E497" s="406"/>
      <c r="F497" s="325"/>
      <c r="G497" s="324"/>
      <c r="H497" s="324">
        <v>1240</v>
      </c>
      <c r="I497" s="325">
        <v>1063</v>
      </c>
      <c r="J497" s="325"/>
      <c r="K497" s="325">
        <f t="shared" si="98"/>
        <v>0</v>
      </c>
      <c r="L497" s="325">
        <f t="shared" si="99"/>
        <v>0</v>
      </c>
      <c r="M497" s="407">
        <v>10</v>
      </c>
      <c r="N497" s="408" t="s">
        <v>289</v>
      </c>
      <c r="O497" s="325">
        <f t="shared" ref="O497:O542" si="102">IF(E497&gt;0,INT(IF($N497="D",IF($D497&lt;$H$3,$I497*($M497/100)*((E497-$H$3)/365),$J497*($M497/100)*($J$3-$D497)/365),0)),0)</f>
        <v>0</v>
      </c>
      <c r="P497" s="325">
        <f t="shared" ref="P497:P542" si="103">IF(E497&gt;0,INT(IF($N497="P",IF($D497&lt;$H$3,$H497*($M497/100)*(E497-$H$3)/365,$J497*($M497/100)*($J$3-$D497)/365),0)),0)</f>
        <v>0</v>
      </c>
      <c r="Q497" s="325">
        <f t="shared" ref="Q497:Q542" si="104">+O497+P497</f>
        <v>0</v>
      </c>
      <c r="R497" s="325">
        <f t="shared" ref="R497:R542" si="105">INT(IF($E497&gt;0,0,(IF($N497="D",IF($D497&lt;$H$3,$I497*($M497/100)*$U$3/12,$J497*($M497/100)*($J$3-$D497)/365),0))))</f>
        <v>53</v>
      </c>
      <c r="S497" s="325">
        <f t="shared" ref="S497:S542" si="106">INT(IF($E497&gt;0,0,(IF($N497="P",IF($D497&lt;$H$3,$H497*($M497/100)*$U$3/12,$J497*($M497/100)*($J$3-$D497)/365),0))))</f>
        <v>0</v>
      </c>
      <c r="T497" s="325">
        <f t="shared" si="97"/>
        <v>53</v>
      </c>
      <c r="U497" s="409">
        <f t="shared" si="100"/>
        <v>1010</v>
      </c>
      <c r="V497" s="325">
        <f t="shared" si="101"/>
        <v>0</v>
      </c>
      <c r="W497" s="449" cm="1">
        <f t="array" ref="W497">+IF(U497&lt;0,error,0)</f>
        <v>0</v>
      </c>
    </row>
    <row r="498" spans="1:23" ht="18" customHeight="1" x14ac:dyDescent="0.2">
      <c r="A498" s="402" t="s">
        <v>1022</v>
      </c>
      <c r="B498" s="403"/>
      <c r="C498" s="412" t="s">
        <v>1023</v>
      </c>
      <c r="D498" s="405">
        <v>43251</v>
      </c>
      <c r="E498" s="406"/>
      <c r="F498" s="325"/>
      <c r="G498" s="324"/>
      <c r="H498" s="324">
        <v>1178</v>
      </c>
      <c r="I498" s="325">
        <v>845</v>
      </c>
      <c r="J498" s="325"/>
      <c r="K498" s="325">
        <f t="shared" si="98"/>
        <v>0</v>
      </c>
      <c r="L498" s="325">
        <f t="shared" si="99"/>
        <v>0</v>
      </c>
      <c r="M498" s="407">
        <v>20</v>
      </c>
      <c r="N498" s="408" t="s">
        <v>289</v>
      </c>
      <c r="O498" s="325">
        <f t="shared" si="102"/>
        <v>0</v>
      </c>
      <c r="P498" s="325">
        <f t="shared" si="103"/>
        <v>0</v>
      </c>
      <c r="Q498" s="325">
        <f t="shared" si="104"/>
        <v>0</v>
      </c>
      <c r="R498" s="325">
        <f t="shared" si="105"/>
        <v>84</v>
      </c>
      <c r="S498" s="325">
        <f t="shared" si="106"/>
        <v>0</v>
      </c>
      <c r="T498" s="325">
        <f t="shared" si="97"/>
        <v>84</v>
      </c>
      <c r="U498" s="409">
        <f t="shared" si="100"/>
        <v>761</v>
      </c>
      <c r="V498" s="325">
        <f t="shared" si="101"/>
        <v>0</v>
      </c>
      <c r="W498" s="449" cm="1">
        <f t="array" ref="W498">+IF(U498&lt;0,error,0)</f>
        <v>0</v>
      </c>
    </row>
    <row r="499" spans="1:23" ht="18" customHeight="1" x14ac:dyDescent="0.2">
      <c r="A499" s="402" t="s">
        <v>1024</v>
      </c>
      <c r="B499" s="403"/>
      <c r="C499" s="404" t="s">
        <v>1025</v>
      </c>
      <c r="D499" s="405">
        <v>43014</v>
      </c>
      <c r="E499" s="406"/>
      <c r="F499" s="325"/>
      <c r="G499" s="324"/>
      <c r="H499" s="324">
        <v>7187.29</v>
      </c>
      <c r="I499" s="325">
        <v>4467.29</v>
      </c>
      <c r="J499" s="325"/>
      <c r="K499" s="325">
        <f t="shared" si="98"/>
        <v>0</v>
      </c>
      <c r="L499" s="325">
        <f t="shared" si="99"/>
        <v>0</v>
      </c>
      <c r="M499" s="407">
        <v>20</v>
      </c>
      <c r="N499" s="408" t="s">
        <v>289</v>
      </c>
      <c r="O499" s="325">
        <f t="shared" si="102"/>
        <v>0</v>
      </c>
      <c r="P499" s="325">
        <f t="shared" si="103"/>
        <v>0</v>
      </c>
      <c r="Q499" s="325">
        <f t="shared" si="104"/>
        <v>0</v>
      </c>
      <c r="R499" s="325">
        <f t="shared" si="105"/>
        <v>446</v>
      </c>
      <c r="S499" s="325">
        <f t="shared" si="106"/>
        <v>0</v>
      </c>
      <c r="T499" s="325">
        <f t="shared" si="97"/>
        <v>446</v>
      </c>
      <c r="U499" s="409">
        <f t="shared" si="100"/>
        <v>4021.29</v>
      </c>
      <c r="V499" s="325">
        <f t="shared" si="101"/>
        <v>0</v>
      </c>
      <c r="W499" s="449" cm="1">
        <f t="array" ref="W499">+IF(U499&lt;0,error,0)</f>
        <v>0</v>
      </c>
    </row>
    <row r="500" spans="1:23" ht="18" customHeight="1" x14ac:dyDescent="0.2">
      <c r="A500" s="402" t="s">
        <v>1026</v>
      </c>
      <c r="B500" s="403"/>
      <c r="C500" s="404" t="s">
        <v>1027</v>
      </c>
      <c r="D500" s="405">
        <v>43022</v>
      </c>
      <c r="E500" s="406"/>
      <c r="F500" s="325"/>
      <c r="G500" s="324"/>
      <c r="H500" s="324">
        <v>4195.2</v>
      </c>
      <c r="I500" s="325">
        <v>2620.2000000000003</v>
      </c>
      <c r="J500" s="325"/>
      <c r="K500" s="325">
        <f t="shared" si="98"/>
        <v>0</v>
      </c>
      <c r="L500" s="325">
        <f t="shared" si="99"/>
        <v>0</v>
      </c>
      <c r="M500" s="407">
        <v>20</v>
      </c>
      <c r="N500" s="408" t="s">
        <v>289</v>
      </c>
      <c r="O500" s="325">
        <f t="shared" si="102"/>
        <v>0</v>
      </c>
      <c r="P500" s="325">
        <f t="shared" si="103"/>
        <v>0</v>
      </c>
      <c r="Q500" s="325">
        <f t="shared" si="104"/>
        <v>0</v>
      </c>
      <c r="R500" s="325">
        <f t="shared" si="105"/>
        <v>262</v>
      </c>
      <c r="S500" s="325">
        <f t="shared" si="106"/>
        <v>0</v>
      </c>
      <c r="T500" s="325">
        <f t="shared" si="97"/>
        <v>262</v>
      </c>
      <c r="U500" s="409">
        <f t="shared" si="100"/>
        <v>2358.2000000000003</v>
      </c>
      <c r="V500" s="325">
        <f t="shared" si="101"/>
        <v>0</v>
      </c>
      <c r="W500" s="449" cm="1">
        <f t="array" ref="W500">+IF(U500&lt;0,error,0)</f>
        <v>0</v>
      </c>
    </row>
    <row r="501" spans="1:23" ht="18" customHeight="1" x14ac:dyDescent="0.2">
      <c r="A501" s="402" t="s">
        <v>1028</v>
      </c>
      <c r="B501" s="403"/>
      <c r="C501" s="404" t="s">
        <v>1029</v>
      </c>
      <c r="D501" s="405">
        <v>43188</v>
      </c>
      <c r="E501" s="406"/>
      <c r="F501" s="325"/>
      <c r="G501" s="324"/>
      <c r="H501" s="324">
        <v>1128</v>
      </c>
      <c r="I501" s="325">
        <v>780</v>
      </c>
      <c r="J501" s="325"/>
      <c r="K501" s="325">
        <f t="shared" si="98"/>
        <v>0</v>
      </c>
      <c r="L501" s="325">
        <f t="shared" si="99"/>
        <v>0</v>
      </c>
      <c r="M501" s="407">
        <v>20</v>
      </c>
      <c r="N501" s="408" t="s">
        <v>289</v>
      </c>
      <c r="O501" s="325">
        <f t="shared" si="102"/>
        <v>0</v>
      </c>
      <c r="P501" s="325">
        <f t="shared" si="103"/>
        <v>0</v>
      </c>
      <c r="Q501" s="325">
        <f t="shared" si="104"/>
        <v>0</v>
      </c>
      <c r="R501" s="325">
        <f t="shared" si="105"/>
        <v>78</v>
      </c>
      <c r="S501" s="325">
        <f t="shared" si="106"/>
        <v>0</v>
      </c>
      <c r="T501" s="325">
        <f t="shared" si="97"/>
        <v>78</v>
      </c>
      <c r="U501" s="409">
        <f t="shared" si="100"/>
        <v>702</v>
      </c>
      <c r="V501" s="325">
        <f t="shared" si="101"/>
        <v>0</v>
      </c>
      <c r="W501" s="449" cm="1">
        <f t="array" ref="W501">+IF(U501&lt;0,error,0)</f>
        <v>0</v>
      </c>
    </row>
    <row r="502" spans="1:23" ht="18" customHeight="1" x14ac:dyDescent="0.2">
      <c r="A502" s="402" t="s">
        <v>1030</v>
      </c>
      <c r="B502" s="403"/>
      <c r="C502" s="404" t="s">
        <v>1031</v>
      </c>
      <c r="D502" s="405">
        <v>43191</v>
      </c>
      <c r="E502" s="406"/>
      <c r="F502" s="325"/>
      <c r="G502" s="324"/>
      <c r="H502" s="324">
        <v>5451</v>
      </c>
      <c r="I502" s="325">
        <v>3773</v>
      </c>
      <c r="J502" s="325"/>
      <c r="K502" s="325">
        <f t="shared" si="98"/>
        <v>0</v>
      </c>
      <c r="L502" s="325">
        <f t="shared" si="99"/>
        <v>0</v>
      </c>
      <c r="M502" s="407">
        <v>20</v>
      </c>
      <c r="N502" s="408" t="s">
        <v>289</v>
      </c>
      <c r="O502" s="325">
        <f t="shared" si="102"/>
        <v>0</v>
      </c>
      <c r="P502" s="325">
        <f t="shared" si="103"/>
        <v>0</v>
      </c>
      <c r="Q502" s="325">
        <f t="shared" si="104"/>
        <v>0</v>
      </c>
      <c r="R502" s="325">
        <f t="shared" si="105"/>
        <v>377</v>
      </c>
      <c r="S502" s="325">
        <f t="shared" si="106"/>
        <v>0</v>
      </c>
      <c r="T502" s="325">
        <f t="shared" si="97"/>
        <v>377</v>
      </c>
      <c r="U502" s="409">
        <f t="shared" si="100"/>
        <v>3396</v>
      </c>
      <c r="V502" s="325">
        <f t="shared" si="101"/>
        <v>0</v>
      </c>
      <c r="W502" s="449" cm="1">
        <f t="array" ref="W502">+IF(U502&lt;0,error,0)</f>
        <v>0</v>
      </c>
    </row>
    <row r="503" spans="1:23" ht="18" customHeight="1" x14ac:dyDescent="0.2">
      <c r="A503" s="402" t="s">
        <v>1032</v>
      </c>
      <c r="B503" s="403"/>
      <c r="C503" s="404" t="s">
        <v>2152</v>
      </c>
      <c r="D503" s="405">
        <v>43108</v>
      </c>
      <c r="E503" s="406"/>
      <c r="F503" s="325"/>
      <c r="G503" s="324"/>
      <c r="H503" s="324">
        <v>7000</v>
      </c>
      <c r="I503" s="325">
        <v>4614.2222222222217</v>
      </c>
      <c r="J503" s="325"/>
      <c r="K503" s="325">
        <f t="shared" si="98"/>
        <v>0</v>
      </c>
      <c r="L503" s="325">
        <f t="shared" si="99"/>
        <v>0</v>
      </c>
      <c r="M503" s="407">
        <v>20</v>
      </c>
      <c r="N503" s="408" t="s">
        <v>289</v>
      </c>
      <c r="O503" s="325">
        <f t="shared" si="102"/>
        <v>0</v>
      </c>
      <c r="P503" s="325">
        <f t="shared" si="103"/>
        <v>0</v>
      </c>
      <c r="Q503" s="325">
        <f t="shared" si="104"/>
        <v>0</v>
      </c>
      <c r="R503" s="325">
        <f t="shared" si="105"/>
        <v>461</v>
      </c>
      <c r="S503" s="325">
        <f t="shared" si="106"/>
        <v>0</v>
      </c>
      <c r="T503" s="325">
        <f t="shared" si="97"/>
        <v>461</v>
      </c>
      <c r="U503" s="409">
        <f t="shared" si="100"/>
        <v>4153.2222222222217</v>
      </c>
      <c r="V503" s="325">
        <f t="shared" si="101"/>
        <v>0</v>
      </c>
      <c r="W503" s="449" cm="1">
        <f t="array" ref="W503">+IF(U503&lt;0,error,0)</f>
        <v>0</v>
      </c>
    </row>
    <row r="504" spans="1:23" ht="18" customHeight="1" x14ac:dyDescent="0.2">
      <c r="A504" s="402" t="s">
        <v>1034</v>
      </c>
      <c r="B504" s="403"/>
      <c r="C504" s="404" t="s">
        <v>1035</v>
      </c>
      <c r="D504" s="405">
        <v>43145</v>
      </c>
      <c r="E504" s="406"/>
      <c r="F504" s="325"/>
      <c r="G504" s="324"/>
      <c r="H504" s="324">
        <v>4000</v>
      </c>
      <c r="I504" s="325">
        <v>2696</v>
      </c>
      <c r="J504" s="325"/>
      <c r="K504" s="325">
        <f t="shared" si="98"/>
        <v>0</v>
      </c>
      <c r="L504" s="325">
        <f t="shared" si="99"/>
        <v>0</v>
      </c>
      <c r="M504" s="407">
        <v>20</v>
      </c>
      <c r="N504" s="408" t="s">
        <v>289</v>
      </c>
      <c r="O504" s="325">
        <f t="shared" si="102"/>
        <v>0</v>
      </c>
      <c r="P504" s="325">
        <f t="shared" si="103"/>
        <v>0</v>
      </c>
      <c r="Q504" s="325">
        <f t="shared" si="104"/>
        <v>0</v>
      </c>
      <c r="R504" s="325">
        <f t="shared" si="105"/>
        <v>269</v>
      </c>
      <c r="S504" s="325">
        <f t="shared" si="106"/>
        <v>0</v>
      </c>
      <c r="T504" s="325">
        <f t="shared" si="97"/>
        <v>269</v>
      </c>
      <c r="U504" s="409">
        <f t="shared" si="100"/>
        <v>2427</v>
      </c>
      <c r="V504" s="325">
        <f t="shared" si="101"/>
        <v>0</v>
      </c>
      <c r="W504" s="449" cm="1">
        <f t="array" ref="W504">+IF(U504&lt;0,error,0)</f>
        <v>0</v>
      </c>
    </row>
    <row r="505" spans="1:23" ht="18" customHeight="1" x14ac:dyDescent="0.2">
      <c r="A505" s="402" t="s">
        <v>1036</v>
      </c>
      <c r="B505" s="403"/>
      <c r="C505" s="404" t="s">
        <v>1037</v>
      </c>
      <c r="D505" s="405">
        <v>43273</v>
      </c>
      <c r="E505" s="406"/>
      <c r="F505" s="325"/>
      <c r="G505" s="324"/>
      <c r="H505" s="324">
        <v>4727.2700000000004</v>
      </c>
      <c r="I505" s="325">
        <v>3428.2700000000004</v>
      </c>
      <c r="J505" s="325"/>
      <c r="K505" s="325">
        <f t="shared" si="98"/>
        <v>0</v>
      </c>
      <c r="L505" s="325">
        <f t="shared" si="99"/>
        <v>0</v>
      </c>
      <c r="M505" s="407">
        <v>20</v>
      </c>
      <c r="N505" s="408" t="s">
        <v>289</v>
      </c>
      <c r="O505" s="325">
        <f t="shared" si="102"/>
        <v>0</v>
      </c>
      <c r="P505" s="325">
        <f t="shared" si="103"/>
        <v>0</v>
      </c>
      <c r="Q505" s="325">
        <f t="shared" si="104"/>
        <v>0</v>
      </c>
      <c r="R505" s="325">
        <f t="shared" si="105"/>
        <v>342</v>
      </c>
      <c r="S505" s="325">
        <f t="shared" si="106"/>
        <v>0</v>
      </c>
      <c r="T505" s="325">
        <f t="shared" si="97"/>
        <v>342</v>
      </c>
      <c r="U505" s="409">
        <f t="shared" si="100"/>
        <v>3086.2700000000004</v>
      </c>
      <c r="V505" s="325">
        <f t="shared" si="101"/>
        <v>0</v>
      </c>
      <c r="W505" s="449" cm="1">
        <f t="array" ref="W505">+IF(U505&lt;0,error,0)</f>
        <v>0</v>
      </c>
    </row>
    <row r="506" spans="1:23" ht="18" customHeight="1" x14ac:dyDescent="0.2">
      <c r="A506" s="402" t="s">
        <v>1038</v>
      </c>
      <c r="B506" s="403"/>
      <c r="C506" s="404" t="s">
        <v>1039</v>
      </c>
      <c r="D506" s="405">
        <v>43213</v>
      </c>
      <c r="E506" s="406"/>
      <c r="F506" s="325"/>
      <c r="G506" s="324"/>
      <c r="H506" s="324">
        <v>1186.04</v>
      </c>
      <c r="I506" s="325">
        <v>832.04</v>
      </c>
      <c r="J506" s="325"/>
      <c r="K506" s="325">
        <f t="shared" si="98"/>
        <v>0</v>
      </c>
      <c r="L506" s="325">
        <f t="shared" si="99"/>
        <v>0</v>
      </c>
      <c r="M506" s="407">
        <v>20</v>
      </c>
      <c r="N506" s="408" t="s">
        <v>289</v>
      </c>
      <c r="O506" s="325">
        <f t="shared" si="102"/>
        <v>0</v>
      </c>
      <c r="P506" s="325">
        <f t="shared" si="103"/>
        <v>0</v>
      </c>
      <c r="Q506" s="325">
        <f t="shared" si="104"/>
        <v>0</v>
      </c>
      <c r="R506" s="325">
        <f t="shared" si="105"/>
        <v>83</v>
      </c>
      <c r="S506" s="325">
        <f t="shared" si="106"/>
        <v>0</v>
      </c>
      <c r="T506" s="325">
        <f t="shared" si="97"/>
        <v>83</v>
      </c>
      <c r="U506" s="409">
        <f t="shared" si="100"/>
        <v>749.04</v>
      </c>
      <c r="V506" s="325">
        <f t="shared" si="101"/>
        <v>0</v>
      </c>
      <c r="W506" s="449" cm="1">
        <f t="array" ref="W506">+IF(U506&lt;0,error,0)</f>
        <v>0</v>
      </c>
    </row>
    <row r="507" spans="1:23" ht="18" customHeight="1" x14ac:dyDescent="0.2">
      <c r="A507" s="402" t="s">
        <v>1040</v>
      </c>
      <c r="B507" s="403"/>
      <c r="C507" s="412" t="s">
        <v>1041</v>
      </c>
      <c r="D507" s="405">
        <v>42956</v>
      </c>
      <c r="E507" s="406"/>
      <c r="F507" s="325"/>
      <c r="G507" s="324"/>
      <c r="H507" s="324">
        <v>5700</v>
      </c>
      <c r="I507" s="325">
        <v>4449</v>
      </c>
      <c r="J507" s="325"/>
      <c r="K507" s="325">
        <f t="shared" si="98"/>
        <v>0</v>
      </c>
      <c r="L507" s="325">
        <f t="shared" si="99"/>
        <v>0</v>
      </c>
      <c r="M507" s="407">
        <v>10</v>
      </c>
      <c r="N507" s="408" t="s">
        <v>289</v>
      </c>
      <c r="O507" s="325">
        <f t="shared" si="102"/>
        <v>0</v>
      </c>
      <c r="P507" s="325">
        <f t="shared" si="103"/>
        <v>0</v>
      </c>
      <c r="Q507" s="325">
        <f t="shared" si="104"/>
        <v>0</v>
      </c>
      <c r="R507" s="325">
        <f t="shared" si="105"/>
        <v>222</v>
      </c>
      <c r="S507" s="325">
        <f t="shared" si="106"/>
        <v>0</v>
      </c>
      <c r="T507" s="325">
        <f t="shared" si="97"/>
        <v>222</v>
      </c>
      <c r="U507" s="409">
        <f t="shared" si="100"/>
        <v>4227</v>
      </c>
      <c r="V507" s="325">
        <f t="shared" si="101"/>
        <v>0</v>
      </c>
      <c r="W507" s="449" cm="1">
        <f t="array" ref="W507">+IF(U507&lt;0,error,0)</f>
        <v>0</v>
      </c>
    </row>
    <row r="508" spans="1:23" ht="18" customHeight="1" x14ac:dyDescent="0.2">
      <c r="A508" s="402" t="s">
        <v>1042</v>
      </c>
      <c r="B508" s="403"/>
      <c r="C508" s="404" t="s">
        <v>1043</v>
      </c>
      <c r="D508" s="405">
        <v>43047</v>
      </c>
      <c r="E508" s="406"/>
      <c r="F508" s="325"/>
      <c r="G508" s="324"/>
      <c r="H508" s="324">
        <v>21755.040000000001</v>
      </c>
      <c r="I508" s="325">
        <v>17446.04</v>
      </c>
      <c r="J508" s="325"/>
      <c r="K508" s="325">
        <f t="shared" si="98"/>
        <v>0</v>
      </c>
      <c r="L508" s="325">
        <f t="shared" si="99"/>
        <v>0</v>
      </c>
      <c r="M508" s="407">
        <v>10</v>
      </c>
      <c r="N508" s="408" t="s">
        <v>289</v>
      </c>
      <c r="O508" s="325">
        <f t="shared" si="102"/>
        <v>0</v>
      </c>
      <c r="P508" s="325">
        <f t="shared" si="103"/>
        <v>0</v>
      </c>
      <c r="Q508" s="325">
        <f t="shared" si="104"/>
        <v>0</v>
      </c>
      <c r="R508" s="325">
        <f t="shared" si="105"/>
        <v>872</v>
      </c>
      <c r="S508" s="325">
        <f t="shared" si="106"/>
        <v>0</v>
      </c>
      <c r="T508" s="325">
        <f t="shared" si="97"/>
        <v>872</v>
      </c>
      <c r="U508" s="409">
        <f t="shared" si="100"/>
        <v>16574.04</v>
      </c>
      <c r="V508" s="325">
        <f t="shared" si="101"/>
        <v>0</v>
      </c>
      <c r="W508" s="449" cm="1">
        <f t="array" ref="W508">+IF(U508&lt;0,error,0)</f>
        <v>0</v>
      </c>
    </row>
    <row r="509" spans="1:23" ht="18" customHeight="1" x14ac:dyDescent="0.2">
      <c r="A509" s="402" t="s">
        <v>1044</v>
      </c>
      <c r="B509" s="403"/>
      <c r="C509" s="404" t="s">
        <v>1045</v>
      </c>
      <c r="D509" s="405">
        <v>43154</v>
      </c>
      <c r="E509" s="406"/>
      <c r="F509" s="325"/>
      <c r="G509" s="324"/>
      <c r="H509" s="324">
        <v>2305</v>
      </c>
      <c r="I509" s="325">
        <v>1907</v>
      </c>
      <c r="J509" s="325"/>
      <c r="K509" s="325">
        <f t="shared" si="98"/>
        <v>0</v>
      </c>
      <c r="L509" s="325">
        <f t="shared" si="99"/>
        <v>0</v>
      </c>
      <c r="M509" s="407">
        <v>10</v>
      </c>
      <c r="N509" s="408" t="s">
        <v>289</v>
      </c>
      <c r="O509" s="325">
        <f t="shared" si="102"/>
        <v>0</v>
      </c>
      <c r="P509" s="325">
        <f t="shared" si="103"/>
        <v>0</v>
      </c>
      <c r="Q509" s="325">
        <f t="shared" si="104"/>
        <v>0</v>
      </c>
      <c r="R509" s="325">
        <f t="shared" si="105"/>
        <v>95</v>
      </c>
      <c r="S509" s="325">
        <f t="shared" si="106"/>
        <v>0</v>
      </c>
      <c r="T509" s="325">
        <f t="shared" si="97"/>
        <v>95</v>
      </c>
      <c r="U509" s="409">
        <f t="shared" si="100"/>
        <v>1812</v>
      </c>
      <c r="V509" s="325">
        <f t="shared" si="101"/>
        <v>0</v>
      </c>
      <c r="W509" s="449" cm="1">
        <f t="array" ref="W509">+IF(U509&lt;0,error,0)</f>
        <v>0</v>
      </c>
    </row>
    <row r="510" spans="1:23" ht="18" customHeight="1" x14ac:dyDescent="0.2">
      <c r="A510" s="402" t="s">
        <v>1046</v>
      </c>
      <c r="B510" s="403"/>
      <c r="C510" s="404" t="s">
        <v>1047</v>
      </c>
      <c r="D510" s="405">
        <v>43159</v>
      </c>
      <c r="E510" s="406"/>
      <c r="F510" s="325"/>
      <c r="G510" s="324"/>
      <c r="H510" s="324">
        <v>1408</v>
      </c>
      <c r="I510" s="325">
        <v>957</v>
      </c>
      <c r="J510" s="325"/>
      <c r="K510" s="325">
        <f t="shared" si="98"/>
        <v>0</v>
      </c>
      <c r="L510" s="325">
        <f t="shared" si="99"/>
        <v>0</v>
      </c>
      <c r="M510" s="407">
        <v>20</v>
      </c>
      <c r="N510" s="408" t="s">
        <v>289</v>
      </c>
      <c r="O510" s="325">
        <f t="shared" si="102"/>
        <v>0</v>
      </c>
      <c r="P510" s="325">
        <f t="shared" si="103"/>
        <v>0</v>
      </c>
      <c r="Q510" s="325">
        <f t="shared" si="104"/>
        <v>0</v>
      </c>
      <c r="R510" s="325">
        <f t="shared" si="105"/>
        <v>95</v>
      </c>
      <c r="S510" s="325">
        <f t="shared" si="106"/>
        <v>0</v>
      </c>
      <c r="T510" s="325">
        <f t="shared" ref="T510:T558" si="107">+R510+S510+Q510</f>
        <v>95</v>
      </c>
      <c r="U510" s="409">
        <f t="shared" si="100"/>
        <v>862</v>
      </c>
      <c r="V510" s="325">
        <f t="shared" si="101"/>
        <v>0</v>
      </c>
      <c r="W510" s="449" cm="1">
        <f t="array" ref="W510">+IF(U510&lt;0,error,0)</f>
        <v>0</v>
      </c>
    </row>
    <row r="511" spans="1:23" ht="18" customHeight="1" x14ac:dyDescent="0.2">
      <c r="A511" s="402" t="s">
        <v>1048</v>
      </c>
      <c r="B511" s="403"/>
      <c r="C511" s="404" t="s">
        <v>1045</v>
      </c>
      <c r="D511" s="405">
        <v>43173</v>
      </c>
      <c r="E511" s="406"/>
      <c r="F511" s="325"/>
      <c r="G511" s="324"/>
      <c r="H511" s="324">
        <v>2305</v>
      </c>
      <c r="I511" s="325">
        <v>1918</v>
      </c>
      <c r="J511" s="325"/>
      <c r="K511" s="325">
        <f t="shared" si="98"/>
        <v>0</v>
      </c>
      <c r="L511" s="325">
        <f t="shared" si="99"/>
        <v>0</v>
      </c>
      <c r="M511" s="407">
        <v>10</v>
      </c>
      <c r="N511" s="408" t="s">
        <v>289</v>
      </c>
      <c r="O511" s="325">
        <f t="shared" si="102"/>
        <v>0</v>
      </c>
      <c r="P511" s="325">
        <f t="shared" si="103"/>
        <v>0</v>
      </c>
      <c r="Q511" s="325">
        <f t="shared" si="104"/>
        <v>0</v>
      </c>
      <c r="R511" s="325">
        <f t="shared" si="105"/>
        <v>95</v>
      </c>
      <c r="S511" s="325">
        <f t="shared" si="106"/>
        <v>0</v>
      </c>
      <c r="T511" s="325">
        <f t="shared" si="107"/>
        <v>95</v>
      </c>
      <c r="U511" s="409">
        <f t="shared" si="100"/>
        <v>1823</v>
      </c>
      <c r="V511" s="325">
        <f t="shared" si="101"/>
        <v>0</v>
      </c>
      <c r="W511" s="449" cm="1">
        <f t="array" ref="W511">+IF(U511&lt;0,error,0)</f>
        <v>0</v>
      </c>
    </row>
    <row r="512" spans="1:23" ht="18" customHeight="1" x14ac:dyDescent="0.2">
      <c r="A512" s="402" t="s">
        <v>1049</v>
      </c>
      <c r="B512" s="403"/>
      <c r="C512" s="404" t="s">
        <v>1050</v>
      </c>
      <c r="D512" s="405">
        <v>43241</v>
      </c>
      <c r="E512" s="406"/>
      <c r="F512" s="325"/>
      <c r="G512" s="324"/>
      <c r="H512" s="324">
        <v>18636.36</v>
      </c>
      <c r="I512" s="325">
        <v>13269.36</v>
      </c>
      <c r="J512" s="325"/>
      <c r="K512" s="325">
        <f t="shared" si="98"/>
        <v>0</v>
      </c>
      <c r="L512" s="325">
        <f t="shared" si="99"/>
        <v>0</v>
      </c>
      <c r="M512" s="407">
        <v>20</v>
      </c>
      <c r="N512" s="408" t="s">
        <v>289</v>
      </c>
      <c r="O512" s="325">
        <f t="shared" si="102"/>
        <v>0</v>
      </c>
      <c r="P512" s="325">
        <f t="shared" si="103"/>
        <v>0</v>
      </c>
      <c r="Q512" s="325">
        <f t="shared" si="104"/>
        <v>0</v>
      </c>
      <c r="R512" s="325">
        <f t="shared" si="105"/>
        <v>1326</v>
      </c>
      <c r="S512" s="325">
        <f t="shared" si="106"/>
        <v>0</v>
      </c>
      <c r="T512" s="325">
        <f t="shared" si="107"/>
        <v>1326</v>
      </c>
      <c r="U512" s="409">
        <f t="shared" si="100"/>
        <v>11943.36</v>
      </c>
      <c r="V512" s="325">
        <f t="shared" si="101"/>
        <v>0</v>
      </c>
      <c r="W512" s="449" cm="1">
        <f t="array" ref="W512">+IF(U512&lt;0,error,0)</f>
        <v>0</v>
      </c>
    </row>
    <row r="513" spans="1:23" ht="18" customHeight="1" x14ac:dyDescent="0.2">
      <c r="A513" s="402" t="s">
        <v>1051</v>
      </c>
      <c r="B513" s="403"/>
      <c r="C513" s="404" t="s">
        <v>1052</v>
      </c>
      <c r="D513" s="405">
        <v>43264</v>
      </c>
      <c r="E513" s="406"/>
      <c r="F513" s="325"/>
      <c r="G513" s="324"/>
      <c r="H513" s="324">
        <v>50099</v>
      </c>
      <c r="I513" s="325">
        <v>42728</v>
      </c>
      <c r="J513" s="325"/>
      <c r="K513" s="325">
        <f t="shared" si="98"/>
        <v>0</v>
      </c>
      <c r="L513" s="325">
        <f t="shared" si="99"/>
        <v>0</v>
      </c>
      <c r="M513" s="407">
        <v>10</v>
      </c>
      <c r="N513" s="408" t="s">
        <v>289</v>
      </c>
      <c r="O513" s="325">
        <f t="shared" si="102"/>
        <v>0</v>
      </c>
      <c r="P513" s="325">
        <f t="shared" si="103"/>
        <v>0</v>
      </c>
      <c r="Q513" s="325">
        <f t="shared" si="104"/>
        <v>0</v>
      </c>
      <c r="R513" s="325">
        <f t="shared" si="105"/>
        <v>2136</v>
      </c>
      <c r="S513" s="325">
        <f t="shared" si="106"/>
        <v>0</v>
      </c>
      <c r="T513" s="325">
        <f t="shared" si="107"/>
        <v>2136</v>
      </c>
      <c r="U513" s="409">
        <f t="shared" si="100"/>
        <v>40592</v>
      </c>
      <c r="V513" s="325">
        <f t="shared" si="101"/>
        <v>0</v>
      </c>
      <c r="W513" s="449" cm="1">
        <f t="array" ref="W513">+IF(U513&lt;0,error,0)</f>
        <v>0</v>
      </c>
    </row>
    <row r="514" spans="1:23" ht="18" customHeight="1" x14ac:dyDescent="0.2">
      <c r="A514" s="402" t="s">
        <v>1053</v>
      </c>
      <c r="B514" s="403"/>
      <c r="C514" s="404" t="s">
        <v>1054</v>
      </c>
      <c r="D514" s="405">
        <v>43146</v>
      </c>
      <c r="E514" s="406"/>
      <c r="F514" s="325"/>
      <c r="G514" s="324"/>
      <c r="H514" s="324">
        <v>2340</v>
      </c>
      <c r="I514" s="325">
        <v>1578</v>
      </c>
      <c r="J514" s="325"/>
      <c r="K514" s="325">
        <f t="shared" si="98"/>
        <v>0</v>
      </c>
      <c r="L514" s="325">
        <f t="shared" si="99"/>
        <v>0</v>
      </c>
      <c r="M514" s="407">
        <v>20</v>
      </c>
      <c r="N514" s="408" t="s">
        <v>289</v>
      </c>
      <c r="O514" s="325">
        <f t="shared" si="102"/>
        <v>0</v>
      </c>
      <c r="P514" s="325">
        <f t="shared" si="103"/>
        <v>0</v>
      </c>
      <c r="Q514" s="325">
        <f t="shared" si="104"/>
        <v>0</v>
      </c>
      <c r="R514" s="325">
        <f t="shared" si="105"/>
        <v>157</v>
      </c>
      <c r="S514" s="325">
        <f t="shared" si="106"/>
        <v>0</v>
      </c>
      <c r="T514" s="325">
        <f t="shared" si="107"/>
        <v>157</v>
      </c>
      <c r="U514" s="409">
        <f t="shared" si="100"/>
        <v>1421</v>
      </c>
      <c r="V514" s="325">
        <f t="shared" si="101"/>
        <v>0</v>
      </c>
      <c r="W514" s="449" cm="1">
        <f t="array" ref="W514">+IF(U514&lt;0,error,0)</f>
        <v>0</v>
      </c>
    </row>
    <row r="515" spans="1:23" ht="18" customHeight="1" x14ac:dyDescent="0.2">
      <c r="A515" s="402" t="s">
        <v>1055</v>
      </c>
      <c r="B515" s="403"/>
      <c r="C515" s="404" t="s">
        <v>1056</v>
      </c>
      <c r="D515" s="405">
        <v>43146</v>
      </c>
      <c r="E515" s="406"/>
      <c r="F515" s="325"/>
      <c r="G515" s="324"/>
      <c r="H515" s="324">
        <v>3960</v>
      </c>
      <c r="I515" s="325">
        <v>2671</v>
      </c>
      <c r="J515" s="325"/>
      <c r="K515" s="325">
        <f t="shared" si="98"/>
        <v>0</v>
      </c>
      <c r="L515" s="325">
        <f t="shared" si="99"/>
        <v>0</v>
      </c>
      <c r="M515" s="407">
        <v>20</v>
      </c>
      <c r="N515" s="408" t="s">
        <v>289</v>
      </c>
      <c r="O515" s="325">
        <f t="shared" si="102"/>
        <v>0</v>
      </c>
      <c r="P515" s="325">
        <f t="shared" si="103"/>
        <v>0</v>
      </c>
      <c r="Q515" s="325">
        <f t="shared" si="104"/>
        <v>0</v>
      </c>
      <c r="R515" s="325">
        <f t="shared" si="105"/>
        <v>267</v>
      </c>
      <c r="S515" s="325">
        <f t="shared" si="106"/>
        <v>0</v>
      </c>
      <c r="T515" s="325">
        <f t="shared" si="107"/>
        <v>267</v>
      </c>
      <c r="U515" s="409">
        <f t="shared" si="100"/>
        <v>2404</v>
      </c>
      <c r="V515" s="325">
        <f t="shared" si="101"/>
        <v>0</v>
      </c>
      <c r="W515" s="449" cm="1">
        <f t="array" ref="W515">+IF(U515&lt;0,error,0)</f>
        <v>0</v>
      </c>
    </row>
    <row r="516" spans="1:23" ht="18" customHeight="1" x14ac:dyDescent="0.2">
      <c r="A516" s="402" t="s">
        <v>1057</v>
      </c>
      <c r="B516" s="403"/>
      <c r="C516" s="441" t="s">
        <v>1058</v>
      </c>
      <c r="D516" s="405">
        <v>43318</v>
      </c>
      <c r="E516" s="406"/>
      <c r="F516" s="325"/>
      <c r="G516" s="324"/>
      <c r="H516" s="324">
        <v>25000</v>
      </c>
      <c r="I516" s="325">
        <v>20601</v>
      </c>
      <c r="J516" s="325"/>
      <c r="K516" s="325">
        <f t="shared" si="98"/>
        <v>0</v>
      </c>
      <c r="L516" s="325">
        <f t="shared" si="99"/>
        <v>0</v>
      </c>
      <c r="M516" s="407">
        <v>13.33</v>
      </c>
      <c r="N516" s="408" t="s">
        <v>289</v>
      </c>
      <c r="O516" s="325">
        <f t="shared" si="102"/>
        <v>0</v>
      </c>
      <c r="P516" s="325">
        <f t="shared" si="103"/>
        <v>0</v>
      </c>
      <c r="Q516" s="325">
        <f t="shared" si="104"/>
        <v>0</v>
      </c>
      <c r="R516" s="325">
        <f t="shared" si="105"/>
        <v>1373</v>
      </c>
      <c r="S516" s="325">
        <f t="shared" si="106"/>
        <v>0</v>
      </c>
      <c r="T516" s="325">
        <f t="shared" si="107"/>
        <v>1373</v>
      </c>
      <c r="U516" s="409">
        <f t="shared" si="100"/>
        <v>19228</v>
      </c>
      <c r="V516" s="325">
        <f t="shared" si="101"/>
        <v>0</v>
      </c>
      <c r="W516" s="449" cm="1">
        <f t="array" ref="W516">+IF(U516&lt;0,error,0)</f>
        <v>0</v>
      </c>
    </row>
    <row r="517" spans="1:23" ht="18" customHeight="1" x14ac:dyDescent="0.2">
      <c r="A517" s="402" t="s">
        <v>1059</v>
      </c>
      <c r="B517" s="403"/>
      <c r="C517" s="442" t="s">
        <v>1060</v>
      </c>
      <c r="D517" s="405">
        <v>43342</v>
      </c>
      <c r="E517" s="406"/>
      <c r="F517" s="325"/>
      <c r="G517" s="324"/>
      <c r="H517" s="324">
        <v>361854</v>
      </c>
      <c r="I517" s="325">
        <v>330464</v>
      </c>
      <c r="J517" s="325"/>
      <c r="K517" s="325">
        <f t="shared" si="98"/>
        <v>0</v>
      </c>
      <c r="L517" s="325">
        <f t="shared" si="99"/>
        <v>0</v>
      </c>
      <c r="M517" s="407">
        <v>6.67</v>
      </c>
      <c r="N517" s="408" t="s">
        <v>289</v>
      </c>
      <c r="O517" s="325">
        <f t="shared" si="102"/>
        <v>0</v>
      </c>
      <c r="P517" s="325">
        <f t="shared" si="103"/>
        <v>0</v>
      </c>
      <c r="Q517" s="325">
        <f t="shared" si="104"/>
        <v>0</v>
      </c>
      <c r="R517" s="325">
        <f t="shared" si="105"/>
        <v>11020</v>
      </c>
      <c r="S517" s="325">
        <f t="shared" si="106"/>
        <v>0</v>
      </c>
      <c r="T517" s="325">
        <f t="shared" si="107"/>
        <v>11020</v>
      </c>
      <c r="U517" s="409">
        <f t="shared" si="100"/>
        <v>319444</v>
      </c>
      <c r="V517" s="325">
        <f t="shared" si="101"/>
        <v>0</v>
      </c>
      <c r="W517" s="449" cm="1">
        <f t="array" ref="W517">+IF(U517&lt;0,error,0)</f>
        <v>0</v>
      </c>
    </row>
    <row r="518" spans="1:23" ht="18" customHeight="1" x14ac:dyDescent="0.2">
      <c r="A518" s="402" t="s">
        <v>1061</v>
      </c>
      <c r="B518" s="403"/>
      <c r="C518" s="404" t="s">
        <v>1062</v>
      </c>
      <c r="D518" s="405">
        <v>43342</v>
      </c>
      <c r="E518" s="406"/>
      <c r="F518" s="325"/>
      <c r="G518" s="324"/>
      <c r="H518" s="324">
        <v>33926</v>
      </c>
      <c r="I518" s="325">
        <v>30984</v>
      </c>
      <c r="J518" s="325"/>
      <c r="K518" s="325">
        <f t="shared" si="98"/>
        <v>0</v>
      </c>
      <c r="L518" s="325">
        <f t="shared" si="99"/>
        <v>0</v>
      </c>
      <c r="M518" s="407">
        <v>6.67</v>
      </c>
      <c r="N518" s="408" t="s">
        <v>289</v>
      </c>
      <c r="O518" s="325">
        <f t="shared" si="102"/>
        <v>0</v>
      </c>
      <c r="P518" s="325">
        <f t="shared" si="103"/>
        <v>0</v>
      </c>
      <c r="Q518" s="325">
        <f t="shared" si="104"/>
        <v>0</v>
      </c>
      <c r="R518" s="325">
        <f t="shared" si="105"/>
        <v>1033</v>
      </c>
      <c r="S518" s="325">
        <f t="shared" si="106"/>
        <v>0</v>
      </c>
      <c r="T518" s="325">
        <f t="shared" si="107"/>
        <v>1033</v>
      </c>
      <c r="U518" s="409">
        <f t="shared" si="100"/>
        <v>29951</v>
      </c>
      <c r="V518" s="325">
        <f t="shared" si="101"/>
        <v>0</v>
      </c>
      <c r="W518" s="449" cm="1">
        <f t="array" ref="W518">+IF(U518&lt;0,error,0)</f>
        <v>0</v>
      </c>
    </row>
    <row r="519" spans="1:23" ht="18" customHeight="1" x14ac:dyDescent="0.2">
      <c r="A519" s="402" t="s">
        <v>1063</v>
      </c>
      <c r="B519" s="403"/>
      <c r="C519" s="404" t="s">
        <v>1064</v>
      </c>
      <c r="D519" s="405">
        <v>43342</v>
      </c>
      <c r="E519" s="406"/>
      <c r="F519" s="325"/>
      <c r="G519" s="324"/>
      <c r="H519" s="324">
        <v>26846</v>
      </c>
      <c r="I519" s="325">
        <v>24519</v>
      </c>
      <c r="J519" s="325"/>
      <c r="K519" s="325">
        <f t="shared" si="98"/>
        <v>0</v>
      </c>
      <c r="L519" s="325">
        <f t="shared" si="99"/>
        <v>0</v>
      </c>
      <c r="M519" s="407">
        <v>6.67</v>
      </c>
      <c r="N519" s="408" t="s">
        <v>289</v>
      </c>
      <c r="O519" s="325">
        <f t="shared" si="102"/>
        <v>0</v>
      </c>
      <c r="P519" s="325">
        <f t="shared" si="103"/>
        <v>0</v>
      </c>
      <c r="Q519" s="325">
        <f t="shared" si="104"/>
        <v>0</v>
      </c>
      <c r="R519" s="325">
        <f t="shared" si="105"/>
        <v>817</v>
      </c>
      <c r="S519" s="325">
        <f t="shared" si="106"/>
        <v>0</v>
      </c>
      <c r="T519" s="325">
        <f t="shared" si="107"/>
        <v>817</v>
      </c>
      <c r="U519" s="409">
        <f t="shared" si="100"/>
        <v>23702</v>
      </c>
      <c r="V519" s="325">
        <f t="shared" si="101"/>
        <v>0</v>
      </c>
      <c r="W519" s="449" cm="1">
        <f t="array" ref="W519">+IF(U519&lt;0,error,0)</f>
        <v>0</v>
      </c>
    </row>
    <row r="520" spans="1:23" ht="18" customHeight="1" x14ac:dyDescent="0.2">
      <c r="A520" s="402" t="s">
        <v>1065</v>
      </c>
      <c r="B520" s="403"/>
      <c r="C520" s="404" t="s">
        <v>1066</v>
      </c>
      <c r="D520" s="405">
        <v>43342</v>
      </c>
      <c r="E520" s="406"/>
      <c r="F520" s="325"/>
      <c r="G520" s="324"/>
      <c r="H520" s="324">
        <v>53006</v>
      </c>
      <c r="I520" s="325">
        <v>48408</v>
      </c>
      <c r="J520" s="325"/>
      <c r="K520" s="325">
        <f t="shared" si="98"/>
        <v>0</v>
      </c>
      <c r="L520" s="325">
        <f t="shared" si="99"/>
        <v>0</v>
      </c>
      <c r="M520" s="407">
        <v>6.67</v>
      </c>
      <c r="N520" s="408" t="s">
        <v>289</v>
      </c>
      <c r="O520" s="325">
        <f t="shared" si="102"/>
        <v>0</v>
      </c>
      <c r="P520" s="325">
        <f t="shared" si="103"/>
        <v>0</v>
      </c>
      <c r="Q520" s="325">
        <f t="shared" si="104"/>
        <v>0</v>
      </c>
      <c r="R520" s="325">
        <f t="shared" si="105"/>
        <v>1614</v>
      </c>
      <c r="S520" s="325">
        <f t="shared" si="106"/>
        <v>0</v>
      </c>
      <c r="T520" s="325">
        <f t="shared" si="107"/>
        <v>1614</v>
      </c>
      <c r="U520" s="409">
        <f t="shared" si="100"/>
        <v>46794</v>
      </c>
      <c r="V520" s="325">
        <f t="shared" si="101"/>
        <v>0</v>
      </c>
      <c r="W520" s="449" cm="1">
        <f t="array" ref="W520">+IF(U520&lt;0,error,0)</f>
        <v>0</v>
      </c>
    </row>
    <row r="521" spans="1:23" ht="18" customHeight="1" x14ac:dyDescent="0.2">
      <c r="A521" s="402" t="s">
        <v>2046</v>
      </c>
      <c r="B521" s="403"/>
      <c r="C521" s="443" t="s">
        <v>2056</v>
      </c>
      <c r="D521" s="405">
        <v>43497</v>
      </c>
      <c r="E521" s="406"/>
      <c r="F521" s="325"/>
      <c r="G521" s="324"/>
      <c r="H521" s="324">
        <v>17684.939999999999</v>
      </c>
      <c r="I521" s="325">
        <v>16630.939999999999</v>
      </c>
      <c r="J521" s="325"/>
      <c r="K521" s="325">
        <f>INT(IF($E521&gt;0,IF(+F521-I521+Q521&lt;0,0,+F521-I521+Q521),0))</f>
        <v>0</v>
      </c>
      <c r="L521" s="325">
        <f>INT(IF($E521&gt;0,IF(K521=0,-F521+I521-Q521,0),0))</f>
        <v>0</v>
      </c>
      <c r="M521" s="407">
        <v>6.67</v>
      </c>
      <c r="N521" s="408" t="s">
        <v>289</v>
      </c>
      <c r="O521" s="325">
        <f>IF(E521&gt;0,INT(IF($N521="D",IF($D521&lt;$H$3,$I521*($M521/100)*((E521-$H$3)/365),$J521*($M521/100)*($J$3-$D521)/365),0)),0)</f>
        <v>0</v>
      </c>
      <c r="P521" s="325">
        <f>IF(E521&gt;0,INT(IF($N521="P",IF($D521&lt;$H$3,$H521*($M521/100)*(E521-$H$3)/365,$J521*($M521/100)*($J$3-$D521)/365),0)),0)</f>
        <v>0</v>
      </c>
      <c r="Q521" s="325">
        <f>+O521+P521</f>
        <v>0</v>
      </c>
      <c r="R521" s="325">
        <f t="shared" si="105"/>
        <v>554</v>
      </c>
      <c r="S521" s="325">
        <f t="shared" si="106"/>
        <v>0</v>
      </c>
      <c r="T521" s="325">
        <f>+R521+S521+Q521</f>
        <v>554</v>
      </c>
      <c r="U521" s="409">
        <f>+I521+J521-T521-F521+K521-L521</f>
        <v>16076.939999999999</v>
      </c>
      <c r="V521" s="325">
        <f t="shared" si="101"/>
        <v>0</v>
      </c>
      <c r="W521" s="449" cm="1">
        <f t="array" ref="W521">+IF(U521&lt;0,error,0)</f>
        <v>0</v>
      </c>
    </row>
    <row r="522" spans="1:23" ht="18" customHeight="1" x14ac:dyDescent="0.2">
      <c r="A522" s="402" t="s">
        <v>1067</v>
      </c>
      <c r="B522" s="403"/>
      <c r="C522" s="444" t="s">
        <v>1068</v>
      </c>
      <c r="D522" s="405">
        <v>43374</v>
      </c>
      <c r="E522" s="406"/>
      <c r="F522" s="325"/>
      <c r="G522" s="324"/>
      <c r="H522" s="324">
        <v>74600</v>
      </c>
      <c r="I522" s="325">
        <v>62784</v>
      </c>
      <c r="J522" s="325"/>
      <c r="K522" s="325">
        <f t="shared" si="98"/>
        <v>0</v>
      </c>
      <c r="L522" s="325">
        <f t="shared" si="99"/>
        <v>0</v>
      </c>
      <c r="M522" s="407">
        <v>13.33</v>
      </c>
      <c r="N522" s="408" t="s">
        <v>289</v>
      </c>
      <c r="O522" s="325">
        <f t="shared" si="102"/>
        <v>0</v>
      </c>
      <c r="P522" s="325">
        <f t="shared" si="103"/>
        <v>0</v>
      </c>
      <c r="Q522" s="325">
        <f t="shared" si="104"/>
        <v>0</v>
      </c>
      <c r="R522" s="325">
        <f t="shared" si="105"/>
        <v>4184</v>
      </c>
      <c r="S522" s="325">
        <f t="shared" si="106"/>
        <v>0</v>
      </c>
      <c r="T522" s="325">
        <f t="shared" si="107"/>
        <v>4184</v>
      </c>
      <c r="U522" s="409">
        <f t="shared" si="100"/>
        <v>58600</v>
      </c>
      <c r="V522" s="325">
        <f t="shared" si="101"/>
        <v>0</v>
      </c>
      <c r="W522" s="449" cm="1">
        <f t="array" ref="W522">+IF(U522&lt;0,error,0)</f>
        <v>0</v>
      </c>
    </row>
    <row r="523" spans="1:23" ht="18" customHeight="1" x14ac:dyDescent="0.2">
      <c r="A523" s="402" t="s">
        <v>1069</v>
      </c>
      <c r="B523" s="403"/>
      <c r="C523" s="404" t="s">
        <v>1070</v>
      </c>
      <c r="D523" s="405">
        <v>43374</v>
      </c>
      <c r="E523" s="406"/>
      <c r="F523" s="325"/>
      <c r="G523" s="324"/>
      <c r="H523" s="324">
        <v>80600</v>
      </c>
      <c r="I523" s="325">
        <v>67834</v>
      </c>
      <c r="J523" s="325"/>
      <c r="K523" s="325">
        <f t="shared" si="98"/>
        <v>0</v>
      </c>
      <c r="L523" s="325">
        <f t="shared" si="99"/>
        <v>0</v>
      </c>
      <c r="M523" s="407">
        <v>13.33</v>
      </c>
      <c r="N523" s="408" t="s">
        <v>289</v>
      </c>
      <c r="O523" s="325">
        <f t="shared" si="102"/>
        <v>0</v>
      </c>
      <c r="P523" s="325">
        <f t="shared" si="103"/>
        <v>0</v>
      </c>
      <c r="Q523" s="325">
        <f t="shared" si="104"/>
        <v>0</v>
      </c>
      <c r="R523" s="325">
        <f t="shared" si="105"/>
        <v>4521</v>
      </c>
      <c r="S523" s="325">
        <f t="shared" si="106"/>
        <v>0</v>
      </c>
      <c r="T523" s="325">
        <f t="shared" si="107"/>
        <v>4521</v>
      </c>
      <c r="U523" s="409">
        <f t="shared" si="100"/>
        <v>63313</v>
      </c>
      <c r="V523" s="325">
        <f t="shared" si="101"/>
        <v>0</v>
      </c>
      <c r="W523" s="449" cm="1">
        <f t="array" ref="W523">+IF(U523&lt;0,error,0)</f>
        <v>0</v>
      </c>
    </row>
    <row r="524" spans="1:23" ht="18" customHeight="1" x14ac:dyDescent="0.2">
      <c r="A524" s="402" t="s">
        <v>2047</v>
      </c>
      <c r="B524" s="403"/>
      <c r="C524" s="404" t="s">
        <v>2057</v>
      </c>
      <c r="D524" s="405">
        <v>43572</v>
      </c>
      <c r="E524" s="406"/>
      <c r="F524" s="325"/>
      <c r="G524" s="324"/>
      <c r="H524" s="324">
        <v>18581.009999999998</v>
      </c>
      <c r="I524" s="325">
        <v>16875.009999999998</v>
      </c>
      <c r="J524" s="325"/>
      <c r="K524" s="325">
        <f>INT(IF($E524&gt;0,IF(+F524-I524+Q524&lt;0,0,+F524-I524+Q524),0))</f>
        <v>0</v>
      </c>
      <c r="L524" s="325">
        <f>INT(IF($E524&gt;0,IF(K524=0,-F524+I524-Q524,0),0))</f>
        <v>0</v>
      </c>
      <c r="M524" s="407">
        <v>13.33</v>
      </c>
      <c r="N524" s="408" t="s">
        <v>289</v>
      </c>
      <c r="O524" s="325">
        <f>IF(E524&gt;0,INT(IF($N524="D",IF($D524&lt;$H$3,$I524*($M524/100)*((E524-$H$3)/365),$J524*($M524/100)*($J$3-$D524)/365),0)),0)</f>
        <v>0</v>
      </c>
      <c r="P524" s="325">
        <f>IF(E524&gt;0,INT(IF($N524="P",IF($D524&lt;$H$3,$H524*($M524/100)*(E524-$H$3)/365,$J524*($M524/100)*($J$3-$D524)/365),0)),0)</f>
        <v>0</v>
      </c>
      <c r="Q524" s="325">
        <f>+O524+P524</f>
        <v>0</v>
      </c>
      <c r="R524" s="325">
        <f t="shared" si="105"/>
        <v>1124</v>
      </c>
      <c r="S524" s="325">
        <f t="shared" si="106"/>
        <v>0</v>
      </c>
      <c r="T524" s="325">
        <f>+R524+S524+Q524</f>
        <v>1124</v>
      </c>
      <c r="U524" s="409">
        <f>+I524+J524-T524-F524+K524-L524</f>
        <v>15751.009999999998</v>
      </c>
      <c r="V524" s="325">
        <f t="shared" si="101"/>
        <v>0</v>
      </c>
      <c r="W524" s="449" cm="1">
        <f t="array" ref="W524">+IF(U524&lt;0,error,0)</f>
        <v>0</v>
      </c>
    </row>
    <row r="525" spans="1:23" ht="18" customHeight="1" x14ac:dyDescent="0.2">
      <c r="A525" s="402" t="s">
        <v>1071</v>
      </c>
      <c r="B525" s="403"/>
      <c r="C525" s="412" t="s">
        <v>1072</v>
      </c>
      <c r="D525" s="405">
        <v>43299</v>
      </c>
      <c r="E525" s="406"/>
      <c r="F525" s="325"/>
      <c r="G525" s="324"/>
      <c r="H525" s="324">
        <v>616</v>
      </c>
      <c r="I525" s="325">
        <v>454</v>
      </c>
      <c r="J525" s="325"/>
      <c r="K525" s="325">
        <f>INT(IF($E525&gt;0,IF(+F525-I525+Q525&lt;0,0,+F525-I525+Q525),0))</f>
        <v>0</v>
      </c>
      <c r="L525" s="325">
        <f>INT(IF($E525&gt;0,IF(K525=0,-F525+I525-Q525,0),0))</f>
        <v>0</v>
      </c>
      <c r="M525" s="407">
        <v>20</v>
      </c>
      <c r="N525" s="408" t="s">
        <v>289</v>
      </c>
      <c r="O525" s="325">
        <f t="shared" si="102"/>
        <v>0</v>
      </c>
      <c r="P525" s="325">
        <f t="shared" si="103"/>
        <v>0</v>
      </c>
      <c r="Q525" s="325">
        <f t="shared" si="104"/>
        <v>0</v>
      </c>
      <c r="R525" s="325">
        <f t="shared" si="105"/>
        <v>45</v>
      </c>
      <c r="S525" s="325">
        <f t="shared" si="106"/>
        <v>0</v>
      </c>
      <c r="T525" s="325">
        <f t="shared" si="107"/>
        <v>45</v>
      </c>
      <c r="U525" s="409">
        <f t="shared" si="100"/>
        <v>409</v>
      </c>
      <c r="V525" s="325">
        <f t="shared" si="101"/>
        <v>0</v>
      </c>
      <c r="W525" s="449" cm="1">
        <f t="array" ref="W525">+IF(U525&lt;0,error,0)</f>
        <v>0</v>
      </c>
    </row>
    <row r="526" spans="1:23" ht="18" customHeight="1" x14ac:dyDescent="0.2">
      <c r="A526" s="402" t="s">
        <v>1073</v>
      </c>
      <c r="B526" s="403"/>
      <c r="C526" s="412" t="s">
        <v>1074</v>
      </c>
      <c r="D526" s="405">
        <v>43299</v>
      </c>
      <c r="E526" s="406"/>
      <c r="F526" s="325"/>
      <c r="G526" s="324"/>
      <c r="H526" s="324">
        <v>556</v>
      </c>
      <c r="I526" s="325">
        <v>410</v>
      </c>
      <c r="J526" s="325"/>
      <c r="K526" s="325">
        <f t="shared" si="98"/>
        <v>0</v>
      </c>
      <c r="L526" s="325">
        <f t="shared" si="99"/>
        <v>0</v>
      </c>
      <c r="M526" s="407">
        <v>20</v>
      </c>
      <c r="N526" s="408" t="s">
        <v>289</v>
      </c>
      <c r="O526" s="325">
        <f t="shared" si="102"/>
        <v>0</v>
      </c>
      <c r="P526" s="325">
        <f t="shared" si="103"/>
        <v>0</v>
      </c>
      <c r="Q526" s="325">
        <f t="shared" si="104"/>
        <v>0</v>
      </c>
      <c r="R526" s="325">
        <f t="shared" si="105"/>
        <v>41</v>
      </c>
      <c r="S526" s="325">
        <f t="shared" si="106"/>
        <v>0</v>
      </c>
      <c r="T526" s="325">
        <f t="shared" si="107"/>
        <v>41</v>
      </c>
      <c r="U526" s="409">
        <f t="shared" si="100"/>
        <v>369</v>
      </c>
      <c r="V526" s="325">
        <f t="shared" si="101"/>
        <v>0</v>
      </c>
      <c r="W526" s="449" cm="1">
        <f t="array" ref="W526">+IF(U526&lt;0,error,0)</f>
        <v>0</v>
      </c>
    </row>
    <row r="527" spans="1:23" ht="18" customHeight="1" x14ac:dyDescent="0.2">
      <c r="A527" s="402" t="s">
        <v>1075</v>
      </c>
      <c r="B527" s="403"/>
      <c r="C527" s="404" t="s">
        <v>1076</v>
      </c>
      <c r="D527" s="405">
        <v>43312</v>
      </c>
      <c r="E527" s="406"/>
      <c r="F527" s="325"/>
      <c r="G527" s="324"/>
      <c r="H527" s="324">
        <v>434</v>
      </c>
      <c r="I527" s="325">
        <v>323</v>
      </c>
      <c r="J527" s="325"/>
      <c r="K527" s="325">
        <f t="shared" si="98"/>
        <v>0</v>
      </c>
      <c r="L527" s="325">
        <f t="shared" si="99"/>
        <v>0</v>
      </c>
      <c r="M527" s="407">
        <v>20</v>
      </c>
      <c r="N527" s="408" t="s">
        <v>289</v>
      </c>
      <c r="O527" s="325">
        <f t="shared" si="102"/>
        <v>0</v>
      </c>
      <c r="P527" s="325">
        <f t="shared" si="103"/>
        <v>0</v>
      </c>
      <c r="Q527" s="325">
        <f t="shared" si="104"/>
        <v>0</v>
      </c>
      <c r="R527" s="325">
        <f t="shared" si="105"/>
        <v>32</v>
      </c>
      <c r="S527" s="325">
        <f t="shared" si="106"/>
        <v>0</v>
      </c>
      <c r="T527" s="325">
        <f t="shared" si="107"/>
        <v>32</v>
      </c>
      <c r="U527" s="409">
        <f t="shared" si="100"/>
        <v>291</v>
      </c>
      <c r="V527" s="325">
        <f t="shared" si="101"/>
        <v>0</v>
      </c>
      <c r="W527" s="449" cm="1">
        <f t="array" ref="W527">+IF(U527&lt;0,error,0)</f>
        <v>0</v>
      </c>
    </row>
    <row r="528" spans="1:23" ht="18" customHeight="1" x14ac:dyDescent="0.2">
      <c r="A528" s="402" t="s">
        <v>1077</v>
      </c>
      <c r="B528" s="403"/>
      <c r="C528" s="404" t="s">
        <v>1078</v>
      </c>
      <c r="D528" s="405">
        <v>43313</v>
      </c>
      <c r="E528" s="406"/>
      <c r="F528" s="325"/>
      <c r="G528" s="324"/>
      <c r="H528" s="324">
        <v>367.09000000000003</v>
      </c>
      <c r="I528" s="325">
        <v>303.09000000000003</v>
      </c>
      <c r="J528" s="325"/>
      <c r="K528" s="325">
        <f t="shared" si="98"/>
        <v>0</v>
      </c>
      <c r="L528" s="325">
        <f t="shared" si="99"/>
        <v>0</v>
      </c>
      <c r="M528" s="407">
        <v>13.33</v>
      </c>
      <c r="N528" s="408" t="s">
        <v>289</v>
      </c>
      <c r="O528" s="325">
        <f t="shared" si="102"/>
        <v>0</v>
      </c>
      <c r="P528" s="325">
        <f t="shared" si="103"/>
        <v>0</v>
      </c>
      <c r="Q528" s="325">
        <f t="shared" si="104"/>
        <v>0</v>
      </c>
      <c r="R528" s="325">
        <f t="shared" si="105"/>
        <v>20</v>
      </c>
      <c r="S528" s="325">
        <f t="shared" si="106"/>
        <v>0</v>
      </c>
      <c r="T528" s="325">
        <f t="shared" si="107"/>
        <v>20</v>
      </c>
      <c r="U528" s="409">
        <f t="shared" si="100"/>
        <v>283.09000000000003</v>
      </c>
      <c r="V528" s="325">
        <f t="shared" si="101"/>
        <v>0</v>
      </c>
      <c r="W528" s="449" cm="1">
        <f t="array" ref="W528">+IF(U528&lt;0,error,0)</f>
        <v>0</v>
      </c>
    </row>
    <row r="529" spans="1:23" ht="18" customHeight="1" x14ac:dyDescent="0.2">
      <c r="A529" s="402" t="s">
        <v>1079</v>
      </c>
      <c r="B529" s="403"/>
      <c r="C529" s="404" t="s">
        <v>1080</v>
      </c>
      <c r="D529" s="405">
        <v>43326</v>
      </c>
      <c r="E529" s="406"/>
      <c r="F529" s="325"/>
      <c r="G529" s="324"/>
      <c r="H529" s="324">
        <v>20080.14</v>
      </c>
      <c r="I529" s="325">
        <v>16597.14</v>
      </c>
      <c r="J529" s="325"/>
      <c r="K529" s="325">
        <f t="shared" si="98"/>
        <v>0</v>
      </c>
      <c r="L529" s="325">
        <f t="shared" si="99"/>
        <v>0</v>
      </c>
      <c r="M529" s="407">
        <v>13.33</v>
      </c>
      <c r="N529" s="408" t="s">
        <v>289</v>
      </c>
      <c r="O529" s="325">
        <f t="shared" si="102"/>
        <v>0</v>
      </c>
      <c r="P529" s="325">
        <f t="shared" si="103"/>
        <v>0</v>
      </c>
      <c r="Q529" s="325">
        <f t="shared" si="104"/>
        <v>0</v>
      </c>
      <c r="R529" s="325">
        <f t="shared" si="105"/>
        <v>1106</v>
      </c>
      <c r="S529" s="325">
        <f t="shared" si="106"/>
        <v>0</v>
      </c>
      <c r="T529" s="325">
        <f t="shared" si="107"/>
        <v>1106</v>
      </c>
      <c r="U529" s="409">
        <f t="shared" si="100"/>
        <v>15491.14</v>
      </c>
      <c r="V529" s="325">
        <f t="shared" si="101"/>
        <v>0</v>
      </c>
      <c r="W529" s="449" cm="1">
        <f t="array" ref="W529">+IF(U529&lt;0,error,0)</f>
        <v>0</v>
      </c>
    </row>
    <row r="530" spans="1:23" ht="18" customHeight="1" x14ac:dyDescent="0.2">
      <c r="A530" s="402" t="s">
        <v>1081</v>
      </c>
      <c r="B530" s="403"/>
      <c r="C530" s="404" t="s">
        <v>1082</v>
      </c>
      <c r="D530" s="405">
        <v>43339</v>
      </c>
      <c r="E530" s="406"/>
      <c r="F530" s="325"/>
      <c r="G530" s="324"/>
      <c r="H530" s="324">
        <v>975.30000000000007</v>
      </c>
      <c r="I530" s="325">
        <v>811.30000000000007</v>
      </c>
      <c r="J530" s="325"/>
      <c r="K530" s="325">
        <f t="shared" si="98"/>
        <v>0</v>
      </c>
      <c r="L530" s="325">
        <f t="shared" si="99"/>
        <v>0</v>
      </c>
      <c r="M530" s="407">
        <v>13.33</v>
      </c>
      <c r="N530" s="408" t="s">
        <v>289</v>
      </c>
      <c r="O530" s="325">
        <f t="shared" si="102"/>
        <v>0</v>
      </c>
      <c r="P530" s="325">
        <f t="shared" si="103"/>
        <v>0</v>
      </c>
      <c r="Q530" s="325">
        <f t="shared" si="104"/>
        <v>0</v>
      </c>
      <c r="R530" s="325">
        <f t="shared" si="105"/>
        <v>54</v>
      </c>
      <c r="S530" s="325">
        <f t="shared" si="106"/>
        <v>0</v>
      </c>
      <c r="T530" s="325">
        <f t="shared" si="107"/>
        <v>54</v>
      </c>
      <c r="U530" s="409">
        <f t="shared" si="100"/>
        <v>757.30000000000007</v>
      </c>
      <c r="V530" s="325">
        <f t="shared" si="101"/>
        <v>0</v>
      </c>
      <c r="W530" s="449" cm="1">
        <f t="array" ref="W530">+IF(U530&lt;0,error,0)</f>
        <v>0</v>
      </c>
    </row>
    <row r="531" spans="1:23" ht="18" customHeight="1" x14ac:dyDescent="0.2">
      <c r="A531" s="402" t="s">
        <v>1083</v>
      </c>
      <c r="B531" s="403"/>
      <c r="C531" s="404" t="s">
        <v>1084</v>
      </c>
      <c r="D531" s="405">
        <v>43342</v>
      </c>
      <c r="E531" s="406"/>
      <c r="F531" s="325"/>
      <c r="G531" s="324"/>
      <c r="H531" s="324">
        <v>3844</v>
      </c>
      <c r="I531" s="325">
        <v>3197</v>
      </c>
      <c r="J531" s="325"/>
      <c r="K531" s="325">
        <f t="shared" si="98"/>
        <v>0</v>
      </c>
      <c r="L531" s="325">
        <f t="shared" si="99"/>
        <v>0</v>
      </c>
      <c r="M531" s="407">
        <v>13.33</v>
      </c>
      <c r="N531" s="408" t="s">
        <v>289</v>
      </c>
      <c r="O531" s="325">
        <f t="shared" si="102"/>
        <v>0</v>
      </c>
      <c r="P531" s="325">
        <f t="shared" si="103"/>
        <v>0</v>
      </c>
      <c r="Q531" s="325">
        <f t="shared" si="104"/>
        <v>0</v>
      </c>
      <c r="R531" s="325">
        <f t="shared" si="105"/>
        <v>213</v>
      </c>
      <c r="S531" s="325">
        <f t="shared" si="106"/>
        <v>0</v>
      </c>
      <c r="T531" s="325">
        <f t="shared" si="107"/>
        <v>213</v>
      </c>
      <c r="U531" s="409">
        <f t="shared" si="100"/>
        <v>2984</v>
      </c>
      <c r="V531" s="325">
        <f t="shared" si="101"/>
        <v>0</v>
      </c>
      <c r="W531" s="449" cm="1">
        <f t="array" ref="W531">+IF(U531&lt;0,error,0)</f>
        <v>0</v>
      </c>
    </row>
    <row r="532" spans="1:23" ht="18" customHeight="1" x14ac:dyDescent="0.2">
      <c r="A532" s="402" t="s">
        <v>1085</v>
      </c>
      <c r="B532" s="403"/>
      <c r="C532" s="412" t="s">
        <v>1086</v>
      </c>
      <c r="D532" s="405">
        <v>43331</v>
      </c>
      <c r="E532" s="406"/>
      <c r="F532" s="325"/>
      <c r="G532" s="324"/>
      <c r="H532" s="324">
        <v>960</v>
      </c>
      <c r="I532" s="325">
        <v>797</v>
      </c>
      <c r="J532" s="325"/>
      <c r="K532" s="325">
        <f t="shared" si="98"/>
        <v>0</v>
      </c>
      <c r="L532" s="325">
        <f t="shared" si="99"/>
        <v>0</v>
      </c>
      <c r="M532" s="407">
        <v>13.33</v>
      </c>
      <c r="N532" s="408" t="s">
        <v>289</v>
      </c>
      <c r="O532" s="325">
        <f t="shared" si="102"/>
        <v>0</v>
      </c>
      <c r="P532" s="325">
        <f t="shared" si="103"/>
        <v>0</v>
      </c>
      <c r="Q532" s="325">
        <f t="shared" si="104"/>
        <v>0</v>
      </c>
      <c r="R532" s="325">
        <f t="shared" si="105"/>
        <v>53</v>
      </c>
      <c r="S532" s="325">
        <f t="shared" si="106"/>
        <v>0</v>
      </c>
      <c r="T532" s="325">
        <f t="shared" si="107"/>
        <v>53</v>
      </c>
      <c r="U532" s="409">
        <f t="shared" si="100"/>
        <v>744</v>
      </c>
      <c r="V532" s="325">
        <f t="shared" si="101"/>
        <v>0</v>
      </c>
      <c r="W532" s="449" cm="1">
        <f t="array" ref="W532">+IF(U532&lt;0,error,0)</f>
        <v>0</v>
      </c>
    </row>
    <row r="533" spans="1:23" ht="18" customHeight="1" x14ac:dyDescent="0.2">
      <c r="A533" s="402" t="s">
        <v>1087</v>
      </c>
      <c r="B533" s="403"/>
      <c r="C533" s="404" t="s">
        <v>1088</v>
      </c>
      <c r="D533" s="405">
        <v>43312</v>
      </c>
      <c r="E533" s="406"/>
      <c r="F533" s="325"/>
      <c r="G533" s="324"/>
      <c r="H533" s="324">
        <v>1364</v>
      </c>
      <c r="I533" s="325">
        <v>1180</v>
      </c>
      <c r="J533" s="325"/>
      <c r="K533" s="325">
        <f t="shared" si="98"/>
        <v>0</v>
      </c>
      <c r="L533" s="325">
        <f t="shared" si="99"/>
        <v>0</v>
      </c>
      <c r="M533" s="407">
        <v>10</v>
      </c>
      <c r="N533" s="408" t="s">
        <v>289</v>
      </c>
      <c r="O533" s="325">
        <f t="shared" si="102"/>
        <v>0</v>
      </c>
      <c r="P533" s="325">
        <f t="shared" si="103"/>
        <v>0</v>
      </c>
      <c r="Q533" s="325">
        <f t="shared" si="104"/>
        <v>0</v>
      </c>
      <c r="R533" s="325">
        <f t="shared" si="105"/>
        <v>59</v>
      </c>
      <c r="S533" s="325">
        <f t="shared" si="106"/>
        <v>0</v>
      </c>
      <c r="T533" s="325">
        <f t="shared" si="107"/>
        <v>59</v>
      </c>
      <c r="U533" s="409">
        <f t="shared" si="100"/>
        <v>1121</v>
      </c>
      <c r="V533" s="325">
        <f t="shared" si="101"/>
        <v>0</v>
      </c>
      <c r="W533" s="449" cm="1">
        <f t="array" ref="W533">+IF(U533&lt;0,error,0)</f>
        <v>0</v>
      </c>
    </row>
    <row r="534" spans="1:23" ht="18" customHeight="1" x14ac:dyDescent="0.2">
      <c r="A534" s="402" t="s">
        <v>1089</v>
      </c>
      <c r="B534" s="403"/>
      <c r="C534" s="404" t="s">
        <v>1090</v>
      </c>
      <c r="D534" s="405">
        <v>43343</v>
      </c>
      <c r="E534" s="406"/>
      <c r="F534" s="325"/>
      <c r="G534" s="324"/>
      <c r="H534" s="324">
        <v>4658</v>
      </c>
      <c r="I534" s="325">
        <v>4064</v>
      </c>
      <c r="J534" s="325"/>
      <c r="K534" s="325">
        <f t="shared" si="98"/>
        <v>0</v>
      </c>
      <c r="L534" s="325">
        <f t="shared" si="99"/>
        <v>0</v>
      </c>
      <c r="M534" s="407">
        <v>10</v>
      </c>
      <c r="N534" s="408" t="s">
        <v>289</v>
      </c>
      <c r="O534" s="325">
        <f t="shared" si="102"/>
        <v>0</v>
      </c>
      <c r="P534" s="325">
        <f t="shared" si="103"/>
        <v>0</v>
      </c>
      <c r="Q534" s="325">
        <f t="shared" si="104"/>
        <v>0</v>
      </c>
      <c r="R534" s="325">
        <f t="shared" si="105"/>
        <v>203</v>
      </c>
      <c r="S534" s="325">
        <f t="shared" si="106"/>
        <v>0</v>
      </c>
      <c r="T534" s="325">
        <f t="shared" si="107"/>
        <v>203</v>
      </c>
      <c r="U534" s="409">
        <f t="shared" si="100"/>
        <v>3861</v>
      </c>
      <c r="V534" s="325">
        <f t="shared" si="101"/>
        <v>0</v>
      </c>
      <c r="W534" s="449" cm="1">
        <f t="array" ref="W534">+IF(U534&lt;0,error,0)</f>
        <v>0</v>
      </c>
    </row>
    <row r="535" spans="1:23" ht="18" customHeight="1" x14ac:dyDescent="0.2">
      <c r="A535" s="402" t="s">
        <v>1093</v>
      </c>
      <c r="B535" s="403"/>
      <c r="C535" s="404" t="s">
        <v>1094</v>
      </c>
      <c r="D535" s="405">
        <v>43290</v>
      </c>
      <c r="E535" s="406"/>
      <c r="F535" s="325"/>
      <c r="G535" s="324"/>
      <c r="H535" s="324">
        <v>10454.550000000001</v>
      </c>
      <c r="I535" s="325">
        <v>7651.5500000000011</v>
      </c>
      <c r="J535" s="325"/>
      <c r="K535" s="325">
        <f t="shared" si="98"/>
        <v>0</v>
      </c>
      <c r="L535" s="325">
        <f t="shared" si="99"/>
        <v>0</v>
      </c>
      <c r="M535" s="407">
        <v>20</v>
      </c>
      <c r="N535" s="408" t="s">
        <v>289</v>
      </c>
      <c r="O535" s="325">
        <f t="shared" si="102"/>
        <v>0</v>
      </c>
      <c r="P535" s="325">
        <f t="shared" si="103"/>
        <v>0</v>
      </c>
      <c r="Q535" s="325">
        <f t="shared" si="104"/>
        <v>0</v>
      </c>
      <c r="R535" s="325">
        <f t="shared" si="105"/>
        <v>765</v>
      </c>
      <c r="S535" s="325">
        <f t="shared" si="106"/>
        <v>0</v>
      </c>
      <c r="T535" s="325">
        <f t="shared" si="107"/>
        <v>765</v>
      </c>
      <c r="U535" s="409">
        <f t="shared" si="100"/>
        <v>6886.5500000000011</v>
      </c>
      <c r="V535" s="325">
        <f t="shared" si="101"/>
        <v>0</v>
      </c>
      <c r="W535" s="449" cm="1">
        <f t="array" ref="W535">+IF(U535&lt;0,error,0)</f>
        <v>0</v>
      </c>
    </row>
    <row r="536" spans="1:23" ht="18" customHeight="1" x14ac:dyDescent="0.2">
      <c r="A536" s="402" t="s">
        <v>1095</v>
      </c>
      <c r="B536" s="403"/>
      <c r="C536" s="404" t="s">
        <v>1096</v>
      </c>
      <c r="D536" s="405">
        <v>43298</v>
      </c>
      <c r="E536" s="406"/>
      <c r="F536" s="325"/>
      <c r="G536" s="324"/>
      <c r="H536" s="324">
        <v>1512.73</v>
      </c>
      <c r="I536" s="325">
        <v>1112.73</v>
      </c>
      <c r="J536" s="325"/>
      <c r="K536" s="325">
        <f t="shared" si="98"/>
        <v>0</v>
      </c>
      <c r="L536" s="325">
        <f t="shared" si="99"/>
        <v>0</v>
      </c>
      <c r="M536" s="407">
        <v>20</v>
      </c>
      <c r="N536" s="408" t="s">
        <v>289</v>
      </c>
      <c r="O536" s="325">
        <f t="shared" si="102"/>
        <v>0</v>
      </c>
      <c r="P536" s="325">
        <f t="shared" si="103"/>
        <v>0</v>
      </c>
      <c r="Q536" s="325">
        <f t="shared" si="104"/>
        <v>0</v>
      </c>
      <c r="R536" s="325">
        <f t="shared" si="105"/>
        <v>111</v>
      </c>
      <c r="S536" s="325">
        <f t="shared" si="106"/>
        <v>0</v>
      </c>
      <c r="T536" s="325">
        <f t="shared" si="107"/>
        <v>111</v>
      </c>
      <c r="U536" s="409">
        <f t="shared" si="100"/>
        <v>1001.73</v>
      </c>
      <c r="V536" s="325">
        <f t="shared" si="101"/>
        <v>0</v>
      </c>
      <c r="W536" s="449" cm="1">
        <f t="array" ref="W536">+IF(U536&lt;0,error,0)</f>
        <v>0</v>
      </c>
    </row>
    <row r="537" spans="1:23" ht="18" customHeight="1" x14ac:dyDescent="0.2">
      <c r="A537" s="402" t="s">
        <v>1097</v>
      </c>
      <c r="B537" s="403"/>
      <c r="C537" s="404" t="s">
        <v>1098</v>
      </c>
      <c r="D537" s="405">
        <v>43298</v>
      </c>
      <c r="E537" s="406"/>
      <c r="F537" s="325"/>
      <c r="G537" s="324"/>
      <c r="H537" s="324">
        <v>3528.1800000000003</v>
      </c>
      <c r="I537" s="325">
        <v>2595.1800000000003</v>
      </c>
      <c r="J537" s="325"/>
      <c r="K537" s="325">
        <f t="shared" si="98"/>
        <v>0</v>
      </c>
      <c r="L537" s="325">
        <f t="shared" si="99"/>
        <v>0</v>
      </c>
      <c r="M537" s="407">
        <v>20</v>
      </c>
      <c r="N537" s="408" t="s">
        <v>289</v>
      </c>
      <c r="O537" s="325">
        <f t="shared" si="102"/>
        <v>0</v>
      </c>
      <c r="P537" s="325">
        <f t="shared" si="103"/>
        <v>0</v>
      </c>
      <c r="Q537" s="325">
        <f t="shared" si="104"/>
        <v>0</v>
      </c>
      <c r="R537" s="325">
        <f t="shared" si="105"/>
        <v>259</v>
      </c>
      <c r="S537" s="325">
        <f t="shared" si="106"/>
        <v>0</v>
      </c>
      <c r="T537" s="325">
        <f t="shared" si="107"/>
        <v>259</v>
      </c>
      <c r="U537" s="409">
        <f t="shared" si="100"/>
        <v>2336.1800000000003</v>
      </c>
      <c r="V537" s="325">
        <f t="shared" si="101"/>
        <v>0</v>
      </c>
      <c r="W537" s="449" cm="1">
        <f t="array" ref="W537">+IF(U537&lt;0,error,0)</f>
        <v>0</v>
      </c>
    </row>
    <row r="538" spans="1:23" ht="18" customHeight="1" x14ac:dyDescent="0.2">
      <c r="A538" s="402" t="s">
        <v>1099</v>
      </c>
      <c r="B538" s="403"/>
      <c r="C538" s="404" t="s">
        <v>1100</v>
      </c>
      <c r="D538" s="405">
        <v>43319</v>
      </c>
      <c r="E538" s="406"/>
      <c r="F538" s="325"/>
      <c r="G538" s="324"/>
      <c r="H538" s="324">
        <v>1747.32</v>
      </c>
      <c r="I538" s="325">
        <v>1302.32</v>
      </c>
      <c r="J538" s="325"/>
      <c r="K538" s="325">
        <f t="shared" si="98"/>
        <v>0</v>
      </c>
      <c r="L538" s="325">
        <f t="shared" si="99"/>
        <v>0</v>
      </c>
      <c r="M538" s="407">
        <v>20</v>
      </c>
      <c r="N538" s="408" t="s">
        <v>289</v>
      </c>
      <c r="O538" s="325">
        <f t="shared" si="102"/>
        <v>0</v>
      </c>
      <c r="P538" s="325">
        <f t="shared" si="103"/>
        <v>0</v>
      </c>
      <c r="Q538" s="325">
        <f t="shared" si="104"/>
        <v>0</v>
      </c>
      <c r="R538" s="325">
        <f t="shared" si="105"/>
        <v>130</v>
      </c>
      <c r="S538" s="325">
        <f t="shared" si="106"/>
        <v>0</v>
      </c>
      <c r="T538" s="325">
        <f t="shared" si="107"/>
        <v>130</v>
      </c>
      <c r="U538" s="409">
        <f t="shared" si="100"/>
        <v>1172.32</v>
      </c>
      <c r="V538" s="325">
        <f t="shared" si="101"/>
        <v>0</v>
      </c>
      <c r="W538" s="449" cm="1">
        <f t="array" ref="W538">+IF(U538&lt;0,error,0)</f>
        <v>0</v>
      </c>
    </row>
    <row r="539" spans="1:23" ht="18" customHeight="1" x14ac:dyDescent="0.2">
      <c r="A539" s="402" t="s">
        <v>1101</v>
      </c>
      <c r="B539" s="403"/>
      <c r="C539" s="404" t="s">
        <v>1102</v>
      </c>
      <c r="D539" s="405">
        <v>43383</v>
      </c>
      <c r="E539" s="406"/>
      <c r="F539" s="325"/>
      <c r="G539" s="324"/>
      <c r="H539" s="324">
        <v>1715.45</v>
      </c>
      <c r="I539" s="325">
        <v>1325.45</v>
      </c>
      <c r="J539" s="325"/>
      <c r="K539" s="325">
        <f t="shared" si="98"/>
        <v>0</v>
      </c>
      <c r="L539" s="325">
        <f t="shared" si="99"/>
        <v>0</v>
      </c>
      <c r="M539" s="407">
        <v>20</v>
      </c>
      <c r="N539" s="408" t="s">
        <v>289</v>
      </c>
      <c r="O539" s="325">
        <f t="shared" si="102"/>
        <v>0</v>
      </c>
      <c r="P539" s="325">
        <f t="shared" si="103"/>
        <v>0</v>
      </c>
      <c r="Q539" s="325">
        <f t="shared" si="104"/>
        <v>0</v>
      </c>
      <c r="R539" s="325">
        <f t="shared" si="105"/>
        <v>132</v>
      </c>
      <c r="S539" s="325">
        <f t="shared" si="106"/>
        <v>0</v>
      </c>
      <c r="T539" s="325">
        <f t="shared" si="107"/>
        <v>132</v>
      </c>
      <c r="U539" s="409">
        <f t="shared" si="100"/>
        <v>1193.45</v>
      </c>
      <c r="V539" s="325">
        <f t="shared" si="101"/>
        <v>0</v>
      </c>
      <c r="W539" s="449" cm="1">
        <f t="array" ref="W539">+IF(U539&lt;0,error,0)</f>
        <v>0</v>
      </c>
    </row>
    <row r="540" spans="1:23" ht="18" customHeight="1" x14ac:dyDescent="0.2">
      <c r="A540" s="402" t="s">
        <v>1103</v>
      </c>
      <c r="B540" s="403"/>
      <c r="C540" s="411" t="s">
        <v>1104</v>
      </c>
      <c r="D540" s="405">
        <v>43395</v>
      </c>
      <c r="E540" s="406"/>
      <c r="F540" s="325"/>
      <c r="G540" s="439"/>
      <c r="H540" s="324">
        <v>30000</v>
      </c>
      <c r="I540" s="325">
        <v>26544</v>
      </c>
      <c r="J540" s="325"/>
      <c r="K540" s="325">
        <f t="shared" si="98"/>
        <v>0</v>
      </c>
      <c r="L540" s="325">
        <f t="shared" si="99"/>
        <v>0</v>
      </c>
      <c r="M540" s="407">
        <v>10</v>
      </c>
      <c r="N540" s="408" t="s">
        <v>289</v>
      </c>
      <c r="O540" s="325">
        <f t="shared" si="102"/>
        <v>0</v>
      </c>
      <c r="P540" s="325">
        <f t="shared" si="103"/>
        <v>0</v>
      </c>
      <c r="Q540" s="325">
        <f t="shared" si="104"/>
        <v>0</v>
      </c>
      <c r="R540" s="325">
        <f t="shared" si="105"/>
        <v>1327</v>
      </c>
      <c r="S540" s="325">
        <f t="shared" si="106"/>
        <v>0</v>
      </c>
      <c r="T540" s="325">
        <f t="shared" si="107"/>
        <v>1327</v>
      </c>
      <c r="U540" s="409">
        <f t="shared" si="100"/>
        <v>25217</v>
      </c>
      <c r="V540" s="325">
        <f t="shared" si="101"/>
        <v>0</v>
      </c>
      <c r="W540" s="449" cm="1">
        <f t="array" ref="W540">+IF(U540&lt;0,error,0)</f>
        <v>0</v>
      </c>
    </row>
    <row r="541" spans="1:23" ht="18" customHeight="1" x14ac:dyDescent="0.2">
      <c r="A541" s="402" t="s">
        <v>1105</v>
      </c>
      <c r="B541" s="403"/>
      <c r="C541" s="404" t="s">
        <v>1106</v>
      </c>
      <c r="D541" s="405">
        <v>43374</v>
      </c>
      <c r="E541" s="406"/>
      <c r="F541" s="325"/>
      <c r="G541" s="324"/>
      <c r="H541" s="324">
        <v>1060</v>
      </c>
      <c r="I541" s="325">
        <v>816</v>
      </c>
      <c r="J541" s="325"/>
      <c r="K541" s="325">
        <f t="shared" si="98"/>
        <v>0</v>
      </c>
      <c r="L541" s="325">
        <f t="shared" si="99"/>
        <v>0</v>
      </c>
      <c r="M541" s="407">
        <v>20</v>
      </c>
      <c r="N541" s="408" t="s">
        <v>289</v>
      </c>
      <c r="O541" s="325">
        <f t="shared" si="102"/>
        <v>0</v>
      </c>
      <c r="P541" s="325">
        <f t="shared" si="103"/>
        <v>0</v>
      </c>
      <c r="Q541" s="325">
        <f t="shared" si="104"/>
        <v>0</v>
      </c>
      <c r="R541" s="325">
        <f t="shared" si="105"/>
        <v>81</v>
      </c>
      <c r="S541" s="325">
        <f t="shared" si="106"/>
        <v>0</v>
      </c>
      <c r="T541" s="325">
        <f t="shared" si="107"/>
        <v>81</v>
      </c>
      <c r="U541" s="409">
        <f t="shared" si="100"/>
        <v>735</v>
      </c>
      <c r="V541" s="325">
        <f t="shared" si="101"/>
        <v>0</v>
      </c>
      <c r="W541" s="449" cm="1">
        <f t="array" ref="W541">+IF(U541&lt;0,error,0)</f>
        <v>0</v>
      </c>
    </row>
    <row r="542" spans="1:23" ht="18" customHeight="1" x14ac:dyDescent="0.2">
      <c r="A542" s="402" t="s">
        <v>1107</v>
      </c>
      <c r="B542" s="403"/>
      <c r="C542" s="404" t="s">
        <v>1108</v>
      </c>
      <c r="D542" s="405">
        <v>43406</v>
      </c>
      <c r="E542" s="406"/>
      <c r="F542" s="325"/>
      <c r="G542" s="324"/>
      <c r="H542" s="324">
        <v>2036.3600000000001</v>
      </c>
      <c r="I542" s="325">
        <v>1594.3600000000001</v>
      </c>
      <c r="J542" s="325"/>
      <c r="K542" s="325">
        <f t="shared" si="98"/>
        <v>0</v>
      </c>
      <c r="L542" s="325">
        <f t="shared" si="99"/>
        <v>0</v>
      </c>
      <c r="M542" s="407">
        <v>20</v>
      </c>
      <c r="N542" s="408" t="s">
        <v>289</v>
      </c>
      <c r="O542" s="325">
        <f t="shared" si="102"/>
        <v>0</v>
      </c>
      <c r="P542" s="325">
        <f t="shared" si="103"/>
        <v>0</v>
      </c>
      <c r="Q542" s="325">
        <f t="shared" si="104"/>
        <v>0</v>
      </c>
      <c r="R542" s="325">
        <f t="shared" si="105"/>
        <v>159</v>
      </c>
      <c r="S542" s="325">
        <f t="shared" si="106"/>
        <v>0</v>
      </c>
      <c r="T542" s="325">
        <f t="shared" si="107"/>
        <v>159</v>
      </c>
      <c r="U542" s="409">
        <f t="shared" si="100"/>
        <v>1435.3600000000001</v>
      </c>
      <c r="V542" s="325">
        <f t="shared" si="101"/>
        <v>0</v>
      </c>
      <c r="W542" s="449" cm="1">
        <f t="array" ref="W542">+IF(U542&lt;0,error,0)</f>
        <v>0</v>
      </c>
    </row>
    <row r="543" spans="1:23" ht="18" customHeight="1" x14ac:dyDescent="0.2">
      <c r="A543" s="402" t="s">
        <v>1109</v>
      </c>
      <c r="B543" s="403"/>
      <c r="C543" s="404" t="s">
        <v>1110</v>
      </c>
      <c r="D543" s="405">
        <v>43410</v>
      </c>
      <c r="E543" s="406"/>
      <c r="F543" s="325"/>
      <c r="G543" s="324"/>
      <c r="H543" s="324">
        <v>545.45000000000005</v>
      </c>
      <c r="I543" s="325">
        <v>429.45000000000005</v>
      </c>
      <c r="J543" s="325"/>
      <c r="K543" s="325">
        <f t="shared" si="98"/>
        <v>0</v>
      </c>
      <c r="L543" s="325">
        <f t="shared" si="99"/>
        <v>0</v>
      </c>
      <c r="M543" s="407">
        <v>20</v>
      </c>
      <c r="N543" s="408" t="s">
        <v>289</v>
      </c>
      <c r="O543" s="325">
        <f>IF(E543&gt;0,INT(IF($N543="D",IF($D543&lt;$H$3,$I543*($M543/100)*((E543-$H$3)/365),$J543*($M543/100)*($J$3-$D543)/365),0)),0)</f>
        <v>0</v>
      </c>
      <c r="P543" s="325">
        <f>IF(E543&gt;0,INT(IF($N543="P",IF($D543&lt;$H$3,$H543*($M543/100)*(E543-$H$3)/365,$J543*($M543/100)*($J$3-$D543)/365),0)),0)</f>
        <v>0</v>
      </c>
      <c r="Q543" s="325">
        <f>+O543+P543</f>
        <v>0</v>
      </c>
      <c r="R543" s="325">
        <f>INT(IF($E543&gt;0,0,(IF($N543="D",IF($D543&lt;$H$3,$I543*($M543/100)*$U$3/12,$J543*($M543/100)*($J$3-$D543)/365),0))))</f>
        <v>42</v>
      </c>
      <c r="S543" s="325">
        <f>INT(IF($E543&gt;0,0,(IF($N543="P",IF($D543&lt;$H$3,$H543*($M543/100)*$U$3/12,$J543*($M543/100)*($J$3-$D543)/365),0))))</f>
        <v>0</v>
      </c>
      <c r="T543" s="325">
        <f t="shared" si="107"/>
        <v>42</v>
      </c>
      <c r="U543" s="409">
        <f t="shared" si="100"/>
        <v>387.45000000000005</v>
      </c>
      <c r="V543" s="325">
        <f t="shared" si="101"/>
        <v>0</v>
      </c>
      <c r="W543" s="449" cm="1">
        <f t="array" ref="W543">+IF(U543&lt;0,error,0)</f>
        <v>0</v>
      </c>
    </row>
    <row r="544" spans="1:23" ht="18" customHeight="1" x14ac:dyDescent="0.2">
      <c r="A544" s="402" t="s">
        <v>1111</v>
      </c>
      <c r="B544" s="403"/>
      <c r="C544" s="404" t="s">
        <v>1112</v>
      </c>
      <c r="D544" s="405">
        <v>43410</v>
      </c>
      <c r="E544" s="406"/>
      <c r="F544" s="325"/>
      <c r="G544" s="324"/>
      <c r="H544" s="324">
        <v>690.73</v>
      </c>
      <c r="I544" s="325">
        <v>542.73</v>
      </c>
      <c r="J544" s="325"/>
      <c r="K544" s="325">
        <f t="shared" si="98"/>
        <v>0</v>
      </c>
      <c r="L544" s="325">
        <f t="shared" si="99"/>
        <v>0</v>
      </c>
      <c r="M544" s="407">
        <v>20</v>
      </c>
      <c r="N544" s="408" t="s">
        <v>289</v>
      </c>
      <c r="O544" s="325">
        <f>IF(E544&gt;0,INT(IF($N544="D",IF($D544&lt;$H$3,$I544*($M544/100)*((E544-$H$3)/365),$J544*($M544/100)*($J$3-$D544)/365),0)),0)</f>
        <v>0</v>
      </c>
      <c r="P544" s="325">
        <f>IF(E544&gt;0,INT(IF($N544="P",IF($D544&lt;$H$3,$H544*($M544/100)*(E544-$H$3)/365,$J544*($M544/100)*($J$3-$D544)/365),0)),0)</f>
        <v>0</v>
      </c>
      <c r="Q544" s="325">
        <f>+O544+P544</f>
        <v>0</v>
      </c>
      <c r="R544" s="325">
        <f>INT(IF($E544&gt;0,0,(IF($N544="D",IF($D544&lt;$H$3,$I544*($M544/100)*$U$3/12,$J544*($M544/100)*($J$3-$D544)/365),0))))</f>
        <v>54</v>
      </c>
      <c r="S544" s="325">
        <f>INT(IF($E544&gt;0,0,(IF($N544="P",IF($D544&lt;$H$3,$H544*($M544/100)*$U$3/12,$J544*($M544/100)*($J$3-$D544)/365),0))))</f>
        <v>0</v>
      </c>
      <c r="T544" s="325">
        <f t="shared" si="107"/>
        <v>54</v>
      </c>
      <c r="U544" s="409">
        <f t="shared" si="100"/>
        <v>488.73</v>
      </c>
      <c r="V544" s="325">
        <f t="shared" si="101"/>
        <v>0</v>
      </c>
      <c r="W544" s="449" cm="1">
        <f t="array" ref="W544">+IF(U544&lt;0,error,0)</f>
        <v>0</v>
      </c>
    </row>
    <row r="545" spans="1:23" ht="18" customHeight="1" x14ac:dyDescent="0.2">
      <c r="A545" s="402" t="s">
        <v>1113</v>
      </c>
      <c r="B545" s="403"/>
      <c r="C545" s="412" t="s">
        <v>1114</v>
      </c>
      <c r="D545" s="405">
        <v>43427</v>
      </c>
      <c r="E545" s="406"/>
      <c r="F545" s="325"/>
      <c r="G545" s="324"/>
      <c r="H545" s="324">
        <v>11137.12</v>
      </c>
      <c r="I545" s="325">
        <v>8816.1200000000008</v>
      </c>
      <c r="J545" s="325"/>
      <c r="K545" s="325">
        <f t="shared" si="98"/>
        <v>0</v>
      </c>
      <c r="L545" s="325">
        <f t="shared" si="99"/>
        <v>0</v>
      </c>
      <c r="M545" s="407">
        <v>20</v>
      </c>
      <c r="N545" s="408" t="s">
        <v>289</v>
      </c>
      <c r="O545" s="325">
        <f>IF(E545&gt;0,INT(IF($N545="D",IF($D545&lt;$H$3,$I545*($M545/100)*((E545-$H$3)/365),$J545*($M545/100)*($J$3-$D545)/365),0)),0)</f>
        <v>0</v>
      </c>
      <c r="P545" s="325">
        <f>IF(E545&gt;0,INT(IF($N545="P",IF($D545&lt;$H$3,$H545*($M545/100)*(E545-$H$3)/365,$J545*($M545/100)*($J$3-$D545)/365),0)),0)</f>
        <v>0</v>
      </c>
      <c r="Q545" s="325">
        <f>+O545+P545</f>
        <v>0</v>
      </c>
      <c r="R545" s="325">
        <f>INT(IF($E545&gt;0,0,(IF($N545="D",IF($D545&lt;$H$3,$I545*($M545/100)*$U$3/12,$J545*($M545/100)*($J$3-$D545)/365),0))))</f>
        <v>881</v>
      </c>
      <c r="S545" s="325">
        <f>INT(IF($E545&gt;0,0,(IF($N545="P",IF($D545&lt;$H$3,$H545*($M545/100)*$U$3/12,$J545*($M545/100)*($J$3-$D545)/365),0))))</f>
        <v>0</v>
      </c>
      <c r="T545" s="325">
        <f t="shared" si="107"/>
        <v>881</v>
      </c>
      <c r="U545" s="409">
        <f t="shared" si="100"/>
        <v>7935.1200000000008</v>
      </c>
      <c r="V545" s="325">
        <f t="shared" si="101"/>
        <v>0</v>
      </c>
      <c r="W545" s="449" cm="1">
        <f t="array" ref="W545">+IF(U545&lt;0,error,0)</f>
        <v>0</v>
      </c>
    </row>
    <row r="546" spans="1:23" ht="18" customHeight="1" x14ac:dyDescent="0.2">
      <c r="A546" s="402" t="s">
        <v>1115</v>
      </c>
      <c r="B546" s="403"/>
      <c r="C546" s="404" t="s">
        <v>1116</v>
      </c>
      <c r="D546" s="405">
        <v>43432</v>
      </c>
      <c r="E546" s="406"/>
      <c r="F546" s="325"/>
      <c r="G546" s="324"/>
      <c r="H546" s="324">
        <v>7168.75</v>
      </c>
      <c r="I546" s="325">
        <v>5690.75</v>
      </c>
      <c r="J546" s="325"/>
      <c r="K546" s="325">
        <f t="shared" si="98"/>
        <v>0</v>
      </c>
      <c r="L546" s="325">
        <f t="shared" si="99"/>
        <v>0</v>
      </c>
      <c r="M546" s="407">
        <v>20</v>
      </c>
      <c r="N546" s="408" t="s">
        <v>289</v>
      </c>
      <c r="O546" s="325">
        <f>IF(E546&gt;0,INT(IF($N546="D",IF($D546&lt;$H$3,$I546*($M546/100)*((E546-$H$3)/365),$J546*($M546/100)*($J$3-$D546)/365),0)),0)</f>
        <v>0</v>
      </c>
      <c r="P546" s="325">
        <f>IF(E546&gt;0,INT(IF($N546="P",IF($D546&lt;$H$3,$H546*($M546/100)*(E546-$H$3)/365,$J546*($M546/100)*($J$3-$D546)/365),0)),0)</f>
        <v>0</v>
      </c>
      <c r="Q546" s="325">
        <f>+O546+P546</f>
        <v>0</v>
      </c>
      <c r="R546" s="325">
        <f>INT(IF($E546&gt;0,0,(IF($N546="D",IF($D546&lt;$H$3,$I546*($M546/100)*$U$3/12,$J546*($M546/100)*($J$3-$D546)/365),0))))</f>
        <v>569</v>
      </c>
      <c r="S546" s="325">
        <f>INT(IF($E546&gt;0,0,(IF($N546="P",IF($D546&lt;$H$3,$H546*($M546/100)*$U$3/12,$J546*($M546/100)*($J$3-$D546)/365),0))))</f>
        <v>0</v>
      </c>
      <c r="T546" s="325">
        <f t="shared" si="107"/>
        <v>569</v>
      </c>
      <c r="U546" s="409">
        <f t="shared" si="100"/>
        <v>5121.75</v>
      </c>
      <c r="V546" s="325">
        <f t="shared" si="101"/>
        <v>0</v>
      </c>
      <c r="W546" s="449" cm="1">
        <f t="array" ref="W546">+IF(U546&lt;0,error,0)</f>
        <v>0</v>
      </c>
    </row>
    <row r="547" spans="1:23" ht="18" customHeight="1" x14ac:dyDescent="0.2">
      <c r="A547" s="402" t="s">
        <v>2045</v>
      </c>
      <c r="B547" s="403"/>
      <c r="C547" s="404" t="s">
        <v>2055</v>
      </c>
      <c r="D547" s="405">
        <v>43585</v>
      </c>
      <c r="E547" s="406"/>
      <c r="F547" s="325"/>
      <c r="G547" s="324"/>
      <c r="H547" s="324">
        <v>54800</v>
      </c>
      <c r="I547" s="325">
        <v>52383</v>
      </c>
      <c r="J547" s="325"/>
      <c r="K547" s="325">
        <f t="shared" si="98"/>
        <v>0</v>
      </c>
      <c r="L547" s="325">
        <f t="shared" si="99"/>
        <v>0</v>
      </c>
      <c r="M547" s="407">
        <v>6.67</v>
      </c>
      <c r="N547" s="408" t="s">
        <v>289</v>
      </c>
      <c r="O547" s="325">
        <f t="shared" ref="O547:O558" si="108">IF(E547&gt;0,INT(IF($N547="D",IF($D547&lt;$H$3,$I547*($M547/100)*((E547-$H$3)/365),$J547*($M547/100)*($J$3-$D547)/365),0)),0)</f>
        <v>0</v>
      </c>
      <c r="P547" s="325">
        <f t="shared" ref="P547:P558" si="109">IF(E547&gt;0,INT(IF($N547="P",IF($D547&lt;$H$3,$H547*($M547/100)*(E547-$H$3)/365,$J547*($M547/100)*($J$3-$D547)/365),0)),0)</f>
        <v>0</v>
      </c>
      <c r="Q547" s="325">
        <f t="shared" ref="Q547:Q558" si="110">+O547+P547</f>
        <v>0</v>
      </c>
      <c r="R547" s="325">
        <f t="shared" ref="R547:R586" si="111">INT(IF($E547&gt;0,0,(IF($N547="D",IF($D547&lt;$H$3,$I547*($M547/100)*$U$3/12,$J547*($M547/100)*($J$3-$D547)/365),0))))</f>
        <v>1746</v>
      </c>
      <c r="S547" s="325">
        <f t="shared" ref="S547:S586" si="112">INT(IF($E547&gt;0,0,(IF($N547="P",IF($D547&lt;$H$3,$H547*($M547/100)*$U$3/12,$J547*($M547/100)*($J$3-$D547)/365),0))))</f>
        <v>0</v>
      </c>
      <c r="T547" s="325">
        <f t="shared" si="107"/>
        <v>1746</v>
      </c>
      <c r="U547" s="409">
        <f t="shared" si="100"/>
        <v>50637</v>
      </c>
      <c r="V547" s="325">
        <f t="shared" si="101"/>
        <v>0</v>
      </c>
      <c r="W547" s="449" cm="1">
        <f t="array" ref="W547">+IF(U547&lt;0,error,0)</f>
        <v>0</v>
      </c>
    </row>
    <row r="548" spans="1:23" ht="18" customHeight="1" x14ac:dyDescent="0.2">
      <c r="A548" s="402" t="s">
        <v>2048</v>
      </c>
      <c r="B548" s="403"/>
      <c r="C548" s="404" t="s">
        <v>2058</v>
      </c>
      <c r="D548" s="405">
        <v>43538</v>
      </c>
      <c r="E548" s="406"/>
      <c r="F548" s="325"/>
      <c r="G548" s="324"/>
      <c r="H548" s="324">
        <v>14614</v>
      </c>
      <c r="I548" s="325">
        <v>13849</v>
      </c>
      <c r="J548" s="325"/>
      <c r="K548" s="325">
        <f t="shared" si="98"/>
        <v>0</v>
      </c>
      <c r="L548" s="325">
        <f t="shared" si="99"/>
        <v>0</v>
      </c>
      <c r="M548" s="407">
        <v>6.67</v>
      </c>
      <c r="N548" s="408" t="s">
        <v>289</v>
      </c>
      <c r="O548" s="325">
        <f t="shared" si="108"/>
        <v>0</v>
      </c>
      <c r="P548" s="325">
        <f t="shared" si="109"/>
        <v>0</v>
      </c>
      <c r="Q548" s="325">
        <f t="shared" si="110"/>
        <v>0</v>
      </c>
      <c r="R548" s="325">
        <f t="shared" si="111"/>
        <v>461</v>
      </c>
      <c r="S548" s="325">
        <f t="shared" si="112"/>
        <v>0</v>
      </c>
      <c r="T548" s="325">
        <f t="shared" si="107"/>
        <v>461</v>
      </c>
      <c r="U548" s="409">
        <f t="shared" si="100"/>
        <v>13388</v>
      </c>
      <c r="V548" s="325">
        <f t="shared" si="101"/>
        <v>0</v>
      </c>
      <c r="W548" s="449" cm="1">
        <f t="array" ref="W548">+IF(U548&lt;0,error,0)</f>
        <v>0</v>
      </c>
    </row>
    <row r="549" spans="1:23" ht="18" customHeight="1" x14ac:dyDescent="0.2">
      <c r="A549" s="402" t="s">
        <v>2049</v>
      </c>
      <c r="B549" s="403"/>
      <c r="C549" s="404" t="s">
        <v>2059</v>
      </c>
      <c r="D549" s="405">
        <v>43555</v>
      </c>
      <c r="E549" s="406"/>
      <c r="F549" s="325"/>
      <c r="G549" s="324"/>
      <c r="H549" s="324">
        <v>65105</v>
      </c>
      <c r="I549" s="325">
        <v>60308</v>
      </c>
      <c r="J549" s="325"/>
      <c r="K549" s="325">
        <f t="shared" si="98"/>
        <v>0</v>
      </c>
      <c r="L549" s="325">
        <f t="shared" si="99"/>
        <v>0</v>
      </c>
      <c r="M549" s="407">
        <v>10</v>
      </c>
      <c r="N549" s="408" t="s">
        <v>289</v>
      </c>
      <c r="O549" s="325">
        <f t="shared" si="108"/>
        <v>0</v>
      </c>
      <c r="P549" s="325">
        <f t="shared" si="109"/>
        <v>0</v>
      </c>
      <c r="Q549" s="325">
        <f t="shared" si="110"/>
        <v>0</v>
      </c>
      <c r="R549" s="325">
        <f t="shared" si="111"/>
        <v>3015</v>
      </c>
      <c r="S549" s="325">
        <f t="shared" si="112"/>
        <v>0</v>
      </c>
      <c r="T549" s="325">
        <f t="shared" si="107"/>
        <v>3015</v>
      </c>
      <c r="U549" s="409">
        <f t="shared" si="100"/>
        <v>57293</v>
      </c>
      <c r="V549" s="325">
        <f t="shared" si="101"/>
        <v>0</v>
      </c>
      <c r="W549" s="449" cm="1">
        <f t="array" ref="W549">+IF(U549&lt;0,error,0)</f>
        <v>0</v>
      </c>
    </row>
    <row r="550" spans="1:23" ht="18" customHeight="1" x14ac:dyDescent="0.2">
      <c r="A550" s="402" t="s">
        <v>2050</v>
      </c>
      <c r="B550" s="403"/>
      <c r="C550" s="404" t="s">
        <v>2060</v>
      </c>
      <c r="D550" s="405">
        <v>43524</v>
      </c>
      <c r="E550" s="406"/>
      <c r="F550" s="325"/>
      <c r="G550" s="324"/>
      <c r="H550" s="324">
        <v>42780</v>
      </c>
      <c r="I550" s="325">
        <v>39284</v>
      </c>
      <c r="J550" s="325"/>
      <c r="K550" s="325">
        <f>INT(IF($E550&gt;0,IF(+F550-I550+Q550&lt;0,0,+F550-I550+Q550),0))</f>
        <v>0</v>
      </c>
      <c r="L550" s="325">
        <f>INT(IF($E550&gt;0,IF(K550=0,-F550+I550-Q550,0),0))</f>
        <v>0</v>
      </c>
      <c r="M550" s="407">
        <v>10</v>
      </c>
      <c r="N550" s="408" t="s">
        <v>289</v>
      </c>
      <c r="O550" s="325">
        <f>IF(E550&gt;0,INT(IF($N550="D",IF($D550&lt;$H$3,$I550*($M550/100)*((E550-$H$3)/365),$J550*($M550/100)*($J$3-$D550)/365),0)),0)</f>
        <v>0</v>
      </c>
      <c r="P550" s="325">
        <f>IF(E550&gt;0,INT(IF($N550="P",IF($D550&lt;$H$3,$H550*($M550/100)*(E550-$H$3)/365,$J550*($M550/100)*($J$3-$D550)/365),0)),0)</f>
        <v>0</v>
      </c>
      <c r="Q550" s="325">
        <f>+O550+P550</f>
        <v>0</v>
      </c>
      <c r="R550" s="325">
        <f t="shared" si="111"/>
        <v>1964</v>
      </c>
      <c r="S550" s="325">
        <f t="shared" si="112"/>
        <v>0</v>
      </c>
      <c r="T550" s="325">
        <f>+R550+S550+Q550</f>
        <v>1964</v>
      </c>
      <c r="U550" s="409">
        <f>+I550+J550-T550-F550+K550-L550</f>
        <v>37320</v>
      </c>
      <c r="V550" s="325">
        <f t="shared" si="101"/>
        <v>0</v>
      </c>
      <c r="W550" s="449" cm="1">
        <f t="array" ref="W550">+IF(U550&lt;0,error,0)</f>
        <v>0</v>
      </c>
    </row>
    <row r="551" spans="1:23" ht="18" customHeight="1" x14ac:dyDescent="0.2">
      <c r="A551" s="402" t="s">
        <v>2051</v>
      </c>
      <c r="B551" s="403"/>
      <c r="C551" s="404" t="s">
        <v>2037</v>
      </c>
      <c r="D551" s="405">
        <v>43487</v>
      </c>
      <c r="E551" s="406"/>
      <c r="F551" s="325"/>
      <c r="G551" s="324"/>
      <c r="H551" s="324">
        <v>33510</v>
      </c>
      <c r="I551" s="325">
        <v>27532</v>
      </c>
      <c r="J551" s="325"/>
      <c r="K551" s="325">
        <f t="shared" si="98"/>
        <v>0</v>
      </c>
      <c r="L551" s="325">
        <f t="shared" si="99"/>
        <v>0</v>
      </c>
      <c r="M551" s="407">
        <v>20</v>
      </c>
      <c r="N551" s="408" t="s">
        <v>289</v>
      </c>
      <c r="O551" s="325">
        <f t="shared" si="108"/>
        <v>0</v>
      </c>
      <c r="P551" s="325">
        <f t="shared" si="109"/>
        <v>0</v>
      </c>
      <c r="Q551" s="325">
        <f t="shared" si="110"/>
        <v>0</v>
      </c>
      <c r="R551" s="325">
        <f t="shared" si="111"/>
        <v>2753</v>
      </c>
      <c r="S551" s="325">
        <f t="shared" si="112"/>
        <v>0</v>
      </c>
      <c r="T551" s="325">
        <f t="shared" si="107"/>
        <v>2753</v>
      </c>
      <c r="U551" s="409">
        <f t="shared" si="100"/>
        <v>24779</v>
      </c>
      <c r="V551" s="325">
        <f t="shared" si="101"/>
        <v>0</v>
      </c>
      <c r="W551" s="449" cm="1">
        <f t="array" ref="W551">+IF(U551&lt;0,error,0)</f>
        <v>0</v>
      </c>
    </row>
    <row r="552" spans="1:23" ht="18" customHeight="1" x14ac:dyDescent="0.2">
      <c r="A552" s="402" t="s">
        <v>2052</v>
      </c>
      <c r="B552" s="403"/>
      <c r="C552" s="404" t="s">
        <v>2062</v>
      </c>
      <c r="D552" s="405">
        <v>43524</v>
      </c>
      <c r="E552" s="406"/>
      <c r="F552" s="325"/>
      <c r="G552" s="324"/>
      <c r="H552" s="324">
        <v>10285.01</v>
      </c>
      <c r="I552" s="325">
        <v>8639.01</v>
      </c>
      <c r="J552" s="325"/>
      <c r="K552" s="325">
        <f t="shared" si="98"/>
        <v>0</v>
      </c>
      <c r="L552" s="325">
        <f t="shared" si="99"/>
        <v>0</v>
      </c>
      <c r="M552" s="407">
        <v>20</v>
      </c>
      <c r="N552" s="408" t="s">
        <v>289</v>
      </c>
      <c r="O552" s="325">
        <f t="shared" si="108"/>
        <v>0</v>
      </c>
      <c r="P552" s="325">
        <f t="shared" si="109"/>
        <v>0</v>
      </c>
      <c r="Q552" s="325">
        <f t="shared" si="110"/>
        <v>0</v>
      </c>
      <c r="R552" s="325">
        <f t="shared" si="111"/>
        <v>863</v>
      </c>
      <c r="S552" s="325">
        <f t="shared" si="112"/>
        <v>0</v>
      </c>
      <c r="T552" s="325">
        <f t="shared" si="107"/>
        <v>863</v>
      </c>
      <c r="U552" s="409">
        <f t="shared" si="100"/>
        <v>7776.01</v>
      </c>
      <c r="V552" s="325">
        <f t="shared" si="101"/>
        <v>0</v>
      </c>
      <c r="W552" s="449" cm="1">
        <f t="array" ref="W552">+IF(U552&lt;0,error,0)</f>
        <v>0</v>
      </c>
    </row>
    <row r="553" spans="1:23" ht="18" customHeight="1" x14ac:dyDescent="0.2">
      <c r="A553" s="402" t="s">
        <v>2053</v>
      </c>
      <c r="B553" s="403"/>
      <c r="C553" s="404" t="s">
        <v>2073</v>
      </c>
      <c r="D553" s="405">
        <v>43461</v>
      </c>
      <c r="E553" s="406"/>
      <c r="F553" s="325"/>
      <c r="G553" s="324"/>
      <c r="H553" s="324">
        <v>2515</v>
      </c>
      <c r="I553" s="325">
        <v>2035</v>
      </c>
      <c r="J553" s="325"/>
      <c r="K553" s="325">
        <f t="shared" si="98"/>
        <v>0</v>
      </c>
      <c r="L553" s="325">
        <f t="shared" si="99"/>
        <v>0</v>
      </c>
      <c r="M553" s="407">
        <v>20</v>
      </c>
      <c r="N553" s="408" t="s">
        <v>289</v>
      </c>
      <c r="O553" s="325">
        <f t="shared" si="108"/>
        <v>0</v>
      </c>
      <c r="P553" s="325">
        <f t="shared" si="109"/>
        <v>0</v>
      </c>
      <c r="Q553" s="325">
        <f t="shared" si="110"/>
        <v>0</v>
      </c>
      <c r="R553" s="325">
        <f t="shared" si="111"/>
        <v>203</v>
      </c>
      <c r="S553" s="325">
        <f t="shared" si="112"/>
        <v>0</v>
      </c>
      <c r="T553" s="325">
        <f t="shared" si="107"/>
        <v>203</v>
      </c>
      <c r="U553" s="409">
        <f t="shared" si="100"/>
        <v>1832</v>
      </c>
      <c r="V553" s="325">
        <f t="shared" si="101"/>
        <v>0</v>
      </c>
      <c r="W553" s="449" cm="1">
        <f t="array" ref="W553">+IF(U553&lt;0,error,0)</f>
        <v>0</v>
      </c>
    </row>
    <row r="554" spans="1:23" ht="18" customHeight="1" x14ac:dyDescent="0.2">
      <c r="A554" s="402" t="s">
        <v>2054</v>
      </c>
      <c r="B554" s="403"/>
      <c r="C554" s="404" t="s">
        <v>2069</v>
      </c>
      <c r="D554" s="405">
        <v>43466</v>
      </c>
      <c r="E554" s="406"/>
      <c r="F554" s="325"/>
      <c r="G554" s="324"/>
      <c r="H554" s="324">
        <v>2487.87</v>
      </c>
      <c r="I554" s="325">
        <v>2018.87</v>
      </c>
      <c r="J554" s="325"/>
      <c r="K554" s="325">
        <f t="shared" si="98"/>
        <v>0</v>
      </c>
      <c r="L554" s="325">
        <f t="shared" si="99"/>
        <v>0</v>
      </c>
      <c r="M554" s="407">
        <v>20</v>
      </c>
      <c r="N554" s="408" t="s">
        <v>289</v>
      </c>
      <c r="O554" s="325">
        <f t="shared" si="108"/>
        <v>0</v>
      </c>
      <c r="P554" s="325">
        <f t="shared" si="109"/>
        <v>0</v>
      </c>
      <c r="Q554" s="325">
        <f t="shared" si="110"/>
        <v>0</v>
      </c>
      <c r="R554" s="325">
        <f t="shared" si="111"/>
        <v>201</v>
      </c>
      <c r="S554" s="325">
        <f t="shared" si="112"/>
        <v>0</v>
      </c>
      <c r="T554" s="325">
        <f t="shared" si="107"/>
        <v>201</v>
      </c>
      <c r="U554" s="409">
        <f t="shared" si="100"/>
        <v>1817.87</v>
      </c>
      <c r="V554" s="325">
        <f t="shared" si="101"/>
        <v>0</v>
      </c>
      <c r="W554" s="449" cm="1">
        <f t="array" ref="W554">+IF(U554&lt;0,error,0)</f>
        <v>0</v>
      </c>
    </row>
    <row r="555" spans="1:23" ht="18" customHeight="1" x14ac:dyDescent="0.2">
      <c r="A555" s="402" t="s">
        <v>2063</v>
      </c>
      <c r="B555" s="403"/>
      <c r="C555" s="404" t="s">
        <v>1932</v>
      </c>
      <c r="D555" s="405">
        <v>43476</v>
      </c>
      <c r="E555" s="406"/>
      <c r="F555" s="325"/>
      <c r="G555" s="324"/>
      <c r="H555" s="324">
        <v>2305</v>
      </c>
      <c r="I555" s="325">
        <v>1882</v>
      </c>
      <c r="J555" s="325"/>
      <c r="K555" s="325">
        <f t="shared" si="98"/>
        <v>0</v>
      </c>
      <c r="L555" s="325">
        <f t="shared" si="99"/>
        <v>0</v>
      </c>
      <c r="M555" s="407">
        <v>20</v>
      </c>
      <c r="N555" s="408" t="s">
        <v>289</v>
      </c>
      <c r="O555" s="325">
        <f t="shared" si="108"/>
        <v>0</v>
      </c>
      <c r="P555" s="325">
        <f t="shared" si="109"/>
        <v>0</v>
      </c>
      <c r="Q555" s="325">
        <f t="shared" si="110"/>
        <v>0</v>
      </c>
      <c r="R555" s="325">
        <f t="shared" si="111"/>
        <v>188</v>
      </c>
      <c r="S555" s="325">
        <f t="shared" si="112"/>
        <v>0</v>
      </c>
      <c r="T555" s="325">
        <f t="shared" si="107"/>
        <v>188</v>
      </c>
      <c r="U555" s="409">
        <f t="shared" si="100"/>
        <v>1694</v>
      </c>
      <c r="V555" s="325">
        <f t="shared" si="101"/>
        <v>0</v>
      </c>
      <c r="W555" s="449" cm="1">
        <f t="array" ref="W555">+IF(U555&lt;0,error,0)</f>
        <v>0</v>
      </c>
    </row>
    <row r="556" spans="1:23" ht="18" customHeight="1" x14ac:dyDescent="0.2">
      <c r="A556" s="402" t="s">
        <v>2064</v>
      </c>
      <c r="B556" s="403"/>
      <c r="C556" s="404" t="s">
        <v>1935</v>
      </c>
      <c r="D556" s="405">
        <v>43497</v>
      </c>
      <c r="E556" s="406"/>
      <c r="F556" s="325"/>
      <c r="G556" s="324"/>
      <c r="H556" s="324">
        <v>1657.5</v>
      </c>
      <c r="I556" s="325">
        <v>1559.5</v>
      </c>
      <c r="J556" s="325"/>
      <c r="K556" s="325">
        <f t="shared" si="98"/>
        <v>0</v>
      </c>
      <c r="L556" s="325">
        <f t="shared" si="99"/>
        <v>0</v>
      </c>
      <c r="M556" s="407">
        <v>6.67</v>
      </c>
      <c r="N556" s="408" t="s">
        <v>289</v>
      </c>
      <c r="O556" s="325">
        <f t="shared" si="108"/>
        <v>0</v>
      </c>
      <c r="P556" s="325">
        <f t="shared" si="109"/>
        <v>0</v>
      </c>
      <c r="Q556" s="325">
        <f t="shared" si="110"/>
        <v>0</v>
      </c>
      <c r="R556" s="325">
        <f t="shared" si="111"/>
        <v>52</v>
      </c>
      <c r="S556" s="325">
        <f t="shared" si="112"/>
        <v>0</v>
      </c>
      <c r="T556" s="325">
        <f t="shared" si="107"/>
        <v>52</v>
      </c>
      <c r="U556" s="409">
        <f t="shared" si="100"/>
        <v>1507.5</v>
      </c>
      <c r="V556" s="325">
        <f t="shared" si="101"/>
        <v>0</v>
      </c>
      <c r="W556" s="449" cm="1">
        <f t="array" ref="W556">+IF(U556&lt;0,error,0)</f>
        <v>0</v>
      </c>
    </row>
    <row r="557" spans="1:23" ht="18" customHeight="1" x14ac:dyDescent="0.2">
      <c r="A557" s="402" t="s">
        <v>2065</v>
      </c>
      <c r="B557" s="403"/>
      <c r="C557" s="404" t="s">
        <v>2068</v>
      </c>
      <c r="D557" s="405">
        <v>43466</v>
      </c>
      <c r="E557" s="406"/>
      <c r="F557" s="325"/>
      <c r="G557" s="324"/>
      <c r="H557" s="324">
        <v>6500</v>
      </c>
      <c r="I557" s="325">
        <v>6078</v>
      </c>
      <c r="J557" s="325"/>
      <c r="K557" s="325">
        <f t="shared" si="98"/>
        <v>0</v>
      </c>
      <c r="L557" s="325">
        <f t="shared" si="99"/>
        <v>0</v>
      </c>
      <c r="M557" s="407">
        <v>6.67</v>
      </c>
      <c r="N557" s="408" t="s">
        <v>289</v>
      </c>
      <c r="O557" s="325">
        <f t="shared" si="108"/>
        <v>0</v>
      </c>
      <c r="P557" s="325">
        <f t="shared" si="109"/>
        <v>0</v>
      </c>
      <c r="Q557" s="325">
        <f t="shared" si="110"/>
        <v>0</v>
      </c>
      <c r="R557" s="325">
        <f t="shared" si="111"/>
        <v>202</v>
      </c>
      <c r="S557" s="325">
        <f t="shared" si="112"/>
        <v>0</v>
      </c>
      <c r="T557" s="325">
        <f t="shared" si="107"/>
        <v>202</v>
      </c>
      <c r="U557" s="409">
        <f t="shared" si="100"/>
        <v>5876</v>
      </c>
      <c r="V557" s="325">
        <f t="shared" si="101"/>
        <v>0</v>
      </c>
      <c r="W557" s="449" cm="1">
        <f t="array" ref="W557">+IF(U557&lt;0,error,0)</f>
        <v>0</v>
      </c>
    </row>
    <row r="558" spans="1:23" ht="18" customHeight="1" x14ac:dyDescent="0.2">
      <c r="A558" s="402" t="s">
        <v>2066</v>
      </c>
      <c r="B558" s="403"/>
      <c r="C558" s="404" t="s">
        <v>2068</v>
      </c>
      <c r="D558" s="405">
        <v>43525</v>
      </c>
      <c r="E558" s="406"/>
      <c r="F558" s="325"/>
      <c r="G558" s="324"/>
      <c r="H558" s="324">
        <v>6500</v>
      </c>
      <c r="I558" s="325">
        <v>6145</v>
      </c>
      <c r="J558" s="325"/>
      <c r="K558" s="325">
        <f t="shared" si="98"/>
        <v>0</v>
      </c>
      <c r="L558" s="325">
        <f t="shared" si="99"/>
        <v>0</v>
      </c>
      <c r="M558" s="407">
        <v>6.67</v>
      </c>
      <c r="N558" s="408" t="s">
        <v>289</v>
      </c>
      <c r="O558" s="325">
        <f t="shared" si="108"/>
        <v>0</v>
      </c>
      <c r="P558" s="325">
        <f t="shared" si="109"/>
        <v>0</v>
      </c>
      <c r="Q558" s="325">
        <f t="shared" si="110"/>
        <v>0</v>
      </c>
      <c r="R558" s="325">
        <f t="shared" si="111"/>
        <v>204</v>
      </c>
      <c r="S558" s="325">
        <f t="shared" si="112"/>
        <v>0</v>
      </c>
      <c r="T558" s="325">
        <f t="shared" si="107"/>
        <v>204</v>
      </c>
      <c r="U558" s="409">
        <f t="shared" si="100"/>
        <v>5941</v>
      </c>
      <c r="V558" s="325">
        <f t="shared" si="101"/>
        <v>0</v>
      </c>
      <c r="W558" s="449" cm="1">
        <f t="array" ref="W558">+IF(U558&lt;0,error,0)</f>
        <v>0</v>
      </c>
    </row>
    <row r="559" spans="1:23" ht="18" customHeight="1" x14ac:dyDescent="0.2">
      <c r="A559" s="402" t="s">
        <v>2067</v>
      </c>
      <c r="B559" s="403"/>
      <c r="C559" s="404" t="s">
        <v>2071</v>
      </c>
      <c r="D559" s="405">
        <v>43487</v>
      </c>
      <c r="E559" s="406"/>
      <c r="F559" s="325"/>
      <c r="G559" s="324"/>
      <c r="H559" s="324">
        <v>1120.5999999999999</v>
      </c>
      <c r="I559" s="325">
        <v>1019.5999999999999</v>
      </c>
      <c r="J559" s="325"/>
      <c r="K559" s="325">
        <f>INT(IF($E559&gt;0,IF(+F559-I559+Q559&lt;0,0,+F559-I559+Q559),0))</f>
        <v>0</v>
      </c>
      <c r="L559" s="325">
        <f>INT(IF($E559&gt;0,IF(K559=0,-F559+I559-Q559,0),0))</f>
        <v>0</v>
      </c>
      <c r="M559" s="407">
        <v>10</v>
      </c>
      <c r="N559" s="408" t="s">
        <v>289</v>
      </c>
      <c r="O559" s="325">
        <f>IF(E559&gt;0,INT(IF($N559="D",IF($D559&lt;$H$3,$I559*($M559/100)*((E559-$H$3)/365),$J559*($M559/100)*($J$3-$D559)/365),0)),0)</f>
        <v>0</v>
      </c>
      <c r="P559" s="325">
        <f>IF(E559&gt;0,INT(IF($N559="P",IF($D559&lt;$H$3,$H559*($M559/100)*(E559-$H$3)/365,$J559*($M559/100)*($J$3-$D559)/365),0)),0)</f>
        <v>0</v>
      </c>
      <c r="Q559" s="325">
        <f>+O559+P559</f>
        <v>0</v>
      </c>
      <c r="R559" s="325">
        <f t="shared" si="111"/>
        <v>50</v>
      </c>
      <c r="S559" s="325">
        <f t="shared" si="112"/>
        <v>0</v>
      </c>
      <c r="T559" s="325">
        <f>+R559+S559+Q559</f>
        <v>50</v>
      </c>
      <c r="U559" s="409">
        <f>+I559+J559-T559-F559+K559-L559</f>
        <v>969.59999999999991</v>
      </c>
      <c r="V559" s="325">
        <f t="shared" si="101"/>
        <v>0</v>
      </c>
      <c r="W559" s="449" cm="1">
        <f t="array" ref="W559">+IF(U559&lt;0,error,0)</f>
        <v>0</v>
      </c>
    </row>
    <row r="560" spans="1:23" ht="18" customHeight="1" x14ac:dyDescent="0.2">
      <c r="A560" s="402" t="s">
        <v>2070</v>
      </c>
      <c r="B560" s="403"/>
      <c r="C560" s="404" t="s">
        <v>2072</v>
      </c>
      <c r="D560" s="405">
        <v>43509</v>
      </c>
      <c r="E560" s="406"/>
      <c r="F560" s="325"/>
      <c r="G560" s="324"/>
      <c r="H560" s="324">
        <v>4820</v>
      </c>
      <c r="I560" s="325">
        <v>4014</v>
      </c>
      <c r="J560" s="325"/>
      <c r="K560" s="325">
        <f>INT(IF($E560&gt;0,IF(+F560-I560+Q560&lt;0,0,+F560-I560+Q560),0))</f>
        <v>0</v>
      </c>
      <c r="L560" s="325">
        <f>INT(IF($E560&gt;0,IF(K560=0,-F560+I560-Q560,0),0))</f>
        <v>0</v>
      </c>
      <c r="M560" s="407">
        <v>20</v>
      </c>
      <c r="N560" s="408" t="s">
        <v>289</v>
      </c>
      <c r="O560" s="325">
        <f>IF(E560&gt;0,INT(IF($N560="D",IF($D560&lt;$H$3,$I560*($M560/100)*((E560-$H$3)/365),$J560*($M560/100)*($J$3-$D560)/365),0)),0)</f>
        <v>0</v>
      </c>
      <c r="P560" s="325">
        <f>IF(E560&gt;0,INT(IF($N560="P",IF($D560&lt;$H$3,$H560*($M560/100)*(E560-$H$3)/365,$J560*($M560/100)*($J$3-$D560)/365),0)),0)</f>
        <v>0</v>
      </c>
      <c r="Q560" s="325">
        <f>+O560+P560</f>
        <v>0</v>
      </c>
      <c r="R560" s="325">
        <f t="shared" si="111"/>
        <v>401</v>
      </c>
      <c r="S560" s="325">
        <f t="shared" si="112"/>
        <v>0</v>
      </c>
      <c r="T560" s="325">
        <f>+R560+S560+Q560</f>
        <v>401</v>
      </c>
      <c r="U560" s="409">
        <f>+I560+J560-T560-F560+K560-L560</f>
        <v>3613</v>
      </c>
      <c r="V560" s="325">
        <f t="shared" ref="V560:V577" si="113">IF(E560&gt;0,+H560+J560,0)</f>
        <v>0</v>
      </c>
      <c r="W560" s="449" cm="1">
        <f t="array" ref="W560">+IF(U560&lt;0,error,0)</f>
        <v>0</v>
      </c>
    </row>
    <row r="561" spans="1:23" ht="18" customHeight="1" x14ac:dyDescent="0.2">
      <c r="A561" s="402" t="s">
        <v>2113</v>
      </c>
      <c r="B561" s="403"/>
      <c r="C561" s="404" t="s">
        <v>2121</v>
      </c>
      <c r="D561" s="405">
        <v>43650</v>
      </c>
      <c r="E561" s="406"/>
      <c r="F561" s="325"/>
      <c r="G561" s="324"/>
      <c r="H561" s="324">
        <v>2322.12</v>
      </c>
      <c r="I561" s="325">
        <v>2170.12</v>
      </c>
      <c r="J561" s="325"/>
      <c r="K561" s="325">
        <f t="shared" ref="K561:K577" si="114">INT(IF($E561&gt;0,IF(+F561-I561+Q561&lt;0,0,+F561-I561+Q561),0))</f>
        <v>0</v>
      </c>
      <c r="L561" s="325">
        <f t="shared" ref="L561:L577" si="115">INT(IF($E561&gt;0,IF(K561=0,-F561+I561-Q561,0),0))</f>
        <v>0</v>
      </c>
      <c r="M561" s="407">
        <v>13.33</v>
      </c>
      <c r="N561" s="408" t="s">
        <v>289</v>
      </c>
      <c r="O561" s="325">
        <f t="shared" ref="O561:O577" si="116">IF(E561&gt;0,INT(IF($N561="D",IF($D561&lt;$H$3,$I561*($M561/100)*((E561-$H$3)/365),$J561*($M561/100)*($J$3-$D561)/365),0)),0)</f>
        <v>0</v>
      </c>
      <c r="P561" s="325">
        <f t="shared" ref="P561:P577" si="117">IF(E561&gt;0,INT(IF($N561="P",IF($D561&lt;$H$3,$H561*($M561/100)*(E561-$H$3)/365,$J561*($M561/100)*($J$3-$D561)/365),0)),0)</f>
        <v>0</v>
      </c>
      <c r="Q561" s="325">
        <f t="shared" ref="Q561:Q577" si="118">+O561+P561</f>
        <v>0</v>
      </c>
      <c r="R561" s="325">
        <f t="shared" si="111"/>
        <v>144</v>
      </c>
      <c r="S561" s="325">
        <f t="shared" si="112"/>
        <v>0</v>
      </c>
      <c r="T561" s="325">
        <f t="shared" ref="T561:T577" si="119">+R561+S561+Q561</f>
        <v>144</v>
      </c>
      <c r="U561" s="409">
        <f t="shared" ref="U561:U577" si="120">+I561+J561-T561-F561+K561-L561</f>
        <v>2026.12</v>
      </c>
      <c r="V561" s="325">
        <f t="shared" si="113"/>
        <v>0</v>
      </c>
      <c r="W561" s="449" cm="1">
        <f t="array" ref="W561">+IF(U561&lt;0,error,0)</f>
        <v>0</v>
      </c>
    </row>
    <row r="562" spans="1:23" ht="18" customHeight="1" x14ac:dyDescent="0.2">
      <c r="A562" s="402" t="s">
        <v>2114</v>
      </c>
      <c r="B562" s="403"/>
      <c r="C562" s="404" t="s">
        <v>2272</v>
      </c>
      <c r="D562" s="405">
        <v>43650</v>
      </c>
      <c r="E562" s="406">
        <v>43853</v>
      </c>
      <c r="F562" s="325">
        <v>4000</v>
      </c>
      <c r="G562" s="324">
        <v>2875.01</v>
      </c>
      <c r="H562" s="324">
        <v>2875.01</v>
      </c>
      <c r="I562" s="325">
        <v>2687.01</v>
      </c>
      <c r="J562" s="325"/>
      <c r="K562" s="325">
        <f t="shared" si="114"/>
        <v>1333</v>
      </c>
      <c r="L562" s="325">
        <f t="shared" si="115"/>
        <v>0</v>
      </c>
      <c r="M562" s="407">
        <v>13.33</v>
      </c>
      <c r="N562" s="408" t="s">
        <v>289</v>
      </c>
      <c r="O562" s="325">
        <f t="shared" si="116"/>
        <v>21</v>
      </c>
      <c r="P562" s="325">
        <f t="shared" si="117"/>
        <v>0</v>
      </c>
      <c r="Q562" s="325">
        <f t="shared" si="118"/>
        <v>21</v>
      </c>
      <c r="R562" s="325">
        <f t="shared" si="111"/>
        <v>0</v>
      </c>
      <c r="S562" s="325">
        <f t="shared" si="112"/>
        <v>0</v>
      </c>
      <c r="T562" s="325">
        <v>20</v>
      </c>
      <c r="U562" s="409">
        <f t="shared" si="120"/>
        <v>1.0000000000218279E-2</v>
      </c>
      <c r="V562" s="325">
        <f t="shared" si="113"/>
        <v>2875.01</v>
      </c>
      <c r="W562" s="449" cm="1">
        <f t="array" ref="W562">+IF(U562&lt;0,error,0)</f>
        <v>0</v>
      </c>
    </row>
    <row r="563" spans="1:23" ht="18" customHeight="1" x14ac:dyDescent="0.2">
      <c r="A563" s="402" t="s">
        <v>2115</v>
      </c>
      <c r="B563" s="403"/>
      <c r="C563" s="404" t="s">
        <v>2123</v>
      </c>
      <c r="D563" s="405">
        <v>43650</v>
      </c>
      <c r="E563" s="406"/>
      <c r="F563" s="325"/>
      <c r="G563" s="324"/>
      <c r="H563" s="324">
        <v>3317.32</v>
      </c>
      <c r="I563" s="325">
        <v>3099.32</v>
      </c>
      <c r="J563" s="325"/>
      <c r="K563" s="325">
        <f t="shared" si="114"/>
        <v>0</v>
      </c>
      <c r="L563" s="325">
        <f t="shared" si="115"/>
        <v>0</v>
      </c>
      <c r="M563" s="407">
        <v>13.33</v>
      </c>
      <c r="N563" s="408" t="s">
        <v>289</v>
      </c>
      <c r="O563" s="325">
        <f t="shared" si="116"/>
        <v>0</v>
      </c>
      <c r="P563" s="325">
        <f t="shared" si="117"/>
        <v>0</v>
      </c>
      <c r="Q563" s="325">
        <f t="shared" si="118"/>
        <v>0</v>
      </c>
      <c r="R563" s="325">
        <f t="shared" si="111"/>
        <v>206</v>
      </c>
      <c r="S563" s="325">
        <f t="shared" si="112"/>
        <v>0</v>
      </c>
      <c r="T563" s="325">
        <f t="shared" si="119"/>
        <v>206</v>
      </c>
      <c r="U563" s="409">
        <f t="shared" si="120"/>
        <v>2893.32</v>
      </c>
      <c r="V563" s="325">
        <f t="shared" si="113"/>
        <v>0</v>
      </c>
      <c r="W563" s="449" cm="1">
        <f t="array" ref="W563">+IF(U563&lt;0,error,0)</f>
        <v>0</v>
      </c>
    </row>
    <row r="564" spans="1:23" ht="18" customHeight="1" x14ac:dyDescent="0.2">
      <c r="A564" s="402" t="s">
        <v>2116</v>
      </c>
      <c r="B564" s="403"/>
      <c r="C564" s="404" t="s">
        <v>2124</v>
      </c>
      <c r="D564" s="405">
        <v>43650</v>
      </c>
      <c r="E564" s="406"/>
      <c r="F564" s="325"/>
      <c r="G564" s="324"/>
      <c r="H564" s="324">
        <v>2543.2800000000002</v>
      </c>
      <c r="I564" s="325">
        <v>2376.2800000000002</v>
      </c>
      <c r="J564" s="325"/>
      <c r="K564" s="325">
        <f t="shared" si="114"/>
        <v>0</v>
      </c>
      <c r="L564" s="325">
        <f t="shared" si="115"/>
        <v>0</v>
      </c>
      <c r="M564" s="407">
        <v>13.33</v>
      </c>
      <c r="N564" s="408" t="s">
        <v>289</v>
      </c>
      <c r="O564" s="325">
        <f t="shared" si="116"/>
        <v>0</v>
      </c>
      <c r="P564" s="325">
        <f t="shared" si="117"/>
        <v>0</v>
      </c>
      <c r="Q564" s="325">
        <f t="shared" si="118"/>
        <v>0</v>
      </c>
      <c r="R564" s="325">
        <f t="shared" si="111"/>
        <v>158</v>
      </c>
      <c r="S564" s="325">
        <f t="shared" si="112"/>
        <v>0</v>
      </c>
      <c r="T564" s="325">
        <f t="shared" si="119"/>
        <v>158</v>
      </c>
      <c r="U564" s="409">
        <f t="shared" si="120"/>
        <v>2218.2800000000002</v>
      </c>
      <c r="V564" s="325">
        <f t="shared" si="113"/>
        <v>0</v>
      </c>
      <c r="W564" s="449" cm="1">
        <f t="array" ref="W564">+IF(U564&lt;0,error,0)</f>
        <v>0</v>
      </c>
    </row>
    <row r="565" spans="1:23" ht="18" customHeight="1" x14ac:dyDescent="0.2">
      <c r="A565" s="402" t="s">
        <v>2117</v>
      </c>
      <c r="B565" s="403"/>
      <c r="C565" s="404" t="s">
        <v>2133</v>
      </c>
      <c r="D565" s="405">
        <v>43650</v>
      </c>
      <c r="E565" s="406"/>
      <c r="F565" s="325"/>
      <c r="G565" s="324"/>
      <c r="H565" s="324">
        <v>97582.25</v>
      </c>
      <c r="I565" s="325">
        <v>91168.25</v>
      </c>
      <c r="J565" s="325"/>
      <c r="K565" s="325">
        <f t="shared" si="114"/>
        <v>0</v>
      </c>
      <c r="L565" s="325">
        <f t="shared" si="115"/>
        <v>0</v>
      </c>
      <c r="M565" s="407">
        <v>13.33</v>
      </c>
      <c r="N565" s="408" t="s">
        <v>289</v>
      </c>
      <c r="O565" s="325">
        <f t="shared" si="116"/>
        <v>0</v>
      </c>
      <c r="P565" s="325">
        <f t="shared" si="117"/>
        <v>0</v>
      </c>
      <c r="Q565" s="325">
        <f t="shared" si="118"/>
        <v>0</v>
      </c>
      <c r="R565" s="325">
        <f t="shared" si="111"/>
        <v>6076</v>
      </c>
      <c r="S565" s="325">
        <f t="shared" si="112"/>
        <v>0</v>
      </c>
      <c r="T565" s="325">
        <f t="shared" si="119"/>
        <v>6076</v>
      </c>
      <c r="U565" s="409">
        <f t="shared" si="120"/>
        <v>85092.25</v>
      </c>
      <c r="V565" s="325">
        <f t="shared" si="113"/>
        <v>0</v>
      </c>
      <c r="W565" s="449" cm="1">
        <f t="array" ref="W565">+IF(U565&lt;0,error,0)</f>
        <v>0</v>
      </c>
    </row>
    <row r="566" spans="1:23" ht="18" customHeight="1" x14ac:dyDescent="0.2">
      <c r="A566" s="402" t="s">
        <v>2118</v>
      </c>
      <c r="B566" s="403"/>
      <c r="C566" s="404" t="s">
        <v>2134</v>
      </c>
      <c r="D566" s="405">
        <v>43704</v>
      </c>
      <c r="E566" s="406"/>
      <c r="F566" s="325"/>
      <c r="G566" s="324"/>
      <c r="H566" s="324">
        <v>102040.73</v>
      </c>
      <c r="I566" s="325">
        <v>97345.73</v>
      </c>
      <c r="J566" s="325"/>
      <c r="K566" s="325">
        <f t="shared" si="114"/>
        <v>0</v>
      </c>
      <c r="L566" s="325">
        <f t="shared" si="115"/>
        <v>0</v>
      </c>
      <c r="M566" s="407">
        <v>13.33</v>
      </c>
      <c r="N566" s="408" t="s">
        <v>289</v>
      </c>
      <c r="O566" s="325">
        <f t="shared" si="116"/>
        <v>0</v>
      </c>
      <c r="P566" s="325">
        <f t="shared" si="117"/>
        <v>0</v>
      </c>
      <c r="Q566" s="325">
        <f t="shared" si="118"/>
        <v>0</v>
      </c>
      <c r="R566" s="325">
        <f t="shared" si="111"/>
        <v>6488</v>
      </c>
      <c r="S566" s="325">
        <f t="shared" si="112"/>
        <v>0</v>
      </c>
      <c r="T566" s="325">
        <f t="shared" si="119"/>
        <v>6488</v>
      </c>
      <c r="U566" s="409">
        <f t="shared" si="120"/>
        <v>90857.73</v>
      </c>
      <c r="V566" s="325">
        <f t="shared" si="113"/>
        <v>0</v>
      </c>
      <c r="W566" s="449" cm="1">
        <f t="array" ref="W566">+IF(U566&lt;0,error,0)</f>
        <v>0</v>
      </c>
    </row>
    <row r="567" spans="1:23" ht="18" customHeight="1" x14ac:dyDescent="0.2">
      <c r="A567" s="402" t="s">
        <v>2119</v>
      </c>
      <c r="B567" s="403"/>
      <c r="C567" s="404" t="s">
        <v>2137</v>
      </c>
      <c r="D567" s="405">
        <v>43768</v>
      </c>
      <c r="E567" s="406">
        <v>43853</v>
      </c>
      <c r="F567" s="325">
        <v>8000</v>
      </c>
      <c r="G567" s="324">
        <v>4437.87</v>
      </c>
      <c r="H567" s="324">
        <v>4437.87</v>
      </c>
      <c r="I567" s="325">
        <v>4337.87</v>
      </c>
      <c r="J567" s="325"/>
      <c r="K567" s="325">
        <f t="shared" si="114"/>
        <v>3696</v>
      </c>
      <c r="L567" s="325">
        <f t="shared" si="115"/>
        <v>0</v>
      </c>
      <c r="M567" s="407">
        <v>13.33</v>
      </c>
      <c r="N567" s="408" t="s">
        <v>289</v>
      </c>
      <c r="O567" s="325">
        <f t="shared" si="116"/>
        <v>34</v>
      </c>
      <c r="P567" s="325">
        <f t="shared" si="117"/>
        <v>0</v>
      </c>
      <c r="Q567" s="325">
        <f t="shared" si="118"/>
        <v>34</v>
      </c>
      <c r="R567" s="325">
        <f t="shared" si="111"/>
        <v>0</v>
      </c>
      <c r="S567" s="325">
        <f t="shared" si="112"/>
        <v>0</v>
      </c>
      <c r="T567" s="325">
        <f>+R567+S567+Q567-0.13</f>
        <v>33.869999999999997</v>
      </c>
      <c r="U567" s="486">
        <f t="shared" si="120"/>
        <v>0</v>
      </c>
      <c r="V567" s="325">
        <f t="shared" si="113"/>
        <v>4437.87</v>
      </c>
      <c r="W567" s="449" cm="1">
        <f t="array" ref="W567">+IF(U567&lt;0,error,0)</f>
        <v>0</v>
      </c>
    </row>
    <row r="568" spans="1:23" ht="18" customHeight="1" x14ac:dyDescent="0.2">
      <c r="A568" s="402" t="s">
        <v>2120</v>
      </c>
      <c r="B568" s="403"/>
      <c r="C568" s="404" t="s">
        <v>2138</v>
      </c>
      <c r="D568" s="405">
        <v>43677</v>
      </c>
      <c r="E568" s="406"/>
      <c r="F568" s="325"/>
      <c r="G568" s="324"/>
      <c r="H568" s="324">
        <v>487.5</v>
      </c>
      <c r="I568" s="325">
        <v>460.5</v>
      </c>
      <c r="J568" s="325"/>
      <c r="K568" s="325">
        <f t="shared" si="114"/>
        <v>0</v>
      </c>
      <c r="L568" s="325">
        <f t="shared" si="115"/>
        <v>0</v>
      </c>
      <c r="M568" s="407">
        <v>13.33</v>
      </c>
      <c r="N568" s="408" t="s">
        <v>289</v>
      </c>
      <c r="O568" s="325">
        <f t="shared" si="116"/>
        <v>0</v>
      </c>
      <c r="P568" s="325">
        <f t="shared" si="117"/>
        <v>0</v>
      </c>
      <c r="Q568" s="325">
        <f t="shared" si="118"/>
        <v>0</v>
      </c>
      <c r="R568" s="325">
        <f t="shared" si="111"/>
        <v>30</v>
      </c>
      <c r="S568" s="325">
        <f t="shared" si="112"/>
        <v>0</v>
      </c>
      <c r="T568" s="325">
        <f t="shared" si="119"/>
        <v>30</v>
      </c>
      <c r="U568" s="409">
        <f t="shared" si="120"/>
        <v>430.5</v>
      </c>
      <c r="V568" s="325">
        <f t="shared" si="113"/>
        <v>0</v>
      </c>
      <c r="W568" s="449" cm="1">
        <f t="array" ref="W568">+IF(U568&lt;0,error,0)</f>
        <v>0</v>
      </c>
    </row>
    <row r="569" spans="1:23" ht="18" customHeight="1" x14ac:dyDescent="0.2">
      <c r="A569" s="402" t="s">
        <v>2125</v>
      </c>
      <c r="B569" s="403"/>
      <c r="C569" s="404" t="s">
        <v>2139</v>
      </c>
      <c r="D569" s="405">
        <v>43677</v>
      </c>
      <c r="E569" s="406"/>
      <c r="F569" s="325"/>
      <c r="G569" s="324"/>
      <c r="H569" s="324">
        <v>2307.5</v>
      </c>
      <c r="I569" s="325">
        <v>2179.5</v>
      </c>
      <c r="J569" s="325"/>
      <c r="K569" s="325">
        <f t="shared" si="114"/>
        <v>0</v>
      </c>
      <c r="L569" s="325">
        <f t="shared" si="115"/>
        <v>0</v>
      </c>
      <c r="M569" s="407">
        <v>13.33</v>
      </c>
      <c r="N569" s="408" t="s">
        <v>289</v>
      </c>
      <c r="O569" s="325">
        <f t="shared" si="116"/>
        <v>0</v>
      </c>
      <c r="P569" s="325">
        <f t="shared" si="117"/>
        <v>0</v>
      </c>
      <c r="Q569" s="325">
        <f t="shared" si="118"/>
        <v>0</v>
      </c>
      <c r="R569" s="325">
        <f t="shared" si="111"/>
        <v>145</v>
      </c>
      <c r="S569" s="325">
        <f t="shared" si="112"/>
        <v>0</v>
      </c>
      <c r="T569" s="325">
        <f t="shared" si="119"/>
        <v>145</v>
      </c>
      <c r="U569" s="409">
        <f t="shared" si="120"/>
        <v>2034.5</v>
      </c>
      <c r="V569" s="325">
        <f t="shared" si="113"/>
        <v>0</v>
      </c>
      <c r="W569" s="449" cm="1">
        <f t="array" ref="W569">+IF(U569&lt;0,error,0)</f>
        <v>0</v>
      </c>
    </row>
    <row r="570" spans="1:23" ht="18" customHeight="1" x14ac:dyDescent="0.2">
      <c r="A570" s="402" t="s">
        <v>2126</v>
      </c>
      <c r="B570" s="403"/>
      <c r="C570" s="404" t="s">
        <v>2135</v>
      </c>
      <c r="D570" s="405">
        <v>43704</v>
      </c>
      <c r="E570" s="406"/>
      <c r="F570" s="325"/>
      <c r="G570" s="324"/>
      <c r="H570" s="324">
        <v>9000</v>
      </c>
      <c r="I570" s="325">
        <v>8586</v>
      </c>
      <c r="J570" s="325"/>
      <c r="K570" s="325">
        <f t="shared" si="114"/>
        <v>0</v>
      </c>
      <c r="L570" s="325">
        <f t="shared" si="115"/>
        <v>0</v>
      </c>
      <c r="M570" s="407">
        <v>13.33</v>
      </c>
      <c r="N570" s="408" t="s">
        <v>289</v>
      </c>
      <c r="O570" s="325">
        <f t="shared" si="116"/>
        <v>0</v>
      </c>
      <c r="P570" s="325">
        <f t="shared" si="117"/>
        <v>0</v>
      </c>
      <c r="Q570" s="325">
        <f t="shared" si="118"/>
        <v>0</v>
      </c>
      <c r="R570" s="325">
        <f t="shared" si="111"/>
        <v>572</v>
      </c>
      <c r="S570" s="325">
        <f t="shared" si="112"/>
        <v>0</v>
      </c>
      <c r="T570" s="325">
        <f t="shared" si="119"/>
        <v>572</v>
      </c>
      <c r="U570" s="409">
        <f t="shared" si="120"/>
        <v>8014</v>
      </c>
      <c r="V570" s="325">
        <f t="shared" si="113"/>
        <v>0</v>
      </c>
      <c r="W570" s="449" cm="1">
        <f t="array" ref="W570">+IF(U570&lt;0,error,0)</f>
        <v>0</v>
      </c>
    </row>
    <row r="571" spans="1:23" ht="18" customHeight="1" x14ac:dyDescent="0.2">
      <c r="A571" s="402" t="s">
        <v>2127</v>
      </c>
      <c r="B571" s="403"/>
      <c r="C571" s="404" t="s">
        <v>2136</v>
      </c>
      <c r="D571" s="405">
        <v>43704</v>
      </c>
      <c r="E571" s="406"/>
      <c r="F571" s="325"/>
      <c r="G571" s="324"/>
      <c r="H571" s="324">
        <v>1000</v>
      </c>
      <c r="I571" s="325">
        <v>954</v>
      </c>
      <c r="J571" s="325"/>
      <c r="K571" s="325">
        <f t="shared" si="114"/>
        <v>0</v>
      </c>
      <c r="L571" s="325">
        <f t="shared" si="115"/>
        <v>0</v>
      </c>
      <c r="M571" s="407">
        <v>13.33</v>
      </c>
      <c r="N571" s="408" t="s">
        <v>289</v>
      </c>
      <c r="O571" s="325">
        <f t="shared" si="116"/>
        <v>0</v>
      </c>
      <c r="P571" s="325">
        <f t="shared" si="117"/>
        <v>0</v>
      </c>
      <c r="Q571" s="325">
        <f t="shared" si="118"/>
        <v>0</v>
      </c>
      <c r="R571" s="325">
        <f t="shared" si="111"/>
        <v>63</v>
      </c>
      <c r="S571" s="325">
        <f t="shared" si="112"/>
        <v>0</v>
      </c>
      <c r="T571" s="325">
        <f t="shared" si="119"/>
        <v>63</v>
      </c>
      <c r="U571" s="409">
        <f t="shared" si="120"/>
        <v>891</v>
      </c>
      <c r="V571" s="325">
        <f t="shared" si="113"/>
        <v>0</v>
      </c>
      <c r="W571" s="449" cm="1">
        <f t="array" ref="W571">+IF(U571&lt;0,error,0)</f>
        <v>0</v>
      </c>
    </row>
    <row r="572" spans="1:23" ht="18" customHeight="1" x14ac:dyDescent="0.2">
      <c r="A572" s="402" t="s">
        <v>2128</v>
      </c>
      <c r="B572" s="403"/>
      <c r="C572" s="404" t="s">
        <v>2140</v>
      </c>
      <c r="D572" s="405">
        <v>43689</v>
      </c>
      <c r="E572" s="406"/>
      <c r="F572" s="325"/>
      <c r="G572" s="324"/>
      <c r="H572" s="324">
        <v>3820</v>
      </c>
      <c r="I572" s="325">
        <v>3624</v>
      </c>
      <c r="J572" s="325"/>
      <c r="K572" s="325">
        <f t="shared" si="114"/>
        <v>0</v>
      </c>
      <c r="L572" s="325">
        <f t="shared" si="115"/>
        <v>0</v>
      </c>
      <c r="M572" s="407">
        <v>13.33</v>
      </c>
      <c r="N572" s="408" t="s">
        <v>289</v>
      </c>
      <c r="O572" s="325">
        <f t="shared" si="116"/>
        <v>0</v>
      </c>
      <c r="P572" s="325">
        <f t="shared" si="117"/>
        <v>0</v>
      </c>
      <c r="Q572" s="325">
        <f t="shared" si="118"/>
        <v>0</v>
      </c>
      <c r="R572" s="325">
        <f t="shared" si="111"/>
        <v>241</v>
      </c>
      <c r="S572" s="325">
        <f t="shared" si="112"/>
        <v>0</v>
      </c>
      <c r="T572" s="325">
        <f t="shared" si="119"/>
        <v>241</v>
      </c>
      <c r="U572" s="409">
        <f t="shared" si="120"/>
        <v>3383</v>
      </c>
      <c r="V572" s="325">
        <f t="shared" si="113"/>
        <v>0</v>
      </c>
      <c r="W572" s="449" cm="1">
        <f t="array" ref="W572">+IF(U572&lt;0,error,0)</f>
        <v>0</v>
      </c>
    </row>
    <row r="573" spans="1:23" ht="18" customHeight="1" x14ac:dyDescent="0.2">
      <c r="A573" s="402" t="s">
        <v>2129</v>
      </c>
      <c r="B573" s="403"/>
      <c r="C573" s="404" t="s">
        <v>2141</v>
      </c>
      <c r="D573" s="405">
        <v>43698</v>
      </c>
      <c r="E573" s="406"/>
      <c r="F573" s="325"/>
      <c r="G573" s="324"/>
      <c r="H573" s="324">
        <v>1800</v>
      </c>
      <c r="I573" s="325">
        <v>1714</v>
      </c>
      <c r="J573" s="325"/>
      <c r="K573" s="325">
        <f t="shared" si="114"/>
        <v>0</v>
      </c>
      <c r="L573" s="325">
        <f t="shared" si="115"/>
        <v>0</v>
      </c>
      <c r="M573" s="407">
        <v>13.33</v>
      </c>
      <c r="N573" s="408" t="s">
        <v>289</v>
      </c>
      <c r="O573" s="325">
        <f t="shared" si="116"/>
        <v>0</v>
      </c>
      <c r="P573" s="325">
        <f t="shared" si="117"/>
        <v>0</v>
      </c>
      <c r="Q573" s="325">
        <f t="shared" si="118"/>
        <v>0</v>
      </c>
      <c r="R573" s="325">
        <f t="shared" si="111"/>
        <v>114</v>
      </c>
      <c r="S573" s="325">
        <f t="shared" si="112"/>
        <v>0</v>
      </c>
      <c r="T573" s="325">
        <f t="shared" si="119"/>
        <v>114</v>
      </c>
      <c r="U573" s="409">
        <f t="shared" si="120"/>
        <v>1600</v>
      </c>
      <c r="V573" s="325">
        <f t="shared" si="113"/>
        <v>0</v>
      </c>
      <c r="W573" s="449" cm="1">
        <f t="array" ref="W573">+IF(U573&lt;0,error,0)</f>
        <v>0</v>
      </c>
    </row>
    <row r="574" spans="1:23" ht="18" customHeight="1" x14ac:dyDescent="0.2">
      <c r="A574" s="402" t="s">
        <v>2130</v>
      </c>
      <c r="B574" s="403"/>
      <c r="C574" s="404" t="s">
        <v>2142</v>
      </c>
      <c r="D574" s="405">
        <v>43709</v>
      </c>
      <c r="E574" s="406"/>
      <c r="F574" s="325"/>
      <c r="G574" s="324"/>
      <c r="H574" s="324">
        <v>4136.5</v>
      </c>
      <c r="I574" s="325">
        <v>3954.5</v>
      </c>
      <c r="J574" s="325"/>
      <c r="K574" s="325">
        <f t="shared" si="114"/>
        <v>0</v>
      </c>
      <c r="L574" s="325">
        <f t="shared" si="115"/>
        <v>0</v>
      </c>
      <c r="M574" s="407">
        <v>13.33</v>
      </c>
      <c r="N574" s="408" t="s">
        <v>289</v>
      </c>
      <c r="O574" s="325">
        <f t="shared" si="116"/>
        <v>0</v>
      </c>
      <c r="P574" s="325">
        <f t="shared" si="117"/>
        <v>0</v>
      </c>
      <c r="Q574" s="325">
        <f t="shared" si="118"/>
        <v>0</v>
      </c>
      <c r="R574" s="325">
        <f t="shared" si="111"/>
        <v>263</v>
      </c>
      <c r="S574" s="325">
        <f t="shared" si="112"/>
        <v>0</v>
      </c>
      <c r="T574" s="325">
        <f t="shared" si="119"/>
        <v>263</v>
      </c>
      <c r="U574" s="409">
        <f t="shared" si="120"/>
        <v>3691.5</v>
      </c>
      <c r="V574" s="325">
        <f t="shared" si="113"/>
        <v>0</v>
      </c>
      <c r="W574" s="449" cm="1">
        <f t="array" ref="W574">+IF(U574&lt;0,error,0)</f>
        <v>0</v>
      </c>
    </row>
    <row r="575" spans="1:23" ht="18" customHeight="1" x14ac:dyDescent="0.2">
      <c r="A575" s="402" t="s">
        <v>2131</v>
      </c>
      <c r="B575" s="403"/>
      <c r="C575" s="404" t="s">
        <v>2143</v>
      </c>
      <c r="D575" s="405">
        <v>43731</v>
      </c>
      <c r="E575" s="406"/>
      <c r="F575" s="325"/>
      <c r="G575" s="324"/>
      <c r="H575" s="324">
        <v>5500</v>
      </c>
      <c r="I575" s="325">
        <v>5302</v>
      </c>
      <c r="J575" s="325"/>
      <c r="K575" s="325">
        <f t="shared" si="114"/>
        <v>0</v>
      </c>
      <c r="L575" s="325">
        <f t="shared" si="115"/>
        <v>0</v>
      </c>
      <c r="M575" s="407">
        <v>13.33</v>
      </c>
      <c r="N575" s="408" t="s">
        <v>289</v>
      </c>
      <c r="O575" s="325">
        <f t="shared" si="116"/>
        <v>0</v>
      </c>
      <c r="P575" s="325">
        <f t="shared" si="117"/>
        <v>0</v>
      </c>
      <c r="Q575" s="325">
        <f t="shared" si="118"/>
        <v>0</v>
      </c>
      <c r="R575" s="325">
        <f t="shared" si="111"/>
        <v>353</v>
      </c>
      <c r="S575" s="325">
        <f t="shared" si="112"/>
        <v>0</v>
      </c>
      <c r="T575" s="325">
        <f t="shared" si="119"/>
        <v>353</v>
      </c>
      <c r="U575" s="409">
        <f t="shared" si="120"/>
        <v>4949</v>
      </c>
      <c r="V575" s="325">
        <f t="shared" si="113"/>
        <v>0</v>
      </c>
      <c r="W575" s="449" cm="1">
        <f t="array" ref="W575">+IF(U575&lt;0,error,0)</f>
        <v>0</v>
      </c>
    </row>
    <row r="576" spans="1:23" ht="18" customHeight="1" x14ac:dyDescent="0.2">
      <c r="A576" s="402" t="s">
        <v>2132</v>
      </c>
      <c r="B576" s="403"/>
      <c r="C576" s="404" t="s">
        <v>2144</v>
      </c>
      <c r="D576" s="405">
        <v>43738</v>
      </c>
      <c r="E576" s="406"/>
      <c r="F576" s="325"/>
      <c r="G576" s="324"/>
      <c r="H576" s="324">
        <v>455</v>
      </c>
      <c r="I576" s="325">
        <v>440</v>
      </c>
      <c r="J576" s="325"/>
      <c r="K576" s="325">
        <f t="shared" si="114"/>
        <v>0</v>
      </c>
      <c r="L576" s="325">
        <f t="shared" si="115"/>
        <v>0</v>
      </c>
      <c r="M576" s="407">
        <v>13.33</v>
      </c>
      <c r="N576" s="408" t="s">
        <v>289</v>
      </c>
      <c r="O576" s="325">
        <f t="shared" si="116"/>
        <v>0</v>
      </c>
      <c r="P576" s="325">
        <f t="shared" si="117"/>
        <v>0</v>
      </c>
      <c r="Q576" s="325">
        <f t="shared" si="118"/>
        <v>0</v>
      </c>
      <c r="R576" s="325">
        <f t="shared" si="111"/>
        <v>29</v>
      </c>
      <c r="S576" s="325">
        <f t="shared" si="112"/>
        <v>0</v>
      </c>
      <c r="T576" s="325">
        <f t="shared" si="119"/>
        <v>29</v>
      </c>
      <c r="U576" s="409">
        <f t="shared" si="120"/>
        <v>411</v>
      </c>
      <c r="V576" s="325">
        <f t="shared" si="113"/>
        <v>0</v>
      </c>
      <c r="W576" s="449" cm="1">
        <f t="array" ref="W576">+IF(U576&lt;0,error,0)</f>
        <v>0</v>
      </c>
    </row>
    <row r="577" spans="1:25" ht="18" customHeight="1" x14ac:dyDescent="0.2">
      <c r="A577" s="402" t="s">
        <v>2146</v>
      </c>
      <c r="B577" s="403"/>
      <c r="C577" s="404" t="s">
        <v>2145</v>
      </c>
      <c r="D577" s="405">
        <v>43799</v>
      </c>
      <c r="E577" s="406"/>
      <c r="F577" s="325"/>
      <c r="G577" s="324"/>
      <c r="H577" s="324">
        <v>845</v>
      </c>
      <c r="I577" s="325">
        <v>836</v>
      </c>
      <c r="J577" s="325"/>
      <c r="K577" s="325">
        <f t="shared" si="114"/>
        <v>0</v>
      </c>
      <c r="L577" s="325">
        <f t="shared" si="115"/>
        <v>0</v>
      </c>
      <c r="M577" s="407">
        <v>13.33</v>
      </c>
      <c r="N577" s="408" t="s">
        <v>289</v>
      </c>
      <c r="O577" s="325">
        <f t="shared" si="116"/>
        <v>0</v>
      </c>
      <c r="P577" s="325">
        <f t="shared" si="117"/>
        <v>0</v>
      </c>
      <c r="Q577" s="325">
        <f t="shared" si="118"/>
        <v>0</v>
      </c>
      <c r="R577" s="325">
        <f t="shared" si="111"/>
        <v>55</v>
      </c>
      <c r="S577" s="325">
        <f t="shared" si="112"/>
        <v>0</v>
      </c>
      <c r="T577" s="325">
        <f t="shared" si="119"/>
        <v>55</v>
      </c>
      <c r="U577" s="409">
        <f t="shared" si="120"/>
        <v>781</v>
      </c>
      <c r="V577" s="325">
        <f t="shared" si="113"/>
        <v>0</v>
      </c>
      <c r="W577" s="449" cm="1">
        <f t="array" ref="W577">+IF(U577&lt;0,error,0)</f>
        <v>0</v>
      </c>
    </row>
    <row r="578" spans="1:25" ht="18" customHeight="1" x14ac:dyDescent="0.2">
      <c r="A578" s="402" t="s">
        <v>2352</v>
      </c>
      <c r="B578" s="403"/>
      <c r="C578" s="404" t="s">
        <v>2361</v>
      </c>
      <c r="D578" s="405">
        <v>43861</v>
      </c>
      <c r="E578" s="406"/>
      <c r="F578" s="325"/>
      <c r="G578" s="324"/>
      <c r="H578" s="324"/>
      <c r="I578" s="325"/>
      <c r="J578" s="325">
        <v>17030</v>
      </c>
      <c r="K578" s="325">
        <f t="shared" ref="K578:K586" si="121">INT(IF($E578&gt;0,IF(+F578-I578+Q578&lt;0,0,+F578-I578+Q578),0))</f>
        <v>0</v>
      </c>
      <c r="L578" s="325">
        <f t="shared" ref="L578:L586" si="122">INT(IF($E578&gt;0,IF(K578=0,-F578+I578-Q578,0),0))</f>
        <v>0</v>
      </c>
      <c r="M578" s="407">
        <v>13.33</v>
      </c>
      <c r="N578" s="408" t="s">
        <v>289</v>
      </c>
      <c r="O578" s="325">
        <f t="shared" ref="O578:O586" si="123">IF(E578&gt;0,INT(IF($N578="D",IF($D578&lt;$H$3,$I578*($M578/100)*((E578-$H$3)/365),$J578*($M578/100)*($J$3-$D578)/365),0)),0)</f>
        <v>0</v>
      </c>
      <c r="P578" s="325">
        <f t="shared" ref="P578:P586" si="124">IF(E578&gt;0,INT(IF($N578="P",IF($D578&lt;$H$3,$H578*($M578/100)*(E578-$H$3)/365,$J578*($M578/100)*($J$3-$D578)/365),0)),0)</f>
        <v>0</v>
      </c>
      <c r="Q578" s="325">
        <f t="shared" ref="Q578:Q586" si="125">+O578+P578</f>
        <v>0</v>
      </c>
      <c r="R578" s="325">
        <f t="shared" si="111"/>
        <v>939</v>
      </c>
      <c r="S578" s="325">
        <f t="shared" si="112"/>
        <v>0</v>
      </c>
      <c r="T578" s="325">
        <f t="shared" ref="T578:T586" si="126">+R578+S578+Q578</f>
        <v>939</v>
      </c>
      <c r="U578" s="409">
        <f t="shared" ref="U578:U586" si="127">+I578+J578-T578-F578+K578-L578</f>
        <v>16091</v>
      </c>
      <c r="V578" s="325">
        <f t="shared" ref="V578:V586" si="128">IF(E578&gt;0,+H578+J578,0)</f>
        <v>0</v>
      </c>
      <c r="W578" s="449" cm="1">
        <f t="array" ref="W578">+IF(U578&lt;0,error,0)</f>
        <v>0</v>
      </c>
    </row>
    <row r="579" spans="1:25" ht="18" customHeight="1" x14ac:dyDescent="0.2">
      <c r="A579" s="402" t="s">
        <v>2353</v>
      </c>
      <c r="B579" s="403"/>
      <c r="C579" s="404" t="s">
        <v>2362</v>
      </c>
      <c r="D579" s="405">
        <v>43861</v>
      </c>
      <c r="E579" s="406"/>
      <c r="F579" s="325"/>
      <c r="G579" s="324"/>
      <c r="H579" s="324"/>
      <c r="I579" s="325"/>
      <c r="J579" s="325">
        <v>17650</v>
      </c>
      <c r="K579" s="325">
        <f t="shared" si="121"/>
        <v>0</v>
      </c>
      <c r="L579" s="325">
        <f t="shared" si="122"/>
        <v>0</v>
      </c>
      <c r="M579" s="407">
        <v>13.33</v>
      </c>
      <c r="N579" s="408" t="s">
        <v>289</v>
      </c>
      <c r="O579" s="325">
        <f t="shared" si="123"/>
        <v>0</v>
      </c>
      <c r="P579" s="325">
        <f t="shared" si="124"/>
        <v>0</v>
      </c>
      <c r="Q579" s="325">
        <f t="shared" si="125"/>
        <v>0</v>
      </c>
      <c r="R579" s="325">
        <f t="shared" si="111"/>
        <v>973</v>
      </c>
      <c r="S579" s="325">
        <f t="shared" si="112"/>
        <v>0</v>
      </c>
      <c r="T579" s="325">
        <f t="shared" si="126"/>
        <v>973</v>
      </c>
      <c r="U579" s="409">
        <f t="shared" si="127"/>
        <v>16677</v>
      </c>
      <c r="V579" s="325">
        <f t="shared" si="128"/>
        <v>0</v>
      </c>
      <c r="W579" s="449" cm="1">
        <f t="array" ref="W579">+IF(U579&lt;0,error,0)</f>
        <v>0</v>
      </c>
    </row>
    <row r="580" spans="1:25" ht="18" customHeight="1" x14ac:dyDescent="0.2">
      <c r="A580" s="402" t="s">
        <v>2354</v>
      </c>
      <c r="B580" s="403"/>
      <c r="C580" s="404" t="s">
        <v>2363</v>
      </c>
      <c r="D580" s="405">
        <v>43861</v>
      </c>
      <c r="E580" s="406"/>
      <c r="F580" s="325"/>
      <c r="G580" s="324"/>
      <c r="H580" s="324"/>
      <c r="I580" s="325"/>
      <c r="J580" s="325">
        <v>34963</v>
      </c>
      <c r="K580" s="325">
        <f t="shared" si="121"/>
        <v>0</v>
      </c>
      <c r="L580" s="325">
        <f t="shared" si="122"/>
        <v>0</v>
      </c>
      <c r="M580" s="407">
        <v>13.33</v>
      </c>
      <c r="N580" s="408" t="s">
        <v>289</v>
      </c>
      <c r="O580" s="325">
        <f t="shared" si="123"/>
        <v>0</v>
      </c>
      <c r="P580" s="325">
        <f t="shared" si="124"/>
        <v>0</v>
      </c>
      <c r="Q580" s="325">
        <f t="shared" si="125"/>
        <v>0</v>
      </c>
      <c r="R580" s="325">
        <f t="shared" si="111"/>
        <v>1928</v>
      </c>
      <c r="S580" s="325">
        <f t="shared" si="112"/>
        <v>0</v>
      </c>
      <c r="T580" s="325">
        <f t="shared" si="126"/>
        <v>1928</v>
      </c>
      <c r="U580" s="409">
        <f t="shared" si="127"/>
        <v>33035</v>
      </c>
      <c r="V580" s="325">
        <f t="shared" si="128"/>
        <v>0</v>
      </c>
      <c r="W580" s="449" cm="1">
        <f t="array" ref="W580">+IF(U580&lt;0,error,0)</f>
        <v>0</v>
      </c>
    </row>
    <row r="581" spans="1:25" ht="18" customHeight="1" x14ac:dyDescent="0.2">
      <c r="A581" s="402" t="s">
        <v>2355</v>
      </c>
      <c r="B581" s="403"/>
      <c r="C581" s="404" t="s">
        <v>2364</v>
      </c>
      <c r="D581" s="405">
        <v>43861</v>
      </c>
      <c r="E581" s="406"/>
      <c r="F581" s="325"/>
      <c r="G581" s="324"/>
      <c r="H581" s="324"/>
      <c r="I581" s="325"/>
      <c r="J581" s="325">
        <v>6736.5</v>
      </c>
      <c r="K581" s="325">
        <f t="shared" si="121"/>
        <v>0</v>
      </c>
      <c r="L581" s="325">
        <f t="shared" si="122"/>
        <v>0</v>
      </c>
      <c r="M581" s="407">
        <v>13.33</v>
      </c>
      <c r="N581" s="408" t="s">
        <v>289</v>
      </c>
      <c r="O581" s="325">
        <f t="shared" si="123"/>
        <v>0</v>
      </c>
      <c r="P581" s="325">
        <f t="shared" si="124"/>
        <v>0</v>
      </c>
      <c r="Q581" s="325">
        <f t="shared" si="125"/>
        <v>0</v>
      </c>
      <c r="R581" s="325">
        <f t="shared" si="111"/>
        <v>371</v>
      </c>
      <c r="S581" s="325">
        <f t="shared" si="112"/>
        <v>0</v>
      </c>
      <c r="T581" s="325">
        <f t="shared" si="126"/>
        <v>371</v>
      </c>
      <c r="U581" s="409">
        <f t="shared" si="127"/>
        <v>6365.5</v>
      </c>
      <c r="V581" s="325">
        <f t="shared" si="128"/>
        <v>0</v>
      </c>
      <c r="W581" s="449" cm="1">
        <f t="array" ref="W581">+IF(U581&lt;0,error,0)</f>
        <v>0</v>
      </c>
    </row>
    <row r="582" spans="1:25" ht="18" customHeight="1" x14ac:dyDescent="0.2">
      <c r="A582" s="402" t="s">
        <v>2356</v>
      </c>
      <c r="B582" s="403"/>
      <c r="C582" s="404" t="s">
        <v>2365</v>
      </c>
      <c r="D582" s="405">
        <v>43843</v>
      </c>
      <c r="E582" s="406"/>
      <c r="F582" s="325"/>
      <c r="G582" s="324"/>
      <c r="H582" s="324"/>
      <c r="I582" s="325"/>
      <c r="J582" s="325">
        <v>1983.22</v>
      </c>
      <c r="K582" s="325">
        <f t="shared" si="121"/>
        <v>0</v>
      </c>
      <c r="L582" s="325">
        <f t="shared" si="122"/>
        <v>0</v>
      </c>
      <c r="M582" s="407">
        <v>13.33</v>
      </c>
      <c r="N582" s="408" t="s">
        <v>289</v>
      </c>
      <c r="O582" s="325">
        <f t="shared" si="123"/>
        <v>0</v>
      </c>
      <c r="P582" s="325">
        <f t="shared" si="124"/>
        <v>0</v>
      </c>
      <c r="Q582" s="325">
        <f t="shared" si="125"/>
        <v>0</v>
      </c>
      <c r="R582" s="325">
        <f t="shared" si="111"/>
        <v>122</v>
      </c>
      <c r="S582" s="325">
        <f t="shared" si="112"/>
        <v>0</v>
      </c>
      <c r="T582" s="325">
        <f t="shared" si="126"/>
        <v>122</v>
      </c>
      <c r="U582" s="409">
        <f t="shared" si="127"/>
        <v>1861.22</v>
      </c>
      <c r="V582" s="325">
        <f t="shared" si="128"/>
        <v>0</v>
      </c>
      <c r="W582" s="449" cm="1">
        <f t="array" ref="W582">+IF(U582&lt;0,error,0)</f>
        <v>0</v>
      </c>
    </row>
    <row r="583" spans="1:25" ht="18" customHeight="1" x14ac:dyDescent="0.2">
      <c r="A583" s="402" t="s">
        <v>2357</v>
      </c>
      <c r="B583" s="403"/>
      <c r="C583" s="404" t="s">
        <v>2366</v>
      </c>
      <c r="D583" s="405">
        <v>40191</v>
      </c>
      <c r="E583" s="406"/>
      <c r="F583" s="325"/>
      <c r="G583" s="324"/>
      <c r="H583" s="324"/>
      <c r="I583" s="325"/>
      <c r="J583" s="325">
        <v>1061</v>
      </c>
      <c r="K583" s="325">
        <f t="shared" si="121"/>
        <v>0</v>
      </c>
      <c r="L583" s="325">
        <f t="shared" si="122"/>
        <v>0</v>
      </c>
      <c r="M583" s="407">
        <v>13.33</v>
      </c>
      <c r="N583" s="408" t="s">
        <v>289</v>
      </c>
      <c r="O583" s="325">
        <f t="shared" si="123"/>
        <v>0</v>
      </c>
      <c r="P583" s="325">
        <f t="shared" si="124"/>
        <v>0</v>
      </c>
      <c r="Q583" s="325">
        <f t="shared" si="125"/>
        <v>0</v>
      </c>
      <c r="R583" s="325">
        <f t="shared" si="111"/>
        <v>0</v>
      </c>
      <c r="S583" s="325">
        <f t="shared" si="112"/>
        <v>0</v>
      </c>
      <c r="T583" s="325">
        <f t="shared" si="126"/>
        <v>0</v>
      </c>
      <c r="U583" s="409">
        <f t="shared" si="127"/>
        <v>1061</v>
      </c>
      <c r="V583" s="325">
        <f t="shared" si="128"/>
        <v>0</v>
      </c>
      <c r="W583" s="449" cm="1">
        <f t="array" ref="W583">+IF(U583&lt;0,error,0)</f>
        <v>0</v>
      </c>
    </row>
    <row r="584" spans="1:25" ht="18" customHeight="1" x14ac:dyDescent="0.2">
      <c r="A584" s="402" t="s">
        <v>2358</v>
      </c>
      <c r="B584" s="403"/>
      <c r="C584" s="404" t="s">
        <v>2367</v>
      </c>
      <c r="D584" s="405">
        <v>43861</v>
      </c>
      <c r="E584" s="406"/>
      <c r="F584" s="325"/>
      <c r="G584" s="324"/>
      <c r="H584" s="324"/>
      <c r="I584" s="325"/>
      <c r="J584" s="325">
        <v>780</v>
      </c>
      <c r="K584" s="325">
        <f t="shared" si="121"/>
        <v>0</v>
      </c>
      <c r="L584" s="325">
        <f t="shared" si="122"/>
        <v>0</v>
      </c>
      <c r="M584" s="407">
        <v>13.33</v>
      </c>
      <c r="N584" s="408" t="s">
        <v>289</v>
      </c>
      <c r="O584" s="325">
        <f t="shared" si="123"/>
        <v>0</v>
      </c>
      <c r="P584" s="325">
        <f t="shared" si="124"/>
        <v>0</v>
      </c>
      <c r="Q584" s="325">
        <f t="shared" si="125"/>
        <v>0</v>
      </c>
      <c r="R584" s="325">
        <f t="shared" si="111"/>
        <v>43</v>
      </c>
      <c r="S584" s="325">
        <f t="shared" si="112"/>
        <v>0</v>
      </c>
      <c r="T584" s="325">
        <f t="shared" si="126"/>
        <v>43</v>
      </c>
      <c r="U584" s="409">
        <f t="shared" si="127"/>
        <v>737</v>
      </c>
      <c r="V584" s="325">
        <f t="shared" si="128"/>
        <v>0</v>
      </c>
      <c r="W584" s="449" cm="1">
        <f t="array" ref="W584">+IF(U584&lt;0,error,0)</f>
        <v>0</v>
      </c>
    </row>
    <row r="585" spans="1:25" ht="18" customHeight="1" x14ac:dyDescent="0.2">
      <c r="A585" s="402" t="s">
        <v>2359</v>
      </c>
      <c r="B585" s="403"/>
      <c r="C585" s="404" t="s">
        <v>2368</v>
      </c>
      <c r="D585" s="405">
        <v>43867</v>
      </c>
      <c r="E585" s="406"/>
      <c r="F585" s="325"/>
      <c r="G585" s="324"/>
      <c r="H585" s="324"/>
      <c r="I585" s="325"/>
      <c r="J585" s="325">
        <v>12150</v>
      </c>
      <c r="K585" s="325">
        <f t="shared" si="121"/>
        <v>0</v>
      </c>
      <c r="L585" s="325">
        <f t="shared" si="122"/>
        <v>0</v>
      </c>
      <c r="M585" s="407">
        <v>13.33</v>
      </c>
      <c r="N585" s="408" t="s">
        <v>289</v>
      </c>
      <c r="O585" s="325">
        <f t="shared" si="123"/>
        <v>0</v>
      </c>
      <c r="P585" s="325">
        <f t="shared" si="124"/>
        <v>0</v>
      </c>
      <c r="Q585" s="325">
        <f t="shared" si="125"/>
        <v>0</v>
      </c>
      <c r="R585" s="325">
        <f t="shared" si="111"/>
        <v>643</v>
      </c>
      <c r="S585" s="325">
        <f t="shared" si="112"/>
        <v>0</v>
      </c>
      <c r="T585" s="325">
        <f t="shared" si="126"/>
        <v>643</v>
      </c>
      <c r="U585" s="409">
        <f t="shared" si="127"/>
        <v>11507</v>
      </c>
      <c r="V585" s="325">
        <f t="shared" si="128"/>
        <v>0</v>
      </c>
      <c r="W585" s="449" cm="1">
        <f t="array" ref="W585">+IF(U585&lt;0,error,0)</f>
        <v>0</v>
      </c>
    </row>
    <row r="586" spans="1:25" ht="18" customHeight="1" x14ac:dyDescent="0.2">
      <c r="A586" s="402" t="s">
        <v>2360</v>
      </c>
      <c r="B586" s="403"/>
      <c r="C586" s="404" t="s">
        <v>2369</v>
      </c>
      <c r="D586" s="405">
        <v>43878</v>
      </c>
      <c r="E586" s="406"/>
      <c r="F586" s="325"/>
      <c r="G586" s="324"/>
      <c r="H586" s="324"/>
      <c r="I586" s="325"/>
      <c r="J586" s="325">
        <v>4300</v>
      </c>
      <c r="K586" s="325">
        <f t="shared" si="121"/>
        <v>0</v>
      </c>
      <c r="L586" s="325">
        <f t="shared" si="122"/>
        <v>0</v>
      </c>
      <c r="M586" s="407">
        <v>13.33</v>
      </c>
      <c r="N586" s="408" t="s">
        <v>289</v>
      </c>
      <c r="O586" s="325">
        <f t="shared" si="123"/>
        <v>0</v>
      </c>
      <c r="P586" s="325">
        <f t="shared" si="124"/>
        <v>0</v>
      </c>
      <c r="Q586" s="325">
        <f t="shared" si="125"/>
        <v>0</v>
      </c>
      <c r="R586" s="325">
        <f t="shared" si="111"/>
        <v>210</v>
      </c>
      <c r="S586" s="325">
        <f t="shared" si="112"/>
        <v>0</v>
      </c>
      <c r="T586" s="325">
        <f t="shared" si="126"/>
        <v>210</v>
      </c>
      <c r="U586" s="409">
        <f t="shared" si="127"/>
        <v>4090</v>
      </c>
      <c r="V586" s="325">
        <f t="shared" si="128"/>
        <v>0</v>
      </c>
      <c r="W586" s="449" cm="1">
        <f t="array" ref="W586">+IF(U586&lt;0,error,0)</f>
        <v>0</v>
      </c>
    </row>
    <row r="587" spans="1:25" ht="18" customHeight="1" x14ac:dyDescent="0.2">
      <c r="A587" s="402"/>
      <c r="B587" s="403"/>
      <c r="C587" s="404"/>
      <c r="D587" s="405"/>
      <c r="E587" s="406"/>
      <c r="F587" s="325"/>
      <c r="G587" s="324"/>
      <c r="H587" s="324"/>
      <c r="I587" s="325"/>
      <c r="J587" s="325"/>
      <c r="K587" s="325"/>
      <c r="L587" s="325"/>
      <c r="M587" s="407"/>
      <c r="N587" s="408"/>
      <c r="O587" s="325"/>
      <c r="P587" s="325"/>
      <c r="Q587" s="325"/>
      <c r="R587" s="325"/>
      <c r="S587" s="325"/>
      <c r="T587" s="325"/>
      <c r="U587" s="409"/>
      <c r="V587" s="325"/>
      <c r="W587" s="449" cm="1">
        <f t="array" ref="W587">+IF(U587&lt;0,error,0)</f>
        <v>0</v>
      </c>
    </row>
    <row r="588" spans="1:25" ht="18" customHeight="1" x14ac:dyDescent="0.2">
      <c r="A588" s="413"/>
      <c r="B588" s="414"/>
      <c r="C588" s="416"/>
      <c r="D588" s="416"/>
      <c r="E588" s="406"/>
      <c r="F588" s="325"/>
      <c r="G588" s="324"/>
      <c r="H588" s="324"/>
      <c r="I588" s="333"/>
      <c r="J588" s="333"/>
      <c r="K588" s="333"/>
      <c r="L588" s="333"/>
      <c r="M588" s="418"/>
      <c r="N588" s="408"/>
      <c r="O588" s="408"/>
      <c r="P588" s="333"/>
      <c r="Q588" s="333"/>
      <c r="R588" s="408"/>
      <c r="S588" s="333"/>
      <c r="T588" s="333"/>
      <c r="U588" s="419"/>
      <c r="V588" s="333"/>
      <c r="W588" s="449" cm="1">
        <f t="array" ref="W588">+IF(U588&lt;0,error,0)</f>
        <v>0</v>
      </c>
    </row>
    <row r="589" spans="1:25" ht="18" customHeight="1" x14ac:dyDescent="0.2">
      <c r="A589" s="413"/>
      <c r="B589" s="414"/>
      <c r="C589" s="415" t="s">
        <v>2043</v>
      </c>
      <c r="D589" s="416"/>
      <c r="E589" s="406"/>
      <c r="F589" s="325"/>
      <c r="G589" s="324"/>
      <c r="H589" s="417">
        <f>+J590-V590</f>
        <v>44991.139999999992</v>
      </c>
      <c r="I589" s="333"/>
      <c r="J589" s="333"/>
      <c r="K589" s="333"/>
      <c r="L589" s="333"/>
      <c r="M589" s="418"/>
      <c r="N589" s="408"/>
      <c r="O589" s="408"/>
      <c r="P589" s="333"/>
      <c r="Q589" s="333"/>
      <c r="R589" s="408"/>
      <c r="S589" s="333"/>
      <c r="T589" s="333"/>
      <c r="U589" s="419"/>
      <c r="V589" s="333"/>
      <c r="W589" s="449" cm="1">
        <f t="array" ref="W589">+IF(U589&lt;0,error,0)</f>
        <v>0</v>
      </c>
    </row>
    <row r="590" spans="1:25" s="347" customFormat="1" ht="18" customHeight="1" x14ac:dyDescent="0.2">
      <c r="A590" s="420"/>
      <c r="B590" s="421"/>
      <c r="C590" s="422" t="s">
        <v>1654</v>
      </c>
      <c r="D590" s="415"/>
      <c r="E590" s="429"/>
      <c r="F590" s="334">
        <f>SUM(F176:F588)</f>
        <v>12000</v>
      </c>
      <c r="G590" s="417">
        <f>SUM(G176:G588)</f>
        <v>51662.580000000009</v>
      </c>
      <c r="H590" s="417">
        <f>SUM(H176:H589)</f>
        <v>4761226.5399999972</v>
      </c>
      <c r="I590" s="334">
        <f>SUM(I176:I588)</f>
        <v>3067367.9958888893</v>
      </c>
      <c r="J590" s="334">
        <f>SUM(J176:J588)</f>
        <v>96653.72</v>
      </c>
      <c r="K590" s="334">
        <f>SUM(K176:K588)</f>
        <v>5029</v>
      </c>
      <c r="L590" s="334">
        <f>SUM(L176:L588)</f>
        <v>0</v>
      </c>
      <c r="M590" s="415"/>
      <c r="N590" s="426"/>
      <c r="O590" s="334">
        <f>SUM(O176:O546)</f>
        <v>0</v>
      </c>
      <c r="P590" s="334">
        <f>SUM(P176:P546)</f>
        <v>0</v>
      </c>
      <c r="Q590" s="334">
        <f>SUM(Q176:Q546)</f>
        <v>0</v>
      </c>
      <c r="R590" s="334">
        <f>SUM(R176:R546)</f>
        <v>142960</v>
      </c>
      <c r="S590" s="334">
        <f>SUM(S176:S546)</f>
        <v>404</v>
      </c>
      <c r="T590" s="417">
        <f>SUM(T176:T588)</f>
        <v>175908.21</v>
      </c>
      <c r="U590" s="417">
        <f>SUM(U176:U588)</f>
        <v>2981142.2458888898</v>
      </c>
      <c r="V590" s="417">
        <f>SUM(V176:V588)</f>
        <v>51662.580000000009</v>
      </c>
      <c r="W590" s="449" cm="1">
        <f t="array" ref="W590">+IF(U590&lt;0,error,0)</f>
        <v>0</v>
      </c>
      <c r="X590" s="427"/>
      <c r="Y590" s="445"/>
    </row>
    <row r="591" spans="1:25" ht="18" customHeight="1" x14ac:dyDescent="0.2">
      <c r="A591" s="402"/>
      <c r="B591" s="403"/>
      <c r="C591" s="416"/>
      <c r="D591" s="416"/>
      <c r="E591" s="406"/>
      <c r="F591" s="325"/>
      <c r="G591" s="324"/>
      <c r="H591" s="324"/>
      <c r="I591" s="325"/>
      <c r="J591" s="325"/>
      <c r="K591" s="325"/>
      <c r="L591" s="325"/>
      <c r="M591" s="416"/>
      <c r="N591" s="416"/>
      <c r="O591" s="416"/>
      <c r="P591" s="325"/>
      <c r="Q591" s="325"/>
      <c r="R591" s="416"/>
      <c r="S591" s="325"/>
      <c r="T591" s="325"/>
      <c r="U591" s="409"/>
      <c r="V591" s="325"/>
      <c r="W591" s="449" cm="1">
        <f t="array" ref="W591">+IF(U591&lt;0,error,0)</f>
        <v>0</v>
      </c>
    </row>
    <row r="592" spans="1:25" ht="18" customHeight="1" x14ac:dyDescent="0.2">
      <c r="A592" s="432" t="s">
        <v>1118</v>
      </c>
      <c r="B592" s="433"/>
      <c r="C592" s="416"/>
      <c r="D592" s="428"/>
      <c r="E592" s="434"/>
      <c r="F592" s="336"/>
      <c r="G592" s="435"/>
      <c r="H592" s="435"/>
      <c r="I592" s="336"/>
      <c r="J592" s="336"/>
      <c r="K592" s="336"/>
      <c r="L592" s="336"/>
      <c r="M592" s="428"/>
      <c r="N592" s="436"/>
      <c r="O592" s="436"/>
      <c r="P592" s="336"/>
      <c r="Q592" s="336"/>
      <c r="R592" s="436"/>
      <c r="S592" s="336"/>
      <c r="T592" s="336"/>
      <c r="U592" s="419"/>
      <c r="V592" s="333"/>
      <c r="W592" s="449" cm="1">
        <f t="array" ref="W592">+IF(U592&lt;0,error,0)</f>
        <v>0</v>
      </c>
    </row>
    <row r="593" spans="1:26" ht="18" customHeight="1" x14ac:dyDescent="0.2">
      <c r="A593" s="437" t="s">
        <v>1119</v>
      </c>
      <c r="B593" s="414"/>
      <c r="C593" s="416"/>
      <c r="D593" s="416"/>
      <c r="E593" s="406"/>
      <c r="F593" s="325"/>
      <c r="G593" s="324"/>
      <c r="H593" s="324"/>
      <c r="I593" s="333"/>
      <c r="J593" s="333"/>
      <c r="K593" s="333"/>
      <c r="L593" s="333"/>
      <c r="M593" s="418"/>
      <c r="N593" s="408"/>
      <c r="O593" s="408"/>
      <c r="P593" s="333"/>
      <c r="Q593" s="333"/>
      <c r="R593" s="408"/>
      <c r="S593" s="333"/>
      <c r="T593" s="333"/>
      <c r="U593" s="419"/>
      <c r="V593" s="333"/>
      <c r="W593" s="449" cm="1">
        <f t="array" ref="W593">+IF(U593&lt;0,error,0)</f>
        <v>0</v>
      </c>
    </row>
    <row r="594" spans="1:26" ht="18" customHeight="1" x14ac:dyDescent="0.2">
      <c r="A594" s="402" t="s">
        <v>1120</v>
      </c>
      <c r="B594" s="403"/>
      <c r="C594" s="404" t="s">
        <v>2269</v>
      </c>
      <c r="D594" s="405">
        <v>39973</v>
      </c>
      <c r="E594" s="406"/>
      <c r="F594" s="325"/>
      <c r="G594" s="324"/>
      <c r="H594" s="324">
        <v>17499</v>
      </c>
      <c r="I594" s="325">
        <v>2133</v>
      </c>
      <c r="J594" s="325"/>
      <c r="K594" s="325">
        <f t="shared" ref="K594:K604" si="129">INT(IF($E594&gt;0,IF(+F594-I594+Q594&lt;0,0,+F594-I594+Q594),0))</f>
        <v>0</v>
      </c>
      <c r="L594" s="325">
        <f t="shared" ref="L594:L604" si="130">INT(IF($E594&gt;0,IF(K594=0,-F594+I594-Q594,0),0))</f>
        <v>0</v>
      </c>
      <c r="M594" s="407">
        <v>18.18</v>
      </c>
      <c r="N594" s="408" t="s">
        <v>289</v>
      </c>
      <c r="O594" s="325">
        <f t="shared" ref="O594:O604" si="131">IF(E594&gt;0,INT(IF($N594="D",IF($D594&lt;$H$3,$I594*($M594/100)*((E594-$H$3)/365),$J594*($M594/100)*($J$3-$D594)/365),0)),0)</f>
        <v>0</v>
      </c>
      <c r="P594" s="325">
        <f t="shared" ref="P594:P604" si="132">IF(E594&gt;0,INT(IF($N594="P",IF($D594&lt;$H$3,$H594*($M594/100)*(E594-$H$3)/365,$J594*($M594/100)*($J$3-$D594)/365),0)),0)</f>
        <v>0</v>
      </c>
      <c r="Q594" s="325">
        <f t="shared" ref="Q594:Q604" si="133">+O594+P594</f>
        <v>0</v>
      </c>
      <c r="R594" s="325">
        <f t="shared" ref="R594:R604" si="134">INT(IF($E594&gt;0,0,(IF($N594="D",IF($D594&lt;$H$3,$I594*($M594/100)*$U$3/12,$J594*($M594/100)*($J$3-$D594)/365),0))))</f>
        <v>193</v>
      </c>
      <c r="S594" s="325">
        <f t="shared" ref="S594:S604" si="135">INT(IF($E594&gt;0,0,(IF($N594="P",IF($D594&lt;$H$3,$H594*($M594/100)*$U$3/12,$J594*($M594/100)*($J$3-$D594)/365),0))))</f>
        <v>0</v>
      </c>
      <c r="T594" s="325">
        <f t="shared" ref="T594:T604" si="136">+R594+S594+Q594</f>
        <v>193</v>
      </c>
      <c r="U594" s="324">
        <f>+I594+J594-T594-F594+K594-L594</f>
        <v>1940</v>
      </c>
      <c r="V594" s="325">
        <f t="shared" ref="V594:V604" si="137">IF(E594&gt;0,+H594+J594,0)</f>
        <v>0</v>
      </c>
      <c r="W594" s="449" cm="1">
        <f t="array" ref="W594">+IF(U594&lt;0,error,0)</f>
        <v>0</v>
      </c>
    </row>
    <row r="595" spans="1:26" ht="18" customHeight="1" x14ac:dyDescent="0.2">
      <c r="A595" s="402" t="s">
        <v>1121</v>
      </c>
      <c r="B595" s="403"/>
      <c r="C595" s="411" t="s">
        <v>1122</v>
      </c>
      <c r="D595" s="405">
        <v>40268</v>
      </c>
      <c r="E595" s="406"/>
      <c r="F595" s="325"/>
      <c r="G595" s="324"/>
      <c r="H595" s="324">
        <v>13034.44</v>
      </c>
      <c r="I595" s="325">
        <v>1874.2600000000002</v>
      </c>
      <c r="J595" s="325"/>
      <c r="K595" s="325">
        <f t="shared" si="129"/>
        <v>0</v>
      </c>
      <c r="L595" s="325">
        <f t="shared" si="130"/>
        <v>0</v>
      </c>
      <c r="M595" s="407">
        <v>18.18</v>
      </c>
      <c r="N595" s="408" t="s">
        <v>289</v>
      </c>
      <c r="O595" s="325">
        <f t="shared" si="131"/>
        <v>0</v>
      </c>
      <c r="P595" s="325">
        <f t="shared" si="132"/>
        <v>0</v>
      </c>
      <c r="Q595" s="325">
        <f t="shared" si="133"/>
        <v>0</v>
      </c>
      <c r="R595" s="325">
        <f t="shared" si="134"/>
        <v>170</v>
      </c>
      <c r="S595" s="325">
        <f t="shared" si="135"/>
        <v>0</v>
      </c>
      <c r="T595" s="325">
        <f t="shared" si="136"/>
        <v>170</v>
      </c>
      <c r="U595" s="324">
        <f>+I595+J595-T595-F595+K595-L595</f>
        <v>1704.2600000000002</v>
      </c>
      <c r="V595" s="325">
        <f t="shared" si="137"/>
        <v>0</v>
      </c>
      <c r="W595" s="449" cm="1">
        <f t="array" ref="W595">+IF(U595&lt;0,error,0)</f>
        <v>0</v>
      </c>
    </row>
    <row r="596" spans="1:26" ht="18" customHeight="1" x14ac:dyDescent="0.2">
      <c r="A596" s="402" t="s">
        <v>1123</v>
      </c>
      <c r="B596" s="403"/>
      <c r="C596" s="440" t="s">
        <v>1124</v>
      </c>
      <c r="D596" s="405">
        <v>41611</v>
      </c>
      <c r="E596" s="406"/>
      <c r="F596" s="325"/>
      <c r="G596" s="324"/>
      <c r="H596" s="324">
        <v>37380.36</v>
      </c>
      <c r="I596" s="325">
        <v>12545.36</v>
      </c>
      <c r="J596" s="325"/>
      <c r="K596" s="325">
        <f t="shared" si="129"/>
        <v>0</v>
      </c>
      <c r="L596" s="325">
        <f t="shared" si="130"/>
        <v>0</v>
      </c>
      <c r="M596" s="407">
        <v>16.66</v>
      </c>
      <c r="N596" s="408" t="s">
        <v>289</v>
      </c>
      <c r="O596" s="325">
        <f t="shared" si="131"/>
        <v>0</v>
      </c>
      <c r="P596" s="325">
        <f t="shared" si="132"/>
        <v>0</v>
      </c>
      <c r="Q596" s="325">
        <f t="shared" si="133"/>
        <v>0</v>
      </c>
      <c r="R596" s="325">
        <f t="shared" si="134"/>
        <v>1045</v>
      </c>
      <c r="S596" s="325">
        <f t="shared" si="135"/>
        <v>0</v>
      </c>
      <c r="T596" s="325">
        <f t="shared" si="136"/>
        <v>1045</v>
      </c>
      <c r="U596" s="324">
        <f>+I596+J596-T596-F596+K596-L596</f>
        <v>11500.36</v>
      </c>
      <c r="V596" s="325">
        <f t="shared" si="137"/>
        <v>0</v>
      </c>
      <c r="W596" s="449" cm="1">
        <f t="array" ref="W596">+IF(U596&lt;0,error,0)</f>
        <v>0</v>
      </c>
    </row>
    <row r="597" spans="1:26" ht="18" customHeight="1" x14ac:dyDescent="0.2">
      <c r="A597" s="402" t="s">
        <v>1127</v>
      </c>
      <c r="B597" s="403"/>
      <c r="C597" s="411" t="s">
        <v>1128</v>
      </c>
      <c r="D597" s="405">
        <v>42125</v>
      </c>
      <c r="E597" s="406"/>
      <c r="F597" s="325"/>
      <c r="G597" s="324"/>
      <c r="H597" s="324">
        <v>19272</v>
      </c>
      <c r="I597" s="325">
        <v>5208</v>
      </c>
      <c r="J597" s="325"/>
      <c r="K597" s="325">
        <f t="shared" si="129"/>
        <v>0</v>
      </c>
      <c r="L597" s="325">
        <f t="shared" si="130"/>
        <v>0</v>
      </c>
      <c r="M597" s="407">
        <v>25</v>
      </c>
      <c r="N597" s="408" t="s">
        <v>289</v>
      </c>
      <c r="O597" s="325">
        <f t="shared" si="131"/>
        <v>0</v>
      </c>
      <c r="P597" s="325">
        <f t="shared" si="132"/>
        <v>0</v>
      </c>
      <c r="Q597" s="325">
        <f t="shared" si="133"/>
        <v>0</v>
      </c>
      <c r="R597" s="325">
        <f t="shared" si="134"/>
        <v>651</v>
      </c>
      <c r="S597" s="325">
        <f t="shared" si="135"/>
        <v>0</v>
      </c>
      <c r="T597" s="325">
        <f t="shared" si="136"/>
        <v>651</v>
      </c>
      <c r="U597" s="324">
        <f>+I597+J597-T597-F597+K597-L597</f>
        <v>4557</v>
      </c>
      <c r="V597" s="325">
        <f t="shared" si="137"/>
        <v>0</v>
      </c>
      <c r="W597" s="449" cm="1">
        <f t="array" ref="W597">+IF(U597&lt;0,error,0)</f>
        <v>0</v>
      </c>
    </row>
    <row r="598" spans="1:26" ht="18" customHeight="1" x14ac:dyDescent="0.2">
      <c r="A598" s="402" t="s">
        <v>1131</v>
      </c>
      <c r="B598" s="403"/>
      <c r="C598" s="411" t="s">
        <v>1132</v>
      </c>
      <c r="D598" s="405">
        <v>42360</v>
      </c>
      <c r="E598" s="406"/>
      <c r="F598" s="325"/>
      <c r="G598" s="324"/>
      <c r="H598" s="324">
        <v>37434</v>
      </c>
      <c r="I598" s="325">
        <v>12741</v>
      </c>
      <c r="J598" s="325"/>
      <c r="K598" s="325">
        <f t="shared" si="129"/>
        <v>0</v>
      </c>
      <c r="L598" s="325">
        <f t="shared" si="130"/>
        <v>0</v>
      </c>
      <c r="M598" s="407">
        <v>25</v>
      </c>
      <c r="N598" s="408" t="s">
        <v>289</v>
      </c>
      <c r="O598" s="325">
        <f t="shared" si="131"/>
        <v>0</v>
      </c>
      <c r="P598" s="325">
        <f t="shared" si="132"/>
        <v>0</v>
      </c>
      <c r="Q598" s="325">
        <f t="shared" si="133"/>
        <v>0</v>
      </c>
      <c r="R598" s="325">
        <f t="shared" si="134"/>
        <v>1592</v>
      </c>
      <c r="S598" s="325">
        <f t="shared" si="135"/>
        <v>0</v>
      </c>
      <c r="T598" s="325">
        <f t="shared" si="136"/>
        <v>1592</v>
      </c>
      <c r="U598" s="324">
        <f t="shared" ref="U598:U603" si="138">+I598+J598-T598-F598+K598-L598</f>
        <v>11149</v>
      </c>
      <c r="V598" s="325">
        <f t="shared" si="137"/>
        <v>0</v>
      </c>
      <c r="W598" s="449" cm="1">
        <f t="array" ref="W598">+IF(U598&lt;0,error,0)</f>
        <v>0</v>
      </c>
    </row>
    <row r="599" spans="1:26" ht="18" customHeight="1" x14ac:dyDescent="0.2">
      <c r="A599" s="402" t="s">
        <v>1133</v>
      </c>
      <c r="B599" s="403"/>
      <c r="C599" s="411" t="s">
        <v>1134</v>
      </c>
      <c r="D599" s="405">
        <v>42387</v>
      </c>
      <c r="E599" s="406"/>
      <c r="F599" s="325"/>
      <c r="G599" s="324"/>
      <c r="H599" s="324">
        <v>2100</v>
      </c>
      <c r="I599" s="325">
        <v>726</v>
      </c>
      <c r="J599" s="325"/>
      <c r="K599" s="325">
        <f t="shared" si="129"/>
        <v>0</v>
      </c>
      <c r="L599" s="325">
        <f t="shared" si="130"/>
        <v>0</v>
      </c>
      <c r="M599" s="407">
        <v>25</v>
      </c>
      <c r="N599" s="408" t="s">
        <v>289</v>
      </c>
      <c r="O599" s="325">
        <f t="shared" si="131"/>
        <v>0</v>
      </c>
      <c r="P599" s="325">
        <f t="shared" si="132"/>
        <v>0</v>
      </c>
      <c r="Q599" s="325">
        <f t="shared" si="133"/>
        <v>0</v>
      </c>
      <c r="R599" s="325">
        <f t="shared" si="134"/>
        <v>90</v>
      </c>
      <c r="S599" s="325">
        <f t="shared" si="135"/>
        <v>0</v>
      </c>
      <c r="T599" s="325">
        <f t="shared" si="136"/>
        <v>90</v>
      </c>
      <c r="U599" s="324">
        <f t="shared" si="138"/>
        <v>636</v>
      </c>
      <c r="V599" s="325">
        <f t="shared" si="137"/>
        <v>0</v>
      </c>
      <c r="W599" s="449" cm="1">
        <f t="array" ref="W599">+IF(U599&lt;0,error,0)</f>
        <v>0</v>
      </c>
    </row>
    <row r="600" spans="1:26" ht="18" customHeight="1" x14ac:dyDescent="0.2">
      <c r="A600" s="402" t="s">
        <v>1135</v>
      </c>
      <c r="B600" s="403"/>
      <c r="C600" s="411" t="s">
        <v>1136</v>
      </c>
      <c r="D600" s="405">
        <v>42678</v>
      </c>
      <c r="E600" s="406">
        <v>43867</v>
      </c>
      <c r="F600" s="325">
        <v>31818.18</v>
      </c>
      <c r="G600" s="324">
        <v>95298.62</v>
      </c>
      <c r="H600" s="324">
        <v>95298.62</v>
      </c>
      <c r="I600" s="325">
        <v>39993.620000000003</v>
      </c>
      <c r="J600" s="325"/>
      <c r="K600" s="325">
        <f t="shared" si="129"/>
        <v>0</v>
      </c>
      <c r="L600" s="325">
        <f t="shared" si="130"/>
        <v>7189</v>
      </c>
      <c r="M600" s="407">
        <v>25</v>
      </c>
      <c r="N600" s="408" t="s">
        <v>289</v>
      </c>
      <c r="O600" s="325">
        <f t="shared" si="131"/>
        <v>986</v>
      </c>
      <c r="P600" s="325">
        <f t="shared" si="132"/>
        <v>0</v>
      </c>
      <c r="Q600" s="325">
        <f t="shared" si="133"/>
        <v>986</v>
      </c>
      <c r="R600" s="325">
        <f t="shared" si="134"/>
        <v>0</v>
      </c>
      <c r="S600" s="325">
        <f t="shared" si="135"/>
        <v>0</v>
      </c>
      <c r="T600" s="325">
        <f t="shared" si="136"/>
        <v>986</v>
      </c>
      <c r="U600" s="324">
        <f t="shared" si="138"/>
        <v>0.44000000000232831</v>
      </c>
      <c r="V600" s="325">
        <f t="shared" si="137"/>
        <v>95298.62</v>
      </c>
      <c r="W600" s="449" cm="1">
        <f t="array" ref="W600">+IF(U600&lt;0,error,0)</f>
        <v>0</v>
      </c>
    </row>
    <row r="601" spans="1:26" ht="18" customHeight="1" x14ac:dyDescent="0.2">
      <c r="A601" s="402" t="s">
        <v>1137</v>
      </c>
      <c r="B601" s="403"/>
      <c r="C601" s="411" t="s">
        <v>1138</v>
      </c>
      <c r="D601" s="405">
        <v>42829</v>
      </c>
      <c r="E601" s="406"/>
      <c r="F601" s="325"/>
      <c r="G601" s="324"/>
      <c r="H601" s="324">
        <v>51566.81</v>
      </c>
      <c r="I601" s="325">
        <v>24317.81</v>
      </c>
      <c r="J601" s="325"/>
      <c r="K601" s="325">
        <f t="shared" si="129"/>
        <v>0</v>
      </c>
      <c r="L601" s="325">
        <f t="shared" si="130"/>
        <v>0</v>
      </c>
      <c r="M601" s="407">
        <v>25</v>
      </c>
      <c r="N601" s="408" t="s">
        <v>289</v>
      </c>
      <c r="O601" s="325">
        <f t="shared" si="131"/>
        <v>0</v>
      </c>
      <c r="P601" s="325">
        <f t="shared" si="132"/>
        <v>0</v>
      </c>
      <c r="Q601" s="325">
        <f t="shared" si="133"/>
        <v>0</v>
      </c>
      <c r="R601" s="325">
        <f t="shared" si="134"/>
        <v>3039</v>
      </c>
      <c r="S601" s="325">
        <f t="shared" si="135"/>
        <v>0</v>
      </c>
      <c r="T601" s="325">
        <f t="shared" si="136"/>
        <v>3039</v>
      </c>
      <c r="U601" s="324">
        <f t="shared" si="138"/>
        <v>21278.81</v>
      </c>
      <c r="V601" s="325">
        <f t="shared" si="137"/>
        <v>0</v>
      </c>
      <c r="W601" s="449" cm="1">
        <f t="array" ref="W601">+IF(U601&lt;0,error,0)</f>
        <v>0</v>
      </c>
    </row>
    <row r="602" spans="1:26" ht="18" customHeight="1" x14ac:dyDescent="0.2">
      <c r="A602" s="402" t="s">
        <v>1139</v>
      </c>
      <c r="B602" s="403"/>
      <c r="C602" s="404" t="s">
        <v>1140</v>
      </c>
      <c r="D602" s="405">
        <v>43159</v>
      </c>
      <c r="E602" s="406"/>
      <c r="F602" s="325"/>
      <c r="G602" s="324"/>
      <c r="H602" s="324">
        <v>98531.82</v>
      </c>
      <c r="I602" s="325">
        <v>60371.820000000007</v>
      </c>
      <c r="J602" s="325"/>
      <c r="K602" s="325">
        <f t="shared" si="129"/>
        <v>0</v>
      </c>
      <c r="L602" s="325">
        <f t="shared" si="130"/>
        <v>0</v>
      </c>
      <c r="M602" s="407">
        <v>25</v>
      </c>
      <c r="N602" s="408" t="s">
        <v>289</v>
      </c>
      <c r="O602" s="325">
        <f t="shared" si="131"/>
        <v>0</v>
      </c>
      <c r="P602" s="325">
        <f t="shared" si="132"/>
        <v>0</v>
      </c>
      <c r="Q602" s="325">
        <f t="shared" si="133"/>
        <v>0</v>
      </c>
      <c r="R602" s="325">
        <f t="shared" si="134"/>
        <v>7546</v>
      </c>
      <c r="S602" s="325">
        <f t="shared" si="135"/>
        <v>0</v>
      </c>
      <c r="T602" s="325">
        <f t="shared" si="136"/>
        <v>7546</v>
      </c>
      <c r="U602" s="324">
        <f t="shared" si="138"/>
        <v>52825.820000000007</v>
      </c>
      <c r="V602" s="325">
        <f t="shared" si="137"/>
        <v>0</v>
      </c>
      <c r="W602" s="449" cm="1">
        <f t="array" ref="W602">+IF(U602&lt;0,error,0)</f>
        <v>0</v>
      </c>
    </row>
    <row r="603" spans="1:26" ht="18" customHeight="1" x14ac:dyDescent="0.2">
      <c r="A603" s="402" t="s">
        <v>2074</v>
      </c>
      <c r="B603" s="403"/>
      <c r="C603" s="404" t="s">
        <v>1922</v>
      </c>
      <c r="D603" s="405">
        <v>43437</v>
      </c>
      <c r="E603" s="406"/>
      <c r="F603" s="325"/>
      <c r="G603" s="324"/>
      <c r="H603" s="324">
        <f>37034+0.08</f>
        <v>37034.080000000002</v>
      </c>
      <c r="I603" s="325">
        <v>29514</v>
      </c>
      <c r="J603" s="325"/>
      <c r="K603" s="325">
        <f t="shared" si="129"/>
        <v>0</v>
      </c>
      <c r="L603" s="325">
        <f t="shared" si="130"/>
        <v>0</v>
      </c>
      <c r="M603" s="407">
        <v>20</v>
      </c>
      <c r="N603" s="408" t="s">
        <v>289</v>
      </c>
      <c r="O603" s="325">
        <f t="shared" si="131"/>
        <v>0</v>
      </c>
      <c r="P603" s="325">
        <f t="shared" si="132"/>
        <v>0</v>
      </c>
      <c r="Q603" s="325">
        <f t="shared" si="133"/>
        <v>0</v>
      </c>
      <c r="R603" s="325">
        <f t="shared" si="134"/>
        <v>2951</v>
      </c>
      <c r="S603" s="325">
        <f t="shared" si="135"/>
        <v>0</v>
      </c>
      <c r="T603" s="325">
        <f t="shared" si="136"/>
        <v>2951</v>
      </c>
      <c r="U603" s="324">
        <f t="shared" si="138"/>
        <v>26563</v>
      </c>
      <c r="V603" s="325">
        <f t="shared" si="137"/>
        <v>0</v>
      </c>
      <c r="W603" s="449" cm="1">
        <f t="array" ref="W603">+IF(U603&lt;0,error,0)</f>
        <v>0</v>
      </c>
    </row>
    <row r="604" spans="1:26" ht="18" customHeight="1" x14ac:dyDescent="0.2">
      <c r="A604" s="402">
        <f>+A603+1</f>
        <v>744018</v>
      </c>
      <c r="B604" s="403"/>
      <c r="C604" s="404" t="s">
        <v>2273</v>
      </c>
      <c r="D604" s="405">
        <v>43867</v>
      </c>
      <c r="E604" s="406"/>
      <c r="F604" s="325"/>
      <c r="G604" s="324"/>
      <c r="H604" s="324"/>
      <c r="I604" s="325"/>
      <c r="J604" s="325">
        <f>154545.45+9959.88</f>
        <v>164505.33000000002</v>
      </c>
      <c r="K604" s="325">
        <f t="shared" si="129"/>
        <v>0</v>
      </c>
      <c r="L604" s="325">
        <f t="shared" si="130"/>
        <v>0</v>
      </c>
      <c r="M604" s="407">
        <v>25</v>
      </c>
      <c r="N604" s="408" t="s">
        <v>289</v>
      </c>
      <c r="O604" s="325">
        <f t="shared" si="131"/>
        <v>0</v>
      </c>
      <c r="P604" s="325">
        <f t="shared" si="132"/>
        <v>0</v>
      </c>
      <c r="Q604" s="325">
        <f t="shared" si="133"/>
        <v>0</v>
      </c>
      <c r="R604" s="325">
        <f t="shared" si="134"/>
        <v>16337</v>
      </c>
      <c r="S604" s="325">
        <f t="shared" si="135"/>
        <v>0</v>
      </c>
      <c r="T604" s="325">
        <f t="shared" si="136"/>
        <v>16337</v>
      </c>
      <c r="U604" s="324">
        <f>+I604+J604-T604-F604+K604-L604</f>
        <v>148168.33000000002</v>
      </c>
      <c r="V604" s="325">
        <f t="shared" si="137"/>
        <v>0</v>
      </c>
      <c r="W604" s="449" cm="1">
        <f t="array" ref="W604">+IF(U604&lt;0,error,0)</f>
        <v>0</v>
      </c>
    </row>
    <row r="605" spans="1:26" ht="18" customHeight="1" x14ac:dyDescent="0.2">
      <c r="A605" s="402"/>
      <c r="B605" s="403"/>
      <c r="C605" s="404"/>
      <c r="D605" s="405"/>
      <c r="E605" s="406"/>
      <c r="F605" s="325"/>
      <c r="G605" s="324"/>
      <c r="H605" s="324"/>
      <c r="I605" s="325"/>
      <c r="J605" s="325"/>
      <c r="K605" s="325"/>
      <c r="L605" s="325"/>
      <c r="M605" s="407"/>
      <c r="N605" s="408"/>
      <c r="O605" s="325"/>
      <c r="P605" s="325"/>
      <c r="Q605" s="325"/>
      <c r="R605" s="325"/>
      <c r="S605" s="325"/>
      <c r="T605" s="325"/>
      <c r="U605" s="409"/>
      <c r="V605" s="325"/>
      <c r="W605" s="449" cm="1">
        <f t="array" ref="W605">+IF(U605&lt;0,error,0)</f>
        <v>0</v>
      </c>
    </row>
    <row r="606" spans="1:26" ht="18" customHeight="1" x14ac:dyDescent="0.2">
      <c r="A606" s="413"/>
      <c r="B606" s="414"/>
      <c r="C606" s="415" t="s">
        <v>2043</v>
      </c>
      <c r="D606" s="416"/>
      <c r="E606" s="406"/>
      <c r="F606" s="325"/>
      <c r="G606" s="324"/>
      <c r="H606" s="417">
        <f>+J607-V607</f>
        <v>69206.710000000021</v>
      </c>
      <c r="I606" s="333"/>
      <c r="J606" s="333"/>
      <c r="K606" s="333"/>
      <c r="L606" s="333"/>
      <c r="M606" s="418"/>
      <c r="N606" s="408"/>
      <c r="O606" s="408"/>
      <c r="P606" s="333"/>
      <c r="Q606" s="333"/>
      <c r="R606" s="408"/>
      <c r="S606" s="333"/>
      <c r="T606" s="333"/>
      <c r="U606" s="419"/>
      <c r="V606" s="333"/>
      <c r="W606" s="449" cm="1">
        <f t="array" ref="W606">+IF(U606&lt;0,error,0)</f>
        <v>0</v>
      </c>
    </row>
    <row r="607" spans="1:26" s="347" customFormat="1" ht="18" customHeight="1" x14ac:dyDescent="0.2">
      <c r="A607" s="420"/>
      <c r="B607" s="421"/>
      <c r="C607" s="422" t="s">
        <v>1655</v>
      </c>
      <c r="D607" s="415"/>
      <c r="E607" s="429"/>
      <c r="F607" s="417">
        <f t="shared" ref="F607:L607" si="139">SUM(F594:F606)</f>
        <v>31818.18</v>
      </c>
      <c r="G607" s="417">
        <f t="shared" si="139"/>
        <v>95298.62</v>
      </c>
      <c r="H607" s="417">
        <f>SUM(H594:H606)</f>
        <v>478357.84</v>
      </c>
      <c r="I607" s="334">
        <f t="shared" si="139"/>
        <v>189424.87</v>
      </c>
      <c r="J607" s="334">
        <f t="shared" si="139"/>
        <v>164505.33000000002</v>
      </c>
      <c r="K607" s="417">
        <f t="shared" si="139"/>
        <v>0</v>
      </c>
      <c r="L607" s="334">
        <f t="shared" si="139"/>
        <v>7189</v>
      </c>
      <c r="M607" s="423"/>
      <c r="N607" s="446"/>
      <c r="O607" s="334">
        <f>SUM(O594:O606)</f>
        <v>986</v>
      </c>
      <c r="P607" s="334">
        <f>SUM(P594:P606)</f>
        <v>0</v>
      </c>
      <c r="Q607" s="334"/>
      <c r="R607" s="334">
        <f>SUM(R594:R606)</f>
        <v>33614</v>
      </c>
      <c r="S607" s="334">
        <f>SUM(S594:S606)</f>
        <v>0</v>
      </c>
      <c r="T607" s="334">
        <f>SUM(T594:T606)</f>
        <v>34600</v>
      </c>
      <c r="U607" s="417">
        <f>SUM(U594:U606)</f>
        <v>280323.02</v>
      </c>
      <c r="V607" s="417">
        <f>SUM(V594:V606)</f>
        <v>95298.62</v>
      </c>
      <c r="W607" s="449" cm="1">
        <f t="array" ref="W607">+IF(U607&lt;0,error,0)</f>
        <v>0</v>
      </c>
      <c r="X607" s="347">
        <f>478357.84-198034.82</f>
        <v>280323.02</v>
      </c>
      <c r="Z607" s="427">
        <f>+U607-X607</f>
        <v>0</v>
      </c>
    </row>
    <row r="608" spans="1:26" ht="18" customHeight="1" x14ac:dyDescent="0.2">
      <c r="A608" s="402"/>
      <c r="B608" s="403"/>
      <c r="C608" s="416"/>
      <c r="D608" s="416"/>
      <c r="E608" s="406"/>
      <c r="F608" s="325"/>
      <c r="G608" s="324"/>
      <c r="H608" s="324"/>
      <c r="I608" s="325"/>
      <c r="J608" s="325"/>
      <c r="K608" s="325"/>
      <c r="L608" s="325"/>
      <c r="M608" s="418"/>
      <c r="N608" s="408"/>
      <c r="O608" s="408">
        <v>277</v>
      </c>
      <c r="P608" s="325">
        <v>0</v>
      </c>
      <c r="Q608" s="325"/>
      <c r="R608" s="408">
        <v>25880</v>
      </c>
      <c r="S608" s="325">
        <v>0</v>
      </c>
      <c r="T608" s="325"/>
      <c r="U608" s="409"/>
      <c r="V608" s="325"/>
      <c r="W608" s="449" cm="1">
        <f t="array" ref="W608">+IF(U608&lt;0,error,0)</f>
        <v>0</v>
      </c>
    </row>
    <row r="609" spans="1:24" ht="18" customHeight="1" x14ac:dyDescent="0.2">
      <c r="A609" s="432" t="s">
        <v>1141</v>
      </c>
      <c r="B609" s="433"/>
      <c r="C609" s="418"/>
      <c r="D609" s="415"/>
      <c r="E609" s="429"/>
      <c r="F609" s="334"/>
      <c r="G609" s="417"/>
      <c r="H609" s="417"/>
      <c r="I609" s="334"/>
      <c r="J609" s="334"/>
      <c r="K609" s="334"/>
      <c r="L609" s="334"/>
      <c r="M609" s="415"/>
      <c r="N609" s="446"/>
      <c r="O609" s="446"/>
      <c r="P609" s="334"/>
      <c r="Q609" s="334"/>
      <c r="R609" s="446"/>
      <c r="S609" s="334"/>
      <c r="T609" s="334"/>
      <c r="U609" s="419"/>
      <c r="V609" s="333"/>
      <c r="W609" s="449" cm="1">
        <f t="array" ref="W609">+IF(U609&lt;0,error,0)</f>
        <v>0</v>
      </c>
      <c r="X609" s="447"/>
    </row>
    <row r="610" spans="1:24" ht="18" customHeight="1" x14ac:dyDescent="0.2">
      <c r="A610" s="437" t="s">
        <v>1142</v>
      </c>
      <c r="B610" s="414"/>
      <c r="C610" s="416"/>
      <c r="D610" s="416"/>
      <c r="E610" s="406"/>
      <c r="F610" s="325"/>
      <c r="G610" s="324"/>
      <c r="H610" s="324"/>
      <c r="I610" s="333"/>
      <c r="J610" s="333"/>
      <c r="K610" s="333"/>
      <c r="L610" s="333"/>
      <c r="M610" s="418"/>
      <c r="N610" s="408"/>
      <c r="O610" s="408"/>
      <c r="P610" s="333"/>
      <c r="Q610" s="333"/>
      <c r="R610" s="408"/>
      <c r="S610" s="333"/>
      <c r="T610" s="333"/>
      <c r="U610" s="419"/>
      <c r="V610" s="333"/>
      <c r="W610" s="449" cm="1">
        <f t="array" ref="W610">+IF(U610&lt;0,error,0)</f>
        <v>0</v>
      </c>
    </row>
    <row r="611" spans="1:24" ht="18" customHeight="1" x14ac:dyDescent="0.2">
      <c r="A611" s="402" t="s">
        <v>1143</v>
      </c>
      <c r="B611" s="403"/>
      <c r="C611" s="404" t="s">
        <v>1144</v>
      </c>
      <c r="D611" s="405">
        <v>42453</v>
      </c>
      <c r="E611" s="406"/>
      <c r="F611" s="325"/>
      <c r="G611" s="324"/>
      <c r="H611" s="324">
        <v>8580</v>
      </c>
      <c r="I611" s="325">
        <v>779</v>
      </c>
      <c r="J611" s="325"/>
      <c r="K611" s="325">
        <f t="shared" ref="K611:K660" si="140">INT(IF($E611&gt;0,IF(+F611-I611+Q611&lt;0,0,+F611-I611+Q611),0))</f>
        <v>0</v>
      </c>
      <c r="L611" s="325">
        <f t="shared" ref="L611:L660" si="141">INT(IF($E611&gt;0,IF(K611=0,-F611+I611-Q611,0),0))</f>
        <v>0</v>
      </c>
      <c r="M611" s="407">
        <v>50</v>
      </c>
      <c r="N611" s="408" t="s">
        <v>289</v>
      </c>
      <c r="O611" s="325">
        <f t="shared" ref="O611:O660" si="142">IF(E611&gt;0,INT(IF($N611="D",IF($D611&lt;$H$3,$I611*($M611/100)*((E611-$H$3)/365),$J611*($M611/100)*($J$3-$D611)/365),0)),0)</f>
        <v>0</v>
      </c>
      <c r="P611" s="325">
        <f t="shared" ref="P611:P660" si="143">IF(E611&gt;0,INT(IF($N611="P",IF($D611&lt;$H$3,$H611*($M611/100)*(E611-$H$3)/365,$J611*($M611/100)*($J$3-$D611)/365),0)),0)</f>
        <v>0</v>
      </c>
      <c r="Q611" s="325">
        <f t="shared" ref="Q611:Q660" si="144">+O611+P611</f>
        <v>0</v>
      </c>
      <c r="R611" s="325">
        <f t="shared" ref="R611:R660" si="145">INT(IF($E611&gt;0,0,(IF($N611="D",IF($D611&lt;$H$3,$I611*($M611/100)*$U$3/12,$J611*($M611/100)*($J$3-$D611)/365),0))))</f>
        <v>194</v>
      </c>
      <c r="S611" s="325">
        <f t="shared" ref="S611:S660" si="146">INT(IF($E611&gt;0,0,(IF($N611="P",IF($D611&lt;$H$3,$H611*($M611/100)*$U$3/12,$J611*($M611/100)*($J$3-$D611)/365),0))))</f>
        <v>0</v>
      </c>
      <c r="T611" s="325">
        <f t="shared" ref="T611:T660" si="147">+R611+S611+Q611</f>
        <v>194</v>
      </c>
      <c r="U611" s="409">
        <f t="shared" ref="U611:U660" si="148">+I611+J611-T611-F611+K611-L611</f>
        <v>585</v>
      </c>
      <c r="V611" s="325">
        <f t="shared" ref="V611:V660" si="149">IF(E611&gt;0,+H611+J611,0)</f>
        <v>0</v>
      </c>
      <c r="W611" s="449" cm="1">
        <f t="array" ref="W611">+IF(U611&lt;0,error,0)</f>
        <v>0</v>
      </c>
    </row>
    <row r="612" spans="1:24" ht="18" customHeight="1" x14ac:dyDescent="0.2">
      <c r="A612" s="402" t="s">
        <v>1145</v>
      </c>
      <c r="B612" s="403"/>
      <c r="C612" s="404" t="s">
        <v>1146</v>
      </c>
      <c r="D612" s="405">
        <v>42452</v>
      </c>
      <c r="E612" s="406"/>
      <c r="F612" s="325"/>
      <c r="G612" s="324"/>
      <c r="H612" s="324">
        <v>10536</v>
      </c>
      <c r="I612" s="325">
        <v>955</v>
      </c>
      <c r="J612" s="325"/>
      <c r="K612" s="325">
        <f t="shared" si="140"/>
        <v>0</v>
      </c>
      <c r="L612" s="325">
        <f t="shared" si="141"/>
        <v>0</v>
      </c>
      <c r="M612" s="407">
        <v>50</v>
      </c>
      <c r="N612" s="408" t="s">
        <v>289</v>
      </c>
      <c r="O612" s="325">
        <f t="shared" si="142"/>
        <v>0</v>
      </c>
      <c r="P612" s="325">
        <f t="shared" si="143"/>
        <v>0</v>
      </c>
      <c r="Q612" s="325">
        <f t="shared" si="144"/>
        <v>0</v>
      </c>
      <c r="R612" s="325">
        <f t="shared" si="145"/>
        <v>238</v>
      </c>
      <c r="S612" s="325">
        <f t="shared" si="146"/>
        <v>0</v>
      </c>
      <c r="T612" s="325">
        <f t="shared" si="147"/>
        <v>238</v>
      </c>
      <c r="U612" s="409">
        <f t="shared" si="148"/>
        <v>717</v>
      </c>
      <c r="V612" s="325">
        <f t="shared" si="149"/>
        <v>0</v>
      </c>
      <c r="W612" s="449" cm="1">
        <f t="array" ref="W612">+IF(U612&lt;0,error,0)</f>
        <v>0</v>
      </c>
    </row>
    <row r="613" spans="1:24" ht="18" customHeight="1" x14ac:dyDescent="0.2">
      <c r="A613" s="402" t="s">
        <v>1171</v>
      </c>
      <c r="B613" s="403"/>
      <c r="C613" s="404" t="s">
        <v>1172</v>
      </c>
      <c r="D613" s="405">
        <v>39983</v>
      </c>
      <c r="E613" s="406"/>
      <c r="F613" s="325"/>
      <c r="G613" s="324"/>
      <c r="H613" s="324">
        <v>2350</v>
      </c>
      <c r="I613" s="325">
        <v>0</v>
      </c>
      <c r="J613" s="325"/>
      <c r="K613" s="325">
        <f t="shared" si="140"/>
        <v>0</v>
      </c>
      <c r="L613" s="325">
        <f t="shared" si="141"/>
        <v>0</v>
      </c>
      <c r="M613" s="407">
        <v>66.66</v>
      </c>
      <c r="N613" s="408" t="s">
        <v>289</v>
      </c>
      <c r="O613" s="325">
        <f t="shared" si="142"/>
        <v>0</v>
      </c>
      <c r="P613" s="325">
        <f t="shared" si="143"/>
        <v>0</v>
      </c>
      <c r="Q613" s="325">
        <f t="shared" si="144"/>
        <v>0</v>
      </c>
      <c r="R613" s="325">
        <f t="shared" si="145"/>
        <v>0</v>
      </c>
      <c r="S613" s="325">
        <f t="shared" si="146"/>
        <v>0</v>
      </c>
      <c r="T613" s="325">
        <f t="shared" si="147"/>
        <v>0</v>
      </c>
      <c r="U613" s="409">
        <f t="shared" si="148"/>
        <v>0</v>
      </c>
      <c r="V613" s="325">
        <f t="shared" si="149"/>
        <v>0</v>
      </c>
      <c r="W613" s="449" cm="1">
        <f t="array" ref="W613">+IF(U613&lt;0,error,0)</f>
        <v>0</v>
      </c>
    </row>
    <row r="614" spans="1:24" ht="18" customHeight="1" x14ac:dyDescent="0.2">
      <c r="A614" s="402" t="s">
        <v>1178</v>
      </c>
      <c r="B614" s="403"/>
      <c r="C614" s="404" t="s">
        <v>1179</v>
      </c>
      <c r="D614" s="405">
        <v>40232</v>
      </c>
      <c r="E614" s="406"/>
      <c r="F614" s="325"/>
      <c r="G614" s="324"/>
      <c r="H614" s="324">
        <v>950</v>
      </c>
      <c r="I614" s="325">
        <v>0</v>
      </c>
      <c r="J614" s="325"/>
      <c r="K614" s="325">
        <f t="shared" si="140"/>
        <v>0</v>
      </c>
      <c r="L614" s="325">
        <f t="shared" si="141"/>
        <v>0</v>
      </c>
      <c r="M614" s="407">
        <v>50</v>
      </c>
      <c r="N614" s="408" t="s">
        <v>289</v>
      </c>
      <c r="O614" s="325">
        <f t="shared" si="142"/>
        <v>0</v>
      </c>
      <c r="P614" s="325">
        <f t="shared" si="143"/>
        <v>0</v>
      </c>
      <c r="Q614" s="325">
        <f t="shared" si="144"/>
        <v>0</v>
      </c>
      <c r="R614" s="325">
        <f t="shared" si="145"/>
        <v>0</v>
      </c>
      <c r="S614" s="325">
        <f t="shared" si="146"/>
        <v>0</v>
      </c>
      <c r="T614" s="325">
        <f t="shared" si="147"/>
        <v>0</v>
      </c>
      <c r="U614" s="409">
        <f t="shared" si="148"/>
        <v>0</v>
      </c>
      <c r="V614" s="325">
        <f t="shared" si="149"/>
        <v>0</v>
      </c>
      <c r="W614" s="449" cm="1">
        <f t="array" ref="W614">+IF(U614&lt;0,error,0)</f>
        <v>0</v>
      </c>
    </row>
    <row r="615" spans="1:24" ht="18" customHeight="1" x14ac:dyDescent="0.2">
      <c r="A615" s="402" t="s">
        <v>1180</v>
      </c>
      <c r="B615" s="403"/>
      <c r="C615" s="404" t="s">
        <v>1181</v>
      </c>
      <c r="D615" s="405">
        <v>40232</v>
      </c>
      <c r="E615" s="406"/>
      <c r="F615" s="325"/>
      <c r="G615" s="324"/>
      <c r="H615" s="324">
        <v>1480</v>
      </c>
      <c r="I615" s="325">
        <v>0</v>
      </c>
      <c r="J615" s="325"/>
      <c r="K615" s="325">
        <f t="shared" si="140"/>
        <v>0</v>
      </c>
      <c r="L615" s="325">
        <f t="shared" si="141"/>
        <v>0</v>
      </c>
      <c r="M615" s="407">
        <v>50</v>
      </c>
      <c r="N615" s="408" t="s">
        <v>289</v>
      </c>
      <c r="O615" s="325">
        <f t="shared" si="142"/>
        <v>0</v>
      </c>
      <c r="P615" s="325">
        <f t="shared" si="143"/>
        <v>0</v>
      </c>
      <c r="Q615" s="325">
        <f t="shared" si="144"/>
        <v>0</v>
      </c>
      <c r="R615" s="325">
        <f t="shared" si="145"/>
        <v>0</v>
      </c>
      <c r="S615" s="325">
        <f t="shared" si="146"/>
        <v>0</v>
      </c>
      <c r="T615" s="325">
        <f t="shared" si="147"/>
        <v>0</v>
      </c>
      <c r="U615" s="409">
        <f t="shared" si="148"/>
        <v>0</v>
      </c>
      <c r="V615" s="325">
        <f t="shared" si="149"/>
        <v>0</v>
      </c>
      <c r="W615" s="449" cm="1">
        <f t="array" ref="W615">+IF(U615&lt;0,error,0)</f>
        <v>0</v>
      </c>
    </row>
    <row r="616" spans="1:24" ht="18" customHeight="1" x14ac:dyDescent="0.2">
      <c r="A616" s="402" t="s">
        <v>1192</v>
      </c>
      <c r="B616" s="403"/>
      <c r="C616" s="404" t="s">
        <v>1193</v>
      </c>
      <c r="D616" s="405">
        <v>40625</v>
      </c>
      <c r="E616" s="406"/>
      <c r="F616" s="325"/>
      <c r="G616" s="324"/>
      <c r="H616" s="324">
        <v>3618.2400000000002</v>
      </c>
      <c r="I616" s="325">
        <v>0</v>
      </c>
      <c r="J616" s="325"/>
      <c r="K616" s="325">
        <f t="shared" si="140"/>
        <v>0</v>
      </c>
      <c r="L616" s="325">
        <f t="shared" si="141"/>
        <v>0</v>
      </c>
      <c r="M616" s="407">
        <v>66.66</v>
      </c>
      <c r="N616" s="408" t="s">
        <v>289</v>
      </c>
      <c r="O616" s="325">
        <f t="shared" si="142"/>
        <v>0</v>
      </c>
      <c r="P616" s="325">
        <f t="shared" si="143"/>
        <v>0</v>
      </c>
      <c r="Q616" s="325">
        <f t="shared" si="144"/>
        <v>0</v>
      </c>
      <c r="R616" s="325">
        <f t="shared" si="145"/>
        <v>0</v>
      </c>
      <c r="S616" s="325">
        <f t="shared" si="146"/>
        <v>0</v>
      </c>
      <c r="T616" s="325">
        <f t="shared" si="147"/>
        <v>0</v>
      </c>
      <c r="U616" s="409">
        <f t="shared" si="148"/>
        <v>0</v>
      </c>
      <c r="V616" s="325">
        <f t="shared" si="149"/>
        <v>0</v>
      </c>
      <c r="W616" s="449" cm="1">
        <f t="array" ref="W616">+IF(U616&lt;0,error,0)</f>
        <v>0</v>
      </c>
    </row>
    <row r="617" spans="1:24" ht="18" customHeight="1" x14ac:dyDescent="0.2">
      <c r="A617" s="402" t="s">
        <v>1194</v>
      </c>
      <c r="B617" s="403"/>
      <c r="C617" s="404" t="s">
        <v>1195</v>
      </c>
      <c r="D617" s="405">
        <v>40644</v>
      </c>
      <c r="E617" s="406"/>
      <c r="F617" s="325"/>
      <c r="G617" s="324"/>
      <c r="H617" s="324">
        <v>3200</v>
      </c>
      <c r="I617" s="325">
        <v>0</v>
      </c>
      <c r="J617" s="325"/>
      <c r="K617" s="325">
        <f t="shared" si="140"/>
        <v>0</v>
      </c>
      <c r="L617" s="325">
        <f t="shared" si="141"/>
        <v>0</v>
      </c>
      <c r="M617" s="407">
        <v>66.66</v>
      </c>
      <c r="N617" s="408" t="s">
        <v>289</v>
      </c>
      <c r="O617" s="325">
        <f t="shared" si="142"/>
        <v>0</v>
      </c>
      <c r="P617" s="325">
        <f t="shared" si="143"/>
        <v>0</v>
      </c>
      <c r="Q617" s="325">
        <f t="shared" si="144"/>
        <v>0</v>
      </c>
      <c r="R617" s="325">
        <f t="shared" si="145"/>
        <v>0</v>
      </c>
      <c r="S617" s="325">
        <f t="shared" si="146"/>
        <v>0</v>
      </c>
      <c r="T617" s="325">
        <f t="shared" si="147"/>
        <v>0</v>
      </c>
      <c r="U617" s="409">
        <f t="shared" si="148"/>
        <v>0</v>
      </c>
      <c r="V617" s="325">
        <f t="shared" si="149"/>
        <v>0</v>
      </c>
      <c r="W617" s="449" cm="1">
        <f t="array" ref="W617">+IF(U617&lt;0,error,0)</f>
        <v>0</v>
      </c>
    </row>
    <row r="618" spans="1:24" ht="18" customHeight="1" x14ac:dyDescent="0.2">
      <c r="A618" s="402" t="s">
        <v>1196</v>
      </c>
      <c r="B618" s="403"/>
      <c r="C618" s="412" t="s">
        <v>1197</v>
      </c>
      <c r="D618" s="405">
        <v>40653</v>
      </c>
      <c r="E618" s="406"/>
      <c r="F618" s="325"/>
      <c r="G618" s="324"/>
      <c r="H618" s="324">
        <v>2520</v>
      </c>
      <c r="I618" s="325">
        <v>0</v>
      </c>
      <c r="J618" s="325"/>
      <c r="K618" s="325">
        <f t="shared" si="140"/>
        <v>0</v>
      </c>
      <c r="L618" s="325">
        <f t="shared" si="141"/>
        <v>0</v>
      </c>
      <c r="M618" s="407">
        <v>66.66</v>
      </c>
      <c r="N618" s="408" t="s">
        <v>289</v>
      </c>
      <c r="O618" s="325">
        <f t="shared" si="142"/>
        <v>0</v>
      </c>
      <c r="P618" s="325">
        <f t="shared" si="143"/>
        <v>0</v>
      </c>
      <c r="Q618" s="325">
        <f t="shared" si="144"/>
        <v>0</v>
      </c>
      <c r="R618" s="325">
        <f t="shared" si="145"/>
        <v>0</v>
      </c>
      <c r="S618" s="325">
        <f t="shared" si="146"/>
        <v>0</v>
      </c>
      <c r="T618" s="325">
        <f t="shared" si="147"/>
        <v>0</v>
      </c>
      <c r="U618" s="409">
        <f t="shared" si="148"/>
        <v>0</v>
      </c>
      <c r="V618" s="325">
        <f t="shared" si="149"/>
        <v>0</v>
      </c>
      <c r="W618" s="449" cm="1">
        <f t="array" ref="W618">+IF(U618&lt;0,error,0)</f>
        <v>0</v>
      </c>
    </row>
    <row r="619" spans="1:24" ht="18" customHeight="1" x14ac:dyDescent="0.2">
      <c r="A619" s="402">
        <v>746041</v>
      </c>
      <c r="B619" s="403"/>
      <c r="C619" s="404" t="s">
        <v>1210</v>
      </c>
      <c r="D619" s="405">
        <v>38427</v>
      </c>
      <c r="E619" s="406">
        <v>43864</v>
      </c>
      <c r="F619" s="325">
        <f>3*60</f>
        <v>180</v>
      </c>
      <c r="G619" s="324">
        <v>2310</v>
      </c>
      <c r="H619" s="324">
        <v>2310</v>
      </c>
      <c r="I619" s="325">
        <v>0</v>
      </c>
      <c r="J619" s="325"/>
      <c r="K619" s="325">
        <f t="shared" si="140"/>
        <v>180</v>
      </c>
      <c r="L619" s="325">
        <f t="shared" si="141"/>
        <v>0</v>
      </c>
      <c r="M619" s="407">
        <v>33.33</v>
      </c>
      <c r="N619" s="408" t="s">
        <v>289</v>
      </c>
      <c r="O619" s="325">
        <f t="shared" si="142"/>
        <v>0</v>
      </c>
      <c r="P619" s="325">
        <f t="shared" si="143"/>
        <v>0</v>
      </c>
      <c r="Q619" s="325">
        <f t="shared" si="144"/>
        <v>0</v>
      </c>
      <c r="R619" s="325">
        <f t="shared" si="145"/>
        <v>0</v>
      </c>
      <c r="S619" s="325">
        <f t="shared" si="146"/>
        <v>0</v>
      </c>
      <c r="T619" s="325">
        <f t="shared" si="147"/>
        <v>0</v>
      </c>
      <c r="U619" s="409">
        <f t="shared" si="148"/>
        <v>0</v>
      </c>
      <c r="V619" s="325">
        <f t="shared" si="149"/>
        <v>2310</v>
      </c>
      <c r="W619" s="449" cm="1">
        <f t="array" ref="W619">+IF(U619&lt;0,error,0)</f>
        <v>0</v>
      </c>
    </row>
    <row r="620" spans="1:24" ht="18" customHeight="1" x14ac:dyDescent="0.2">
      <c r="A620" s="402" t="s">
        <v>1211</v>
      </c>
      <c r="B620" s="403"/>
      <c r="C620" s="404" t="s">
        <v>1212</v>
      </c>
      <c r="D620" s="405">
        <v>38427</v>
      </c>
      <c r="E620" s="406">
        <v>44012</v>
      </c>
      <c r="F620" s="325">
        <v>0</v>
      </c>
      <c r="G620" s="324">
        <v>900</v>
      </c>
      <c r="H620" s="324">
        <v>900</v>
      </c>
      <c r="I620" s="325">
        <v>0</v>
      </c>
      <c r="J620" s="325"/>
      <c r="K620" s="325">
        <f t="shared" si="140"/>
        <v>0</v>
      </c>
      <c r="L620" s="325">
        <f t="shared" si="141"/>
        <v>0</v>
      </c>
      <c r="M620" s="407">
        <v>33.33</v>
      </c>
      <c r="N620" s="408" t="s">
        <v>289</v>
      </c>
      <c r="O620" s="325">
        <f t="shared" si="142"/>
        <v>0</v>
      </c>
      <c r="P620" s="325">
        <f t="shared" si="143"/>
        <v>0</v>
      </c>
      <c r="Q620" s="325">
        <f t="shared" si="144"/>
        <v>0</v>
      </c>
      <c r="R620" s="325">
        <f t="shared" si="145"/>
        <v>0</v>
      </c>
      <c r="S620" s="325">
        <f t="shared" si="146"/>
        <v>0</v>
      </c>
      <c r="T620" s="325">
        <f t="shared" si="147"/>
        <v>0</v>
      </c>
      <c r="U620" s="409">
        <f t="shared" si="148"/>
        <v>0</v>
      </c>
      <c r="V620" s="325">
        <f t="shared" si="149"/>
        <v>900</v>
      </c>
      <c r="W620" s="449" cm="1">
        <f t="array" ref="W620">+IF(U620&lt;0,error,0)</f>
        <v>0</v>
      </c>
    </row>
    <row r="621" spans="1:24" ht="18" customHeight="1" x14ac:dyDescent="0.2">
      <c r="A621" s="402" t="s">
        <v>1214</v>
      </c>
      <c r="B621" s="403"/>
      <c r="C621" s="404" t="s">
        <v>1212</v>
      </c>
      <c r="D621" s="405">
        <v>38431</v>
      </c>
      <c r="E621" s="406">
        <v>44012</v>
      </c>
      <c r="F621" s="325">
        <v>0</v>
      </c>
      <c r="G621" s="324">
        <v>1851.23</v>
      </c>
      <c r="H621" s="324">
        <v>1851.23</v>
      </c>
      <c r="I621" s="325">
        <v>0</v>
      </c>
      <c r="J621" s="325"/>
      <c r="K621" s="325">
        <f t="shared" si="140"/>
        <v>0</v>
      </c>
      <c r="L621" s="325">
        <f t="shared" si="141"/>
        <v>0</v>
      </c>
      <c r="M621" s="407">
        <v>33.33</v>
      </c>
      <c r="N621" s="408" t="s">
        <v>289</v>
      </c>
      <c r="O621" s="325">
        <f t="shared" si="142"/>
        <v>0</v>
      </c>
      <c r="P621" s="325">
        <f t="shared" si="143"/>
        <v>0</v>
      </c>
      <c r="Q621" s="325">
        <f t="shared" si="144"/>
        <v>0</v>
      </c>
      <c r="R621" s="325">
        <f t="shared" si="145"/>
        <v>0</v>
      </c>
      <c r="S621" s="325">
        <f t="shared" si="146"/>
        <v>0</v>
      </c>
      <c r="T621" s="325">
        <f t="shared" si="147"/>
        <v>0</v>
      </c>
      <c r="U621" s="409">
        <f t="shared" si="148"/>
        <v>0</v>
      </c>
      <c r="V621" s="325">
        <f t="shared" si="149"/>
        <v>1851.23</v>
      </c>
      <c r="W621" s="449" cm="1">
        <f t="array" ref="W621">+IF(U621&lt;0,error,0)</f>
        <v>0</v>
      </c>
    </row>
    <row r="622" spans="1:24" ht="18" customHeight="1" x14ac:dyDescent="0.2">
      <c r="A622" s="402" t="s">
        <v>1216</v>
      </c>
      <c r="B622" s="403"/>
      <c r="C622" s="404" t="s">
        <v>1217</v>
      </c>
      <c r="D622" s="405">
        <v>38454</v>
      </c>
      <c r="E622" s="406">
        <v>44012</v>
      </c>
      <c r="F622" s="325">
        <v>0</v>
      </c>
      <c r="G622" s="324">
        <v>1900</v>
      </c>
      <c r="H622" s="324">
        <v>1900</v>
      </c>
      <c r="I622" s="325">
        <v>0</v>
      </c>
      <c r="J622" s="325"/>
      <c r="K622" s="325">
        <f t="shared" si="140"/>
        <v>0</v>
      </c>
      <c r="L622" s="325">
        <f t="shared" si="141"/>
        <v>0</v>
      </c>
      <c r="M622" s="407">
        <v>33.33</v>
      </c>
      <c r="N622" s="408" t="s">
        <v>289</v>
      </c>
      <c r="O622" s="325">
        <f t="shared" si="142"/>
        <v>0</v>
      </c>
      <c r="P622" s="325">
        <f t="shared" si="143"/>
        <v>0</v>
      </c>
      <c r="Q622" s="325">
        <f t="shared" si="144"/>
        <v>0</v>
      </c>
      <c r="R622" s="325">
        <f t="shared" si="145"/>
        <v>0</v>
      </c>
      <c r="S622" s="325">
        <f t="shared" si="146"/>
        <v>0</v>
      </c>
      <c r="T622" s="325">
        <f t="shared" si="147"/>
        <v>0</v>
      </c>
      <c r="U622" s="409">
        <f t="shared" si="148"/>
        <v>0</v>
      </c>
      <c r="V622" s="325">
        <f t="shared" si="149"/>
        <v>1900</v>
      </c>
      <c r="W622" s="449" cm="1">
        <f t="array" ref="W622">+IF(U622&lt;0,error,0)</f>
        <v>0</v>
      </c>
    </row>
    <row r="623" spans="1:24" ht="18" customHeight="1" x14ac:dyDescent="0.2">
      <c r="A623" s="402" t="s">
        <v>1234</v>
      </c>
      <c r="B623" s="403"/>
      <c r="C623" s="404" t="s">
        <v>1235</v>
      </c>
      <c r="D623" s="405">
        <v>38807</v>
      </c>
      <c r="E623" s="406">
        <v>44012</v>
      </c>
      <c r="F623" s="325">
        <v>0</v>
      </c>
      <c r="G623" s="324">
        <v>262.5</v>
      </c>
      <c r="H623" s="324">
        <v>262.5</v>
      </c>
      <c r="I623" s="325">
        <v>0</v>
      </c>
      <c r="J623" s="325"/>
      <c r="K623" s="325">
        <f t="shared" si="140"/>
        <v>0</v>
      </c>
      <c r="L623" s="325">
        <f t="shared" si="141"/>
        <v>0</v>
      </c>
      <c r="M623" s="407">
        <v>33.33</v>
      </c>
      <c r="N623" s="408" t="s">
        <v>289</v>
      </c>
      <c r="O623" s="325">
        <f t="shared" si="142"/>
        <v>0</v>
      </c>
      <c r="P623" s="325">
        <f t="shared" si="143"/>
        <v>0</v>
      </c>
      <c r="Q623" s="325">
        <f t="shared" si="144"/>
        <v>0</v>
      </c>
      <c r="R623" s="325">
        <f t="shared" si="145"/>
        <v>0</v>
      </c>
      <c r="S623" s="325">
        <f t="shared" si="146"/>
        <v>0</v>
      </c>
      <c r="T623" s="325">
        <f t="shared" si="147"/>
        <v>0</v>
      </c>
      <c r="U623" s="409">
        <f t="shared" si="148"/>
        <v>0</v>
      </c>
      <c r="V623" s="325">
        <f t="shared" si="149"/>
        <v>262.5</v>
      </c>
      <c r="W623" s="449" cm="1">
        <f t="array" ref="W623">+IF(U623&lt;0,error,0)</f>
        <v>0</v>
      </c>
    </row>
    <row r="624" spans="1:24" ht="18" customHeight="1" x14ac:dyDescent="0.2">
      <c r="A624" s="402" t="s">
        <v>1238</v>
      </c>
      <c r="B624" s="403"/>
      <c r="C624" s="404" t="s">
        <v>1239</v>
      </c>
      <c r="D624" s="405">
        <v>40728</v>
      </c>
      <c r="E624" s="406"/>
      <c r="F624" s="325"/>
      <c r="G624" s="324"/>
      <c r="H624" s="324">
        <f>1090.91-0.32</f>
        <v>1090.5900000000001</v>
      </c>
      <c r="I624" s="325">
        <v>0</v>
      </c>
      <c r="J624" s="325"/>
      <c r="K624" s="325">
        <f t="shared" si="140"/>
        <v>0</v>
      </c>
      <c r="L624" s="325">
        <f t="shared" si="141"/>
        <v>0</v>
      </c>
      <c r="M624" s="407">
        <v>66.66</v>
      </c>
      <c r="N624" s="408" t="s">
        <v>289</v>
      </c>
      <c r="O624" s="325">
        <f t="shared" si="142"/>
        <v>0</v>
      </c>
      <c r="P624" s="325">
        <f t="shared" si="143"/>
        <v>0</v>
      </c>
      <c r="Q624" s="325">
        <f t="shared" si="144"/>
        <v>0</v>
      </c>
      <c r="R624" s="325">
        <f t="shared" si="145"/>
        <v>0</v>
      </c>
      <c r="S624" s="325">
        <f t="shared" si="146"/>
        <v>0</v>
      </c>
      <c r="T624" s="325">
        <f t="shared" si="147"/>
        <v>0</v>
      </c>
      <c r="U624" s="409">
        <f t="shared" si="148"/>
        <v>0</v>
      </c>
      <c r="V624" s="325">
        <f t="shared" si="149"/>
        <v>0</v>
      </c>
      <c r="W624" s="449" cm="1">
        <f t="array" ref="W624">+IF(U624&lt;0,error,0)</f>
        <v>0</v>
      </c>
    </row>
    <row r="625" spans="1:23" ht="18" customHeight="1" x14ac:dyDescent="0.2">
      <c r="A625" s="402" t="s">
        <v>1242</v>
      </c>
      <c r="B625" s="403"/>
      <c r="C625" s="404" t="s">
        <v>1243</v>
      </c>
      <c r="D625" s="405">
        <v>40829</v>
      </c>
      <c r="E625" s="406"/>
      <c r="F625" s="325"/>
      <c r="G625" s="324"/>
      <c r="H625" s="324">
        <v>400</v>
      </c>
      <c r="I625" s="325">
        <v>0</v>
      </c>
      <c r="J625" s="325"/>
      <c r="K625" s="325">
        <f t="shared" si="140"/>
        <v>0</v>
      </c>
      <c r="L625" s="325">
        <f t="shared" si="141"/>
        <v>0</v>
      </c>
      <c r="M625" s="407">
        <v>66.66</v>
      </c>
      <c r="N625" s="408" t="s">
        <v>289</v>
      </c>
      <c r="O625" s="325">
        <f t="shared" si="142"/>
        <v>0</v>
      </c>
      <c r="P625" s="325">
        <f t="shared" si="143"/>
        <v>0</v>
      </c>
      <c r="Q625" s="325">
        <f t="shared" si="144"/>
        <v>0</v>
      </c>
      <c r="R625" s="325">
        <f t="shared" si="145"/>
        <v>0</v>
      </c>
      <c r="S625" s="325">
        <f t="shared" si="146"/>
        <v>0</v>
      </c>
      <c r="T625" s="325">
        <f t="shared" si="147"/>
        <v>0</v>
      </c>
      <c r="U625" s="409">
        <f t="shared" si="148"/>
        <v>0</v>
      </c>
      <c r="V625" s="325">
        <f t="shared" si="149"/>
        <v>0</v>
      </c>
      <c r="W625" s="449" cm="1">
        <f t="array" ref="W625">+IF(U625&lt;0,error,0)</f>
        <v>0</v>
      </c>
    </row>
    <row r="626" spans="1:23" ht="18" customHeight="1" x14ac:dyDescent="0.2">
      <c r="A626" s="402" t="s">
        <v>1252</v>
      </c>
      <c r="B626" s="403"/>
      <c r="C626" s="412" t="s">
        <v>1253</v>
      </c>
      <c r="D626" s="405">
        <v>40952</v>
      </c>
      <c r="E626" s="406"/>
      <c r="F626" s="325"/>
      <c r="G626" s="324"/>
      <c r="H626" s="324">
        <v>2190</v>
      </c>
      <c r="I626" s="325">
        <v>1</v>
      </c>
      <c r="J626" s="325"/>
      <c r="K626" s="325">
        <f t="shared" si="140"/>
        <v>0</v>
      </c>
      <c r="L626" s="325">
        <f t="shared" si="141"/>
        <v>0</v>
      </c>
      <c r="M626" s="407">
        <v>66.66</v>
      </c>
      <c r="N626" s="408" t="s">
        <v>289</v>
      </c>
      <c r="O626" s="325">
        <f t="shared" si="142"/>
        <v>0</v>
      </c>
      <c r="P626" s="325">
        <f t="shared" si="143"/>
        <v>0</v>
      </c>
      <c r="Q626" s="325">
        <f t="shared" si="144"/>
        <v>0</v>
      </c>
      <c r="R626" s="325">
        <f t="shared" si="145"/>
        <v>0</v>
      </c>
      <c r="S626" s="325">
        <f t="shared" si="146"/>
        <v>0</v>
      </c>
      <c r="T626" s="325">
        <v>1</v>
      </c>
      <c r="U626" s="409">
        <f t="shared" si="148"/>
        <v>0</v>
      </c>
      <c r="V626" s="325">
        <f t="shared" si="149"/>
        <v>0</v>
      </c>
      <c r="W626" s="449" cm="1">
        <f t="array" ref="W626">+IF(U626&lt;0,error,0)</f>
        <v>0</v>
      </c>
    </row>
    <row r="627" spans="1:23" ht="18" customHeight="1" x14ac:dyDescent="0.2">
      <c r="A627" s="402" t="s">
        <v>1265</v>
      </c>
      <c r="B627" s="403"/>
      <c r="C627" s="412" t="s">
        <v>1266</v>
      </c>
      <c r="D627" s="405">
        <v>40972</v>
      </c>
      <c r="E627" s="406"/>
      <c r="F627" s="325"/>
      <c r="G627" s="324"/>
      <c r="H627" s="324">
        <v>22953.94</v>
      </c>
      <c r="I627" s="325">
        <v>8.9400000000000013</v>
      </c>
      <c r="J627" s="325"/>
      <c r="K627" s="325">
        <f t="shared" si="140"/>
        <v>0</v>
      </c>
      <c r="L627" s="325">
        <f t="shared" si="141"/>
        <v>0</v>
      </c>
      <c r="M627" s="407">
        <v>66.66</v>
      </c>
      <c r="N627" s="408" t="s">
        <v>289</v>
      </c>
      <c r="O627" s="325">
        <f t="shared" si="142"/>
        <v>0</v>
      </c>
      <c r="P627" s="325">
        <f t="shared" si="143"/>
        <v>0</v>
      </c>
      <c r="Q627" s="325">
        <f t="shared" si="144"/>
        <v>0</v>
      </c>
      <c r="R627" s="325">
        <f t="shared" si="145"/>
        <v>2</v>
      </c>
      <c r="S627" s="325">
        <f t="shared" si="146"/>
        <v>0</v>
      </c>
      <c r="T627" s="325">
        <f>9-0.06</f>
        <v>8.94</v>
      </c>
      <c r="U627" s="324">
        <f t="shared" si="148"/>
        <v>1.7763568394002505E-15</v>
      </c>
      <c r="V627" s="325">
        <f t="shared" si="149"/>
        <v>0</v>
      </c>
      <c r="W627" s="449" cm="1">
        <f t="array" ref="W627">+IF(U627&lt;0,error,0)</f>
        <v>0</v>
      </c>
    </row>
    <row r="628" spans="1:23" ht="18" customHeight="1" x14ac:dyDescent="0.2">
      <c r="A628" s="402" t="s">
        <v>1267</v>
      </c>
      <c r="B628" s="403"/>
      <c r="C628" s="412" t="s">
        <v>1268</v>
      </c>
      <c r="D628" s="405">
        <v>40975</v>
      </c>
      <c r="E628" s="406"/>
      <c r="F628" s="325"/>
      <c r="G628" s="324"/>
      <c r="H628" s="324">
        <v>8629</v>
      </c>
      <c r="I628" s="325">
        <v>3</v>
      </c>
      <c r="J628" s="325"/>
      <c r="K628" s="325">
        <f t="shared" si="140"/>
        <v>0</v>
      </c>
      <c r="L628" s="325">
        <f t="shared" si="141"/>
        <v>0</v>
      </c>
      <c r="M628" s="407">
        <v>66.66</v>
      </c>
      <c r="N628" s="408" t="s">
        <v>289</v>
      </c>
      <c r="O628" s="325">
        <f t="shared" si="142"/>
        <v>0</v>
      </c>
      <c r="P628" s="325">
        <f t="shared" si="143"/>
        <v>0</v>
      </c>
      <c r="Q628" s="325">
        <f t="shared" si="144"/>
        <v>0</v>
      </c>
      <c r="R628" s="325">
        <f t="shared" si="145"/>
        <v>0</v>
      </c>
      <c r="S628" s="325">
        <f t="shared" si="146"/>
        <v>0</v>
      </c>
      <c r="T628" s="325">
        <v>3</v>
      </c>
      <c r="U628" s="409">
        <f t="shared" si="148"/>
        <v>0</v>
      </c>
      <c r="V628" s="325">
        <f t="shared" si="149"/>
        <v>0</v>
      </c>
      <c r="W628" s="449" cm="1">
        <f t="array" ref="W628">+IF(U628&lt;0,error,0)</f>
        <v>0</v>
      </c>
    </row>
    <row r="629" spans="1:23" ht="18" customHeight="1" x14ac:dyDescent="0.2">
      <c r="A629" s="402" t="s">
        <v>1269</v>
      </c>
      <c r="B629" s="403"/>
      <c r="C629" s="412" t="s">
        <v>1270</v>
      </c>
      <c r="D629" s="405">
        <v>40975</v>
      </c>
      <c r="E629" s="406"/>
      <c r="F629" s="325"/>
      <c r="G629" s="324"/>
      <c r="H629" s="324">
        <v>10930</v>
      </c>
      <c r="I629" s="325">
        <v>5</v>
      </c>
      <c r="J629" s="325"/>
      <c r="K629" s="325">
        <f t="shared" si="140"/>
        <v>0</v>
      </c>
      <c r="L629" s="325">
        <f t="shared" si="141"/>
        <v>0</v>
      </c>
      <c r="M629" s="407">
        <v>66.66</v>
      </c>
      <c r="N629" s="408" t="s">
        <v>289</v>
      </c>
      <c r="O629" s="325">
        <f t="shared" si="142"/>
        <v>0</v>
      </c>
      <c r="P629" s="325">
        <f t="shared" si="143"/>
        <v>0</v>
      </c>
      <c r="Q629" s="325">
        <f t="shared" si="144"/>
        <v>0</v>
      </c>
      <c r="R629" s="325">
        <f t="shared" si="145"/>
        <v>1</v>
      </c>
      <c r="S629" s="325">
        <f t="shared" si="146"/>
        <v>0</v>
      </c>
      <c r="T629" s="325">
        <v>5</v>
      </c>
      <c r="U629" s="409">
        <f t="shared" si="148"/>
        <v>0</v>
      </c>
      <c r="V629" s="325">
        <f t="shared" si="149"/>
        <v>0</v>
      </c>
      <c r="W629" s="449" cm="1">
        <f t="array" ref="W629">+IF(U629&lt;0,error,0)</f>
        <v>0</v>
      </c>
    </row>
    <row r="630" spans="1:23" ht="18" customHeight="1" x14ac:dyDescent="0.2">
      <c r="A630" s="402" t="s">
        <v>1271</v>
      </c>
      <c r="B630" s="403"/>
      <c r="C630" s="412" t="s">
        <v>1272</v>
      </c>
      <c r="D630" s="405">
        <v>40981</v>
      </c>
      <c r="E630" s="406"/>
      <c r="F630" s="325"/>
      <c r="G630" s="324"/>
      <c r="H630" s="324">
        <v>13238</v>
      </c>
      <c r="I630" s="325">
        <v>5</v>
      </c>
      <c r="J630" s="325"/>
      <c r="K630" s="325">
        <f t="shared" si="140"/>
        <v>0</v>
      </c>
      <c r="L630" s="325">
        <f t="shared" si="141"/>
        <v>0</v>
      </c>
      <c r="M630" s="407">
        <v>66.66</v>
      </c>
      <c r="N630" s="408" t="s">
        <v>289</v>
      </c>
      <c r="O630" s="325">
        <f t="shared" si="142"/>
        <v>0</v>
      </c>
      <c r="P630" s="325">
        <f t="shared" si="143"/>
        <v>0</v>
      </c>
      <c r="Q630" s="325">
        <f t="shared" si="144"/>
        <v>0</v>
      </c>
      <c r="R630" s="325">
        <f t="shared" si="145"/>
        <v>1</v>
      </c>
      <c r="S630" s="325">
        <f t="shared" si="146"/>
        <v>0</v>
      </c>
      <c r="T630" s="325">
        <v>5</v>
      </c>
      <c r="U630" s="409">
        <f t="shared" si="148"/>
        <v>0</v>
      </c>
      <c r="V630" s="325">
        <f t="shared" si="149"/>
        <v>0</v>
      </c>
      <c r="W630" s="449" cm="1">
        <f t="array" ref="W630">+IF(U630&lt;0,error,0)</f>
        <v>0</v>
      </c>
    </row>
    <row r="631" spans="1:23" ht="18" customHeight="1" x14ac:dyDescent="0.2">
      <c r="A631" s="402" t="s">
        <v>1273</v>
      </c>
      <c r="B631" s="403"/>
      <c r="C631" s="412" t="s">
        <v>1274</v>
      </c>
      <c r="D631" s="405">
        <v>40989</v>
      </c>
      <c r="E631" s="406"/>
      <c r="F631" s="325"/>
      <c r="G631" s="324"/>
      <c r="H631" s="324">
        <v>18131.400000000001</v>
      </c>
      <c r="I631" s="325">
        <v>6.4</v>
      </c>
      <c r="J631" s="325"/>
      <c r="K631" s="325">
        <f t="shared" si="140"/>
        <v>0</v>
      </c>
      <c r="L631" s="325">
        <f t="shared" si="141"/>
        <v>0</v>
      </c>
      <c r="M631" s="407">
        <v>66.66</v>
      </c>
      <c r="N631" s="408" t="s">
        <v>289</v>
      </c>
      <c r="O631" s="325">
        <f t="shared" si="142"/>
        <v>0</v>
      </c>
      <c r="P631" s="325">
        <f t="shared" si="143"/>
        <v>0</v>
      </c>
      <c r="Q631" s="325">
        <f t="shared" si="144"/>
        <v>0</v>
      </c>
      <c r="R631" s="325">
        <f t="shared" si="145"/>
        <v>2</v>
      </c>
      <c r="S631" s="325">
        <f t="shared" si="146"/>
        <v>0</v>
      </c>
      <c r="T631" s="325">
        <v>6</v>
      </c>
      <c r="U631" s="409">
        <f t="shared" si="148"/>
        <v>0.40000000000000036</v>
      </c>
      <c r="V631" s="325">
        <f t="shared" si="149"/>
        <v>0</v>
      </c>
      <c r="W631" s="449" cm="1">
        <f t="array" ref="W631">+IF(U631&lt;0,error,0)</f>
        <v>0</v>
      </c>
    </row>
    <row r="632" spans="1:23" ht="18" customHeight="1" x14ac:dyDescent="0.2">
      <c r="A632" s="402" t="s">
        <v>1275</v>
      </c>
      <c r="B632" s="403"/>
      <c r="C632" s="404" t="s">
        <v>1276</v>
      </c>
      <c r="D632" s="405">
        <v>41051</v>
      </c>
      <c r="E632" s="406">
        <v>43887</v>
      </c>
      <c r="F632" s="325">
        <f>74*25</f>
        <v>1850</v>
      </c>
      <c r="G632" s="324">
        <v>2410</v>
      </c>
      <c r="H632" s="324">
        <v>2410</v>
      </c>
      <c r="I632" s="325">
        <v>2</v>
      </c>
      <c r="J632" s="325"/>
      <c r="K632" s="325">
        <f t="shared" si="140"/>
        <v>1848</v>
      </c>
      <c r="L632" s="325">
        <f t="shared" si="141"/>
        <v>0</v>
      </c>
      <c r="M632" s="407">
        <v>66.66</v>
      </c>
      <c r="N632" s="408" t="s">
        <v>289</v>
      </c>
      <c r="O632" s="325">
        <f t="shared" si="142"/>
        <v>0</v>
      </c>
      <c r="P632" s="325">
        <f t="shared" si="143"/>
        <v>0</v>
      </c>
      <c r="Q632" s="325">
        <f t="shared" si="144"/>
        <v>0</v>
      </c>
      <c r="R632" s="325">
        <f t="shared" si="145"/>
        <v>0</v>
      </c>
      <c r="S632" s="325">
        <f t="shared" si="146"/>
        <v>0</v>
      </c>
      <c r="T632" s="325">
        <f t="shared" si="147"/>
        <v>0</v>
      </c>
      <c r="U632" s="409">
        <f t="shared" si="148"/>
        <v>0</v>
      </c>
      <c r="V632" s="325">
        <f t="shared" si="149"/>
        <v>2410</v>
      </c>
      <c r="W632" s="449" cm="1">
        <f t="array" ref="W632">+IF(U632&lt;0,error,0)</f>
        <v>0</v>
      </c>
    </row>
    <row r="633" spans="1:23" ht="18" customHeight="1" x14ac:dyDescent="0.2">
      <c r="A633" s="402" t="s">
        <v>1277</v>
      </c>
      <c r="B633" s="403"/>
      <c r="C633" s="404" t="s">
        <v>2276</v>
      </c>
      <c r="D633" s="405">
        <v>41061</v>
      </c>
      <c r="E633" s="406">
        <v>43844</v>
      </c>
      <c r="F633" s="325">
        <v>45.46</v>
      </c>
      <c r="G633" s="324">
        <v>2090.4</v>
      </c>
      <c r="H633" s="324">
        <v>2090.4</v>
      </c>
      <c r="I633" s="325">
        <v>1.4000000000000001</v>
      </c>
      <c r="J633" s="325"/>
      <c r="K633" s="325">
        <f>INT(IF($E633&gt;0,IF(+F633-I633+Q633&lt;0,0,+F633-I633+Q633),0))+0.06</f>
        <v>44.06</v>
      </c>
      <c r="L633" s="325">
        <f t="shared" si="141"/>
        <v>0</v>
      </c>
      <c r="M633" s="407">
        <v>66.66</v>
      </c>
      <c r="N633" s="408" t="s">
        <v>289</v>
      </c>
      <c r="O633" s="325">
        <f t="shared" si="142"/>
        <v>0</v>
      </c>
      <c r="P633" s="325">
        <f t="shared" si="143"/>
        <v>0</v>
      </c>
      <c r="Q633" s="325">
        <f t="shared" si="144"/>
        <v>0</v>
      </c>
      <c r="R633" s="325">
        <f t="shared" si="145"/>
        <v>0</v>
      </c>
      <c r="S633" s="325">
        <f t="shared" si="146"/>
        <v>0</v>
      </c>
      <c r="T633" s="325">
        <f t="shared" si="147"/>
        <v>0</v>
      </c>
      <c r="U633" s="324">
        <f t="shared" si="148"/>
        <v>0</v>
      </c>
      <c r="V633" s="325">
        <f t="shared" si="149"/>
        <v>2090.4</v>
      </c>
      <c r="W633" s="449" cm="1">
        <f t="array" ref="W633">+IF(U633&lt;0,error,0)</f>
        <v>0</v>
      </c>
    </row>
    <row r="634" spans="1:23" ht="18" customHeight="1" x14ac:dyDescent="0.2">
      <c r="A634" s="402" t="s">
        <v>1284</v>
      </c>
      <c r="B634" s="403"/>
      <c r="C634" s="404" t="s">
        <v>1227</v>
      </c>
      <c r="D634" s="405">
        <v>38814</v>
      </c>
      <c r="E634" s="406">
        <v>43864</v>
      </c>
      <c r="F634" s="325">
        <f>2*60</f>
        <v>120</v>
      </c>
      <c r="G634" s="324">
        <v>2467.9</v>
      </c>
      <c r="H634" s="324">
        <v>2467.9</v>
      </c>
      <c r="I634" s="325">
        <v>10.9</v>
      </c>
      <c r="J634" s="325"/>
      <c r="K634" s="325">
        <f>INT(IF($E634&gt;0,IF(+F634-I634+Q634&lt;0,0,+F634-I634+Q634),0))+0.1</f>
        <v>109.1</v>
      </c>
      <c r="L634" s="325">
        <f t="shared" si="141"/>
        <v>0</v>
      </c>
      <c r="M634" s="407">
        <v>33.33</v>
      </c>
      <c r="N634" s="408" t="s">
        <v>289</v>
      </c>
      <c r="O634" s="325">
        <f t="shared" si="142"/>
        <v>0</v>
      </c>
      <c r="P634" s="325">
        <f t="shared" si="143"/>
        <v>0</v>
      </c>
      <c r="Q634" s="325">
        <f t="shared" si="144"/>
        <v>0</v>
      </c>
      <c r="R634" s="325">
        <f t="shared" si="145"/>
        <v>0</v>
      </c>
      <c r="S634" s="325">
        <f t="shared" si="146"/>
        <v>0</v>
      </c>
      <c r="T634" s="325">
        <f t="shared" si="147"/>
        <v>0</v>
      </c>
      <c r="U634" s="324">
        <f t="shared" si="148"/>
        <v>0</v>
      </c>
      <c r="V634" s="325">
        <f t="shared" si="149"/>
        <v>2467.9</v>
      </c>
      <c r="W634" s="449" cm="1">
        <f t="array" ref="W634">+IF(U634&lt;0,error,0)</f>
        <v>0</v>
      </c>
    </row>
    <row r="635" spans="1:23" ht="18" customHeight="1" x14ac:dyDescent="0.2">
      <c r="A635" s="402" t="s">
        <v>1287</v>
      </c>
      <c r="B635" s="403"/>
      <c r="C635" s="404" t="s">
        <v>1227</v>
      </c>
      <c r="D635" s="405">
        <v>38831</v>
      </c>
      <c r="E635" s="406">
        <v>43864</v>
      </c>
      <c r="F635" s="325">
        <f>2*60</f>
        <v>120</v>
      </c>
      <c r="G635" s="324">
        <v>1460</v>
      </c>
      <c r="H635" s="324">
        <v>1460</v>
      </c>
      <c r="I635" s="325">
        <v>7</v>
      </c>
      <c r="J635" s="325"/>
      <c r="K635" s="325">
        <f t="shared" si="140"/>
        <v>113</v>
      </c>
      <c r="L635" s="325">
        <f t="shared" si="141"/>
        <v>0</v>
      </c>
      <c r="M635" s="407">
        <v>33.33</v>
      </c>
      <c r="N635" s="408" t="s">
        <v>289</v>
      </c>
      <c r="O635" s="325">
        <f t="shared" si="142"/>
        <v>0</v>
      </c>
      <c r="P635" s="325">
        <f t="shared" si="143"/>
        <v>0</v>
      </c>
      <c r="Q635" s="325">
        <f t="shared" si="144"/>
        <v>0</v>
      </c>
      <c r="R635" s="325">
        <f t="shared" si="145"/>
        <v>0</v>
      </c>
      <c r="S635" s="325">
        <f t="shared" si="146"/>
        <v>0</v>
      </c>
      <c r="T635" s="325">
        <f t="shared" si="147"/>
        <v>0</v>
      </c>
      <c r="U635" s="409">
        <f t="shared" si="148"/>
        <v>0</v>
      </c>
      <c r="V635" s="325">
        <f t="shared" si="149"/>
        <v>1460</v>
      </c>
      <c r="W635" s="449" cm="1">
        <f t="array" ref="W635">+IF(U635&lt;0,error,0)</f>
        <v>0</v>
      </c>
    </row>
    <row r="636" spans="1:23" s="448" customFormat="1" ht="18" customHeight="1" x14ac:dyDescent="0.2">
      <c r="A636" s="402" t="s">
        <v>1288</v>
      </c>
      <c r="B636" s="403"/>
      <c r="C636" s="404" t="s">
        <v>1289</v>
      </c>
      <c r="D636" s="405">
        <v>38838</v>
      </c>
      <c r="E636" s="406">
        <v>43908</v>
      </c>
      <c r="F636" s="325">
        <f>50*31.82</f>
        <v>1591</v>
      </c>
      <c r="G636" s="324">
        <v>1500</v>
      </c>
      <c r="H636" s="324">
        <v>1500</v>
      </c>
      <c r="I636" s="325">
        <v>7</v>
      </c>
      <c r="J636" s="325"/>
      <c r="K636" s="325">
        <f t="shared" si="140"/>
        <v>1584</v>
      </c>
      <c r="L636" s="325">
        <f t="shared" si="141"/>
        <v>0</v>
      </c>
      <c r="M636" s="407">
        <v>33.33</v>
      </c>
      <c r="N636" s="408" t="s">
        <v>289</v>
      </c>
      <c r="O636" s="325">
        <f t="shared" si="142"/>
        <v>0</v>
      </c>
      <c r="P636" s="325">
        <f t="shared" si="143"/>
        <v>0</v>
      </c>
      <c r="Q636" s="325">
        <f t="shared" si="144"/>
        <v>0</v>
      </c>
      <c r="R636" s="325">
        <f t="shared" si="145"/>
        <v>0</v>
      </c>
      <c r="S636" s="325">
        <f t="shared" si="146"/>
        <v>0</v>
      </c>
      <c r="T636" s="325">
        <f t="shared" si="147"/>
        <v>0</v>
      </c>
      <c r="U636" s="409">
        <f t="shared" si="148"/>
        <v>0</v>
      </c>
      <c r="V636" s="325">
        <f t="shared" si="149"/>
        <v>1500</v>
      </c>
      <c r="W636" s="449" cm="1">
        <f t="array" ref="W636">+IF(U636&lt;0,error,0)</f>
        <v>0</v>
      </c>
    </row>
    <row r="637" spans="1:23" ht="18" customHeight="1" x14ac:dyDescent="0.2">
      <c r="A637" s="402" t="s">
        <v>1298</v>
      </c>
      <c r="B637" s="403"/>
      <c r="C637" s="404" t="s">
        <v>1299</v>
      </c>
      <c r="D637" s="405">
        <v>41095</v>
      </c>
      <c r="E637" s="406">
        <v>43880</v>
      </c>
      <c r="F637" s="325">
        <f>66*25</f>
        <v>1650</v>
      </c>
      <c r="G637" s="324">
        <v>2460</v>
      </c>
      <c r="H637" s="324">
        <v>2460</v>
      </c>
      <c r="I637" s="325">
        <v>17</v>
      </c>
      <c r="J637" s="325"/>
      <c r="K637" s="325">
        <f t="shared" si="140"/>
        <v>1634</v>
      </c>
      <c r="L637" s="325">
        <f t="shared" si="141"/>
        <v>0</v>
      </c>
      <c r="M637" s="407">
        <v>50</v>
      </c>
      <c r="N637" s="408" t="s">
        <v>289</v>
      </c>
      <c r="O637" s="325">
        <f t="shared" si="142"/>
        <v>1</v>
      </c>
      <c r="P637" s="325">
        <f t="shared" si="143"/>
        <v>0</v>
      </c>
      <c r="Q637" s="325">
        <f t="shared" si="144"/>
        <v>1</v>
      </c>
      <c r="R637" s="325">
        <f t="shared" si="145"/>
        <v>0</v>
      </c>
      <c r="S637" s="325">
        <f t="shared" si="146"/>
        <v>0</v>
      </c>
      <c r="T637" s="325">
        <f t="shared" si="147"/>
        <v>1</v>
      </c>
      <c r="U637" s="409">
        <f t="shared" si="148"/>
        <v>0</v>
      </c>
      <c r="V637" s="325">
        <f t="shared" si="149"/>
        <v>2460</v>
      </c>
      <c r="W637" s="449" cm="1">
        <f t="array" ref="W637">+IF(U637&lt;0,error,0)</f>
        <v>0</v>
      </c>
    </row>
    <row r="638" spans="1:23" ht="18" customHeight="1" x14ac:dyDescent="0.2">
      <c r="A638" s="402" t="s">
        <v>1300</v>
      </c>
      <c r="B638" s="403"/>
      <c r="C638" s="404" t="s">
        <v>2277</v>
      </c>
      <c r="D638" s="405">
        <v>39141</v>
      </c>
      <c r="E638" s="406">
        <v>43864</v>
      </c>
      <c r="F638" s="325">
        <f>10*60</f>
        <v>600</v>
      </c>
      <c r="G638" s="324">
        <v>6118.52</v>
      </c>
      <c r="H638" s="324">
        <v>6118.52</v>
      </c>
      <c r="I638" s="325">
        <v>0</v>
      </c>
      <c r="J638" s="325"/>
      <c r="K638" s="325">
        <f t="shared" si="140"/>
        <v>600</v>
      </c>
      <c r="L638" s="325">
        <f t="shared" si="141"/>
        <v>0</v>
      </c>
      <c r="M638" s="407">
        <v>66.67</v>
      </c>
      <c r="N638" s="408" t="s">
        <v>289</v>
      </c>
      <c r="O638" s="325">
        <f t="shared" si="142"/>
        <v>0</v>
      </c>
      <c r="P638" s="325">
        <f t="shared" si="143"/>
        <v>0</v>
      </c>
      <c r="Q638" s="325">
        <f t="shared" si="144"/>
        <v>0</v>
      </c>
      <c r="R638" s="325">
        <f t="shared" si="145"/>
        <v>0</v>
      </c>
      <c r="S638" s="325">
        <f t="shared" si="146"/>
        <v>0</v>
      </c>
      <c r="T638" s="325">
        <f t="shared" si="147"/>
        <v>0</v>
      </c>
      <c r="U638" s="409">
        <f t="shared" si="148"/>
        <v>0</v>
      </c>
      <c r="V638" s="325">
        <f t="shared" si="149"/>
        <v>6118.52</v>
      </c>
      <c r="W638" s="449" cm="1">
        <f t="array" ref="W638">+IF(U638&lt;0,error,0)</f>
        <v>0</v>
      </c>
    </row>
    <row r="639" spans="1:23" ht="18" customHeight="1" x14ac:dyDescent="0.2">
      <c r="A639" s="402" t="s">
        <v>1302</v>
      </c>
      <c r="B639" s="403"/>
      <c r="C639" s="404" t="s">
        <v>1303</v>
      </c>
      <c r="D639" s="405">
        <v>41234</v>
      </c>
      <c r="E639" s="406"/>
      <c r="F639" s="325"/>
      <c r="G639" s="324"/>
      <c r="H639" s="324">
        <v>7450</v>
      </c>
      <c r="I639" s="325">
        <v>24.86</v>
      </c>
      <c r="J639" s="325"/>
      <c r="K639" s="325">
        <f t="shared" si="140"/>
        <v>0</v>
      </c>
      <c r="L639" s="325">
        <f t="shared" si="141"/>
        <v>0</v>
      </c>
      <c r="M639" s="407">
        <v>50</v>
      </c>
      <c r="N639" s="408" t="s">
        <v>289</v>
      </c>
      <c r="O639" s="325">
        <f t="shared" si="142"/>
        <v>0</v>
      </c>
      <c r="P639" s="325">
        <f t="shared" si="143"/>
        <v>0</v>
      </c>
      <c r="Q639" s="325">
        <f t="shared" si="144"/>
        <v>0</v>
      </c>
      <c r="R639" s="325">
        <f t="shared" si="145"/>
        <v>6</v>
      </c>
      <c r="S639" s="325">
        <f t="shared" si="146"/>
        <v>0</v>
      </c>
      <c r="T639" s="325">
        <f t="shared" si="147"/>
        <v>6</v>
      </c>
      <c r="U639" s="409">
        <f t="shared" si="148"/>
        <v>18.86</v>
      </c>
      <c r="V639" s="325">
        <f t="shared" si="149"/>
        <v>0</v>
      </c>
      <c r="W639" s="449" cm="1">
        <f t="array" ref="W639">+IF(U639&lt;0,error,0)</f>
        <v>0</v>
      </c>
    </row>
    <row r="640" spans="1:23" ht="18" customHeight="1" x14ac:dyDescent="0.2">
      <c r="A640" s="402" t="s">
        <v>1304</v>
      </c>
      <c r="B640" s="403"/>
      <c r="C640" s="404" t="s">
        <v>1305</v>
      </c>
      <c r="D640" s="405">
        <v>41318</v>
      </c>
      <c r="E640" s="406"/>
      <c r="F640" s="325"/>
      <c r="G640" s="324"/>
      <c r="H640" s="324">
        <v>4926.17</v>
      </c>
      <c r="I640" s="325">
        <v>53.17</v>
      </c>
      <c r="J640" s="325"/>
      <c r="K640" s="325">
        <f t="shared" si="140"/>
        <v>0</v>
      </c>
      <c r="L640" s="325">
        <f t="shared" si="141"/>
        <v>0</v>
      </c>
      <c r="M640" s="407">
        <v>50</v>
      </c>
      <c r="N640" s="408" t="s">
        <v>289</v>
      </c>
      <c r="O640" s="325">
        <f t="shared" si="142"/>
        <v>0</v>
      </c>
      <c r="P640" s="325">
        <f t="shared" si="143"/>
        <v>0</v>
      </c>
      <c r="Q640" s="325">
        <f t="shared" si="144"/>
        <v>0</v>
      </c>
      <c r="R640" s="325">
        <f t="shared" si="145"/>
        <v>13</v>
      </c>
      <c r="S640" s="325">
        <f t="shared" si="146"/>
        <v>0</v>
      </c>
      <c r="T640" s="325">
        <f t="shared" si="147"/>
        <v>13</v>
      </c>
      <c r="U640" s="409">
        <f t="shared" si="148"/>
        <v>40.17</v>
      </c>
      <c r="V640" s="325">
        <f t="shared" si="149"/>
        <v>0</v>
      </c>
      <c r="W640" s="449" cm="1">
        <f t="array" ref="W640">+IF(U640&lt;0,error,0)</f>
        <v>0</v>
      </c>
    </row>
    <row r="641" spans="1:23" ht="18" customHeight="1" x14ac:dyDescent="0.2">
      <c r="A641" s="402" t="s">
        <v>1306</v>
      </c>
      <c r="B641" s="403"/>
      <c r="C641" s="404" t="s">
        <v>1307</v>
      </c>
      <c r="D641" s="405">
        <v>41322</v>
      </c>
      <c r="E641" s="406"/>
      <c r="F641" s="325"/>
      <c r="G641" s="324"/>
      <c r="H641" s="324">
        <v>23975.08</v>
      </c>
      <c r="I641" s="325">
        <v>258.08</v>
      </c>
      <c r="J641" s="325"/>
      <c r="K641" s="325">
        <f t="shared" si="140"/>
        <v>0</v>
      </c>
      <c r="L641" s="325">
        <f t="shared" si="141"/>
        <v>0</v>
      </c>
      <c r="M641" s="407">
        <v>50</v>
      </c>
      <c r="N641" s="408" t="s">
        <v>289</v>
      </c>
      <c r="O641" s="325">
        <f t="shared" si="142"/>
        <v>0</v>
      </c>
      <c r="P641" s="325">
        <f t="shared" si="143"/>
        <v>0</v>
      </c>
      <c r="Q641" s="325">
        <f t="shared" si="144"/>
        <v>0</v>
      </c>
      <c r="R641" s="325">
        <f t="shared" si="145"/>
        <v>64</v>
      </c>
      <c r="S641" s="325">
        <f t="shared" si="146"/>
        <v>0</v>
      </c>
      <c r="T641" s="325">
        <f t="shared" si="147"/>
        <v>64</v>
      </c>
      <c r="U641" s="409">
        <f t="shared" si="148"/>
        <v>194.07999999999998</v>
      </c>
      <c r="V641" s="325">
        <f t="shared" si="149"/>
        <v>0</v>
      </c>
      <c r="W641" s="449" cm="1">
        <f t="array" ref="W641">+IF(U641&lt;0,error,0)</f>
        <v>0</v>
      </c>
    </row>
    <row r="642" spans="1:23" ht="18" customHeight="1" x14ac:dyDescent="0.2">
      <c r="A642" s="402" t="s">
        <v>1308</v>
      </c>
      <c r="B642" s="403"/>
      <c r="C642" s="404" t="s">
        <v>1309</v>
      </c>
      <c r="D642" s="405">
        <v>41351</v>
      </c>
      <c r="E642" s="406"/>
      <c r="F642" s="325"/>
      <c r="G642" s="324"/>
      <c r="H642" s="324">
        <v>6859.2</v>
      </c>
      <c r="I642" s="325">
        <v>78.200000000000017</v>
      </c>
      <c r="J642" s="325"/>
      <c r="K642" s="325">
        <f t="shared" si="140"/>
        <v>0</v>
      </c>
      <c r="L642" s="325">
        <f t="shared" si="141"/>
        <v>0</v>
      </c>
      <c r="M642" s="407">
        <v>50</v>
      </c>
      <c r="N642" s="408" t="s">
        <v>289</v>
      </c>
      <c r="O642" s="325">
        <f t="shared" si="142"/>
        <v>0</v>
      </c>
      <c r="P642" s="325">
        <f t="shared" si="143"/>
        <v>0</v>
      </c>
      <c r="Q642" s="325">
        <f t="shared" si="144"/>
        <v>0</v>
      </c>
      <c r="R642" s="325">
        <f t="shared" si="145"/>
        <v>19</v>
      </c>
      <c r="S642" s="325">
        <f t="shared" si="146"/>
        <v>0</v>
      </c>
      <c r="T642" s="325">
        <f t="shared" si="147"/>
        <v>19</v>
      </c>
      <c r="U642" s="409">
        <f t="shared" si="148"/>
        <v>59.200000000000017</v>
      </c>
      <c r="V642" s="325">
        <f t="shared" si="149"/>
        <v>0</v>
      </c>
      <c r="W642" s="449" cm="1">
        <f t="array" ref="W642">+IF(U642&lt;0,error,0)</f>
        <v>0</v>
      </c>
    </row>
    <row r="643" spans="1:23" ht="18" customHeight="1" x14ac:dyDescent="0.2">
      <c r="A643" s="402" t="s">
        <v>1310</v>
      </c>
      <c r="B643" s="403"/>
      <c r="C643" s="411" t="s">
        <v>1311</v>
      </c>
      <c r="D643" s="405">
        <v>41351</v>
      </c>
      <c r="E643" s="406"/>
      <c r="F643" s="325"/>
      <c r="G643" s="324"/>
      <c r="H643" s="324">
        <v>5115.9000000000005</v>
      </c>
      <c r="I643" s="325">
        <v>57.900000000000006</v>
      </c>
      <c r="J643" s="325"/>
      <c r="K643" s="325">
        <f t="shared" si="140"/>
        <v>0</v>
      </c>
      <c r="L643" s="325">
        <f t="shared" si="141"/>
        <v>0</v>
      </c>
      <c r="M643" s="407">
        <v>50</v>
      </c>
      <c r="N643" s="408" t="s">
        <v>289</v>
      </c>
      <c r="O643" s="325">
        <f t="shared" si="142"/>
        <v>0</v>
      </c>
      <c r="P643" s="325">
        <f t="shared" si="143"/>
        <v>0</v>
      </c>
      <c r="Q643" s="325">
        <f t="shared" si="144"/>
        <v>0</v>
      </c>
      <c r="R643" s="325">
        <f t="shared" si="145"/>
        <v>14</v>
      </c>
      <c r="S643" s="325">
        <f t="shared" si="146"/>
        <v>0</v>
      </c>
      <c r="T643" s="325">
        <f t="shared" si="147"/>
        <v>14</v>
      </c>
      <c r="U643" s="409">
        <f t="shared" si="148"/>
        <v>43.900000000000006</v>
      </c>
      <c r="V643" s="325">
        <f t="shared" si="149"/>
        <v>0</v>
      </c>
      <c r="W643" s="449" cm="1">
        <f t="array" ref="W643">+IF(U643&lt;0,error,0)</f>
        <v>0</v>
      </c>
    </row>
    <row r="644" spans="1:23" ht="18" customHeight="1" x14ac:dyDescent="0.2">
      <c r="A644" s="402" t="s">
        <v>1312</v>
      </c>
      <c r="B644" s="403"/>
      <c r="C644" s="404" t="s">
        <v>1313</v>
      </c>
      <c r="D644" s="405">
        <v>41375</v>
      </c>
      <c r="E644" s="406"/>
      <c r="F644" s="325"/>
      <c r="G644" s="324"/>
      <c r="H644" s="324">
        <v>1590</v>
      </c>
      <c r="I644" s="325">
        <v>19</v>
      </c>
      <c r="J644" s="325"/>
      <c r="K644" s="325">
        <f t="shared" si="140"/>
        <v>0</v>
      </c>
      <c r="L644" s="325">
        <f t="shared" si="141"/>
        <v>0</v>
      </c>
      <c r="M644" s="407">
        <v>50</v>
      </c>
      <c r="N644" s="408" t="s">
        <v>289</v>
      </c>
      <c r="O644" s="325">
        <f t="shared" si="142"/>
        <v>0</v>
      </c>
      <c r="P644" s="325">
        <f t="shared" si="143"/>
        <v>0</v>
      </c>
      <c r="Q644" s="325">
        <f t="shared" si="144"/>
        <v>0</v>
      </c>
      <c r="R644" s="325">
        <f t="shared" si="145"/>
        <v>4</v>
      </c>
      <c r="S644" s="325">
        <f t="shared" si="146"/>
        <v>0</v>
      </c>
      <c r="T644" s="325">
        <f t="shared" si="147"/>
        <v>4</v>
      </c>
      <c r="U644" s="409">
        <f t="shared" si="148"/>
        <v>15</v>
      </c>
      <c r="V644" s="325">
        <f t="shared" si="149"/>
        <v>0</v>
      </c>
      <c r="W644" s="449" cm="1">
        <f t="array" ref="W644">+IF(U644&lt;0,error,0)</f>
        <v>0</v>
      </c>
    </row>
    <row r="645" spans="1:23" ht="18" customHeight="1" x14ac:dyDescent="0.2">
      <c r="A645" s="402" t="s">
        <v>1314</v>
      </c>
      <c r="B645" s="403"/>
      <c r="C645" s="404" t="s">
        <v>1315</v>
      </c>
      <c r="D645" s="405">
        <v>41436</v>
      </c>
      <c r="E645" s="406"/>
      <c r="F645" s="325"/>
      <c r="G645" s="324"/>
      <c r="H645" s="324">
        <v>7724.46</v>
      </c>
      <c r="I645" s="325">
        <v>99.460000000000008</v>
      </c>
      <c r="J645" s="325"/>
      <c r="K645" s="325">
        <f t="shared" si="140"/>
        <v>0</v>
      </c>
      <c r="L645" s="325">
        <f t="shared" si="141"/>
        <v>0</v>
      </c>
      <c r="M645" s="407">
        <v>50</v>
      </c>
      <c r="N645" s="408" t="s">
        <v>289</v>
      </c>
      <c r="O645" s="325">
        <f t="shared" si="142"/>
        <v>0</v>
      </c>
      <c r="P645" s="325">
        <f t="shared" si="143"/>
        <v>0</v>
      </c>
      <c r="Q645" s="325">
        <f t="shared" si="144"/>
        <v>0</v>
      </c>
      <c r="R645" s="325">
        <f t="shared" si="145"/>
        <v>24</v>
      </c>
      <c r="S645" s="325">
        <f t="shared" si="146"/>
        <v>0</v>
      </c>
      <c r="T645" s="325">
        <f t="shared" si="147"/>
        <v>24</v>
      </c>
      <c r="U645" s="409">
        <f t="shared" si="148"/>
        <v>75.460000000000008</v>
      </c>
      <c r="V645" s="325">
        <f t="shared" si="149"/>
        <v>0</v>
      </c>
      <c r="W645" s="449" cm="1">
        <f t="array" ref="W645">+IF(U645&lt;0,error,0)</f>
        <v>0</v>
      </c>
    </row>
    <row r="646" spans="1:23" ht="18" customHeight="1" x14ac:dyDescent="0.2">
      <c r="A646" s="402" t="s">
        <v>1316</v>
      </c>
      <c r="B646" s="403"/>
      <c r="C646" s="404" t="s">
        <v>2275</v>
      </c>
      <c r="D646" s="405">
        <v>39202</v>
      </c>
      <c r="E646" s="406">
        <v>44012</v>
      </c>
      <c r="F646" s="325">
        <v>0</v>
      </c>
      <c r="G646" s="324">
        <v>2406</v>
      </c>
      <c r="H646" s="324">
        <v>2406</v>
      </c>
      <c r="I646" s="325">
        <v>0</v>
      </c>
      <c r="J646" s="325"/>
      <c r="K646" s="325">
        <f t="shared" si="140"/>
        <v>0</v>
      </c>
      <c r="L646" s="325">
        <f t="shared" si="141"/>
        <v>0</v>
      </c>
      <c r="M646" s="407">
        <v>66.67</v>
      </c>
      <c r="N646" s="408" t="s">
        <v>289</v>
      </c>
      <c r="O646" s="325">
        <f t="shared" si="142"/>
        <v>0</v>
      </c>
      <c r="P646" s="325">
        <f t="shared" si="143"/>
        <v>0</v>
      </c>
      <c r="Q646" s="325">
        <f t="shared" si="144"/>
        <v>0</v>
      </c>
      <c r="R646" s="325">
        <f t="shared" si="145"/>
        <v>0</v>
      </c>
      <c r="S646" s="325">
        <f t="shared" si="146"/>
        <v>0</v>
      </c>
      <c r="T646" s="325">
        <f t="shared" si="147"/>
        <v>0</v>
      </c>
      <c r="U646" s="409">
        <f t="shared" si="148"/>
        <v>0</v>
      </c>
      <c r="V646" s="325">
        <f t="shared" si="149"/>
        <v>2406</v>
      </c>
      <c r="W646" s="449" cm="1">
        <f t="array" ref="W646">+IF(U646&lt;0,error,0)</f>
        <v>0</v>
      </c>
    </row>
    <row r="647" spans="1:23" ht="18" customHeight="1" x14ac:dyDescent="0.2">
      <c r="A647" s="402" t="s">
        <v>1318</v>
      </c>
      <c r="B647" s="403"/>
      <c r="C647" s="404" t="s">
        <v>2274</v>
      </c>
      <c r="D647" s="405">
        <v>39217</v>
      </c>
      <c r="E647" s="406">
        <v>44012</v>
      </c>
      <c r="F647" s="325">
        <v>0</v>
      </c>
      <c r="G647" s="324">
        <v>20370.14</v>
      </c>
      <c r="H647" s="324">
        <v>20370.14</v>
      </c>
      <c r="I647" s="325">
        <v>0</v>
      </c>
      <c r="J647" s="325"/>
      <c r="K647" s="325">
        <f t="shared" si="140"/>
        <v>0</v>
      </c>
      <c r="L647" s="325">
        <f t="shared" si="141"/>
        <v>0</v>
      </c>
      <c r="M647" s="407">
        <v>66.67</v>
      </c>
      <c r="N647" s="408" t="s">
        <v>289</v>
      </c>
      <c r="O647" s="325">
        <f t="shared" si="142"/>
        <v>0</v>
      </c>
      <c r="P647" s="325">
        <f t="shared" si="143"/>
        <v>0</v>
      </c>
      <c r="Q647" s="325">
        <f t="shared" si="144"/>
        <v>0</v>
      </c>
      <c r="R647" s="325">
        <f t="shared" si="145"/>
        <v>0</v>
      </c>
      <c r="S647" s="325">
        <f t="shared" si="146"/>
        <v>0</v>
      </c>
      <c r="T647" s="325">
        <f t="shared" si="147"/>
        <v>0</v>
      </c>
      <c r="U647" s="409">
        <f t="shared" si="148"/>
        <v>0</v>
      </c>
      <c r="V647" s="325">
        <f t="shared" si="149"/>
        <v>20370.14</v>
      </c>
      <c r="W647" s="449" cm="1">
        <f t="array" ref="W647">+IF(U647&lt;0,error,0)</f>
        <v>0</v>
      </c>
    </row>
    <row r="648" spans="1:23" ht="18" customHeight="1" x14ac:dyDescent="0.2">
      <c r="A648" s="402" t="s">
        <v>1320</v>
      </c>
      <c r="B648" s="403"/>
      <c r="C648" s="412" t="s">
        <v>1321</v>
      </c>
      <c r="D648" s="405">
        <v>41654</v>
      </c>
      <c r="E648" s="406"/>
      <c r="F648" s="325"/>
      <c r="G648" s="324"/>
      <c r="H648" s="324">
        <v>1331.94</v>
      </c>
      <c r="I648" s="325">
        <v>27.939999999999998</v>
      </c>
      <c r="J648" s="325"/>
      <c r="K648" s="325">
        <f t="shared" si="140"/>
        <v>0</v>
      </c>
      <c r="L648" s="325">
        <f t="shared" si="141"/>
        <v>0</v>
      </c>
      <c r="M648" s="407">
        <v>50</v>
      </c>
      <c r="N648" s="408" t="s">
        <v>289</v>
      </c>
      <c r="O648" s="325">
        <f t="shared" si="142"/>
        <v>0</v>
      </c>
      <c r="P648" s="325">
        <f t="shared" si="143"/>
        <v>0</v>
      </c>
      <c r="Q648" s="325">
        <f t="shared" si="144"/>
        <v>0</v>
      </c>
      <c r="R648" s="325">
        <f t="shared" si="145"/>
        <v>6</v>
      </c>
      <c r="S648" s="325">
        <f t="shared" si="146"/>
        <v>0</v>
      </c>
      <c r="T648" s="325">
        <f t="shared" si="147"/>
        <v>6</v>
      </c>
      <c r="U648" s="409">
        <f t="shared" si="148"/>
        <v>21.939999999999998</v>
      </c>
      <c r="V648" s="325">
        <f t="shared" si="149"/>
        <v>0</v>
      </c>
      <c r="W648" s="449" cm="1">
        <f t="array" ref="W648">+IF(U648&lt;0,error,0)</f>
        <v>0</v>
      </c>
    </row>
    <row r="649" spans="1:23" ht="18" customHeight="1" x14ac:dyDescent="0.2">
      <c r="A649" s="402" t="s">
        <v>1322</v>
      </c>
      <c r="B649" s="403"/>
      <c r="C649" s="412" t="s">
        <v>1323</v>
      </c>
      <c r="D649" s="405">
        <v>41670</v>
      </c>
      <c r="E649" s="406"/>
      <c r="F649" s="325"/>
      <c r="G649" s="324"/>
      <c r="H649" s="324">
        <v>1245.1000000000001</v>
      </c>
      <c r="I649" s="325">
        <v>26.1</v>
      </c>
      <c r="J649" s="325"/>
      <c r="K649" s="325">
        <f t="shared" si="140"/>
        <v>0</v>
      </c>
      <c r="L649" s="325">
        <f t="shared" si="141"/>
        <v>0</v>
      </c>
      <c r="M649" s="407">
        <v>50</v>
      </c>
      <c r="N649" s="408" t="s">
        <v>289</v>
      </c>
      <c r="O649" s="325">
        <f t="shared" si="142"/>
        <v>0</v>
      </c>
      <c r="P649" s="325">
        <f t="shared" si="143"/>
        <v>0</v>
      </c>
      <c r="Q649" s="325">
        <f t="shared" si="144"/>
        <v>0</v>
      </c>
      <c r="R649" s="325">
        <f t="shared" si="145"/>
        <v>6</v>
      </c>
      <c r="S649" s="325">
        <f t="shared" si="146"/>
        <v>0</v>
      </c>
      <c r="T649" s="325">
        <f t="shared" si="147"/>
        <v>6</v>
      </c>
      <c r="U649" s="409">
        <f t="shared" si="148"/>
        <v>20.100000000000001</v>
      </c>
      <c r="V649" s="325">
        <f t="shared" si="149"/>
        <v>0</v>
      </c>
      <c r="W649" s="449" cm="1">
        <f t="array" ref="W649">+IF(U649&lt;0,error,0)</f>
        <v>0</v>
      </c>
    </row>
    <row r="650" spans="1:23" ht="18" customHeight="1" x14ac:dyDescent="0.2">
      <c r="A650" s="402" t="s">
        <v>1324</v>
      </c>
      <c r="B650" s="403"/>
      <c r="C650" s="412" t="s">
        <v>1325</v>
      </c>
      <c r="D650" s="405">
        <v>41670</v>
      </c>
      <c r="E650" s="406"/>
      <c r="F650" s="325"/>
      <c r="G650" s="324"/>
      <c r="H650" s="324">
        <v>3261</v>
      </c>
      <c r="I650" s="325">
        <v>68</v>
      </c>
      <c r="J650" s="325"/>
      <c r="K650" s="325">
        <f t="shared" si="140"/>
        <v>0</v>
      </c>
      <c r="L650" s="325">
        <f t="shared" si="141"/>
        <v>0</v>
      </c>
      <c r="M650" s="407">
        <v>50</v>
      </c>
      <c r="N650" s="408" t="s">
        <v>289</v>
      </c>
      <c r="O650" s="325">
        <f t="shared" si="142"/>
        <v>0</v>
      </c>
      <c r="P650" s="325">
        <f t="shared" si="143"/>
        <v>0</v>
      </c>
      <c r="Q650" s="325">
        <f t="shared" si="144"/>
        <v>0</v>
      </c>
      <c r="R650" s="325">
        <f t="shared" si="145"/>
        <v>17</v>
      </c>
      <c r="S650" s="325">
        <f t="shared" si="146"/>
        <v>0</v>
      </c>
      <c r="T650" s="325">
        <f t="shared" si="147"/>
        <v>17</v>
      </c>
      <c r="U650" s="409">
        <f t="shared" si="148"/>
        <v>51</v>
      </c>
      <c r="V650" s="325">
        <f t="shared" si="149"/>
        <v>0</v>
      </c>
      <c r="W650" s="449" cm="1">
        <f t="array" ref="W650">+IF(U650&lt;0,error,0)</f>
        <v>0</v>
      </c>
    </row>
    <row r="651" spans="1:23" ht="18" customHeight="1" x14ac:dyDescent="0.2">
      <c r="A651" s="402" t="s">
        <v>1326</v>
      </c>
      <c r="B651" s="403"/>
      <c r="C651" s="404" t="s">
        <v>1327</v>
      </c>
      <c r="D651" s="405">
        <v>41675</v>
      </c>
      <c r="E651" s="406"/>
      <c r="F651" s="325"/>
      <c r="G651" s="324"/>
      <c r="H651" s="324">
        <v>5390</v>
      </c>
      <c r="I651" s="325">
        <v>114</v>
      </c>
      <c r="J651" s="325"/>
      <c r="K651" s="325">
        <f t="shared" si="140"/>
        <v>0</v>
      </c>
      <c r="L651" s="325">
        <f t="shared" si="141"/>
        <v>0</v>
      </c>
      <c r="M651" s="407">
        <v>50</v>
      </c>
      <c r="N651" s="408" t="s">
        <v>289</v>
      </c>
      <c r="O651" s="325">
        <f t="shared" si="142"/>
        <v>0</v>
      </c>
      <c r="P651" s="325">
        <f t="shared" si="143"/>
        <v>0</v>
      </c>
      <c r="Q651" s="325">
        <f t="shared" si="144"/>
        <v>0</v>
      </c>
      <c r="R651" s="325">
        <f t="shared" si="145"/>
        <v>28</v>
      </c>
      <c r="S651" s="325">
        <f t="shared" si="146"/>
        <v>0</v>
      </c>
      <c r="T651" s="325">
        <f t="shared" si="147"/>
        <v>28</v>
      </c>
      <c r="U651" s="409">
        <f t="shared" si="148"/>
        <v>86</v>
      </c>
      <c r="V651" s="325">
        <f t="shared" si="149"/>
        <v>0</v>
      </c>
      <c r="W651" s="449" cm="1">
        <f t="array" ref="W651">+IF(U651&lt;0,error,0)</f>
        <v>0</v>
      </c>
    </row>
    <row r="652" spans="1:23" ht="18" customHeight="1" x14ac:dyDescent="0.2">
      <c r="A652" s="402" t="s">
        <v>1328</v>
      </c>
      <c r="B652" s="403"/>
      <c r="C652" s="404" t="s">
        <v>1329</v>
      </c>
      <c r="D652" s="405">
        <v>41676</v>
      </c>
      <c r="E652" s="406"/>
      <c r="F652" s="325"/>
      <c r="G652" s="324"/>
      <c r="H652" s="324">
        <v>9835</v>
      </c>
      <c r="I652" s="325">
        <v>207</v>
      </c>
      <c r="J652" s="325"/>
      <c r="K652" s="325">
        <f t="shared" si="140"/>
        <v>0</v>
      </c>
      <c r="L652" s="325">
        <f t="shared" si="141"/>
        <v>0</v>
      </c>
      <c r="M652" s="407">
        <v>50</v>
      </c>
      <c r="N652" s="408" t="s">
        <v>289</v>
      </c>
      <c r="O652" s="325">
        <f t="shared" si="142"/>
        <v>0</v>
      </c>
      <c r="P652" s="325">
        <f t="shared" si="143"/>
        <v>0</v>
      </c>
      <c r="Q652" s="325">
        <f t="shared" si="144"/>
        <v>0</v>
      </c>
      <c r="R652" s="325">
        <f t="shared" si="145"/>
        <v>51</v>
      </c>
      <c r="S652" s="325">
        <f t="shared" si="146"/>
        <v>0</v>
      </c>
      <c r="T652" s="325">
        <f t="shared" si="147"/>
        <v>51</v>
      </c>
      <c r="U652" s="409">
        <f t="shared" si="148"/>
        <v>156</v>
      </c>
      <c r="V652" s="325">
        <f t="shared" si="149"/>
        <v>0</v>
      </c>
      <c r="W652" s="449" cm="1">
        <f t="array" ref="W652">+IF(U652&lt;0,error,0)</f>
        <v>0</v>
      </c>
    </row>
    <row r="653" spans="1:23" ht="18" customHeight="1" x14ac:dyDescent="0.2">
      <c r="A653" s="402" t="s">
        <v>1330</v>
      </c>
      <c r="B653" s="403"/>
      <c r="C653" s="404" t="s">
        <v>1331</v>
      </c>
      <c r="D653" s="405">
        <v>41676</v>
      </c>
      <c r="E653" s="406"/>
      <c r="F653" s="325"/>
      <c r="G653" s="324"/>
      <c r="H653" s="324">
        <v>4238</v>
      </c>
      <c r="I653" s="325">
        <v>90</v>
      </c>
      <c r="J653" s="325"/>
      <c r="K653" s="325">
        <f t="shared" si="140"/>
        <v>0</v>
      </c>
      <c r="L653" s="325">
        <f t="shared" si="141"/>
        <v>0</v>
      </c>
      <c r="M653" s="407">
        <v>50</v>
      </c>
      <c r="N653" s="408" t="s">
        <v>289</v>
      </c>
      <c r="O653" s="325">
        <f t="shared" si="142"/>
        <v>0</v>
      </c>
      <c r="P653" s="325">
        <f t="shared" si="143"/>
        <v>0</v>
      </c>
      <c r="Q653" s="325">
        <f t="shared" si="144"/>
        <v>0</v>
      </c>
      <c r="R653" s="325">
        <f t="shared" si="145"/>
        <v>22</v>
      </c>
      <c r="S653" s="325">
        <f t="shared" si="146"/>
        <v>0</v>
      </c>
      <c r="T653" s="325">
        <f t="shared" si="147"/>
        <v>22</v>
      </c>
      <c r="U653" s="409">
        <f t="shared" si="148"/>
        <v>68</v>
      </c>
      <c r="V653" s="325">
        <f t="shared" si="149"/>
        <v>0</v>
      </c>
      <c r="W653" s="449" cm="1">
        <f t="array" ref="W653">+IF(U653&lt;0,error,0)</f>
        <v>0</v>
      </c>
    </row>
    <row r="654" spans="1:23" ht="18" customHeight="1" x14ac:dyDescent="0.2">
      <c r="A654" s="402" t="s">
        <v>1332</v>
      </c>
      <c r="B654" s="403"/>
      <c r="C654" s="412" t="s">
        <v>1333</v>
      </c>
      <c r="D654" s="405">
        <v>41684</v>
      </c>
      <c r="E654" s="406"/>
      <c r="F654" s="325"/>
      <c r="G654" s="324"/>
      <c r="H654" s="324">
        <v>4365</v>
      </c>
      <c r="I654" s="325">
        <v>93</v>
      </c>
      <c r="J654" s="325"/>
      <c r="K654" s="325">
        <f t="shared" si="140"/>
        <v>0</v>
      </c>
      <c r="L654" s="325">
        <f t="shared" si="141"/>
        <v>0</v>
      </c>
      <c r="M654" s="407">
        <v>50</v>
      </c>
      <c r="N654" s="408" t="s">
        <v>289</v>
      </c>
      <c r="O654" s="325">
        <f t="shared" si="142"/>
        <v>0</v>
      </c>
      <c r="P654" s="325">
        <f t="shared" si="143"/>
        <v>0</v>
      </c>
      <c r="Q654" s="325">
        <f t="shared" si="144"/>
        <v>0</v>
      </c>
      <c r="R654" s="325">
        <f t="shared" si="145"/>
        <v>23</v>
      </c>
      <c r="S654" s="325">
        <f t="shared" si="146"/>
        <v>0</v>
      </c>
      <c r="T654" s="325">
        <f t="shared" si="147"/>
        <v>23</v>
      </c>
      <c r="U654" s="409">
        <f t="shared" si="148"/>
        <v>70</v>
      </c>
      <c r="V654" s="325">
        <f t="shared" si="149"/>
        <v>0</v>
      </c>
      <c r="W654" s="449" cm="1">
        <f t="array" ref="W654">+IF(U654&lt;0,error,0)</f>
        <v>0</v>
      </c>
    </row>
    <row r="655" spans="1:23" ht="18" customHeight="1" x14ac:dyDescent="0.2">
      <c r="A655" s="402" t="s">
        <v>1334</v>
      </c>
      <c r="B655" s="403"/>
      <c r="C655" s="412" t="s">
        <v>1335</v>
      </c>
      <c r="D655" s="405">
        <v>41689</v>
      </c>
      <c r="E655" s="406"/>
      <c r="F655" s="325"/>
      <c r="G655" s="324"/>
      <c r="H655" s="324">
        <v>3747</v>
      </c>
      <c r="I655" s="325">
        <v>81</v>
      </c>
      <c r="J655" s="325"/>
      <c r="K655" s="325">
        <f t="shared" si="140"/>
        <v>0</v>
      </c>
      <c r="L655" s="325">
        <f t="shared" si="141"/>
        <v>0</v>
      </c>
      <c r="M655" s="407">
        <v>50</v>
      </c>
      <c r="N655" s="408" t="s">
        <v>289</v>
      </c>
      <c r="O655" s="325">
        <f t="shared" si="142"/>
        <v>0</v>
      </c>
      <c r="P655" s="325">
        <f t="shared" si="143"/>
        <v>0</v>
      </c>
      <c r="Q655" s="325">
        <f t="shared" si="144"/>
        <v>0</v>
      </c>
      <c r="R655" s="325">
        <f t="shared" si="145"/>
        <v>20</v>
      </c>
      <c r="S655" s="325">
        <f t="shared" si="146"/>
        <v>0</v>
      </c>
      <c r="T655" s="325">
        <f t="shared" si="147"/>
        <v>20</v>
      </c>
      <c r="U655" s="409">
        <f t="shared" si="148"/>
        <v>61</v>
      </c>
      <c r="V655" s="325">
        <f t="shared" si="149"/>
        <v>0</v>
      </c>
      <c r="W655" s="449" cm="1">
        <f t="array" ref="W655">+IF(U655&lt;0,error,0)</f>
        <v>0</v>
      </c>
    </row>
    <row r="656" spans="1:23" ht="18" customHeight="1" x14ac:dyDescent="0.2">
      <c r="A656" s="402" t="s">
        <v>1336</v>
      </c>
      <c r="B656" s="403"/>
      <c r="C656" s="404" t="s">
        <v>1337</v>
      </c>
      <c r="D656" s="405">
        <v>41717</v>
      </c>
      <c r="E656" s="406"/>
      <c r="F656" s="325"/>
      <c r="G656" s="324"/>
      <c r="H656" s="324">
        <v>3075.92</v>
      </c>
      <c r="I656" s="325">
        <v>69.920000000000016</v>
      </c>
      <c r="J656" s="325"/>
      <c r="K656" s="325">
        <f t="shared" si="140"/>
        <v>0</v>
      </c>
      <c r="L656" s="325">
        <f t="shared" si="141"/>
        <v>0</v>
      </c>
      <c r="M656" s="407">
        <v>50</v>
      </c>
      <c r="N656" s="408" t="s">
        <v>289</v>
      </c>
      <c r="O656" s="325">
        <f t="shared" si="142"/>
        <v>0</v>
      </c>
      <c r="P656" s="325">
        <f t="shared" si="143"/>
        <v>0</v>
      </c>
      <c r="Q656" s="325">
        <f t="shared" si="144"/>
        <v>0</v>
      </c>
      <c r="R656" s="325">
        <f t="shared" si="145"/>
        <v>17</v>
      </c>
      <c r="S656" s="325">
        <f t="shared" si="146"/>
        <v>0</v>
      </c>
      <c r="T656" s="325">
        <f t="shared" si="147"/>
        <v>17</v>
      </c>
      <c r="U656" s="409">
        <f t="shared" si="148"/>
        <v>52.920000000000016</v>
      </c>
      <c r="V656" s="325">
        <f t="shared" si="149"/>
        <v>0</v>
      </c>
      <c r="W656" s="449" cm="1">
        <f t="array" ref="W656">+IF(U656&lt;0,error,0)</f>
        <v>0</v>
      </c>
    </row>
    <row r="657" spans="1:23" ht="18" customHeight="1" x14ac:dyDescent="0.2">
      <c r="A657" s="402" t="s">
        <v>1338</v>
      </c>
      <c r="B657" s="403"/>
      <c r="C657" s="404" t="s">
        <v>1339</v>
      </c>
      <c r="D657" s="405">
        <v>41717</v>
      </c>
      <c r="E657" s="406"/>
      <c r="F657" s="325"/>
      <c r="G657" s="324"/>
      <c r="H657" s="324">
        <v>1537.96</v>
      </c>
      <c r="I657" s="325">
        <v>35.960000000000008</v>
      </c>
      <c r="J657" s="325"/>
      <c r="K657" s="325">
        <f t="shared" si="140"/>
        <v>0</v>
      </c>
      <c r="L657" s="325">
        <f t="shared" si="141"/>
        <v>0</v>
      </c>
      <c r="M657" s="407">
        <v>50</v>
      </c>
      <c r="N657" s="408" t="s">
        <v>289</v>
      </c>
      <c r="O657" s="325">
        <f t="shared" si="142"/>
        <v>0</v>
      </c>
      <c r="P657" s="325">
        <f t="shared" si="143"/>
        <v>0</v>
      </c>
      <c r="Q657" s="325">
        <f t="shared" si="144"/>
        <v>0</v>
      </c>
      <c r="R657" s="325">
        <f t="shared" si="145"/>
        <v>8</v>
      </c>
      <c r="S657" s="325">
        <f t="shared" si="146"/>
        <v>0</v>
      </c>
      <c r="T657" s="325">
        <f t="shared" si="147"/>
        <v>8</v>
      </c>
      <c r="U657" s="409">
        <f t="shared" si="148"/>
        <v>27.960000000000008</v>
      </c>
      <c r="V657" s="325">
        <f t="shared" si="149"/>
        <v>0</v>
      </c>
      <c r="W657" s="449" cm="1">
        <f t="array" ref="W657">+IF(U657&lt;0,error,0)</f>
        <v>0</v>
      </c>
    </row>
    <row r="658" spans="1:23" ht="18" customHeight="1" x14ac:dyDescent="0.2">
      <c r="A658" s="402" t="s">
        <v>1340</v>
      </c>
      <c r="B658" s="403"/>
      <c r="C658" s="404" t="s">
        <v>1341</v>
      </c>
      <c r="D658" s="405">
        <v>41717</v>
      </c>
      <c r="E658" s="406"/>
      <c r="F658" s="325"/>
      <c r="G658" s="324"/>
      <c r="H658" s="324">
        <v>1537.96</v>
      </c>
      <c r="I658" s="325">
        <v>35.960000000000008</v>
      </c>
      <c r="J658" s="325"/>
      <c r="K658" s="325">
        <f t="shared" si="140"/>
        <v>0</v>
      </c>
      <c r="L658" s="325">
        <f t="shared" si="141"/>
        <v>0</v>
      </c>
      <c r="M658" s="407">
        <v>50</v>
      </c>
      <c r="N658" s="408" t="s">
        <v>289</v>
      </c>
      <c r="O658" s="325">
        <f t="shared" si="142"/>
        <v>0</v>
      </c>
      <c r="P658" s="325">
        <f t="shared" si="143"/>
        <v>0</v>
      </c>
      <c r="Q658" s="325">
        <f t="shared" si="144"/>
        <v>0</v>
      </c>
      <c r="R658" s="325">
        <f t="shared" si="145"/>
        <v>8</v>
      </c>
      <c r="S658" s="325">
        <f t="shared" si="146"/>
        <v>0</v>
      </c>
      <c r="T658" s="325">
        <f t="shared" si="147"/>
        <v>8</v>
      </c>
      <c r="U658" s="409">
        <f t="shared" si="148"/>
        <v>27.960000000000008</v>
      </c>
      <c r="V658" s="325">
        <f t="shared" si="149"/>
        <v>0</v>
      </c>
      <c r="W658" s="449" cm="1">
        <f t="array" ref="W658">+IF(U658&lt;0,error,0)</f>
        <v>0</v>
      </c>
    </row>
    <row r="659" spans="1:23" ht="18" customHeight="1" x14ac:dyDescent="0.2">
      <c r="A659" s="402" t="s">
        <v>1342</v>
      </c>
      <c r="B659" s="403"/>
      <c r="C659" s="404" t="s">
        <v>1343</v>
      </c>
      <c r="D659" s="405">
        <v>41717</v>
      </c>
      <c r="E659" s="406"/>
      <c r="F659" s="325"/>
      <c r="G659" s="324"/>
      <c r="H659" s="324">
        <v>2128.86</v>
      </c>
      <c r="I659" s="325">
        <v>48.86</v>
      </c>
      <c r="J659" s="325"/>
      <c r="K659" s="325">
        <f t="shared" si="140"/>
        <v>0</v>
      </c>
      <c r="L659" s="325">
        <f t="shared" si="141"/>
        <v>0</v>
      </c>
      <c r="M659" s="407">
        <v>50</v>
      </c>
      <c r="N659" s="408" t="s">
        <v>289</v>
      </c>
      <c r="O659" s="325">
        <f t="shared" si="142"/>
        <v>0</v>
      </c>
      <c r="P659" s="325">
        <f t="shared" si="143"/>
        <v>0</v>
      </c>
      <c r="Q659" s="325">
        <f t="shared" si="144"/>
        <v>0</v>
      </c>
      <c r="R659" s="325">
        <f t="shared" si="145"/>
        <v>12</v>
      </c>
      <c r="S659" s="325">
        <f t="shared" si="146"/>
        <v>0</v>
      </c>
      <c r="T659" s="325">
        <f t="shared" si="147"/>
        <v>12</v>
      </c>
      <c r="U659" s="409">
        <f t="shared" si="148"/>
        <v>36.86</v>
      </c>
      <c r="V659" s="325">
        <f t="shared" si="149"/>
        <v>0</v>
      </c>
      <c r="W659" s="449" cm="1">
        <f t="array" ref="W659">+IF(U659&lt;0,error,0)</f>
        <v>0</v>
      </c>
    </row>
    <row r="660" spans="1:23" ht="18" customHeight="1" x14ac:dyDescent="0.2">
      <c r="A660" s="402" t="s">
        <v>1344</v>
      </c>
      <c r="B660" s="403"/>
      <c r="C660" s="404" t="s">
        <v>1345</v>
      </c>
      <c r="D660" s="405">
        <v>41717</v>
      </c>
      <c r="E660" s="406"/>
      <c r="F660" s="325"/>
      <c r="G660" s="324"/>
      <c r="H660" s="324">
        <v>6386.58</v>
      </c>
      <c r="I660" s="325">
        <v>144.57999999999998</v>
      </c>
      <c r="J660" s="325"/>
      <c r="K660" s="325">
        <f t="shared" si="140"/>
        <v>0</v>
      </c>
      <c r="L660" s="325">
        <f t="shared" si="141"/>
        <v>0</v>
      </c>
      <c r="M660" s="407">
        <v>50</v>
      </c>
      <c r="N660" s="408" t="s">
        <v>289</v>
      </c>
      <c r="O660" s="325">
        <f t="shared" si="142"/>
        <v>0</v>
      </c>
      <c r="P660" s="325">
        <f t="shared" si="143"/>
        <v>0</v>
      </c>
      <c r="Q660" s="325">
        <f t="shared" si="144"/>
        <v>0</v>
      </c>
      <c r="R660" s="325">
        <f t="shared" si="145"/>
        <v>36</v>
      </c>
      <c r="S660" s="325">
        <f t="shared" si="146"/>
        <v>0</v>
      </c>
      <c r="T660" s="325">
        <f t="shared" si="147"/>
        <v>36</v>
      </c>
      <c r="U660" s="409">
        <f t="shared" si="148"/>
        <v>108.57999999999998</v>
      </c>
      <c r="V660" s="325">
        <f t="shared" si="149"/>
        <v>0</v>
      </c>
      <c r="W660" s="449" cm="1">
        <f t="array" ref="W660">+IF(U660&lt;0,error,0)</f>
        <v>0</v>
      </c>
    </row>
    <row r="661" spans="1:23" ht="18" customHeight="1" x14ac:dyDescent="0.2">
      <c r="A661" s="402" t="s">
        <v>1346</v>
      </c>
      <c r="B661" s="403"/>
      <c r="C661" s="404" t="s">
        <v>1347</v>
      </c>
      <c r="D661" s="405">
        <v>41717</v>
      </c>
      <c r="E661" s="406"/>
      <c r="F661" s="325"/>
      <c r="G661" s="324"/>
      <c r="H661" s="324">
        <v>2128.86</v>
      </c>
      <c r="I661" s="325">
        <v>48.86</v>
      </c>
      <c r="J661" s="325"/>
      <c r="K661" s="325">
        <f t="shared" ref="K661:K724" si="150">INT(IF($E661&gt;0,IF(+F661-I661+Q661&lt;0,0,+F661-I661+Q661),0))</f>
        <v>0</v>
      </c>
      <c r="L661" s="325">
        <f t="shared" ref="L661:L724" si="151">INT(IF($E661&gt;0,IF(K661=0,-F661+I661-Q661,0),0))</f>
        <v>0</v>
      </c>
      <c r="M661" s="407">
        <v>50</v>
      </c>
      <c r="N661" s="408" t="s">
        <v>289</v>
      </c>
      <c r="O661" s="325">
        <f t="shared" ref="O661:O724" si="152">IF(E661&gt;0,INT(IF($N661="D",IF($D661&lt;$H$3,$I661*($M661/100)*((E661-$H$3)/365),$J661*($M661/100)*($J$3-$D661)/365),0)),0)</f>
        <v>0</v>
      </c>
      <c r="P661" s="325">
        <f t="shared" ref="P661:P724" si="153">IF(E661&gt;0,INT(IF($N661="P",IF($D661&lt;$H$3,$H661*($M661/100)*(E661-$H$3)/365,$J661*($M661/100)*($J$3-$D661)/365),0)),0)</f>
        <v>0</v>
      </c>
      <c r="Q661" s="325">
        <f t="shared" ref="Q661:Q724" si="154">+O661+P661</f>
        <v>0</v>
      </c>
      <c r="R661" s="325">
        <f t="shared" ref="R661:R724" si="155">INT(IF($E661&gt;0,0,(IF($N661="D",IF($D661&lt;$H$3,$I661*($M661/100)*$U$3/12,$J661*($M661/100)*($J$3-$D661)/365),0))))</f>
        <v>12</v>
      </c>
      <c r="S661" s="325">
        <f t="shared" ref="S661:S724" si="156">INT(IF($E661&gt;0,0,(IF($N661="P",IF($D661&lt;$H$3,$H661*($M661/100)*$U$3/12,$J661*($M661/100)*($J$3-$D661)/365),0))))</f>
        <v>0</v>
      </c>
      <c r="T661" s="325">
        <f t="shared" ref="T661:T724" si="157">+R661+S661+Q661</f>
        <v>12</v>
      </c>
      <c r="U661" s="409">
        <f t="shared" ref="U661:U724" si="158">+I661+J661-T661-F661+K661-L661</f>
        <v>36.86</v>
      </c>
      <c r="V661" s="325">
        <f t="shared" ref="V661:V724" si="159">IF(E661&gt;0,+H661+J661,0)</f>
        <v>0</v>
      </c>
      <c r="W661" s="449" cm="1">
        <f t="array" ref="W661">+IF(U661&lt;0,error,0)</f>
        <v>0</v>
      </c>
    </row>
    <row r="662" spans="1:23" ht="18" customHeight="1" x14ac:dyDescent="0.2">
      <c r="A662" s="402" t="s">
        <v>1348</v>
      </c>
      <c r="B662" s="403"/>
      <c r="C662" s="404" t="s">
        <v>1349</v>
      </c>
      <c r="D662" s="405">
        <v>41717</v>
      </c>
      <c r="E662" s="406"/>
      <c r="F662" s="325"/>
      <c r="G662" s="324"/>
      <c r="H662" s="324">
        <v>6489.8</v>
      </c>
      <c r="I662" s="325">
        <v>146.80000000000001</v>
      </c>
      <c r="J662" s="325"/>
      <c r="K662" s="325">
        <f t="shared" si="150"/>
        <v>0</v>
      </c>
      <c r="L662" s="325">
        <f t="shared" si="151"/>
        <v>0</v>
      </c>
      <c r="M662" s="407">
        <v>50</v>
      </c>
      <c r="N662" s="408" t="s">
        <v>289</v>
      </c>
      <c r="O662" s="325">
        <f t="shared" si="152"/>
        <v>0</v>
      </c>
      <c r="P662" s="325">
        <f t="shared" si="153"/>
        <v>0</v>
      </c>
      <c r="Q662" s="325">
        <f t="shared" si="154"/>
        <v>0</v>
      </c>
      <c r="R662" s="325">
        <f t="shared" si="155"/>
        <v>36</v>
      </c>
      <c r="S662" s="325">
        <f t="shared" si="156"/>
        <v>0</v>
      </c>
      <c r="T662" s="325">
        <f t="shared" si="157"/>
        <v>36</v>
      </c>
      <c r="U662" s="409">
        <f t="shared" si="158"/>
        <v>110.80000000000001</v>
      </c>
      <c r="V662" s="325">
        <f t="shared" si="159"/>
        <v>0</v>
      </c>
      <c r="W662" s="449" cm="1">
        <f t="array" ref="W662">+IF(U662&lt;0,error,0)</f>
        <v>0</v>
      </c>
    </row>
    <row r="663" spans="1:23" ht="18" customHeight="1" x14ac:dyDescent="0.2">
      <c r="A663" s="402" t="s">
        <v>1350</v>
      </c>
      <c r="B663" s="403"/>
      <c r="C663" s="404" t="s">
        <v>1351</v>
      </c>
      <c r="D663" s="405">
        <v>41726</v>
      </c>
      <c r="E663" s="406"/>
      <c r="F663" s="325"/>
      <c r="G663" s="324"/>
      <c r="H663" s="324">
        <v>4380</v>
      </c>
      <c r="I663" s="325">
        <v>101</v>
      </c>
      <c r="J663" s="325"/>
      <c r="K663" s="325">
        <f t="shared" si="150"/>
        <v>0</v>
      </c>
      <c r="L663" s="325">
        <f t="shared" si="151"/>
        <v>0</v>
      </c>
      <c r="M663" s="407">
        <v>50</v>
      </c>
      <c r="N663" s="408" t="s">
        <v>289</v>
      </c>
      <c r="O663" s="325">
        <f t="shared" si="152"/>
        <v>0</v>
      </c>
      <c r="P663" s="325">
        <f t="shared" si="153"/>
        <v>0</v>
      </c>
      <c r="Q663" s="325">
        <f t="shared" si="154"/>
        <v>0</v>
      </c>
      <c r="R663" s="325">
        <f t="shared" si="155"/>
        <v>25</v>
      </c>
      <c r="S663" s="325">
        <f t="shared" si="156"/>
        <v>0</v>
      </c>
      <c r="T663" s="325">
        <f t="shared" si="157"/>
        <v>25</v>
      </c>
      <c r="U663" s="409">
        <f t="shared" si="158"/>
        <v>76</v>
      </c>
      <c r="V663" s="325">
        <f t="shared" si="159"/>
        <v>0</v>
      </c>
      <c r="W663" s="449" cm="1">
        <f t="array" ref="W663">+IF(U663&lt;0,error,0)</f>
        <v>0</v>
      </c>
    </row>
    <row r="664" spans="1:23" ht="18" customHeight="1" x14ac:dyDescent="0.2">
      <c r="A664" s="402" t="s">
        <v>1352</v>
      </c>
      <c r="B664" s="403"/>
      <c r="C664" s="404" t="s">
        <v>1353</v>
      </c>
      <c r="D664" s="405">
        <v>41730</v>
      </c>
      <c r="E664" s="406"/>
      <c r="F664" s="325"/>
      <c r="G664" s="324"/>
      <c r="H664" s="324">
        <v>1400</v>
      </c>
      <c r="I664" s="325">
        <v>33</v>
      </c>
      <c r="J664" s="325"/>
      <c r="K664" s="325">
        <f t="shared" si="150"/>
        <v>0</v>
      </c>
      <c r="L664" s="325">
        <f t="shared" si="151"/>
        <v>0</v>
      </c>
      <c r="M664" s="407">
        <v>50</v>
      </c>
      <c r="N664" s="408" t="s">
        <v>289</v>
      </c>
      <c r="O664" s="325">
        <f t="shared" si="152"/>
        <v>0</v>
      </c>
      <c r="P664" s="325">
        <f t="shared" si="153"/>
        <v>0</v>
      </c>
      <c r="Q664" s="325">
        <f t="shared" si="154"/>
        <v>0</v>
      </c>
      <c r="R664" s="325">
        <f t="shared" si="155"/>
        <v>8</v>
      </c>
      <c r="S664" s="325">
        <f t="shared" si="156"/>
        <v>0</v>
      </c>
      <c r="T664" s="325">
        <f t="shared" si="157"/>
        <v>8</v>
      </c>
      <c r="U664" s="409">
        <f t="shared" si="158"/>
        <v>25</v>
      </c>
      <c r="V664" s="325">
        <f t="shared" si="159"/>
        <v>0</v>
      </c>
      <c r="W664" s="449" cm="1">
        <f t="array" ref="W664">+IF(U664&lt;0,error,0)</f>
        <v>0</v>
      </c>
    </row>
    <row r="665" spans="1:23" ht="18" customHeight="1" x14ac:dyDescent="0.2">
      <c r="A665" s="402" t="s">
        <v>1354</v>
      </c>
      <c r="B665" s="403"/>
      <c r="C665" s="404" t="s">
        <v>1355</v>
      </c>
      <c r="D665" s="405">
        <v>41730</v>
      </c>
      <c r="E665" s="406"/>
      <c r="F665" s="325"/>
      <c r="G665" s="324"/>
      <c r="H665" s="324">
        <v>700</v>
      </c>
      <c r="I665" s="325">
        <v>17</v>
      </c>
      <c r="J665" s="325"/>
      <c r="K665" s="325">
        <f t="shared" si="150"/>
        <v>0</v>
      </c>
      <c r="L665" s="325">
        <f t="shared" si="151"/>
        <v>0</v>
      </c>
      <c r="M665" s="407">
        <v>50</v>
      </c>
      <c r="N665" s="408" t="s">
        <v>289</v>
      </c>
      <c r="O665" s="325">
        <f t="shared" si="152"/>
        <v>0</v>
      </c>
      <c r="P665" s="325">
        <f t="shared" si="153"/>
        <v>0</v>
      </c>
      <c r="Q665" s="325">
        <f t="shared" si="154"/>
        <v>0</v>
      </c>
      <c r="R665" s="325">
        <f t="shared" si="155"/>
        <v>4</v>
      </c>
      <c r="S665" s="325">
        <f t="shared" si="156"/>
        <v>0</v>
      </c>
      <c r="T665" s="325">
        <f t="shared" si="157"/>
        <v>4</v>
      </c>
      <c r="U665" s="409">
        <f t="shared" si="158"/>
        <v>13</v>
      </c>
      <c r="V665" s="325">
        <f t="shared" si="159"/>
        <v>0</v>
      </c>
      <c r="W665" s="449" cm="1">
        <f t="array" ref="W665">+IF(U665&lt;0,error,0)</f>
        <v>0</v>
      </c>
    </row>
    <row r="666" spans="1:23" ht="18" customHeight="1" x14ac:dyDescent="0.2">
      <c r="A666" s="402" t="s">
        <v>1356</v>
      </c>
      <c r="B666" s="403"/>
      <c r="C666" s="412" t="s">
        <v>1357</v>
      </c>
      <c r="D666" s="405">
        <v>41731</v>
      </c>
      <c r="E666" s="406"/>
      <c r="F666" s="325"/>
      <c r="G666" s="324"/>
      <c r="H666" s="324">
        <v>6347.26</v>
      </c>
      <c r="I666" s="325">
        <v>147.26</v>
      </c>
      <c r="J666" s="325"/>
      <c r="K666" s="325">
        <f t="shared" si="150"/>
        <v>0</v>
      </c>
      <c r="L666" s="325">
        <f t="shared" si="151"/>
        <v>0</v>
      </c>
      <c r="M666" s="407">
        <v>50</v>
      </c>
      <c r="N666" s="408" t="s">
        <v>289</v>
      </c>
      <c r="O666" s="325">
        <f t="shared" si="152"/>
        <v>0</v>
      </c>
      <c r="P666" s="325">
        <f t="shared" si="153"/>
        <v>0</v>
      </c>
      <c r="Q666" s="325">
        <f t="shared" si="154"/>
        <v>0</v>
      </c>
      <c r="R666" s="325">
        <f t="shared" si="155"/>
        <v>36</v>
      </c>
      <c r="S666" s="325">
        <f t="shared" si="156"/>
        <v>0</v>
      </c>
      <c r="T666" s="325">
        <f t="shared" si="157"/>
        <v>36</v>
      </c>
      <c r="U666" s="409">
        <f t="shared" si="158"/>
        <v>111.25999999999999</v>
      </c>
      <c r="V666" s="325">
        <f t="shared" si="159"/>
        <v>0</v>
      </c>
      <c r="W666" s="449" cm="1">
        <f t="array" ref="W666">+IF(U666&lt;0,error,0)</f>
        <v>0</v>
      </c>
    </row>
    <row r="667" spans="1:23" ht="18" customHeight="1" x14ac:dyDescent="0.2">
      <c r="A667" s="402" t="s">
        <v>1358</v>
      </c>
      <c r="B667" s="403"/>
      <c r="C667" s="404" t="s">
        <v>1359</v>
      </c>
      <c r="D667" s="405">
        <v>41742</v>
      </c>
      <c r="E667" s="406"/>
      <c r="F667" s="325"/>
      <c r="G667" s="324"/>
      <c r="H667" s="324">
        <v>2100</v>
      </c>
      <c r="I667" s="325">
        <v>50</v>
      </c>
      <c r="J667" s="325"/>
      <c r="K667" s="325">
        <f t="shared" si="150"/>
        <v>0</v>
      </c>
      <c r="L667" s="325">
        <f t="shared" si="151"/>
        <v>0</v>
      </c>
      <c r="M667" s="407">
        <v>50</v>
      </c>
      <c r="N667" s="408" t="s">
        <v>289</v>
      </c>
      <c r="O667" s="325">
        <f t="shared" si="152"/>
        <v>0</v>
      </c>
      <c r="P667" s="325">
        <f t="shared" si="153"/>
        <v>0</v>
      </c>
      <c r="Q667" s="325">
        <f t="shared" si="154"/>
        <v>0</v>
      </c>
      <c r="R667" s="325">
        <f t="shared" si="155"/>
        <v>12</v>
      </c>
      <c r="S667" s="325">
        <f t="shared" si="156"/>
        <v>0</v>
      </c>
      <c r="T667" s="325">
        <f t="shared" si="157"/>
        <v>12</v>
      </c>
      <c r="U667" s="409">
        <f t="shared" si="158"/>
        <v>38</v>
      </c>
      <c r="V667" s="325">
        <f t="shared" si="159"/>
        <v>0</v>
      </c>
      <c r="W667" s="449" cm="1">
        <f t="array" ref="W667">+IF(U667&lt;0,error,0)</f>
        <v>0</v>
      </c>
    </row>
    <row r="668" spans="1:23" ht="18" customHeight="1" x14ac:dyDescent="0.2">
      <c r="A668" s="402" t="s">
        <v>1360</v>
      </c>
      <c r="B668" s="403"/>
      <c r="C668" s="404" t="s">
        <v>1361</v>
      </c>
      <c r="D668" s="405">
        <v>41742</v>
      </c>
      <c r="E668" s="406"/>
      <c r="F668" s="325"/>
      <c r="G668" s="324"/>
      <c r="H668" s="324">
        <v>2640</v>
      </c>
      <c r="I668" s="325">
        <v>63</v>
      </c>
      <c r="J668" s="325"/>
      <c r="K668" s="325">
        <f t="shared" si="150"/>
        <v>0</v>
      </c>
      <c r="L668" s="325">
        <f t="shared" si="151"/>
        <v>0</v>
      </c>
      <c r="M668" s="407">
        <v>50</v>
      </c>
      <c r="N668" s="408" t="s">
        <v>289</v>
      </c>
      <c r="O668" s="325">
        <f t="shared" si="152"/>
        <v>0</v>
      </c>
      <c r="P668" s="325">
        <f t="shared" si="153"/>
        <v>0</v>
      </c>
      <c r="Q668" s="325">
        <f t="shared" si="154"/>
        <v>0</v>
      </c>
      <c r="R668" s="325">
        <f t="shared" si="155"/>
        <v>15</v>
      </c>
      <c r="S668" s="325">
        <f t="shared" si="156"/>
        <v>0</v>
      </c>
      <c r="T668" s="325">
        <f t="shared" si="157"/>
        <v>15</v>
      </c>
      <c r="U668" s="409">
        <f t="shared" si="158"/>
        <v>48</v>
      </c>
      <c r="V668" s="325">
        <f t="shared" si="159"/>
        <v>0</v>
      </c>
      <c r="W668" s="449" cm="1">
        <f t="array" ref="W668">+IF(U668&lt;0,error,0)</f>
        <v>0</v>
      </c>
    </row>
    <row r="669" spans="1:23" ht="18" customHeight="1" x14ac:dyDescent="0.2">
      <c r="A669" s="402" t="s">
        <v>1362</v>
      </c>
      <c r="B669" s="403"/>
      <c r="C669" s="404" t="s">
        <v>1309</v>
      </c>
      <c r="D669" s="405">
        <v>41744</v>
      </c>
      <c r="E669" s="406"/>
      <c r="F669" s="325"/>
      <c r="G669" s="324"/>
      <c r="H669" s="324">
        <v>8142</v>
      </c>
      <c r="I669" s="325">
        <v>192</v>
      </c>
      <c r="J669" s="325"/>
      <c r="K669" s="325">
        <f t="shared" si="150"/>
        <v>0</v>
      </c>
      <c r="L669" s="325">
        <f t="shared" si="151"/>
        <v>0</v>
      </c>
      <c r="M669" s="407">
        <v>50</v>
      </c>
      <c r="N669" s="408" t="s">
        <v>289</v>
      </c>
      <c r="O669" s="325">
        <f t="shared" si="152"/>
        <v>0</v>
      </c>
      <c r="P669" s="325">
        <f t="shared" si="153"/>
        <v>0</v>
      </c>
      <c r="Q669" s="325">
        <f t="shared" si="154"/>
        <v>0</v>
      </c>
      <c r="R669" s="325">
        <f t="shared" si="155"/>
        <v>48</v>
      </c>
      <c r="S669" s="325">
        <f t="shared" si="156"/>
        <v>0</v>
      </c>
      <c r="T669" s="325">
        <f t="shared" si="157"/>
        <v>48</v>
      </c>
      <c r="U669" s="409">
        <f t="shared" si="158"/>
        <v>144</v>
      </c>
      <c r="V669" s="325">
        <f t="shared" si="159"/>
        <v>0</v>
      </c>
      <c r="W669" s="449" cm="1">
        <f t="array" ref="W669">+IF(U669&lt;0,error,0)</f>
        <v>0</v>
      </c>
    </row>
    <row r="670" spans="1:23" ht="18" customHeight="1" x14ac:dyDescent="0.2">
      <c r="A670" s="402" t="s">
        <v>1363</v>
      </c>
      <c r="B670" s="403"/>
      <c r="C670" s="404" t="s">
        <v>1364</v>
      </c>
      <c r="D670" s="405">
        <v>41820</v>
      </c>
      <c r="E670" s="406"/>
      <c r="F670" s="325"/>
      <c r="G670" s="324"/>
      <c r="H670" s="324">
        <v>10635.17</v>
      </c>
      <c r="I670" s="325">
        <v>279.16999999999996</v>
      </c>
      <c r="J670" s="325"/>
      <c r="K670" s="325">
        <f t="shared" si="150"/>
        <v>0</v>
      </c>
      <c r="L670" s="325">
        <f t="shared" si="151"/>
        <v>0</v>
      </c>
      <c r="M670" s="407">
        <v>50</v>
      </c>
      <c r="N670" s="408" t="s">
        <v>289</v>
      </c>
      <c r="O670" s="325">
        <f t="shared" si="152"/>
        <v>0</v>
      </c>
      <c r="P670" s="325">
        <f t="shared" si="153"/>
        <v>0</v>
      </c>
      <c r="Q670" s="325">
        <f t="shared" si="154"/>
        <v>0</v>
      </c>
      <c r="R670" s="325">
        <f t="shared" si="155"/>
        <v>69</v>
      </c>
      <c r="S670" s="325">
        <f t="shared" si="156"/>
        <v>0</v>
      </c>
      <c r="T670" s="325">
        <f t="shared" si="157"/>
        <v>69</v>
      </c>
      <c r="U670" s="409">
        <f t="shared" si="158"/>
        <v>210.16999999999996</v>
      </c>
      <c r="V670" s="325">
        <f t="shared" si="159"/>
        <v>0</v>
      </c>
      <c r="W670" s="449" cm="1">
        <f t="array" ref="W670">+IF(U670&lt;0,error,0)</f>
        <v>0</v>
      </c>
    </row>
    <row r="671" spans="1:23" ht="18" customHeight="1" x14ac:dyDescent="0.2">
      <c r="A671" s="402" t="s">
        <v>1365</v>
      </c>
      <c r="B671" s="403"/>
      <c r="C671" s="404" t="s">
        <v>1366</v>
      </c>
      <c r="D671" s="405">
        <v>41731</v>
      </c>
      <c r="E671" s="406"/>
      <c r="F671" s="325"/>
      <c r="G671" s="324"/>
      <c r="H671" s="324">
        <v>7526.52</v>
      </c>
      <c r="I671" s="325">
        <v>174.51999999999998</v>
      </c>
      <c r="J671" s="325"/>
      <c r="K671" s="325">
        <f t="shared" si="150"/>
        <v>0</v>
      </c>
      <c r="L671" s="325">
        <f t="shared" si="151"/>
        <v>0</v>
      </c>
      <c r="M671" s="407">
        <v>50</v>
      </c>
      <c r="N671" s="408" t="s">
        <v>289</v>
      </c>
      <c r="O671" s="325">
        <f t="shared" si="152"/>
        <v>0</v>
      </c>
      <c r="P671" s="325">
        <f t="shared" si="153"/>
        <v>0</v>
      </c>
      <c r="Q671" s="325">
        <f t="shared" si="154"/>
        <v>0</v>
      </c>
      <c r="R671" s="325">
        <f t="shared" si="155"/>
        <v>43</v>
      </c>
      <c r="S671" s="325">
        <f t="shared" si="156"/>
        <v>0</v>
      </c>
      <c r="T671" s="325">
        <f t="shared" si="157"/>
        <v>43</v>
      </c>
      <c r="U671" s="409">
        <f t="shared" si="158"/>
        <v>131.51999999999998</v>
      </c>
      <c r="V671" s="325">
        <f t="shared" si="159"/>
        <v>0</v>
      </c>
      <c r="W671" s="449" cm="1">
        <f t="array" ref="W671">+IF(U671&lt;0,error,0)</f>
        <v>0</v>
      </c>
    </row>
    <row r="672" spans="1:23" ht="18" customHeight="1" x14ac:dyDescent="0.2">
      <c r="A672" s="402" t="s">
        <v>1367</v>
      </c>
      <c r="B672" s="403"/>
      <c r="C672" s="404" t="s">
        <v>1368</v>
      </c>
      <c r="D672" s="405">
        <v>41688</v>
      </c>
      <c r="E672" s="406">
        <v>43929</v>
      </c>
      <c r="F672" s="325">
        <f>15*31.82+17*45.45+7*60+8*25</f>
        <v>1869.95</v>
      </c>
      <c r="G672" s="324">
        <v>2727.5</v>
      </c>
      <c r="H672" s="324">
        <v>2727.5</v>
      </c>
      <c r="I672" s="325">
        <v>59.5</v>
      </c>
      <c r="J672" s="325"/>
      <c r="K672" s="325">
        <f>INT(IF($E672&gt;0,IF(+F672-I672+Q672&lt;0,0,+F672-I672+Q672),0))+0.45</f>
        <v>1817.45</v>
      </c>
      <c r="L672" s="325">
        <f t="shared" si="151"/>
        <v>0</v>
      </c>
      <c r="M672" s="407">
        <v>50</v>
      </c>
      <c r="N672" s="408" t="s">
        <v>289</v>
      </c>
      <c r="O672" s="325">
        <f t="shared" si="152"/>
        <v>7</v>
      </c>
      <c r="P672" s="325">
        <f t="shared" si="153"/>
        <v>0</v>
      </c>
      <c r="Q672" s="325">
        <f t="shared" si="154"/>
        <v>7</v>
      </c>
      <c r="R672" s="325">
        <f t="shared" si="155"/>
        <v>0</v>
      </c>
      <c r="S672" s="325">
        <f t="shared" si="156"/>
        <v>0</v>
      </c>
      <c r="T672" s="325">
        <f t="shared" si="157"/>
        <v>7</v>
      </c>
      <c r="U672" s="324">
        <f t="shared" si="158"/>
        <v>0</v>
      </c>
      <c r="V672" s="325">
        <f t="shared" si="159"/>
        <v>2727.5</v>
      </c>
      <c r="W672" s="449" cm="1">
        <f t="array" ref="W672">+IF(U672&lt;0,error,0)</f>
        <v>0</v>
      </c>
    </row>
    <row r="673" spans="1:23" ht="18" customHeight="1" x14ac:dyDescent="0.2">
      <c r="A673" s="402" t="s">
        <v>1369</v>
      </c>
      <c r="B673" s="403"/>
      <c r="C673" s="404" t="s">
        <v>1370</v>
      </c>
      <c r="D673" s="405">
        <v>41942</v>
      </c>
      <c r="E673" s="406"/>
      <c r="F673" s="325"/>
      <c r="G673" s="324"/>
      <c r="H673" s="324">
        <v>5250</v>
      </c>
      <c r="I673" s="325">
        <v>184</v>
      </c>
      <c r="J673" s="325"/>
      <c r="K673" s="325">
        <f t="shared" si="150"/>
        <v>0</v>
      </c>
      <c r="L673" s="325">
        <f t="shared" si="151"/>
        <v>0</v>
      </c>
      <c r="M673" s="407">
        <v>50</v>
      </c>
      <c r="N673" s="408" t="s">
        <v>289</v>
      </c>
      <c r="O673" s="325">
        <f t="shared" si="152"/>
        <v>0</v>
      </c>
      <c r="P673" s="325">
        <f t="shared" si="153"/>
        <v>0</v>
      </c>
      <c r="Q673" s="325">
        <f t="shared" si="154"/>
        <v>0</v>
      </c>
      <c r="R673" s="325">
        <f t="shared" si="155"/>
        <v>46</v>
      </c>
      <c r="S673" s="325">
        <f t="shared" si="156"/>
        <v>0</v>
      </c>
      <c r="T673" s="325">
        <f t="shared" si="157"/>
        <v>46</v>
      </c>
      <c r="U673" s="409">
        <f t="shared" si="158"/>
        <v>138</v>
      </c>
      <c r="V673" s="325">
        <f t="shared" si="159"/>
        <v>0</v>
      </c>
      <c r="W673" s="449" cm="1">
        <f t="array" ref="W673">+IF(U673&lt;0,error,0)</f>
        <v>0</v>
      </c>
    </row>
    <row r="674" spans="1:23" ht="18" customHeight="1" x14ac:dyDescent="0.2">
      <c r="A674" s="402" t="s">
        <v>1371</v>
      </c>
      <c r="B674" s="403"/>
      <c r="C674" s="404" t="s">
        <v>1372</v>
      </c>
      <c r="D674" s="405">
        <v>41961</v>
      </c>
      <c r="E674" s="406"/>
      <c r="F674" s="325"/>
      <c r="G674" s="324"/>
      <c r="H674" s="324">
        <v>3600</v>
      </c>
      <c r="I674" s="325">
        <v>132</v>
      </c>
      <c r="J674" s="325"/>
      <c r="K674" s="325">
        <f t="shared" si="150"/>
        <v>0</v>
      </c>
      <c r="L674" s="325">
        <f t="shared" si="151"/>
        <v>0</v>
      </c>
      <c r="M674" s="407">
        <v>50</v>
      </c>
      <c r="N674" s="408" t="s">
        <v>289</v>
      </c>
      <c r="O674" s="325">
        <f t="shared" si="152"/>
        <v>0</v>
      </c>
      <c r="P674" s="325">
        <f t="shared" si="153"/>
        <v>0</v>
      </c>
      <c r="Q674" s="325">
        <f t="shared" si="154"/>
        <v>0</v>
      </c>
      <c r="R674" s="325">
        <f t="shared" si="155"/>
        <v>33</v>
      </c>
      <c r="S674" s="325">
        <f t="shared" si="156"/>
        <v>0</v>
      </c>
      <c r="T674" s="325">
        <f t="shared" si="157"/>
        <v>33</v>
      </c>
      <c r="U674" s="409">
        <f t="shared" si="158"/>
        <v>99</v>
      </c>
      <c r="V674" s="325">
        <f t="shared" si="159"/>
        <v>0</v>
      </c>
      <c r="W674" s="449" cm="1">
        <f t="array" ref="W674">+IF(U674&lt;0,error,0)</f>
        <v>0</v>
      </c>
    </row>
    <row r="675" spans="1:23" ht="18" customHeight="1" x14ac:dyDescent="0.2">
      <c r="A675" s="402" t="s">
        <v>1373</v>
      </c>
      <c r="B675" s="403"/>
      <c r="C675" s="404" t="s">
        <v>1374</v>
      </c>
      <c r="D675" s="405">
        <v>41961</v>
      </c>
      <c r="E675" s="406"/>
      <c r="F675" s="325"/>
      <c r="G675" s="324"/>
      <c r="H675" s="324">
        <v>3200</v>
      </c>
      <c r="I675" s="325">
        <v>117</v>
      </c>
      <c r="J675" s="325"/>
      <c r="K675" s="325">
        <f t="shared" si="150"/>
        <v>0</v>
      </c>
      <c r="L675" s="325">
        <f t="shared" si="151"/>
        <v>0</v>
      </c>
      <c r="M675" s="407">
        <v>50</v>
      </c>
      <c r="N675" s="408" t="s">
        <v>289</v>
      </c>
      <c r="O675" s="325">
        <f t="shared" si="152"/>
        <v>0</v>
      </c>
      <c r="P675" s="325">
        <f t="shared" si="153"/>
        <v>0</v>
      </c>
      <c r="Q675" s="325">
        <f t="shared" si="154"/>
        <v>0</v>
      </c>
      <c r="R675" s="325">
        <f t="shared" si="155"/>
        <v>29</v>
      </c>
      <c r="S675" s="325">
        <f t="shared" si="156"/>
        <v>0</v>
      </c>
      <c r="T675" s="325">
        <f t="shared" si="157"/>
        <v>29</v>
      </c>
      <c r="U675" s="409">
        <f t="shared" si="158"/>
        <v>88</v>
      </c>
      <c r="V675" s="325">
        <f t="shared" si="159"/>
        <v>0</v>
      </c>
      <c r="W675" s="449" cm="1">
        <f t="array" ref="W675">+IF(U675&lt;0,error,0)</f>
        <v>0</v>
      </c>
    </row>
    <row r="676" spans="1:23" ht="18" customHeight="1" x14ac:dyDescent="0.2">
      <c r="A676" s="402" t="s">
        <v>1375</v>
      </c>
      <c r="B676" s="403"/>
      <c r="C676" s="404" t="s">
        <v>1376</v>
      </c>
      <c r="D676" s="405">
        <v>41961</v>
      </c>
      <c r="E676" s="406"/>
      <c r="F676" s="325"/>
      <c r="G676" s="324"/>
      <c r="H676" s="324">
        <v>3600</v>
      </c>
      <c r="I676" s="325">
        <v>132</v>
      </c>
      <c r="J676" s="325"/>
      <c r="K676" s="325">
        <f t="shared" si="150"/>
        <v>0</v>
      </c>
      <c r="L676" s="325">
        <f t="shared" si="151"/>
        <v>0</v>
      </c>
      <c r="M676" s="407">
        <v>50</v>
      </c>
      <c r="N676" s="408" t="s">
        <v>289</v>
      </c>
      <c r="O676" s="325">
        <f t="shared" si="152"/>
        <v>0</v>
      </c>
      <c r="P676" s="325">
        <f t="shared" si="153"/>
        <v>0</v>
      </c>
      <c r="Q676" s="325">
        <f t="shared" si="154"/>
        <v>0</v>
      </c>
      <c r="R676" s="325">
        <f t="shared" si="155"/>
        <v>33</v>
      </c>
      <c r="S676" s="325">
        <f t="shared" si="156"/>
        <v>0</v>
      </c>
      <c r="T676" s="325">
        <f t="shared" si="157"/>
        <v>33</v>
      </c>
      <c r="U676" s="409">
        <f t="shared" si="158"/>
        <v>99</v>
      </c>
      <c r="V676" s="325">
        <f t="shared" si="159"/>
        <v>0</v>
      </c>
      <c r="W676" s="449" cm="1">
        <f t="array" ref="W676">+IF(U676&lt;0,error,0)</f>
        <v>0</v>
      </c>
    </row>
    <row r="677" spans="1:23" ht="18" customHeight="1" x14ac:dyDescent="0.2">
      <c r="A677" s="402" t="s">
        <v>1377</v>
      </c>
      <c r="B677" s="403"/>
      <c r="C677" s="404" t="s">
        <v>1378</v>
      </c>
      <c r="D677" s="405">
        <v>41971</v>
      </c>
      <c r="E677" s="406"/>
      <c r="F677" s="325"/>
      <c r="G677" s="324"/>
      <c r="H677" s="324">
        <v>2728</v>
      </c>
      <c r="I677" s="325">
        <v>102</v>
      </c>
      <c r="J677" s="325"/>
      <c r="K677" s="325">
        <f t="shared" si="150"/>
        <v>0</v>
      </c>
      <c r="L677" s="325">
        <f t="shared" si="151"/>
        <v>0</v>
      </c>
      <c r="M677" s="407">
        <v>50</v>
      </c>
      <c r="N677" s="408" t="s">
        <v>289</v>
      </c>
      <c r="O677" s="325">
        <f t="shared" si="152"/>
        <v>0</v>
      </c>
      <c r="P677" s="325">
        <f t="shared" si="153"/>
        <v>0</v>
      </c>
      <c r="Q677" s="325">
        <f t="shared" si="154"/>
        <v>0</v>
      </c>
      <c r="R677" s="325">
        <f t="shared" si="155"/>
        <v>25</v>
      </c>
      <c r="S677" s="325">
        <f t="shared" si="156"/>
        <v>0</v>
      </c>
      <c r="T677" s="325">
        <f t="shared" si="157"/>
        <v>25</v>
      </c>
      <c r="U677" s="409">
        <f t="shared" si="158"/>
        <v>77</v>
      </c>
      <c r="V677" s="325">
        <f t="shared" si="159"/>
        <v>0</v>
      </c>
      <c r="W677" s="449" cm="1">
        <f t="array" ref="W677">+IF(U677&lt;0,error,0)</f>
        <v>0</v>
      </c>
    </row>
    <row r="678" spans="1:23" ht="18" customHeight="1" x14ac:dyDescent="0.2">
      <c r="A678" s="402" t="s">
        <v>1379</v>
      </c>
      <c r="B678" s="403"/>
      <c r="C678" s="404" t="s">
        <v>1380</v>
      </c>
      <c r="D678" s="405">
        <v>42072</v>
      </c>
      <c r="E678" s="406"/>
      <c r="F678" s="325"/>
      <c r="G678" s="324"/>
      <c r="H678" s="324">
        <v>5320</v>
      </c>
      <c r="I678" s="325">
        <v>236</v>
      </c>
      <c r="J678" s="325"/>
      <c r="K678" s="325">
        <f t="shared" si="150"/>
        <v>0</v>
      </c>
      <c r="L678" s="325">
        <f t="shared" si="151"/>
        <v>0</v>
      </c>
      <c r="M678" s="407">
        <v>50</v>
      </c>
      <c r="N678" s="408" t="s">
        <v>289</v>
      </c>
      <c r="O678" s="325">
        <f t="shared" si="152"/>
        <v>0</v>
      </c>
      <c r="P678" s="325">
        <f t="shared" si="153"/>
        <v>0</v>
      </c>
      <c r="Q678" s="325">
        <f t="shared" si="154"/>
        <v>0</v>
      </c>
      <c r="R678" s="325">
        <f t="shared" si="155"/>
        <v>59</v>
      </c>
      <c r="S678" s="325">
        <f t="shared" si="156"/>
        <v>0</v>
      </c>
      <c r="T678" s="325">
        <f t="shared" si="157"/>
        <v>59</v>
      </c>
      <c r="U678" s="409">
        <f t="shared" si="158"/>
        <v>177</v>
      </c>
      <c r="V678" s="325">
        <f t="shared" si="159"/>
        <v>0</v>
      </c>
      <c r="W678" s="449" cm="1">
        <f t="array" ref="W678">+IF(U678&lt;0,error,0)</f>
        <v>0</v>
      </c>
    </row>
    <row r="679" spans="1:23" ht="18" customHeight="1" x14ac:dyDescent="0.2">
      <c r="A679" s="402" t="s">
        <v>1381</v>
      </c>
      <c r="B679" s="403"/>
      <c r="C679" s="404" t="s">
        <v>1382</v>
      </c>
      <c r="D679" s="405">
        <v>42075</v>
      </c>
      <c r="E679" s="406"/>
      <c r="F679" s="325"/>
      <c r="G679" s="324"/>
      <c r="H679" s="324">
        <v>12312</v>
      </c>
      <c r="I679" s="325">
        <v>549</v>
      </c>
      <c r="J679" s="325"/>
      <c r="K679" s="325">
        <f t="shared" si="150"/>
        <v>0</v>
      </c>
      <c r="L679" s="325">
        <f t="shared" si="151"/>
        <v>0</v>
      </c>
      <c r="M679" s="407">
        <v>50</v>
      </c>
      <c r="N679" s="408" t="s">
        <v>289</v>
      </c>
      <c r="O679" s="325">
        <f t="shared" si="152"/>
        <v>0</v>
      </c>
      <c r="P679" s="325">
        <f t="shared" si="153"/>
        <v>0</v>
      </c>
      <c r="Q679" s="325">
        <f t="shared" si="154"/>
        <v>0</v>
      </c>
      <c r="R679" s="325">
        <f t="shared" si="155"/>
        <v>137</v>
      </c>
      <c r="S679" s="325">
        <f t="shared" si="156"/>
        <v>0</v>
      </c>
      <c r="T679" s="325">
        <f t="shared" si="157"/>
        <v>137</v>
      </c>
      <c r="U679" s="409">
        <f t="shared" si="158"/>
        <v>412</v>
      </c>
      <c r="V679" s="325">
        <f t="shared" si="159"/>
        <v>0</v>
      </c>
      <c r="W679" s="449" cm="1">
        <f t="array" ref="W679">+IF(U679&lt;0,error,0)</f>
        <v>0</v>
      </c>
    </row>
    <row r="680" spans="1:23" ht="18" customHeight="1" x14ac:dyDescent="0.2">
      <c r="A680" s="402" t="s">
        <v>1383</v>
      </c>
      <c r="B680" s="403"/>
      <c r="C680" s="404" t="s">
        <v>1384</v>
      </c>
      <c r="D680" s="405">
        <v>42095</v>
      </c>
      <c r="E680" s="406"/>
      <c r="F680" s="325"/>
      <c r="G680" s="324"/>
      <c r="H680" s="324">
        <v>30322.720000000001</v>
      </c>
      <c r="I680" s="325">
        <v>1394.7200000000003</v>
      </c>
      <c r="J680" s="325"/>
      <c r="K680" s="325">
        <f t="shared" si="150"/>
        <v>0</v>
      </c>
      <c r="L680" s="325">
        <f t="shared" si="151"/>
        <v>0</v>
      </c>
      <c r="M680" s="407">
        <v>50</v>
      </c>
      <c r="N680" s="408" t="s">
        <v>289</v>
      </c>
      <c r="O680" s="325">
        <f t="shared" si="152"/>
        <v>0</v>
      </c>
      <c r="P680" s="325">
        <f t="shared" si="153"/>
        <v>0</v>
      </c>
      <c r="Q680" s="325">
        <f t="shared" si="154"/>
        <v>0</v>
      </c>
      <c r="R680" s="325">
        <f t="shared" si="155"/>
        <v>348</v>
      </c>
      <c r="S680" s="325">
        <f t="shared" si="156"/>
        <v>0</v>
      </c>
      <c r="T680" s="325">
        <f t="shared" si="157"/>
        <v>348</v>
      </c>
      <c r="U680" s="409">
        <f t="shared" si="158"/>
        <v>1046.7200000000003</v>
      </c>
      <c r="V680" s="325">
        <f t="shared" si="159"/>
        <v>0</v>
      </c>
      <c r="W680" s="449" cm="1">
        <f t="array" ref="W680">+IF(U680&lt;0,error,0)</f>
        <v>0</v>
      </c>
    </row>
    <row r="681" spans="1:23" ht="18" customHeight="1" x14ac:dyDescent="0.2">
      <c r="A681" s="402" t="s">
        <v>1385</v>
      </c>
      <c r="B681" s="403"/>
      <c r="C681" s="404" t="s">
        <v>1386</v>
      </c>
      <c r="D681" s="405">
        <v>42095</v>
      </c>
      <c r="E681" s="406"/>
      <c r="F681" s="325"/>
      <c r="G681" s="324"/>
      <c r="H681" s="324">
        <v>5836.36</v>
      </c>
      <c r="I681" s="325">
        <v>268.36</v>
      </c>
      <c r="J681" s="325"/>
      <c r="K681" s="325">
        <f t="shared" si="150"/>
        <v>0</v>
      </c>
      <c r="L681" s="325">
        <f t="shared" si="151"/>
        <v>0</v>
      </c>
      <c r="M681" s="407">
        <v>50</v>
      </c>
      <c r="N681" s="408" t="s">
        <v>289</v>
      </c>
      <c r="O681" s="325">
        <f t="shared" si="152"/>
        <v>0</v>
      </c>
      <c r="P681" s="325">
        <f t="shared" si="153"/>
        <v>0</v>
      </c>
      <c r="Q681" s="325">
        <f t="shared" si="154"/>
        <v>0</v>
      </c>
      <c r="R681" s="325">
        <f t="shared" si="155"/>
        <v>67</v>
      </c>
      <c r="S681" s="325">
        <f t="shared" si="156"/>
        <v>0</v>
      </c>
      <c r="T681" s="325">
        <f t="shared" si="157"/>
        <v>67</v>
      </c>
      <c r="U681" s="409">
        <f t="shared" si="158"/>
        <v>201.36</v>
      </c>
      <c r="V681" s="325">
        <f t="shared" si="159"/>
        <v>0</v>
      </c>
      <c r="W681" s="449" cm="1">
        <f t="array" ref="W681">+IF(U681&lt;0,error,0)</f>
        <v>0</v>
      </c>
    </row>
    <row r="682" spans="1:23" ht="18" customHeight="1" x14ac:dyDescent="0.2">
      <c r="A682" s="402" t="s">
        <v>1387</v>
      </c>
      <c r="B682" s="403"/>
      <c r="C682" s="404" t="s">
        <v>1388</v>
      </c>
      <c r="D682" s="405">
        <v>42095</v>
      </c>
      <c r="E682" s="406"/>
      <c r="F682" s="325"/>
      <c r="G682" s="324"/>
      <c r="H682" s="324">
        <v>10239</v>
      </c>
      <c r="I682" s="325">
        <v>471</v>
      </c>
      <c r="J682" s="325"/>
      <c r="K682" s="325">
        <f t="shared" si="150"/>
        <v>0</v>
      </c>
      <c r="L682" s="325">
        <f t="shared" si="151"/>
        <v>0</v>
      </c>
      <c r="M682" s="407">
        <v>50</v>
      </c>
      <c r="N682" s="408" t="s">
        <v>289</v>
      </c>
      <c r="O682" s="325">
        <f t="shared" si="152"/>
        <v>0</v>
      </c>
      <c r="P682" s="325">
        <f t="shared" si="153"/>
        <v>0</v>
      </c>
      <c r="Q682" s="325">
        <f t="shared" si="154"/>
        <v>0</v>
      </c>
      <c r="R682" s="325">
        <f t="shared" si="155"/>
        <v>117</v>
      </c>
      <c r="S682" s="325">
        <f t="shared" si="156"/>
        <v>0</v>
      </c>
      <c r="T682" s="325">
        <f t="shared" si="157"/>
        <v>117</v>
      </c>
      <c r="U682" s="409">
        <f t="shared" si="158"/>
        <v>354</v>
      </c>
      <c r="V682" s="325">
        <f t="shared" si="159"/>
        <v>0</v>
      </c>
      <c r="W682" s="449" cm="1">
        <f t="array" ref="W682">+IF(U682&lt;0,error,0)</f>
        <v>0</v>
      </c>
    </row>
    <row r="683" spans="1:23" ht="18" customHeight="1" x14ac:dyDescent="0.2">
      <c r="A683" s="402" t="s">
        <v>1389</v>
      </c>
      <c r="B683" s="403"/>
      <c r="C683" s="404" t="s">
        <v>1390</v>
      </c>
      <c r="D683" s="405">
        <v>42095</v>
      </c>
      <c r="E683" s="406"/>
      <c r="F683" s="325"/>
      <c r="G683" s="324"/>
      <c r="H683" s="324">
        <v>19292</v>
      </c>
      <c r="I683" s="325">
        <v>887</v>
      </c>
      <c r="J683" s="325"/>
      <c r="K683" s="325">
        <f t="shared" si="150"/>
        <v>0</v>
      </c>
      <c r="L683" s="325">
        <f t="shared" si="151"/>
        <v>0</v>
      </c>
      <c r="M683" s="407">
        <v>50</v>
      </c>
      <c r="N683" s="408" t="s">
        <v>289</v>
      </c>
      <c r="O683" s="325">
        <f t="shared" si="152"/>
        <v>0</v>
      </c>
      <c r="P683" s="325">
        <f t="shared" si="153"/>
        <v>0</v>
      </c>
      <c r="Q683" s="325">
        <f t="shared" si="154"/>
        <v>0</v>
      </c>
      <c r="R683" s="325">
        <f t="shared" si="155"/>
        <v>221</v>
      </c>
      <c r="S683" s="325">
        <f t="shared" si="156"/>
        <v>0</v>
      </c>
      <c r="T683" s="325">
        <f t="shared" si="157"/>
        <v>221</v>
      </c>
      <c r="U683" s="409">
        <f t="shared" si="158"/>
        <v>666</v>
      </c>
      <c r="V683" s="325">
        <f t="shared" si="159"/>
        <v>0</v>
      </c>
      <c r="W683" s="449" cm="1">
        <f t="array" ref="W683">+IF(U683&lt;0,error,0)</f>
        <v>0</v>
      </c>
    </row>
    <row r="684" spans="1:23" ht="18" customHeight="1" x14ac:dyDescent="0.2">
      <c r="A684" s="402" t="s">
        <v>1391</v>
      </c>
      <c r="B684" s="403"/>
      <c r="C684" s="404" t="s">
        <v>1392</v>
      </c>
      <c r="D684" s="405">
        <v>42095</v>
      </c>
      <c r="E684" s="406"/>
      <c r="F684" s="325"/>
      <c r="G684" s="324"/>
      <c r="H684" s="324">
        <v>8140</v>
      </c>
      <c r="I684" s="325">
        <v>374</v>
      </c>
      <c r="J684" s="325"/>
      <c r="K684" s="325">
        <f t="shared" si="150"/>
        <v>0</v>
      </c>
      <c r="L684" s="325">
        <f t="shared" si="151"/>
        <v>0</v>
      </c>
      <c r="M684" s="407">
        <v>50</v>
      </c>
      <c r="N684" s="408" t="s">
        <v>289</v>
      </c>
      <c r="O684" s="325">
        <f t="shared" si="152"/>
        <v>0</v>
      </c>
      <c r="P684" s="325">
        <f t="shared" si="153"/>
        <v>0</v>
      </c>
      <c r="Q684" s="325">
        <f t="shared" si="154"/>
        <v>0</v>
      </c>
      <c r="R684" s="325">
        <f t="shared" si="155"/>
        <v>93</v>
      </c>
      <c r="S684" s="325">
        <f t="shared" si="156"/>
        <v>0</v>
      </c>
      <c r="T684" s="325">
        <f t="shared" si="157"/>
        <v>93</v>
      </c>
      <c r="U684" s="409">
        <f t="shared" si="158"/>
        <v>281</v>
      </c>
      <c r="V684" s="325">
        <f t="shared" si="159"/>
        <v>0</v>
      </c>
      <c r="W684" s="449" cm="1">
        <f t="array" ref="W684">+IF(U684&lt;0,error,0)</f>
        <v>0</v>
      </c>
    </row>
    <row r="685" spans="1:23" ht="18" customHeight="1" x14ac:dyDescent="0.2">
      <c r="A685" s="402" t="s">
        <v>1393</v>
      </c>
      <c r="B685" s="403"/>
      <c r="C685" s="404" t="s">
        <v>1394</v>
      </c>
      <c r="D685" s="405">
        <v>42095</v>
      </c>
      <c r="E685" s="406"/>
      <c r="F685" s="325"/>
      <c r="G685" s="324"/>
      <c r="H685" s="324">
        <v>6503.01</v>
      </c>
      <c r="I685" s="325">
        <v>300.01</v>
      </c>
      <c r="J685" s="325"/>
      <c r="K685" s="325">
        <f t="shared" si="150"/>
        <v>0</v>
      </c>
      <c r="L685" s="325">
        <f t="shared" si="151"/>
        <v>0</v>
      </c>
      <c r="M685" s="407">
        <v>50</v>
      </c>
      <c r="N685" s="408" t="s">
        <v>289</v>
      </c>
      <c r="O685" s="325">
        <f t="shared" si="152"/>
        <v>0</v>
      </c>
      <c r="P685" s="325">
        <f t="shared" si="153"/>
        <v>0</v>
      </c>
      <c r="Q685" s="325">
        <f t="shared" si="154"/>
        <v>0</v>
      </c>
      <c r="R685" s="325">
        <f t="shared" si="155"/>
        <v>75</v>
      </c>
      <c r="S685" s="325">
        <f t="shared" si="156"/>
        <v>0</v>
      </c>
      <c r="T685" s="325">
        <f t="shared" si="157"/>
        <v>75</v>
      </c>
      <c r="U685" s="409">
        <f t="shared" si="158"/>
        <v>225.01</v>
      </c>
      <c r="V685" s="325">
        <f t="shared" si="159"/>
        <v>0</v>
      </c>
      <c r="W685" s="449" cm="1">
        <f t="array" ref="W685">+IF(U685&lt;0,error,0)</f>
        <v>0</v>
      </c>
    </row>
    <row r="686" spans="1:23" ht="18" customHeight="1" x14ac:dyDescent="0.2">
      <c r="A686" s="402" t="s">
        <v>1395</v>
      </c>
      <c r="B686" s="403"/>
      <c r="C686" s="404" t="s">
        <v>1396</v>
      </c>
      <c r="D686" s="405">
        <v>42095</v>
      </c>
      <c r="E686" s="406"/>
      <c r="F686" s="325"/>
      <c r="G686" s="324"/>
      <c r="H686" s="324">
        <v>5383.99</v>
      </c>
      <c r="I686" s="325">
        <v>248.99</v>
      </c>
      <c r="J686" s="325"/>
      <c r="K686" s="325">
        <f t="shared" si="150"/>
        <v>0</v>
      </c>
      <c r="L686" s="325">
        <f t="shared" si="151"/>
        <v>0</v>
      </c>
      <c r="M686" s="407">
        <v>50</v>
      </c>
      <c r="N686" s="408" t="s">
        <v>289</v>
      </c>
      <c r="O686" s="325">
        <f t="shared" si="152"/>
        <v>0</v>
      </c>
      <c r="P686" s="325">
        <f t="shared" si="153"/>
        <v>0</v>
      </c>
      <c r="Q686" s="325">
        <f t="shared" si="154"/>
        <v>0</v>
      </c>
      <c r="R686" s="325">
        <f t="shared" si="155"/>
        <v>62</v>
      </c>
      <c r="S686" s="325">
        <f t="shared" si="156"/>
        <v>0</v>
      </c>
      <c r="T686" s="325">
        <f t="shared" si="157"/>
        <v>62</v>
      </c>
      <c r="U686" s="409">
        <f t="shared" si="158"/>
        <v>186.99</v>
      </c>
      <c r="V686" s="325">
        <f t="shared" si="159"/>
        <v>0</v>
      </c>
      <c r="W686" s="449" cm="1">
        <f t="array" ref="W686">+IF(U686&lt;0,error,0)</f>
        <v>0</v>
      </c>
    </row>
    <row r="687" spans="1:23" ht="18" customHeight="1" x14ac:dyDescent="0.2">
      <c r="A687" s="402" t="s">
        <v>1397</v>
      </c>
      <c r="B687" s="403"/>
      <c r="C687" s="404" t="s">
        <v>1398</v>
      </c>
      <c r="D687" s="405">
        <v>42095</v>
      </c>
      <c r="E687" s="406"/>
      <c r="F687" s="325"/>
      <c r="G687" s="324"/>
      <c r="H687" s="324">
        <v>16471.439999999999</v>
      </c>
      <c r="I687" s="325">
        <v>757.44</v>
      </c>
      <c r="J687" s="325"/>
      <c r="K687" s="325">
        <f t="shared" si="150"/>
        <v>0</v>
      </c>
      <c r="L687" s="325">
        <f t="shared" si="151"/>
        <v>0</v>
      </c>
      <c r="M687" s="407">
        <v>50</v>
      </c>
      <c r="N687" s="408" t="s">
        <v>289</v>
      </c>
      <c r="O687" s="325">
        <f t="shared" si="152"/>
        <v>0</v>
      </c>
      <c r="P687" s="325">
        <f t="shared" si="153"/>
        <v>0</v>
      </c>
      <c r="Q687" s="325">
        <f t="shared" si="154"/>
        <v>0</v>
      </c>
      <c r="R687" s="325">
        <f t="shared" si="155"/>
        <v>189</v>
      </c>
      <c r="S687" s="325">
        <f t="shared" si="156"/>
        <v>0</v>
      </c>
      <c r="T687" s="325">
        <f t="shared" si="157"/>
        <v>189</v>
      </c>
      <c r="U687" s="409">
        <f t="shared" si="158"/>
        <v>568.44000000000005</v>
      </c>
      <c r="V687" s="325">
        <f t="shared" si="159"/>
        <v>0</v>
      </c>
      <c r="W687" s="449" cm="1">
        <f t="array" ref="W687">+IF(U687&lt;0,error,0)</f>
        <v>0</v>
      </c>
    </row>
    <row r="688" spans="1:23" ht="18" customHeight="1" x14ac:dyDescent="0.2">
      <c r="A688" s="402" t="s">
        <v>1399</v>
      </c>
      <c r="B688" s="403"/>
      <c r="C688" s="404" t="s">
        <v>1400</v>
      </c>
      <c r="D688" s="405">
        <v>42307</v>
      </c>
      <c r="E688" s="406">
        <v>43879</v>
      </c>
      <c r="F688" s="325">
        <f>8*25+11*31.82-0.06</f>
        <v>549.96</v>
      </c>
      <c r="G688" s="324">
        <v>6000</v>
      </c>
      <c r="H688" s="324">
        <v>6000</v>
      </c>
      <c r="I688" s="325">
        <v>419</v>
      </c>
      <c r="J688" s="325"/>
      <c r="K688" s="325">
        <f t="shared" si="150"/>
        <v>157</v>
      </c>
      <c r="L688" s="325">
        <f t="shared" si="151"/>
        <v>0</v>
      </c>
      <c r="M688" s="407">
        <v>50</v>
      </c>
      <c r="N688" s="408" t="s">
        <v>289</v>
      </c>
      <c r="O688" s="325">
        <f t="shared" si="152"/>
        <v>27</v>
      </c>
      <c r="P688" s="325">
        <f t="shared" si="153"/>
        <v>0</v>
      </c>
      <c r="Q688" s="325">
        <f t="shared" si="154"/>
        <v>27</v>
      </c>
      <c r="R688" s="325">
        <f t="shared" si="155"/>
        <v>0</v>
      </c>
      <c r="S688" s="325">
        <f t="shared" si="156"/>
        <v>0</v>
      </c>
      <c r="T688" s="325">
        <v>26</v>
      </c>
      <c r="U688" s="409">
        <f t="shared" si="158"/>
        <v>3.999999999996362E-2</v>
      </c>
      <c r="V688" s="325">
        <f t="shared" si="159"/>
        <v>6000</v>
      </c>
      <c r="W688" s="449" cm="1">
        <f t="array" ref="W688">+IF(U688&lt;0,error,0)</f>
        <v>0</v>
      </c>
    </row>
    <row r="689" spans="1:23" ht="18" customHeight="1" x14ac:dyDescent="0.2">
      <c r="A689" s="402" t="s">
        <v>1401</v>
      </c>
      <c r="B689" s="403"/>
      <c r="C689" s="404" t="s">
        <v>1402</v>
      </c>
      <c r="D689" s="405">
        <v>42307</v>
      </c>
      <c r="E689" s="406">
        <v>43880</v>
      </c>
      <c r="F689" s="325">
        <f>22*25</f>
        <v>550</v>
      </c>
      <c r="G689" s="324">
        <v>3300</v>
      </c>
      <c r="H689" s="324">
        <v>3300</v>
      </c>
      <c r="I689" s="325">
        <v>231</v>
      </c>
      <c r="J689" s="325"/>
      <c r="K689" s="325">
        <f t="shared" si="150"/>
        <v>334</v>
      </c>
      <c r="L689" s="325">
        <f t="shared" si="151"/>
        <v>0</v>
      </c>
      <c r="M689" s="407">
        <v>50</v>
      </c>
      <c r="N689" s="408" t="s">
        <v>289</v>
      </c>
      <c r="O689" s="325">
        <f t="shared" si="152"/>
        <v>15</v>
      </c>
      <c r="P689" s="325">
        <f t="shared" si="153"/>
        <v>0</v>
      </c>
      <c r="Q689" s="325">
        <f t="shared" si="154"/>
        <v>15</v>
      </c>
      <c r="R689" s="325">
        <f t="shared" si="155"/>
        <v>0</v>
      </c>
      <c r="S689" s="325">
        <f t="shared" si="156"/>
        <v>0</v>
      </c>
      <c r="T689" s="325">
        <f t="shared" si="157"/>
        <v>15</v>
      </c>
      <c r="U689" s="409">
        <f t="shared" si="158"/>
        <v>0</v>
      </c>
      <c r="V689" s="325">
        <f t="shared" si="159"/>
        <v>3300</v>
      </c>
      <c r="W689" s="449" cm="1">
        <f t="array" ref="W689">+IF(U689&lt;0,error,0)</f>
        <v>0</v>
      </c>
    </row>
    <row r="690" spans="1:23" ht="18" customHeight="1" x14ac:dyDescent="0.2">
      <c r="A690" s="402" t="s">
        <v>1403</v>
      </c>
      <c r="B690" s="403"/>
      <c r="C690" s="404" t="s">
        <v>1404</v>
      </c>
      <c r="D690" s="405">
        <v>42321</v>
      </c>
      <c r="E690" s="406"/>
      <c r="F690" s="325"/>
      <c r="G690" s="324"/>
      <c r="H690" s="324">
        <v>5700</v>
      </c>
      <c r="I690" s="325">
        <v>410</v>
      </c>
      <c r="J690" s="325"/>
      <c r="K690" s="325">
        <f t="shared" si="150"/>
        <v>0</v>
      </c>
      <c r="L690" s="325">
        <f t="shared" si="151"/>
        <v>0</v>
      </c>
      <c r="M690" s="407">
        <v>50</v>
      </c>
      <c r="N690" s="408" t="s">
        <v>289</v>
      </c>
      <c r="O690" s="325">
        <f t="shared" si="152"/>
        <v>0</v>
      </c>
      <c r="P690" s="325">
        <f t="shared" si="153"/>
        <v>0</v>
      </c>
      <c r="Q690" s="325">
        <f t="shared" si="154"/>
        <v>0</v>
      </c>
      <c r="R690" s="325">
        <f t="shared" si="155"/>
        <v>102</v>
      </c>
      <c r="S690" s="325">
        <f t="shared" si="156"/>
        <v>0</v>
      </c>
      <c r="T690" s="325">
        <f t="shared" si="157"/>
        <v>102</v>
      </c>
      <c r="U690" s="409">
        <f t="shared" si="158"/>
        <v>308</v>
      </c>
      <c r="V690" s="325">
        <f t="shared" si="159"/>
        <v>0</v>
      </c>
      <c r="W690" s="449" cm="1">
        <f t="array" ref="W690">+IF(U690&lt;0,error,0)</f>
        <v>0</v>
      </c>
    </row>
    <row r="691" spans="1:23" ht="18" customHeight="1" x14ac:dyDescent="0.2">
      <c r="A691" s="402" t="s">
        <v>1405</v>
      </c>
      <c r="B691" s="403"/>
      <c r="C691" s="412" t="s">
        <v>1406</v>
      </c>
      <c r="D691" s="405">
        <v>42332</v>
      </c>
      <c r="E691" s="406"/>
      <c r="F691" s="325"/>
      <c r="G691" s="324"/>
      <c r="H691" s="324">
        <v>1145</v>
      </c>
      <c r="I691" s="325">
        <v>84</v>
      </c>
      <c r="J691" s="325"/>
      <c r="K691" s="325">
        <f t="shared" si="150"/>
        <v>0</v>
      </c>
      <c r="L691" s="325">
        <f t="shared" si="151"/>
        <v>0</v>
      </c>
      <c r="M691" s="407">
        <v>50</v>
      </c>
      <c r="N691" s="408" t="s">
        <v>289</v>
      </c>
      <c r="O691" s="325">
        <f t="shared" si="152"/>
        <v>0</v>
      </c>
      <c r="P691" s="325">
        <f t="shared" si="153"/>
        <v>0</v>
      </c>
      <c r="Q691" s="325">
        <f t="shared" si="154"/>
        <v>0</v>
      </c>
      <c r="R691" s="325">
        <f t="shared" si="155"/>
        <v>21</v>
      </c>
      <c r="S691" s="325">
        <f t="shared" si="156"/>
        <v>0</v>
      </c>
      <c r="T691" s="325">
        <f t="shared" si="157"/>
        <v>21</v>
      </c>
      <c r="U691" s="409">
        <f t="shared" si="158"/>
        <v>63</v>
      </c>
      <c r="V691" s="325">
        <f t="shared" si="159"/>
        <v>0</v>
      </c>
      <c r="W691" s="449" cm="1">
        <f t="array" ref="W691">+IF(U691&lt;0,error,0)</f>
        <v>0</v>
      </c>
    </row>
    <row r="692" spans="1:23" ht="18" customHeight="1" x14ac:dyDescent="0.2">
      <c r="A692" s="402" t="s">
        <v>1407</v>
      </c>
      <c r="B692" s="403"/>
      <c r="C692" s="404" t="s">
        <v>1408</v>
      </c>
      <c r="D692" s="405">
        <v>42370</v>
      </c>
      <c r="E692" s="406"/>
      <c r="F692" s="325"/>
      <c r="G692" s="324"/>
      <c r="H692" s="324">
        <v>5830.83</v>
      </c>
      <c r="I692" s="325">
        <v>460.83000000000004</v>
      </c>
      <c r="J692" s="325"/>
      <c r="K692" s="325">
        <f t="shared" si="150"/>
        <v>0</v>
      </c>
      <c r="L692" s="325">
        <f t="shared" si="151"/>
        <v>0</v>
      </c>
      <c r="M692" s="407">
        <v>50</v>
      </c>
      <c r="N692" s="408" t="s">
        <v>289</v>
      </c>
      <c r="O692" s="325">
        <f t="shared" si="152"/>
        <v>0</v>
      </c>
      <c r="P692" s="325">
        <f t="shared" si="153"/>
        <v>0</v>
      </c>
      <c r="Q692" s="325">
        <f t="shared" si="154"/>
        <v>0</v>
      </c>
      <c r="R692" s="325">
        <f t="shared" si="155"/>
        <v>115</v>
      </c>
      <c r="S692" s="325">
        <f t="shared" si="156"/>
        <v>0</v>
      </c>
      <c r="T692" s="325">
        <f t="shared" si="157"/>
        <v>115</v>
      </c>
      <c r="U692" s="409">
        <f t="shared" si="158"/>
        <v>345.83000000000004</v>
      </c>
      <c r="V692" s="325">
        <f t="shared" si="159"/>
        <v>0</v>
      </c>
      <c r="W692" s="449" cm="1">
        <f t="array" ref="W692">+IF(U692&lt;0,error,0)</f>
        <v>0</v>
      </c>
    </row>
    <row r="693" spans="1:23" ht="18" customHeight="1" x14ac:dyDescent="0.2">
      <c r="A693" s="402" t="s">
        <v>1409</v>
      </c>
      <c r="B693" s="403"/>
      <c r="C693" s="404" t="s">
        <v>1410</v>
      </c>
      <c r="D693" s="405">
        <v>42384</v>
      </c>
      <c r="E693" s="406"/>
      <c r="F693" s="325"/>
      <c r="G693" s="324"/>
      <c r="H693" s="324">
        <v>3158.7400000000002</v>
      </c>
      <c r="I693" s="325">
        <v>255.74</v>
      </c>
      <c r="J693" s="325"/>
      <c r="K693" s="325">
        <f t="shared" si="150"/>
        <v>0</v>
      </c>
      <c r="L693" s="325">
        <f t="shared" si="151"/>
        <v>0</v>
      </c>
      <c r="M693" s="407">
        <v>50</v>
      </c>
      <c r="N693" s="408" t="s">
        <v>289</v>
      </c>
      <c r="O693" s="325">
        <f t="shared" si="152"/>
        <v>0</v>
      </c>
      <c r="P693" s="325">
        <f t="shared" si="153"/>
        <v>0</v>
      </c>
      <c r="Q693" s="325">
        <f t="shared" si="154"/>
        <v>0</v>
      </c>
      <c r="R693" s="325">
        <f t="shared" si="155"/>
        <v>63</v>
      </c>
      <c r="S693" s="325">
        <f t="shared" si="156"/>
        <v>0</v>
      </c>
      <c r="T693" s="325">
        <f t="shared" si="157"/>
        <v>63</v>
      </c>
      <c r="U693" s="409">
        <f t="shared" si="158"/>
        <v>192.74</v>
      </c>
      <c r="V693" s="325">
        <f t="shared" si="159"/>
        <v>0</v>
      </c>
      <c r="W693" s="449" cm="1">
        <f t="array" ref="W693">+IF(U693&lt;0,error,0)</f>
        <v>0</v>
      </c>
    </row>
    <row r="694" spans="1:23" ht="18" customHeight="1" x14ac:dyDescent="0.2">
      <c r="A694" s="402" t="s">
        <v>1411</v>
      </c>
      <c r="B694" s="403"/>
      <c r="C694" s="404" t="s">
        <v>1412</v>
      </c>
      <c r="D694" s="405">
        <v>42384</v>
      </c>
      <c r="E694" s="406"/>
      <c r="F694" s="325"/>
      <c r="G694" s="324"/>
      <c r="H694" s="324">
        <v>2923.61</v>
      </c>
      <c r="I694" s="325">
        <v>237.61</v>
      </c>
      <c r="J694" s="325"/>
      <c r="K694" s="325">
        <f t="shared" si="150"/>
        <v>0</v>
      </c>
      <c r="L694" s="325">
        <f t="shared" si="151"/>
        <v>0</v>
      </c>
      <c r="M694" s="407">
        <v>50</v>
      </c>
      <c r="N694" s="408" t="s">
        <v>289</v>
      </c>
      <c r="O694" s="325">
        <f t="shared" si="152"/>
        <v>0</v>
      </c>
      <c r="P694" s="325">
        <f t="shared" si="153"/>
        <v>0</v>
      </c>
      <c r="Q694" s="325">
        <f t="shared" si="154"/>
        <v>0</v>
      </c>
      <c r="R694" s="325">
        <f t="shared" si="155"/>
        <v>59</v>
      </c>
      <c r="S694" s="325">
        <f t="shared" si="156"/>
        <v>0</v>
      </c>
      <c r="T694" s="325">
        <f t="shared" si="157"/>
        <v>59</v>
      </c>
      <c r="U694" s="409">
        <f t="shared" si="158"/>
        <v>178.61</v>
      </c>
      <c r="V694" s="325">
        <f t="shared" si="159"/>
        <v>0</v>
      </c>
      <c r="W694" s="449" cm="1">
        <f t="array" ref="W694">+IF(U694&lt;0,error,0)</f>
        <v>0</v>
      </c>
    </row>
    <row r="695" spans="1:23" ht="18" customHeight="1" x14ac:dyDescent="0.2">
      <c r="A695" s="402" t="s">
        <v>1413</v>
      </c>
      <c r="B695" s="403"/>
      <c r="C695" s="404" t="s">
        <v>1414</v>
      </c>
      <c r="D695" s="405">
        <v>42397</v>
      </c>
      <c r="E695" s="406"/>
      <c r="F695" s="325"/>
      <c r="G695" s="324"/>
      <c r="H695" s="324">
        <v>25404.3</v>
      </c>
      <c r="I695" s="325">
        <v>2101.3000000000002</v>
      </c>
      <c r="J695" s="325"/>
      <c r="K695" s="325">
        <f t="shared" si="150"/>
        <v>0</v>
      </c>
      <c r="L695" s="325">
        <f t="shared" si="151"/>
        <v>0</v>
      </c>
      <c r="M695" s="407">
        <v>50</v>
      </c>
      <c r="N695" s="408" t="s">
        <v>289</v>
      </c>
      <c r="O695" s="325">
        <f t="shared" si="152"/>
        <v>0</v>
      </c>
      <c r="P695" s="325">
        <f t="shared" si="153"/>
        <v>0</v>
      </c>
      <c r="Q695" s="325">
        <f t="shared" si="154"/>
        <v>0</v>
      </c>
      <c r="R695" s="325">
        <f t="shared" si="155"/>
        <v>525</v>
      </c>
      <c r="S695" s="325">
        <f t="shared" si="156"/>
        <v>0</v>
      </c>
      <c r="T695" s="325">
        <f t="shared" si="157"/>
        <v>525</v>
      </c>
      <c r="U695" s="409">
        <f t="shared" si="158"/>
        <v>1576.3000000000002</v>
      </c>
      <c r="V695" s="325">
        <f t="shared" si="159"/>
        <v>0</v>
      </c>
      <c r="W695" s="449" cm="1">
        <f t="array" ref="W695">+IF(U695&lt;0,error,0)</f>
        <v>0</v>
      </c>
    </row>
    <row r="696" spans="1:23" ht="18" customHeight="1" x14ac:dyDescent="0.2">
      <c r="A696" s="402" t="s">
        <v>1415</v>
      </c>
      <c r="B696" s="403"/>
      <c r="C696" s="404" t="s">
        <v>1416</v>
      </c>
      <c r="D696" s="405">
        <v>42397</v>
      </c>
      <c r="E696" s="406"/>
      <c r="F696" s="325"/>
      <c r="G696" s="324"/>
      <c r="H696" s="324">
        <v>6241.95</v>
      </c>
      <c r="I696" s="325">
        <v>516.95000000000005</v>
      </c>
      <c r="J696" s="325"/>
      <c r="K696" s="325">
        <f t="shared" si="150"/>
        <v>0</v>
      </c>
      <c r="L696" s="325">
        <f t="shared" si="151"/>
        <v>0</v>
      </c>
      <c r="M696" s="407">
        <v>50</v>
      </c>
      <c r="N696" s="408" t="s">
        <v>289</v>
      </c>
      <c r="O696" s="325">
        <f t="shared" si="152"/>
        <v>0</v>
      </c>
      <c r="P696" s="325">
        <f t="shared" si="153"/>
        <v>0</v>
      </c>
      <c r="Q696" s="325">
        <f t="shared" si="154"/>
        <v>0</v>
      </c>
      <c r="R696" s="325">
        <f t="shared" si="155"/>
        <v>129</v>
      </c>
      <c r="S696" s="325">
        <f t="shared" si="156"/>
        <v>0</v>
      </c>
      <c r="T696" s="325">
        <f t="shared" si="157"/>
        <v>129</v>
      </c>
      <c r="U696" s="409">
        <f t="shared" si="158"/>
        <v>387.95000000000005</v>
      </c>
      <c r="V696" s="325">
        <f t="shared" si="159"/>
        <v>0</v>
      </c>
      <c r="W696" s="449" cm="1">
        <f t="array" ref="W696">+IF(U696&lt;0,error,0)</f>
        <v>0</v>
      </c>
    </row>
    <row r="697" spans="1:23" ht="18" customHeight="1" x14ac:dyDescent="0.2">
      <c r="A697" s="402" t="s">
        <v>1417</v>
      </c>
      <c r="B697" s="403"/>
      <c r="C697" s="404" t="s">
        <v>1418</v>
      </c>
      <c r="D697" s="405">
        <v>42404</v>
      </c>
      <c r="E697" s="406"/>
      <c r="F697" s="325"/>
      <c r="G697" s="324"/>
      <c r="H697" s="324">
        <v>57278.04</v>
      </c>
      <c r="I697" s="325">
        <v>4794.0400000000009</v>
      </c>
      <c r="J697" s="325"/>
      <c r="K697" s="325">
        <f t="shared" si="150"/>
        <v>0</v>
      </c>
      <c r="L697" s="325">
        <f t="shared" si="151"/>
        <v>0</v>
      </c>
      <c r="M697" s="407">
        <v>50</v>
      </c>
      <c r="N697" s="408" t="s">
        <v>289</v>
      </c>
      <c r="O697" s="325">
        <f t="shared" si="152"/>
        <v>0</v>
      </c>
      <c r="P697" s="325">
        <f t="shared" si="153"/>
        <v>0</v>
      </c>
      <c r="Q697" s="325">
        <f t="shared" si="154"/>
        <v>0</v>
      </c>
      <c r="R697" s="325">
        <f t="shared" si="155"/>
        <v>1198</v>
      </c>
      <c r="S697" s="325">
        <f t="shared" si="156"/>
        <v>0</v>
      </c>
      <c r="T697" s="325">
        <f t="shared" si="157"/>
        <v>1198</v>
      </c>
      <c r="U697" s="409">
        <f t="shared" si="158"/>
        <v>3596.0400000000009</v>
      </c>
      <c r="V697" s="325">
        <f t="shared" si="159"/>
        <v>0</v>
      </c>
      <c r="W697" s="449" cm="1">
        <f t="array" ref="W697">+IF(U697&lt;0,error,0)</f>
        <v>0</v>
      </c>
    </row>
    <row r="698" spans="1:23" ht="18" customHeight="1" x14ac:dyDescent="0.2">
      <c r="A698" s="402" t="s">
        <v>1419</v>
      </c>
      <c r="B698" s="403"/>
      <c r="C698" s="404" t="s">
        <v>1420</v>
      </c>
      <c r="D698" s="405">
        <v>42404</v>
      </c>
      <c r="E698" s="406"/>
      <c r="F698" s="325"/>
      <c r="G698" s="324"/>
      <c r="H698" s="324">
        <v>4363.3900000000003</v>
      </c>
      <c r="I698" s="325">
        <v>366.39</v>
      </c>
      <c r="J698" s="325"/>
      <c r="K698" s="325">
        <f t="shared" si="150"/>
        <v>0</v>
      </c>
      <c r="L698" s="325">
        <f t="shared" si="151"/>
        <v>0</v>
      </c>
      <c r="M698" s="407">
        <v>50</v>
      </c>
      <c r="N698" s="408" t="s">
        <v>289</v>
      </c>
      <c r="O698" s="325">
        <f t="shared" si="152"/>
        <v>0</v>
      </c>
      <c r="P698" s="325">
        <f t="shared" si="153"/>
        <v>0</v>
      </c>
      <c r="Q698" s="325">
        <f t="shared" si="154"/>
        <v>0</v>
      </c>
      <c r="R698" s="325">
        <f t="shared" si="155"/>
        <v>91</v>
      </c>
      <c r="S698" s="325">
        <f t="shared" si="156"/>
        <v>0</v>
      </c>
      <c r="T698" s="325">
        <f t="shared" si="157"/>
        <v>91</v>
      </c>
      <c r="U698" s="409">
        <f t="shared" si="158"/>
        <v>275.39</v>
      </c>
      <c r="V698" s="325">
        <f t="shared" si="159"/>
        <v>0</v>
      </c>
      <c r="W698" s="449" cm="1">
        <f t="array" ref="W698">+IF(U698&lt;0,error,0)</f>
        <v>0</v>
      </c>
    </row>
    <row r="699" spans="1:23" ht="18" customHeight="1" x14ac:dyDescent="0.2">
      <c r="A699" s="402" t="s">
        <v>1421</v>
      </c>
      <c r="B699" s="403"/>
      <c r="C699" s="404" t="s">
        <v>1422</v>
      </c>
      <c r="D699" s="405">
        <v>42404</v>
      </c>
      <c r="E699" s="406"/>
      <c r="F699" s="325"/>
      <c r="G699" s="324"/>
      <c r="H699" s="324">
        <v>6725</v>
      </c>
      <c r="I699" s="325">
        <v>564</v>
      </c>
      <c r="J699" s="325"/>
      <c r="K699" s="325">
        <f t="shared" si="150"/>
        <v>0</v>
      </c>
      <c r="L699" s="325">
        <f t="shared" si="151"/>
        <v>0</v>
      </c>
      <c r="M699" s="407">
        <v>50</v>
      </c>
      <c r="N699" s="408" t="s">
        <v>289</v>
      </c>
      <c r="O699" s="325">
        <f t="shared" si="152"/>
        <v>0</v>
      </c>
      <c r="P699" s="325">
        <f t="shared" si="153"/>
        <v>0</v>
      </c>
      <c r="Q699" s="325">
        <f t="shared" si="154"/>
        <v>0</v>
      </c>
      <c r="R699" s="325">
        <f t="shared" si="155"/>
        <v>141</v>
      </c>
      <c r="S699" s="325">
        <f t="shared" si="156"/>
        <v>0</v>
      </c>
      <c r="T699" s="325">
        <f t="shared" si="157"/>
        <v>141</v>
      </c>
      <c r="U699" s="409">
        <f t="shared" si="158"/>
        <v>423</v>
      </c>
      <c r="V699" s="325">
        <f t="shared" si="159"/>
        <v>0</v>
      </c>
      <c r="W699" s="449" cm="1">
        <f t="array" ref="W699">+IF(U699&lt;0,error,0)</f>
        <v>0</v>
      </c>
    </row>
    <row r="700" spans="1:23" ht="18" customHeight="1" x14ac:dyDescent="0.2">
      <c r="A700" s="402" t="s">
        <v>1423</v>
      </c>
      <c r="B700" s="403"/>
      <c r="C700" s="404" t="s">
        <v>1424</v>
      </c>
      <c r="D700" s="405">
        <v>42404</v>
      </c>
      <c r="E700" s="406"/>
      <c r="F700" s="325"/>
      <c r="G700" s="324"/>
      <c r="H700" s="324">
        <v>2327.27</v>
      </c>
      <c r="I700" s="325">
        <v>195.26999999999998</v>
      </c>
      <c r="J700" s="325"/>
      <c r="K700" s="325">
        <f t="shared" si="150"/>
        <v>0</v>
      </c>
      <c r="L700" s="325">
        <f t="shared" si="151"/>
        <v>0</v>
      </c>
      <c r="M700" s="407">
        <v>50</v>
      </c>
      <c r="N700" s="408" t="s">
        <v>289</v>
      </c>
      <c r="O700" s="325">
        <f t="shared" si="152"/>
        <v>0</v>
      </c>
      <c r="P700" s="325">
        <f t="shared" si="153"/>
        <v>0</v>
      </c>
      <c r="Q700" s="325">
        <f t="shared" si="154"/>
        <v>0</v>
      </c>
      <c r="R700" s="325">
        <f t="shared" si="155"/>
        <v>48</v>
      </c>
      <c r="S700" s="325">
        <f t="shared" si="156"/>
        <v>0</v>
      </c>
      <c r="T700" s="325">
        <f t="shared" si="157"/>
        <v>48</v>
      </c>
      <c r="U700" s="409">
        <f t="shared" si="158"/>
        <v>147.26999999999998</v>
      </c>
      <c r="V700" s="325">
        <f t="shared" si="159"/>
        <v>0</v>
      </c>
      <c r="W700" s="449" cm="1">
        <f t="array" ref="W700">+IF(U700&lt;0,error,0)</f>
        <v>0</v>
      </c>
    </row>
    <row r="701" spans="1:23" ht="18" customHeight="1" x14ac:dyDescent="0.2">
      <c r="A701" s="402" t="s">
        <v>1425</v>
      </c>
      <c r="B701" s="403"/>
      <c r="C701" s="404" t="s">
        <v>1426</v>
      </c>
      <c r="D701" s="405">
        <v>42415</v>
      </c>
      <c r="E701" s="406"/>
      <c r="F701" s="325"/>
      <c r="G701" s="324"/>
      <c r="H701" s="324">
        <v>20627.45</v>
      </c>
      <c r="I701" s="325">
        <v>1760.4500000000003</v>
      </c>
      <c r="J701" s="325"/>
      <c r="K701" s="325">
        <f t="shared" si="150"/>
        <v>0</v>
      </c>
      <c r="L701" s="325">
        <f t="shared" si="151"/>
        <v>0</v>
      </c>
      <c r="M701" s="407">
        <v>50</v>
      </c>
      <c r="N701" s="408" t="s">
        <v>289</v>
      </c>
      <c r="O701" s="325">
        <f t="shared" si="152"/>
        <v>0</v>
      </c>
      <c r="P701" s="325">
        <f t="shared" si="153"/>
        <v>0</v>
      </c>
      <c r="Q701" s="325">
        <f t="shared" si="154"/>
        <v>0</v>
      </c>
      <c r="R701" s="325">
        <f t="shared" si="155"/>
        <v>440</v>
      </c>
      <c r="S701" s="325">
        <f t="shared" si="156"/>
        <v>0</v>
      </c>
      <c r="T701" s="325">
        <f t="shared" si="157"/>
        <v>440</v>
      </c>
      <c r="U701" s="409">
        <f t="shared" si="158"/>
        <v>1320.4500000000003</v>
      </c>
      <c r="V701" s="325">
        <f t="shared" si="159"/>
        <v>0</v>
      </c>
      <c r="W701" s="449" cm="1">
        <f t="array" ref="W701">+IF(U701&lt;0,error,0)</f>
        <v>0</v>
      </c>
    </row>
    <row r="702" spans="1:23" ht="18" customHeight="1" x14ac:dyDescent="0.2">
      <c r="A702" s="402" t="s">
        <v>1427</v>
      </c>
      <c r="B702" s="403"/>
      <c r="C702" s="404" t="s">
        <v>1428</v>
      </c>
      <c r="D702" s="405">
        <v>42424</v>
      </c>
      <c r="E702" s="406"/>
      <c r="F702" s="325"/>
      <c r="G702" s="324"/>
      <c r="H702" s="324">
        <v>1455.5</v>
      </c>
      <c r="I702" s="325">
        <v>126.5</v>
      </c>
      <c r="J702" s="325"/>
      <c r="K702" s="325">
        <f t="shared" si="150"/>
        <v>0</v>
      </c>
      <c r="L702" s="325">
        <f t="shared" si="151"/>
        <v>0</v>
      </c>
      <c r="M702" s="407">
        <v>50</v>
      </c>
      <c r="N702" s="408" t="s">
        <v>289</v>
      </c>
      <c r="O702" s="325">
        <f t="shared" si="152"/>
        <v>0</v>
      </c>
      <c r="P702" s="325">
        <f t="shared" si="153"/>
        <v>0</v>
      </c>
      <c r="Q702" s="325">
        <f t="shared" si="154"/>
        <v>0</v>
      </c>
      <c r="R702" s="325">
        <f t="shared" si="155"/>
        <v>31</v>
      </c>
      <c r="S702" s="325">
        <f t="shared" si="156"/>
        <v>0</v>
      </c>
      <c r="T702" s="325">
        <f t="shared" si="157"/>
        <v>31</v>
      </c>
      <c r="U702" s="409">
        <f t="shared" si="158"/>
        <v>95.5</v>
      </c>
      <c r="V702" s="325">
        <f t="shared" si="159"/>
        <v>0</v>
      </c>
      <c r="W702" s="449" cm="1">
        <f t="array" ref="W702">+IF(U702&lt;0,error,0)</f>
        <v>0</v>
      </c>
    </row>
    <row r="703" spans="1:23" ht="18" customHeight="1" x14ac:dyDescent="0.2">
      <c r="A703" s="402" t="s">
        <v>1429</v>
      </c>
      <c r="B703" s="403"/>
      <c r="C703" s="404" t="s">
        <v>1408</v>
      </c>
      <c r="D703" s="405">
        <v>42426</v>
      </c>
      <c r="E703" s="406"/>
      <c r="F703" s="325"/>
      <c r="G703" s="324"/>
      <c r="H703" s="324">
        <v>5800</v>
      </c>
      <c r="I703" s="325">
        <v>504</v>
      </c>
      <c r="J703" s="325"/>
      <c r="K703" s="325">
        <f t="shared" si="150"/>
        <v>0</v>
      </c>
      <c r="L703" s="325">
        <f t="shared" si="151"/>
        <v>0</v>
      </c>
      <c r="M703" s="407">
        <v>50</v>
      </c>
      <c r="N703" s="408" t="s">
        <v>289</v>
      </c>
      <c r="O703" s="325">
        <f t="shared" si="152"/>
        <v>0</v>
      </c>
      <c r="P703" s="325">
        <f t="shared" si="153"/>
        <v>0</v>
      </c>
      <c r="Q703" s="325">
        <f t="shared" si="154"/>
        <v>0</v>
      </c>
      <c r="R703" s="325">
        <f t="shared" si="155"/>
        <v>126</v>
      </c>
      <c r="S703" s="325">
        <f t="shared" si="156"/>
        <v>0</v>
      </c>
      <c r="T703" s="325">
        <f t="shared" si="157"/>
        <v>126</v>
      </c>
      <c r="U703" s="409">
        <f t="shared" si="158"/>
        <v>378</v>
      </c>
      <c r="V703" s="325">
        <f t="shared" si="159"/>
        <v>0</v>
      </c>
      <c r="W703" s="449" cm="1">
        <f t="array" ref="W703">+IF(U703&lt;0,error,0)</f>
        <v>0</v>
      </c>
    </row>
    <row r="704" spans="1:23" ht="18" customHeight="1" x14ac:dyDescent="0.2">
      <c r="A704" s="402" t="s">
        <v>1430</v>
      </c>
      <c r="B704" s="403"/>
      <c r="C704" s="404" t="s">
        <v>1431</v>
      </c>
      <c r="D704" s="405">
        <v>42426</v>
      </c>
      <c r="E704" s="406"/>
      <c r="F704" s="325"/>
      <c r="G704" s="324"/>
      <c r="H704" s="324">
        <v>12272</v>
      </c>
      <c r="I704" s="325">
        <v>1066</v>
      </c>
      <c r="J704" s="325"/>
      <c r="K704" s="325">
        <f t="shared" si="150"/>
        <v>0</v>
      </c>
      <c r="L704" s="325">
        <f t="shared" si="151"/>
        <v>0</v>
      </c>
      <c r="M704" s="407">
        <v>50</v>
      </c>
      <c r="N704" s="408" t="s">
        <v>289</v>
      </c>
      <c r="O704" s="325">
        <f t="shared" si="152"/>
        <v>0</v>
      </c>
      <c r="P704" s="325">
        <f t="shared" si="153"/>
        <v>0</v>
      </c>
      <c r="Q704" s="325">
        <f t="shared" si="154"/>
        <v>0</v>
      </c>
      <c r="R704" s="325">
        <f t="shared" si="155"/>
        <v>266</v>
      </c>
      <c r="S704" s="325">
        <f t="shared" si="156"/>
        <v>0</v>
      </c>
      <c r="T704" s="325">
        <f t="shared" si="157"/>
        <v>266</v>
      </c>
      <c r="U704" s="409">
        <f t="shared" si="158"/>
        <v>800</v>
      </c>
      <c r="V704" s="325">
        <f t="shared" si="159"/>
        <v>0</v>
      </c>
      <c r="W704" s="449" cm="1">
        <f t="array" ref="W704">+IF(U704&lt;0,error,0)</f>
        <v>0</v>
      </c>
    </row>
    <row r="705" spans="1:23" ht="18" customHeight="1" x14ac:dyDescent="0.2">
      <c r="A705" s="402" t="s">
        <v>1432</v>
      </c>
      <c r="B705" s="403"/>
      <c r="C705" s="404" t="s">
        <v>1433</v>
      </c>
      <c r="D705" s="405">
        <v>42426</v>
      </c>
      <c r="E705" s="406"/>
      <c r="F705" s="325"/>
      <c r="G705" s="324"/>
      <c r="H705" s="324">
        <v>1487.7</v>
      </c>
      <c r="I705" s="325">
        <v>129.70000000000002</v>
      </c>
      <c r="J705" s="325"/>
      <c r="K705" s="325">
        <f t="shared" si="150"/>
        <v>0</v>
      </c>
      <c r="L705" s="325">
        <f t="shared" si="151"/>
        <v>0</v>
      </c>
      <c r="M705" s="407">
        <v>50</v>
      </c>
      <c r="N705" s="408" t="s">
        <v>289</v>
      </c>
      <c r="O705" s="325">
        <f t="shared" si="152"/>
        <v>0</v>
      </c>
      <c r="P705" s="325">
        <f t="shared" si="153"/>
        <v>0</v>
      </c>
      <c r="Q705" s="325">
        <f t="shared" si="154"/>
        <v>0</v>
      </c>
      <c r="R705" s="325">
        <f t="shared" si="155"/>
        <v>32</v>
      </c>
      <c r="S705" s="325">
        <f t="shared" si="156"/>
        <v>0</v>
      </c>
      <c r="T705" s="325">
        <f t="shared" si="157"/>
        <v>32</v>
      </c>
      <c r="U705" s="409">
        <f t="shared" si="158"/>
        <v>97.700000000000017</v>
      </c>
      <c r="V705" s="325">
        <f t="shared" si="159"/>
        <v>0</v>
      </c>
      <c r="W705" s="449" cm="1">
        <f t="array" ref="W705">+IF(U705&lt;0,error,0)</f>
        <v>0</v>
      </c>
    </row>
    <row r="706" spans="1:23" ht="18" customHeight="1" x14ac:dyDescent="0.2">
      <c r="A706" s="402" t="s">
        <v>1434</v>
      </c>
      <c r="B706" s="403"/>
      <c r="C706" s="404" t="s">
        <v>1435</v>
      </c>
      <c r="D706" s="405">
        <v>42427</v>
      </c>
      <c r="E706" s="406"/>
      <c r="F706" s="325"/>
      <c r="G706" s="324"/>
      <c r="H706" s="324">
        <v>4556.4400000000005</v>
      </c>
      <c r="I706" s="325">
        <v>397.44000000000005</v>
      </c>
      <c r="J706" s="325"/>
      <c r="K706" s="325">
        <f t="shared" si="150"/>
        <v>0</v>
      </c>
      <c r="L706" s="325">
        <f t="shared" si="151"/>
        <v>0</v>
      </c>
      <c r="M706" s="407">
        <v>50</v>
      </c>
      <c r="N706" s="408" t="s">
        <v>289</v>
      </c>
      <c r="O706" s="325">
        <f t="shared" si="152"/>
        <v>0</v>
      </c>
      <c r="P706" s="325">
        <f t="shared" si="153"/>
        <v>0</v>
      </c>
      <c r="Q706" s="325">
        <f t="shared" si="154"/>
        <v>0</v>
      </c>
      <c r="R706" s="325">
        <f t="shared" si="155"/>
        <v>99</v>
      </c>
      <c r="S706" s="325">
        <f t="shared" si="156"/>
        <v>0</v>
      </c>
      <c r="T706" s="325">
        <f t="shared" si="157"/>
        <v>99</v>
      </c>
      <c r="U706" s="409">
        <f t="shared" si="158"/>
        <v>298.44000000000005</v>
      </c>
      <c r="V706" s="325">
        <f t="shared" si="159"/>
        <v>0</v>
      </c>
      <c r="W706" s="449" cm="1">
        <f t="array" ref="W706">+IF(U706&lt;0,error,0)</f>
        <v>0</v>
      </c>
    </row>
    <row r="707" spans="1:23" ht="18" customHeight="1" x14ac:dyDescent="0.2">
      <c r="A707" s="402" t="s">
        <v>1436</v>
      </c>
      <c r="B707" s="403"/>
      <c r="C707" s="404" t="s">
        <v>1437</v>
      </c>
      <c r="D707" s="405">
        <v>42427</v>
      </c>
      <c r="E707" s="406"/>
      <c r="F707" s="325"/>
      <c r="G707" s="324"/>
      <c r="H707" s="324">
        <v>1362.9</v>
      </c>
      <c r="I707" s="325">
        <v>119.9</v>
      </c>
      <c r="J707" s="325"/>
      <c r="K707" s="325">
        <f t="shared" si="150"/>
        <v>0</v>
      </c>
      <c r="L707" s="325">
        <f t="shared" si="151"/>
        <v>0</v>
      </c>
      <c r="M707" s="407">
        <v>50</v>
      </c>
      <c r="N707" s="408" t="s">
        <v>289</v>
      </c>
      <c r="O707" s="325">
        <f t="shared" si="152"/>
        <v>0</v>
      </c>
      <c r="P707" s="325">
        <f t="shared" si="153"/>
        <v>0</v>
      </c>
      <c r="Q707" s="325">
        <f t="shared" si="154"/>
        <v>0</v>
      </c>
      <c r="R707" s="325">
        <f t="shared" si="155"/>
        <v>29</v>
      </c>
      <c r="S707" s="325">
        <f t="shared" si="156"/>
        <v>0</v>
      </c>
      <c r="T707" s="325">
        <f t="shared" si="157"/>
        <v>29</v>
      </c>
      <c r="U707" s="409">
        <f t="shared" si="158"/>
        <v>90.9</v>
      </c>
      <c r="V707" s="325">
        <f t="shared" si="159"/>
        <v>0</v>
      </c>
      <c r="W707" s="449" cm="1">
        <f t="array" ref="W707">+IF(U707&lt;0,error,0)</f>
        <v>0</v>
      </c>
    </row>
    <row r="708" spans="1:23" ht="18" customHeight="1" x14ac:dyDescent="0.2">
      <c r="A708" s="402" t="s">
        <v>1438</v>
      </c>
      <c r="B708" s="403"/>
      <c r="C708" s="404" t="s">
        <v>1439</v>
      </c>
      <c r="D708" s="405">
        <v>42427</v>
      </c>
      <c r="E708" s="406"/>
      <c r="F708" s="325"/>
      <c r="G708" s="324"/>
      <c r="H708" s="324">
        <v>15967.7</v>
      </c>
      <c r="I708" s="325">
        <v>1390.7000000000003</v>
      </c>
      <c r="J708" s="325"/>
      <c r="K708" s="325">
        <f t="shared" si="150"/>
        <v>0</v>
      </c>
      <c r="L708" s="325">
        <f t="shared" si="151"/>
        <v>0</v>
      </c>
      <c r="M708" s="407">
        <v>50</v>
      </c>
      <c r="N708" s="408" t="s">
        <v>289</v>
      </c>
      <c r="O708" s="325">
        <f t="shared" si="152"/>
        <v>0</v>
      </c>
      <c r="P708" s="325">
        <f t="shared" si="153"/>
        <v>0</v>
      </c>
      <c r="Q708" s="325">
        <f t="shared" si="154"/>
        <v>0</v>
      </c>
      <c r="R708" s="325">
        <f t="shared" si="155"/>
        <v>347</v>
      </c>
      <c r="S708" s="325">
        <f t="shared" si="156"/>
        <v>0</v>
      </c>
      <c r="T708" s="325">
        <f t="shared" si="157"/>
        <v>347</v>
      </c>
      <c r="U708" s="409">
        <f t="shared" si="158"/>
        <v>1043.7000000000003</v>
      </c>
      <c r="V708" s="325">
        <f t="shared" si="159"/>
        <v>0</v>
      </c>
      <c r="W708" s="449" cm="1">
        <f t="array" ref="W708">+IF(U708&lt;0,error,0)</f>
        <v>0</v>
      </c>
    </row>
    <row r="709" spans="1:23" ht="18" customHeight="1" x14ac:dyDescent="0.2">
      <c r="A709" s="402" t="s">
        <v>1440</v>
      </c>
      <c r="B709" s="403"/>
      <c r="C709" s="404" t="s">
        <v>1441</v>
      </c>
      <c r="D709" s="405">
        <v>42427</v>
      </c>
      <c r="E709" s="406"/>
      <c r="F709" s="325"/>
      <c r="G709" s="324"/>
      <c r="H709" s="324">
        <v>1596.77</v>
      </c>
      <c r="I709" s="325">
        <v>139.76999999999998</v>
      </c>
      <c r="J709" s="325"/>
      <c r="K709" s="325">
        <f t="shared" si="150"/>
        <v>0</v>
      </c>
      <c r="L709" s="325">
        <f t="shared" si="151"/>
        <v>0</v>
      </c>
      <c r="M709" s="407">
        <v>50</v>
      </c>
      <c r="N709" s="408" t="s">
        <v>289</v>
      </c>
      <c r="O709" s="325">
        <f t="shared" si="152"/>
        <v>0</v>
      </c>
      <c r="P709" s="325">
        <f t="shared" si="153"/>
        <v>0</v>
      </c>
      <c r="Q709" s="325">
        <f t="shared" si="154"/>
        <v>0</v>
      </c>
      <c r="R709" s="325">
        <f t="shared" si="155"/>
        <v>34</v>
      </c>
      <c r="S709" s="325">
        <f t="shared" si="156"/>
        <v>0</v>
      </c>
      <c r="T709" s="325">
        <f t="shared" si="157"/>
        <v>34</v>
      </c>
      <c r="U709" s="409">
        <f t="shared" si="158"/>
        <v>105.76999999999998</v>
      </c>
      <c r="V709" s="325">
        <f t="shared" si="159"/>
        <v>0</v>
      </c>
      <c r="W709" s="449" cm="1">
        <f t="array" ref="W709">+IF(U709&lt;0,error,0)</f>
        <v>0</v>
      </c>
    </row>
    <row r="710" spans="1:23" ht="18" customHeight="1" x14ac:dyDescent="0.2">
      <c r="A710" s="402" t="s">
        <v>1442</v>
      </c>
      <c r="B710" s="403"/>
      <c r="C710" s="404" t="s">
        <v>1443</v>
      </c>
      <c r="D710" s="405">
        <v>42427</v>
      </c>
      <c r="E710" s="406"/>
      <c r="F710" s="325"/>
      <c r="G710" s="324"/>
      <c r="H710" s="324">
        <v>8839</v>
      </c>
      <c r="I710" s="325">
        <v>769.72</v>
      </c>
      <c r="J710" s="325"/>
      <c r="K710" s="325">
        <f t="shared" si="150"/>
        <v>0</v>
      </c>
      <c r="L710" s="325">
        <f t="shared" si="151"/>
        <v>0</v>
      </c>
      <c r="M710" s="407">
        <v>50</v>
      </c>
      <c r="N710" s="408" t="s">
        <v>289</v>
      </c>
      <c r="O710" s="325">
        <f t="shared" si="152"/>
        <v>0</v>
      </c>
      <c r="P710" s="325">
        <f t="shared" si="153"/>
        <v>0</v>
      </c>
      <c r="Q710" s="325">
        <f t="shared" si="154"/>
        <v>0</v>
      </c>
      <c r="R710" s="325">
        <f t="shared" si="155"/>
        <v>192</v>
      </c>
      <c r="S710" s="325">
        <f t="shared" si="156"/>
        <v>0</v>
      </c>
      <c r="T710" s="325">
        <f t="shared" si="157"/>
        <v>192</v>
      </c>
      <c r="U710" s="409">
        <f t="shared" si="158"/>
        <v>577.72</v>
      </c>
      <c r="V710" s="325">
        <f t="shared" si="159"/>
        <v>0</v>
      </c>
      <c r="W710" s="449" cm="1">
        <f t="array" ref="W710">+IF(U710&lt;0,error,0)</f>
        <v>0</v>
      </c>
    </row>
    <row r="711" spans="1:23" ht="18" customHeight="1" x14ac:dyDescent="0.2">
      <c r="A711" s="402" t="s">
        <v>1444</v>
      </c>
      <c r="B711" s="403"/>
      <c r="C711" s="412" t="s">
        <v>1445</v>
      </c>
      <c r="D711" s="405">
        <v>42460</v>
      </c>
      <c r="E711" s="406"/>
      <c r="F711" s="325"/>
      <c r="G711" s="324"/>
      <c r="H711" s="324">
        <v>44000</v>
      </c>
      <c r="I711" s="325">
        <v>4037</v>
      </c>
      <c r="J711" s="325"/>
      <c r="K711" s="325">
        <f t="shared" si="150"/>
        <v>0</v>
      </c>
      <c r="L711" s="325">
        <f t="shared" si="151"/>
        <v>0</v>
      </c>
      <c r="M711" s="407">
        <v>50</v>
      </c>
      <c r="N711" s="408" t="s">
        <v>289</v>
      </c>
      <c r="O711" s="325">
        <f t="shared" si="152"/>
        <v>0</v>
      </c>
      <c r="P711" s="325">
        <f t="shared" si="153"/>
        <v>0</v>
      </c>
      <c r="Q711" s="325">
        <f t="shared" si="154"/>
        <v>0</v>
      </c>
      <c r="R711" s="325">
        <f t="shared" si="155"/>
        <v>1009</v>
      </c>
      <c r="S711" s="325">
        <f t="shared" si="156"/>
        <v>0</v>
      </c>
      <c r="T711" s="325">
        <f t="shared" si="157"/>
        <v>1009</v>
      </c>
      <c r="U711" s="409">
        <f t="shared" si="158"/>
        <v>3028</v>
      </c>
      <c r="V711" s="325">
        <f t="shared" si="159"/>
        <v>0</v>
      </c>
      <c r="W711" s="449" cm="1">
        <f t="array" ref="W711">+IF(U711&lt;0,error,0)</f>
        <v>0</v>
      </c>
    </row>
    <row r="712" spans="1:23" ht="18" customHeight="1" x14ac:dyDescent="0.2">
      <c r="A712" s="402" t="s">
        <v>1446</v>
      </c>
      <c r="B712" s="403"/>
      <c r="C712" s="404" t="s">
        <v>1447</v>
      </c>
      <c r="D712" s="405">
        <v>42500</v>
      </c>
      <c r="E712" s="406"/>
      <c r="F712" s="325"/>
      <c r="G712" s="324"/>
      <c r="H712" s="324">
        <v>4611.78</v>
      </c>
      <c r="I712" s="325">
        <v>450.78</v>
      </c>
      <c r="J712" s="325"/>
      <c r="K712" s="325">
        <f t="shared" si="150"/>
        <v>0</v>
      </c>
      <c r="L712" s="325">
        <f t="shared" si="151"/>
        <v>0</v>
      </c>
      <c r="M712" s="407">
        <v>50</v>
      </c>
      <c r="N712" s="408" t="s">
        <v>289</v>
      </c>
      <c r="O712" s="325">
        <f t="shared" si="152"/>
        <v>0</v>
      </c>
      <c r="P712" s="325">
        <f t="shared" si="153"/>
        <v>0</v>
      </c>
      <c r="Q712" s="325">
        <f t="shared" si="154"/>
        <v>0</v>
      </c>
      <c r="R712" s="325">
        <f t="shared" si="155"/>
        <v>112</v>
      </c>
      <c r="S712" s="325">
        <f t="shared" si="156"/>
        <v>0</v>
      </c>
      <c r="T712" s="325">
        <f t="shared" si="157"/>
        <v>112</v>
      </c>
      <c r="U712" s="409">
        <f t="shared" si="158"/>
        <v>338.78</v>
      </c>
      <c r="V712" s="325">
        <f t="shared" si="159"/>
        <v>0</v>
      </c>
      <c r="W712" s="449" cm="1">
        <f t="array" ref="W712">+IF(U712&lt;0,error,0)</f>
        <v>0</v>
      </c>
    </row>
    <row r="713" spans="1:23" ht="18" customHeight="1" x14ac:dyDescent="0.2">
      <c r="A713" s="402" t="s">
        <v>1448</v>
      </c>
      <c r="B713" s="403"/>
      <c r="C713" s="412" t="s">
        <v>1449</v>
      </c>
      <c r="D713" s="405">
        <v>42520</v>
      </c>
      <c r="E713" s="406"/>
      <c r="F713" s="325"/>
      <c r="G713" s="324"/>
      <c r="H713" s="324">
        <v>14690</v>
      </c>
      <c r="I713" s="325">
        <v>1475.5702000000001</v>
      </c>
      <c r="J713" s="325"/>
      <c r="K713" s="325">
        <f t="shared" si="150"/>
        <v>0</v>
      </c>
      <c r="L713" s="325">
        <f t="shared" si="151"/>
        <v>0</v>
      </c>
      <c r="M713" s="407">
        <v>50</v>
      </c>
      <c r="N713" s="408" t="s">
        <v>289</v>
      </c>
      <c r="O713" s="325">
        <f t="shared" si="152"/>
        <v>0</v>
      </c>
      <c r="P713" s="325">
        <f t="shared" si="153"/>
        <v>0</v>
      </c>
      <c r="Q713" s="325">
        <f t="shared" si="154"/>
        <v>0</v>
      </c>
      <c r="R713" s="325">
        <f t="shared" si="155"/>
        <v>368</v>
      </c>
      <c r="S713" s="325">
        <f t="shared" si="156"/>
        <v>0</v>
      </c>
      <c r="T713" s="325">
        <f t="shared" si="157"/>
        <v>368</v>
      </c>
      <c r="U713" s="409">
        <f t="shared" si="158"/>
        <v>1107.5702000000001</v>
      </c>
      <c r="V713" s="325">
        <f t="shared" si="159"/>
        <v>0</v>
      </c>
      <c r="W713" s="449" cm="1">
        <f t="array" ref="W713">+IF(U713&lt;0,error,0)</f>
        <v>0</v>
      </c>
    </row>
    <row r="714" spans="1:23" ht="18" customHeight="1" x14ac:dyDescent="0.2">
      <c r="A714" s="402" t="s">
        <v>1450</v>
      </c>
      <c r="B714" s="403"/>
      <c r="C714" s="412" t="s">
        <v>1451</v>
      </c>
      <c r="D714" s="405">
        <v>42520</v>
      </c>
      <c r="E714" s="406"/>
      <c r="F714" s="325"/>
      <c r="G714" s="324"/>
      <c r="H714" s="324">
        <v>32500</v>
      </c>
      <c r="I714" s="325">
        <v>3263</v>
      </c>
      <c r="J714" s="325"/>
      <c r="K714" s="325">
        <f t="shared" si="150"/>
        <v>0</v>
      </c>
      <c r="L714" s="325">
        <f t="shared" si="151"/>
        <v>0</v>
      </c>
      <c r="M714" s="407">
        <v>50</v>
      </c>
      <c r="N714" s="408" t="s">
        <v>289</v>
      </c>
      <c r="O714" s="325">
        <f t="shared" si="152"/>
        <v>0</v>
      </c>
      <c r="P714" s="325">
        <f t="shared" si="153"/>
        <v>0</v>
      </c>
      <c r="Q714" s="325">
        <f t="shared" si="154"/>
        <v>0</v>
      </c>
      <c r="R714" s="325">
        <f t="shared" si="155"/>
        <v>815</v>
      </c>
      <c r="S714" s="325">
        <f t="shared" si="156"/>
        <v>0</v>
      </c>
      <c r="T714" s="325">
        <f t="shared" si="157"/>
        <v>815</v>
      </c>
      <c r="U714" s="409">
        <f t="shared" si="158"/>
        <v>2448</v>
      </c>
      <c r="V714" s="325">
        <f t="shared" si="159"/>
        <v>0</v>
      </c>
      <c r="W714" s="449" cm="1">
        <f t="array" ref="W714">+IF(U714&lt;0,error,0)</f>
        <v>0</v>
      </c>
    </row>
    <row r="715" spans="1:23" ht="18" customHeight="1" x14ac:dyDescent="0.2">
      <c r="A715" s="402" t="s">
        <v>1452</v>
      </c>
      <c r="B715" s="403"/>
      <c r="C715" s="404" t="s">
        <v>1453</v>
      </c>
      <c r="D715" s="405">
        <v>42780</v>
      </c>
      <c r="E715" s="406"/>
      <c r="F715" s="325"/>
      <c r="G715" s="324"/>
      <c r="H715" s="324">
        <v>2740</v>
      </c>
      <c r="I715" s="325">
        <v>468</v>
      </c>
      <c r="J715" s="325"/>
      <c r="K715" s="325">
        <f t="shared" si="150"/>
        <v>0</v>
      </c>
      <c r="L715" s="325">
        <f t="shared" si="151"/>
        <v>0</v>
      </c>
      <c r="M715" s="407">
        <v>50</v>
      </c>
      <c r="N715" s="408" t="s">
        <v>289</v>
      </c>
      <c r="O715" s="325">
        <f t="shared" si="152"/>
        <v>0</v>
      </c>
      <c r="P715" s="325">
        <f t="shared" si="153"/>
        <v>0</v>
      </c>
      <c r="Q715" s="325">
        <f t="shared" si="154"/>
        <v>0</v>
      </c>
      <c r="R715" s="325">
        <f t="shared" si="155"/>
        <v>117</v>
      </c>
      <c r="S715" s="325">
        <f t="shared" si="156"/>
        <v>0</v>
      </c>
      <c r="T715" s="325">
        <f t="shared" si="157"/>
        <v>117</v>
      </c>
      <c r="U715" s="409">
        <f t="shared" si="158"/>
        <v>351</v>
      </c>
      <c r="V715" s="325">
        <f t="shared" si="159"/>
        <v>0</v>
      </c>
      <c r="W715" s="449" cm="1">
        <f t="array" ref="W715">+IF(U715&lt;0,error,0)</f>
        <v>0</v>
      </c>
    </row>
    <row r="716" spans="1:23" ht="18" customHeight="1" x14ac:dyDescent="0.2">
      <c r="A716" s="402" t="s">
        <v>1454</v>
      </c>
      <c r="B716" s="403"/>
      <c r="C716" s="404" t="s">
        <v>1455</v>
      </c>
      <c r="D716" s="405">
        <v>42823</v>
      </c>
      <c r="E716" s="406"/>
      <c r="F716" s="325"/>
      <c r="G716" s="324"/>
      <c r="H716" s="324">
        <v>2566</v>
      </c>
      <c r="I716" s="325">
        <v>471</v>
      </c>
      <c r="J716" s="325"/>
      <c r="K716" s="325">
        <f t="shared" si="150"/>
        <v>0</v>
      </c>
      <c r="L716" s="325">
        <f t="shared" si="151"/>
        <v>0</v>
      </c>
      <c r="M716" s="407">
        <v>50</v>
      </c>
      <c r="N716" s="408" t="s">
        <v>289</v>
      </c>
      <c r="O716" s="325">
        <f t="shared" si="152"/>
        <v>0</v>
      </c>
      <c r="P716" s="325">
        <f t="shared" si="153"/>
        <v>0</v>
      </c>
      <c r="Q716" s="325">
        <f t="shared" si="154"/>
        <v>0</v>
      </c>
      <c r="R716" s="325">
        <f t="shared" si="155"/>
        <v>117</v>
      </c>
      <c r="S716" s="325">
        <f t="shared" si="156"/>
        <v>0</v>
      </c>
      <c r="T716" s="325">
        <f t="shared" si="157"/>
        <v>117</v>
      </c>
      <c r="U716" s="409">
        <f t="shared" si="158"/>
        <v>354</v>
      </c>
      <c r="V716" s="325">
        <f t="shared" si="159"/>
        <v>0</v>
      </c>
      <c r="W716" s="449" cm="1">
        <f t="array" ref="W716">+IF(U716&lt;0,error,0)</f>
        <v>0</v>
      </c>
    </row>
    <row r="717" spans="1:23" ht="18" customHeight="1" x14ac:dyDescent="0.2">
      <c r="A717" s="402" t="s">
        <v>1456</v>
      </c>
      <c r="B717" s="403"/>
      <c r="C717" s="404" t="s">
        <v>1457</v>
      </c>
      <c r="D717" s="405">
        <v>42823</v>
      </c>
      <c r="E717" s="406"/>
      <c r="F717" s="325"/>
      <c r="G717" s="324"/>
      <c r="H717" s="324">
        <v>2380</v>
      </c>
      <c r="I717" s="325">
        <v>436</v>
      </c>
      <c r="J717" s="325"/>
      <c r="K717" s="325">
        <f t="shared" si="150"/>
        <v>0</v>
      </c>
      <c r="L717" s="325">
        <f t="shared" si="151"/>
        <v>0</v>
      </c>
      <c r="M717" s="407">
        <v>50</v>
      </c>
      <c r="N717" s="408" t="s">
        <v>289</v>
      </c>
      <c r="O717" s="325">
        <f t="shared" si="152"/>
        <v>0</v>
      </c>
      <c r="P717" s="325">
        <f t="shared" si="153"/>
        <v>0</v>
      </c>
      <c r="Q717" s="325">
        <f t="shared" si="154"/>
        <v>0</v>
      </c>
      <c r="R717" s="325">
        <f t="shared" si="155"/>
        <v>109</v>
      </c>
      <c r="S717" s="325">
        <f t="shared" si="156"/>
        <v>0</v>
      </c>
      <c r="T717" s="325">
        <f t="shared" si="157"/>
        <v>109</v>
      </c>
      <c r="U717" s="409">
        <f t="shared" si="158"/>
        <v>327</v>
      </c>
      <c r="V717" s="325">
        <f t="shared" si="159"/>
        <v>0</v>
      </c>
      <c r="W717" s="449" cm="1">
        <f t="array" ref="W717">+IF(U717&lt;0,error,0)</f>
        <v>0</v>
      </c>
    </row>
    <row r="718" spans="1:23" ht="18" customHeight="1" x14ac:dyDescent="0.2">
      <c r="A718" s="402" t="s">
        <v>1458</v>
      </c>
      <c r="B718" s="403"/>
      <c r="C718" s="404" t="s">
        <v>1459</v>
      </c>
      <c r="D718" s="405">
        <v>42781</v>
      </c>
      <c r="E718" s="406"/>
      <c r="F718" s="325"/>
      <c r="G718" s="324"/>
      <c r="H718" s="324">
        <v>9732</v>
      </c>
      <c r="I718" s="325">
        <v>1663.8000000000002</v>
      </c>
      <c r="J718" s="325"/>
      <c r="K718" s="325">
        <f t="shared" si="150"/>
        <v>0</v>
      </c>
      <c r="L718" s="325">
        <f t="shared" si="151"/>
        <v>0</v>
      </c>
      <c r="M718" s="407">
        <v>50</v>
      </c>
      <c r="N718" s="408" t="s">
        <v>289</v>
      </c>
      <c r="O718" s="325">
        <f t="shared" si="152"/>
        <v>0</v>
      </c>
      <c r="P718" s="325">
        <f t="shared" si="153"/>
        <v>0</v>
      </c>
      <c r="Q718" s="325">
        <f t="shared" si="154"/>
        <v>0</v>
      </c>
      <c r="R718" s="325">
        <f t="shared" si="155"/>
        <v>415</v>
      </c>
      <c r="S718" s="325">
        <f t="shared" si="156"/>
        <v>0</v>
      </c>
      <c r="T718" s="325">
        <f t="shared" si="157"/>
        <v>415</v>
      </c>
      <c r="U718" s="409">
        <f t="shared" si="158"/>
        <v>1248.8000000000002</v>
      </c>
      <c r="V718" s="325">
        <f t="shared" si="159"/>
        <v>0</v>
      </c>
      <c r="W718" s="449" cm="1">
        <f t="array" ref="W718">+IF(U718&lt;0,error,0)</f>
        <v>0</v>
      </c>
    </row>
    <row r="719" spans="1:23" ht="18" customHeight="1" x14ac:dyDescent="0.2">
      <c r="A719" s="402" t="s">
        <v>1460</v>
      </c>
      <c r="B719" s="403"/>
      <c r="C719" s="404" t="s">
        <v>1461</v>
      </c>
      <c r="D719" s="405">
        <v>42791</v>
      </c>
      <c r="E719" s="406"/>
      <c r="F719" s="325"/>
      <c r="G719" s="324"/>
      <c r="H719" s="324">
        <v>5514</v>
      </c>
      <c r="I719" s="325">
        <v>958.92799999999988</v>
      </c>
      <c r="J719" s="325"/>
      <c r="K719" s="325">
        <f t="shared" si="150"/>
        <v>0</v>
      </c>
      <c r="L719" s="325">
        <f t="shared" si="151"/>
        <v>0</v>
      </c>
      <c r="M719" s="407">
        <v>50</v>
      </c>
      <c r="N719" s="408" t="s">
        <v>289</v>
      </c>
      <c r="O719" s="325">
        <f t="shared" si="152"/>
        <v>0</v>
      </c>
      <c r="P719" s="325">
        <f t="shared" si="153"/>
        <v>0</v>
      </c>
      <c r="Q719" s="325">
        <f t="shared" si="154"/>
        <v>0</v>
      </c>
      <c r="R719" s="325">
        <f t="shared" si="155"/>
        <v>239</v>
      </c>
      <c r="S719" s="325">
        <f t="shared" si="156"/>
        <v>0</v>
      </c>
      <c r="T719" s="325">
        <f t="shared" si="157"/>
        <v>239</v>
      </c>
      <c r="U719" s="409">
        <f t="shared" si="158"/>
        <v>719.92799999999988</v>
      </c>
      <c r="V719" s="325">
        <f t="shared" si="159"/>
        <v>0</v>
      </c>
      <c r="W719" s="449" cm="1">
        <f t="array" ref="W719">+IF(U719&lt;0,error,0)</f>
        <v>0</v>
      </c>
    </row>
    <row r="720" spans="1:23" ht="18" customHeight="1" x14ac:dyDescent="0.2">
      <c r="A720" s="402" t="s">
        <v>1462</v>
      </c>
      <c r="B720" s="403"/>
      <c r="C720" s="404" t="s">
        <v>1461</v>
      </c>
      <c r="D720" s="405">
        <v>42781</v>
      </c>
      <c r="E720" s="406"/>
      <c r="F720" s="325"/>
      <c r="G720" s="324"/>
      <c r="H720" s="324">
        <v>12405.33</v>
      </c>
      <c r="I720" s="325">
        <v>2120.33</v>
      </c>
      <c r="J720" s="325"/>
      <c r="K720" s="325">
        <f t="shared" si="150"/>
        <v>0</v>
      </c>
      <c r="L720" s="325">
        <f t="shared" si="151"/>
        <v>0</v>
      </c>
      <c r="M720" s="407">
        <v>50</v>
      </c>
      <c r="N720" s="408" t="s">
        <v>289</v>
      </c>
      <c r="O720" s="325">
        <f t="shared" si="152"/>
        <v>0</v>
      </c>
      <c r="P720" s="325">
        <f t="shared" si="153"/>
        <v>0</v>
      </c>
      <c r="Q720" s="325">
        <f t="shared" si="154"/>
        <v>0</v>
      </c>
      <c r="R720" s="325">
        <f t="shared" si="155"/>
        <v>530</v>
      </c>
      <c r="S720" s="325">
        <f t="shared" si="156"/>
        <v>0</v>
      </c>
      <c r="T720" s="325">
        <f t="shared" si="157"/>
        <v>530</v>
      </c>
      <c r="U720" s="409">
        <f t="shared" si="158"/>
        <v>1590.33</v>
      </c>
      <c r="V720" s="325">
        <f t="shared" si="159"/>
        <v>0</v>
      </c>
      <c r="W720" s="449" cm="1">
        <f t="array" ref="W720">+IF(U720&lt;0,error,0)</f>
        <v>0</v>
      </c>
    </row>
    <row r="721" spans="1:23" ht="18" customHeight="1" x14ac:dyDescent="0.2">
      <c r="A721" s="402" t="s">
        <v>1463</v>
      </c>
      <c r="B721" s="403"/>
      <c r="C721" s="404" t="s">
        <v>1464</v>
      </c>
      <c r="D721" s="405">
        <v>42791</v>
      </c>
      <c r="E721" s="406"/>
      <c r="F721" s="325"/>
      <c r="G721" s="324"/>
      <c r="H721" s="324">
        <v>5741</v>
      </c>
      <c r="I721" s="325">
        <v>997.64280000000008</v>
      </c>
      <c r="J721" s="325"/>
      <c r="K721" s="325">
        <f t="shared" si="150"/>
        <v>0</v>
      </c>
      <c r="L721" s="325">
        <f t="shared" si="151"/>
        <v>0</v>
      </c>
      <c r="M721" s="407">
        <v>50</v>
      </c>
      <c r="N721" s="408" t="s">
        <v>289</v>
      </c>
      <c r="O721" s="325">
        <f t="shared" si="152"/>
        <v>0</v>
      </c>
      <c r="P721" s="325">
        <f t="shared" si="153"/>
        <v>0</v>
      </c>
      <c r="Q721" s="325">
        <f t="shared" si="154"/>
        <v>0</v>
      </c>
      <c r="R721" s="325">
        <f t="shared" si="155"/>
        <v>249</v>
      </c>
      <c r="S721" s="325">
        <f t="shared" si="156"/>
        <v>0</v>
      </c>
      <c r="T721" s="325">
        <f t="shared" si="157"/>
        <v>249</v>
      </c>
      <c r="U721" s="409">
        <f t="shared" si="158"/>
        <v>748.64280000000008</v>
      </c>
      <c r="V721" s="325">
        <f t="shared" si="159"/>
        <v>0</v>
      </c>
      <c r="W721" s="449" cm="1">
        <f t="array" ref="W721">+IF(U721&lt;0,error,0)</f>
        <v>0</v>
      </c>
    </row>
    <row r="722" spans="1:23" ht="18" customHeight="1" x14ac:dyDescent="0.2">
      <c r="A722" s="402" t="s">
        <v>1465</v>
      </c>
      <c r="B722" s="403"/>
      <c r="C722" s="404" t="s">
        <v>1466</v>
      </c>
      <c r="D722" s="405">
        <v>42791</v>
      </c>
      <c r="E722" s="406"/>
      <c r="F722" s="325"/>
      <c r="G722" s="324"/>
      <c r="H722" s="324">
        <v>8070</v>
      </c>
      <c r="I722" s="325">
        <v>1402.1583000000001</v>
      </c>
      <c r="J722" s="325"/>
      <c r="K722" s="325">
        <f t="shared" si="150"/>
        <v>0</v>
      </c>
      <c r="L722" s="325">
        <f t="shared" si="151"/>
        <v>0</v>
      </c>
      <c r="M722" s="407">
        <v>50</v>
      </c>
      <c r="N722" s="408" t="s">
        <v>289</v>
      </c>
      <c r="O722" s="325">
        <f t="shared" si="152"/>
        <v>0</v>
      </c>
      <c r="P722" s="325">
        <f t="shared" si="153"/>
        <v>0</v>
      </c>
      <c r="Q722" s="325">
        <f t="shared" si="154"/>
        <v>0</v>
      </c>
      <c r="R722" s="325">
        <f t="shared" si="155"/>
        <v>350</v>
      </c>
      <c r="S722" s="325">
        <f t="shared" si="156"/>
        <v>0</v>
      </c>
      <c r="T722" s="325">
        <f t="shared" si="157"/>
        <v>350</v>
      </c>
      <c r="U722" s="409">
        <f t="shared" si="158"/>
        <v>1052.1583000000001</v>
      </c>
      <c r="V722" s="325">
        <f t="shared" si="159"/>
        <v>0</v>
      </c>
      <c r="W722" s="449" cm="1">
        <f t="array" ref="W722">+IF(U722&lt;0,error,0)</f>
        <v>0</v>
      </c>
    </row>
    <row r="723" spans="1:23" ht="18" customHeight="1" x14ac:dyDescent="0.2">
      <c r="A723" s="402" t="s">
        <v>1467</v>
      </c>
      <c r="B723" s="403"/>
      <c r="C723" s="404" t="s">
        <v>1466</v>
      </c>
      <c r="D723" s="405">
        <v>42826</v>
      </c>
      <c r="E723" s="406"/>
      <c r="F723" s="325"/>
      <c r="G723" s="324"/>
      <c r="H723" s="324">
        <v>4842</v>
      </c>
      <c r="I723" s="325">
        <v>891.52390000000014</v>
      </c>
      <c r="J723" s="325"/>
      <c r="K723" s="325">
        <f t="shared" si="150"/>
        <v>0</v>
      </c>
      <c r="L723" s="325">
        <f t="shared" si="151"/>
        <v>0</v>
      </c>
      <c r="M723" s="407">
        <v>50</v>
      </c>
      <c r="N723" s="408" t="s">
        <v>289</v>
      </c>
      <c r="O723" s="325">
        <f t="shared" si="152"/>
        <v>0</v>
      </c>
      <c r="P723" s="325">
        <f t="shared" si="153"/>
        <v>0</v>
      </c>
      <c r="Q723" s="325">
        <f t="shared" si="154"/>
        <v>0</v>
      </c>
      <c r="R723" s="325">
        <f t="shared" si="155"/>
        <v>222</v>
      </c>
      <c r="S723" s="325">
        <f t="shared" si="156"/>
        <v>0</v>
      </c>
      <c r="T723" s="325">
        <f t="shared" si="157"/>
        <v>222</v>
      </c>
      <c r="U723" s="409">
        <f t="shared" si="158"/>
        <v>669.52390000000014</v>
      </c>
      <c r="V723" s="325">
        <f t="shared" si="159"/>
        <v>0</v>
      </c>
      <c r="W723" s="449" cm="1">
        <f t="array" ref="W723">+IF(U723&lt;0,error,0)</f>
        <v>0</v>
      </c>
    </row>
    <row r="724" spans="1:23" ht="18" customHeight="1" x14ac:dyDescent="0.2">
      <c r="A724" s="402" t="s">
        <v>1468</v>
      </c>
      <c r="B724" s="403"/>
      <c r="C724" s="404" t="s">
        <v>1466</v>
      </c>
      <c r="D724" s="405">
        <v>42826</v>
      </c>
      <c r="E724" s="406"/>
      <c r="F724" s="325"/>
      <c r="G724" s="324"/>
      <c r="H724" s="324">
        <v>16140.29</v>
      </c>
      <c r="I724" s="325">
        <v>2967.29</v>
      </c>
      <c r="J724" s="325"/>
      <c r="K724" s="325">
        <f t="shared" si="150"/>
        <v>0</v>
      </c>
      <c r="L724" s="325">
        <f t="shared" si="151"/>
        <v>0</v>
      </c>
      <c r="M724" s="407">
        <v>50</v>
      </c>
      <c r="N724" s="408" t="s">
        <v>289</v>
      </c>
      <c r="O724" s="325">
        <f t="shared" si="152"/>
        <v>0</v>
      </c>
      <c r="P724" s="325">
        <f t="shared" si="153"/>
        <v>0</v>
      </c>
      <c r="Q724" s="325">
        <f t="shared" si="154"/>
        <v>0</v>
      </c>
      <c r="R724" s="325">
        <f t="shared" si="155"/>
        <v>741</v>
      </c>
      <c r="S724" s="325">
        <f t="shared" si="156"/>
        <v>0</v>
      </c>
      <c r="T724" s="325">
        <f t="shared" si="157"/>
        <v>741</v>
      </c>
      <c r="U724" s="409">
        <f t="shared" si="158"/>
        <v>2226.29</v>
      </c>
      <c r="V724" s="325">
        <f t="shared" si="159"/>
        <v>0</v>
      </c>
      <c r="W724" s="449" cm="1">
        <f t="array" ref="W724">+IF(U724&lt;0,error,0)</f>
        <v>0</v>
      </c>
    </row>
    <row r="725" spans="1:23" ht="18" customHeight="1" x14ac:dyDescent="0.2">
      <c r="A725" s="402" t="s">
        <v>1469</v>
      </c>
      <c r="B725" s="403"/>
      <c r="C725" s="404" t="s">
        <v>1470</v>
      </c>
      <c r="D725" s="405">
        <v>42826</v>
      </c>
      <c r="E725" s="406"/>
      <c r="F725" s="325"/>
      <c r="G725" s="324"/>
      <c r="H725" s="324">
        <v>2879</v>
      </c>
      <c r="I725" s="325">
        <v>529.6563000000001</v>
      </c>
      <c r="J725" s="325"/>
      <c r="K725" s="325">
        <f t="shared" ref="K725:K773" si="160">INT(IF($E725&gt;0,IF(+F725-I725+Q725&lt;0,0,+F725-I725+Q725),0))</f>
        <v>0</v>
      </c>
      <c r="L725" s="325">
        <f t="shared" ref="L725:L773" si="161">INT(IF($E725&gt;0,IF(K725=0,-F725+I725-Q725,0),0))</f>
        <v>0</v>
      </c>
      <c r="M725" s="407">
        <v>50</v>
      </c>
      <c r="N725" s="408" t="s">
        <v>289</v>
      </c>
      <c r="O725" s="325">
        <f t="shared" ref="O725:O773" si="162">IF(E725&gt;0,INT(IF($N725="D",IF($D725&lt;$H$3,$I725*($M725/100)*((E725-$H$3)/365),$J725*($M725/100)*($J$3-$D725)/365),0)),0)</f>
        <v>0</v>
      </c>
      <c r="P725" s="325">
        <f t="shared" ref="P725:P773" si="163">IF(E725&gt;0,INT(IF($N725="P",IF($D725&lt;$H$3,$H725*($M725/100)*(E725-$H$3)/365,$J725*($M725/100)*($J$3-$D725)/365),0)),0)</f>
        <v>0</v>
      </c>
      <c r="Q725" s="325">
        <f t="shared" ref="Q725:Q773" si="164">+O725+P725</f>
        <v>0</v>
      </c>
      <c r="R725" s="325">
        <f t="shared" ref="R725:R790" si="165">INT(IF($E725&gt;0,0,(IF($N725="D",IF($D725&lt;$H$3,$I725*($M725/100)*$U$3/12,$J725*($M725/100)*($J$3-$D725)/365),0))))</f>
        <v>132</v>
      </c>
      <c r="S725" s="325">
        <f t="shared" ref="S725:S790" si="166">INT(IF($E725&gt;0,0,(IF($N725="P",IF($D725&lt;$H$3,$H725*($M725/100)*$U$3/12,$J725*($M725/100)*($J$3-$D725)/365),0))))</f>
        <v>0</v>
      </c>
      <c r="T725" s="325">
        <f t="shared" ref="T725:T773" si="167">+R725+S725+Q725</f>
        <v>132</v>
      </c>
      <c r="U725" s="409">
        <f t="shared" ref="U725:U773" si="168">+I725+J725-T725-F725+K725-L725</f>
        <v>397.6563000000001</v>
      </c>
      <c r="V725" s="325">
        <f t="shared" ref="V725:V788" si="169">IF(E725&gt;0,+H725+J725,0)</f>
        <v>0</v>
      </c>
      <c r="W725" s="449" cm="1">
        <f t="array" ref="W725">+IF(U725&lt;0,error,0)</f>
        <v>0</v>
      </c>
    </row>
    <row r="726" spans="1:23" ht="18" customHeight="1" x14ac:dyDescent="0.2">
      <c r="A726" s="402" t="s">
        <v>1471</v>
      </c>
      <c r="B726" s="403"/>
      <c r="C726" s="404" t="s">
        <v>1472</v>
      </c>
      <c r="D726" s="405">
        <v>42826</v>
      </c>
      <c r="E726" s="406"/>
      <c r="F726" s="325"/>
      <c r="G726" s="324"/>
      <c r="H726" s="324">
        <v>14362.64</v>
      </c>
      <c r="I726" s="325">
        <v>2640.6400000000003</v>
      </c>
      <c r="J726" s="325"/>
      <c r="K726" s="325">
        <f t="shared" si="160"/>
        <v>0</v>
      </c>
      <c r="L726" s="325">
        <f t="shared" si="161"/>
        <v>0</v>
      </c>
      <c r="M726" s="407">
        <v>50</v>
      </c>
      <c r="N726" s="408" t="s">
        <v>289</v>
      </c>
      <c r="O726" s="325">
        <f t="shared" si="162"/>
        <v>0</v>
      </c>
      <c r="P726" s="325">
        <f t="shared" si="163"/>
        <v>0</v>
      </c>
      <c r="Q726" s="325">
        <f t="shared" si="164"/>
        <v>0</v>
      </c>
      <c r="R726" s="325">
        <f t="shared" si="165"/>
        <v>660</v>
      </c>
      <c r="S726" s="325">
        <f t="shared" si="166"/>
        <v>0</v>
      </c>
      <c r="T726" s="325">
        <f t="shared" si="167"/>
        <v>660</v>
      </c>
      <c r="U726" s="409">
        <f t="shared" si="168"/>
        <v>1980.6400000000003</v>
      </c>
      <c r="V726" s="325">
        <f t="shared" si="169"/>
        <v>0</v>
      </c>
      <c r="W726" s="449" cm="1">
        <f t="array" ref="W726">+IF(U726&lt;0,error,0)</f>
        <v>0</v>
      </c>
    </row>
    <row r="727" spans="1:23" ht="18" customHeight="1" x14ac:dyDescent="0.2">
      <c r="A727" s="402" t="s">
        <v>1473</v>
      </c>
      <c r="B727" s="403"/>
      <c r="C727" s="404" t="s">
        <v>1474</v>
      </c>
      <c r="D727" s="405">
        <v>42843</v>
      </c>
      <c r="E727" s="406"/>
      <c r="F727" s="325"/>
      <c r="G727" s="324"/>
      <c r="H727" s="324">
        <v>2141.73</v>
      </c>
      <c r="I727" s="325">
        <v>405.73</v>
      </c>
      <c r="J727" s="325"/>
      <c r="K727" s="325">
        <f t="shared" si="160"/>
        <v>0</v>
      </c>
      <c r="L727" s="325">
        <f t="shared" si="161"/>
        <v>0</v>
      </c>
      <c r="M727" s="407">
        <v>50</v>
      </c>
      <c r="N727" s="408" t="s">
        <v>289</v>
      </c>
      <c r="O727" s="325">
        <f t="shared" si="162"/>
        <v>0</v>
      </c>
      <c r="P727" s="325">
        <f t="shared" si="163"/>
        <v>0</v>
      </c>
      <c r="Q727" s="325">
        <f t="shared" si="164"/>
        <v>0</v>
      </c>
      <c r="R727" s="325">
        <f t="shared" si="165"/>
        <v>101</v>
      </c>
      <c r="S727" s="325">
        <f t="shared" si="166"/>
        <v>0</v>
      </c>
      <c r="T727" s="325">
        <f t="shared" si="167"/>
        <v>101</v>
      </c>
      <c r="U727" s="409">
        <f t="shared" si="168"/>
        <v>304.73</v>
      </c>
      <c r="V727" s="325">
        <f t="shared" si="169"/>
        <v>0</v>
      </c>
      <c r="W727" s="449" cm="1">
        <f t="array" ref="W727">+IF(U727&lt;0,error,0)</f>
        <v>0</v>
      </c>
    </row>
    <row r="728" spans="1:23" ht="18" customHeight="1" x14ac:dyDescent="0.2">
      <c r="A728" s="402" t="s">
        <v>1475</v>
      </c>
      <c r="B728" s="403"/>
      <c r="C728" s="404" t="s">
        <v>1459</v>
      </c>
      <c r="D728" s="405">
        <v>42851</v>
      </c>
      <c r="E728" s="406"/>
      <c r="F728" s="325"/>
      <c r="G728" s="324"/>
      <c r="H728" s="324">
        <v>15699</v>
      </c>
      <c r="I728" s="325">
        <v>2999</v>
      </c>
      <c r="J728" s="325"/>
      <c r="K728" s="325">
        <f t="shared" si="160"/>
        <v>0</v>
      </c>
      <c r="L728" s="325">
        <f t="shared" si="161"/>
        <v>0</v>
      </c>
      <c r="M728" s="407">
        <v>50</v>
      </c>
      <c r="N728" s="408" t="s">
        <v>289</v>
      </c>
      <c r="O728" s="325">
        <f t="shared" si="162"/>
        <v>0</v>
      </c>
      <c r="P728" s="325">
        <f t="shared" si="163"/>
        <v>0</v>
      </c>
      <c r="Q728" s="325">
        <f t="shared" si="164"/>
        <v>0</v>
      </c>
      <c r="R728" s="325">
        <f t="shared" si="165"/>
        <v>749</v>
      </c>
      <c r="S728" s="325">
        <f t="shared" si="166"/>
        <v>0</v>
      </c>
      <c r="T728" s="325">
        <f t="shared" si="167"/>
        <v>749</v>
      </c>
      <c r="U728" s="409">
        <f t="shared" si="168"/>
        <v>2250</v>
      </c>
      <c r="V728" s="325">
        <f t="shared" si="169"/>
        <v>0</v>
      </c>
      <c r="W728" s="449" cm="1">
        <f t="array" ref="W728">+IF(U728&lt;0,error,0)</f>
        <v>0</v>
      </c>
    </row>
    <row r="729" spans="1:23" ht="18" customHeight="1" x14ac:dyDescent="0.2">
      <c r="A729" s="402" t="s">
        <v>1476</v>
      </c>
      <c r="B729" s="403"/>
      <c r="C729" s="404" t="s">
        <v>1477</v>
      </c>
      <c r="D729" s="405">
        <v>42791</v>
      </c>
      <c r="E729" s="406"/>
      <c r="F729" s="325"/>
      <c r="G729" s="324"/>
      <c r="H729" s="324">
        <v>1998</v>
      </c>
      <c r="I729" s="325">
        <v>348.35</v>
      </c>
      <c r="J729" s="325"/>
      <c r="K729" s="325">
        <f t="shared" si="160"/>
        <v>0</v>
      </c>
      <c r="L729" s="325">
        <f t="shared" si="161"/>
        <v>0</v>
      </c>
      <c r="M729" s="407">
        <v>50</v>
      </c>
      <c r="N729" s="408" t="s">
        <v>289</v>
      </c>
      <c r="O729" s="325">
        <f t="shared" si="162"/>
        <v>0</v>
      </c>
      <c r="P729" s="325">
        <f t="shared" si="163"/>
        <v>0</v>
      </c>
      <c r="Q729" s="325">
        <f t="shared" si="164"/>
        <v>0</v>
      </c>
      <c r="R729" s="325">
        <f t="shared" si="165"/>
        <v>87</v>
      </c>
      <c r="S729" s="325">
        <f t="shared" si="166"/>
        <v>0</v>
      </c>
      <c r="T729" s="325">
        <f t="shared" si="167"/>
        <v>87</v>
      </c>
      <c r="U729" s="409">
        <f t="shared" si="168"/>
        <v>261.35000000000002</v>
      </c>
      <c r="V729" s="325">
        <f t="shared" si="169"/>
        <v>0</v>
      </c>
      <c r="W729" s="449" cm="1">
        <f t="array" ref="W729">+IF(U729&lt;0,error,0)</f>
        <v>0</v>
      </c>
    </row>
    <row r="730" spans="1:23" ht="18" customHeight="1" x14ac:dyDescent="0.2">
      <c r="A730" s="402" t="s">
        <v>1478</v>
      </c>
      <c r="B730" s="403"/>
      <c r="C730" s="404" t="s">
        <v>1479</v>
      </c>
      <c r="D730" s="405">
        <v>42791</v>
      </c>
      <c r="E730" s="406"/>
      <c r="F730" s="325"/>
      <c r="G730" s="324"/>
      <c r="H730" s="324">
        <v>1996.24</v>
      </c>
      <c r="I730" s="325">
        <v>347.24</v>
      </c>
      <c r="J730" s="325"/>
      <c r="K730" s="325">
        <f t="shared" si="160"/>
        <v>0</v>
      </c>
      <c r="L730" s="325">
        <f t="shared" si="161"/>
        <v>0</v>
      </c>
      <c r="M730" s="407">
        <v>50</v>
      </c>
      <c r="N730" s="408" t="s">
        <v>289</v>
      </c>
      <c r="O730" s="325">
        <f t="shared" si="162"/>
        <v>0</v>
      </c>
      <c r="P730" s="325">
        <f t="shared" si="163"/>
        <v>0</v>
      </c>
      <c r="Q730" s="325">
        <f t="shared" si="164"/>
        <v>0</v>
      </c>
      <c r="R730" s="325">
        <f t="shared" si="165"/>
        <v>86</v>
      </c>
      <c r="S730" s="325">
        <f t="shared" si="166"/>
        <v>0</v>
      </c>
      <c r="T730" s="325">
        <f t="shared" si="167"/>
        <v>86</v>
      </c>
      <c r="U730" s="409">
        <f t="shared" si="168"/>
        <v>261.24</v>
      </c>
      <c r="V730" s="325">
        <f t="shared" si="169"/>
        <v>0</v>
      </c>
      <c r="W730" s="449" cm="1">
        <f t="array" ref="W730">+IF(U730&lt;0,error,0)</f>
        <v>0</v>
      </c>
    </row>
    <row r="731" spans="1:23" ht="18" customHeight="1" x14ac:dyDescent="0.2">
      <c r="A731" s="402" t="s">
        <v>1480</v>
      </c>
      <c r="B731" s="403"/>
      <c r="C731" s="404" t="s">
        <v>1481</v>
      </c>
      <c r="D731" s="405">
        <v>42826</v>
      </c>
      <c r="E731" s="406"/>
      <c r="F731" s="325"/>
      <c r="G731" s="324"/>
      <c r="H731" s="324">
        <v>6244.63</v>
      </c>
      <c r="I731" s="325">
        <v>1148.6300000000001</v>
      </c>
      <c r="J731" s="325"/>
      <c r="K731" s="325">
        <f t="shared" si="160"/>
        <v>0</v>
      </c>
      <c r="L731" s="325">
        <f t="shared" si="161"/>
        <v>0</v>
      </c>
      <c r="M731" s="407">
        <v>50</v>
      </c>
      <c r="N731" s="408" t="s">
        <v>289</v>
      </c>
      <c r="O731" s="325">
        <f t="shared" si="162"/>
        <v>0</v>
      </c>
      <c r="P731" s="325">
        <f t="shared" si="163"/>
        <v>0</v>
      </c>
      <c r="Q731" s="325">
        <f t="shared" si="164"/>
        <v>0</v>
      </c>
      <c r="R731" s="325">
        <f t="shared" si="165"/>
        <v>287</v>
      </c>
      <c r="S731" s="325">
        <f t="shared" si="166"/>
        <v>0</v>
      </c>
      <c r="T731" s="325">
        <f t="shared" si="167"/>
        <v>287</v>
      </c>
      <c r="U731" s="409">
        <f t="shared" si="168"/>
        <v>861.63000000000011</v>
      </c>
      <c r="V731" s="325">
        <f t="shared" si="169"/>
        <v>0</v>
      </c>
      <c r="W731" s="449" cm="1">
        <f t="array" ref="W731">+IF(U731&lt;0,error,0)</f>
        <v>0</v>
      </c>
    </row>
    <row r="732" spans="1:23" ht="18" customHeight="1" x14ac:dyDescent="0.2">
      <c r="A732" s="402" t="s">
        <v>1488</v>
      </c>
      <c r="B732" s="403"/>
      <c r="C732" s="404" t="s">
        <v>1489</v>
      </c>
      <c r="D732" s="405">
        <v>43157</v>
      </c>
      <c r="E732" s="406"/>
      <c r="F732" s="325"/>
      <c r="G732" s="324"/>
      <c r="H732" s="324">
        <v>2908</v>
      </c>
      <c r="I732" s="325">
        <v>660</v>
      </c>
      <c r="J732" s="325"/>
      <c r="K732" s="325">
        <f t="shared" si="160"/>
        <v>0</v>
      </c>
      <c r="L732" s="325">
        <f t="shared" si="161"/>
        <v>0</v>
      </c>
      <c r="M732" s="407">
        <v>66.67</v>
      </c>
      <c r="N732" s="408" t="s">
        <v>289</v>
      </c>
      <c r="O732" s="325">
        <f t="shared" si="162"/>
        <v>0</v>
      </c>
      <c r="P732" s="325">
        <f t="shared" si="163"/>
        <v>0</v>
      </c>
      <c r="Q732" s="325">
        <f t="shared" si="164"/>
        <v>0</v>
      </c>
      <c r="R732" s="325">
        <f t="shared" si="165"/>
        <v>220</v>
      </c>
      <c r="S732" s="325">
        <f t="shared" si="166"/>
        <v>0</v>
      </c>
      <c r="T732" s="325">
        <f t="shared" si="167"/>
        <v>220</v>
      </c>
      <c r="U732" s="409">
        <f t="shared" si="168"/>
        <v>440</v>
      </c>
      <c r="V732" s="325">
        <f t="shared" si="169"/>
        <v>0</v>
      </c>
      <c r="W732" s="449" cm="1">
        <f t="array" ref="W732">+IF(U732&lt;0,error,0)</f>
        <v>0</v>
      </c>
    </row>
    <row r="733" spans="1:23" ht="18" customHeight="1" x14ac:dyDescent="0.2">
      <c r="A733" s="402" t="s">
        <v>1490</v>
      </c>
      <c r="B733" s="403"/>
      <c r="C733" s="404" t="s">
        <v>1489</v>
      </c>
      <c r="D733" s="405">
        <v>43157</v>
      </c>
      <c r="E733" s="406"/>
      <c r="F733" s="325"/>
      <c r="G733" s="324"/>
      <c r="H733" s="324">
        <v>2668</v>
      </c>
      <c r="I733" s="325">
        <v>605</v>
      </c>
      <c r="J733" s="325"/>
      <c r="K733" s="325">
        <f t="shared" si="160"/>
        <v>0</v>
      </c>
      <c r="L733" s="325">
        <f t="shared" si="161"/>
        <v>0</v>
      </c>
      <c r="M733" s="407">
        <v>66.67</v>
      </c>
      <c r="N733" s="408" t="s">
        <v>289</v>
      </c>
      <c r="O733" s="325">
        <f t="shared" si="162"/>
        <v>0</v>
      </c>
      <c r="P733" s="325">
        <f t="shared" si="163"/>
        <v>0</v>
      </c>
      <c r="Q733" s="325">
        <f t="shared" si="164"/>
        <v>0</v>
      </c>
      <c r="R733" s="325">
        <f t="shared" si="165"/>
        <v>201</v>
      </c>
      <c r="S733" s="325">
        <f t="shared" si="166"/>
        <v>0</v>
      </c>
      <c r="T733" s="325">
        <f t="shared" si="167"/>
        <v>201</v>
      </c>
      <c r="U733" s="409">
        <f t="shared" si="168"/>
        <v>404</v>
      </c>
      <c r="V733" s="325">
        <f t="shared" si="169"/>
        <v>0</v>
      </c>
      <c r="W733" s="449" cm="1">
        <f t="array" ref="W733">+IF(U733&lt;0,error,0)</f>
        <v>0</v>
      </c>
    </row>
    <row r="734" spans="1:23" ht="18" customHeight="1" x14ac:dyDescent="0.2">
      <c r="A734" s="402" t="s">
        <v>1495</v>
      </c>
      <c r="B734" s="403"/>
      <c r="C734" s="404" t="s">
        <v>1496</v>
      </c>
      <c r="D734" s="405">
        <v>43191</v>
      </c>
      <c r="E734" s="406"/>
      <c r="F734" s="325"/>
      <c r="G734" s="324"/>
      <c r="H734" s="324">
        <v>8732</v>
      </c>
      <c r="I734" s="325">
        <v>3210.9702000000007</v>
      </c>
      <c r="J734" s="325"/>
      <c r="K734" s="325">
        <f t="shared" si="160"/>
        <v>0</v>
      </c>
      <c r="L734" s="325">
        <f t="shared" si="161"/>
        <v>0</v>
      </c>
      <c r="M734" s="407">
        <v>50</v>
      </c>
      <c r="N734" s="408" t="s">
        <v>289</v>
      </c>
      <c r="O734" s="325">
        <f t="shared" si="162"/>
        <v>0</v>
      </c>
      <c r="P734" s="325">
        <f t="shared" si="163"/>
        <v>0</v>
      </c>
      <c r="Q734" s="325">
        <f t="shared" si="164"/>
        <v>0</v>
      </c>
      <c r="R734" s="325">
        <f t="shared" si="165"/>
        <v>802</v>
      </c>
      <c r="S734" s="325">
        <f t="shared" si="166"/>
        <v>0</v>
      </c>
      <c r="T734" s="325">
        <f t="shared" si="167"/>
        <v>802</v>
      </c>
      <c r="U734" s="409">
        <f t="shared" si="168"/>
        <v>2408.9702000000007</v>
      </c>
      <c r="V734" s="325">
        <f t="shared" si="169"/>
        <v>0</v>
      </c>
      <c r="W734" s="449" cm="1">
        <f t="array" ref="W734">+IF(U734&lt;0,error,0)</f>
        <v>0</v>
      </c>
    </row>
    <row r="735" spans="1:23" ht="18" customHeight="1" x14ac:dyDescent="0.2">
      <c r="A735" s="402" t="s">
        <v>1499</v>
      </c>
      <c r="B735" s="403"/>
      <c r="C735" s="404" t="s">
        <v>1500</v>
      </c>
      <c r="D735" s="405">
        <v>42944</v>
      </c>
      <c r="E735" s="406"/>
      <c r="F735" s="325"/>
      <c r="G735" s="324"/>
      <c r="H735" s="324">
        <v>16899</v>
      </c>
      <c r="I735" s="325">
        <v>3811</v>
      </c>
      <c r="J735" s="325"/>
      <c r="K735" s="325">
        <f t="shared" si="160"/>
        <v>0</v>
      </c>
      <c r="L735" s="325">
        <f t="shared" si="161"/>
        <v>0</v>
      </c>
      <c r="M735" s="407">
        <v>50</v>
      </c>
      <c r="N735" s="408" t="s">
        <v>289</v>
      </c>
      <c r="O735" s="325">
        <f t="shared" si="162"/>
        <v>0</v>
      </c>
      <c r="P735" s="325">
        <f t="shared" si="163"/>
        <v>0</v>
      </c>
      <c r="Q735" s="325">
        <f t="shared" si="164"/>
        <v>0</v>
      </c>
      <c r="R735" s="325">
        <f t="shared" si="165"/>
        <v>952</v>
      </c>
      <c r="S735" s="325">
        <f t="shared" si="166"/>
        <v>0</v>
      </c>
      <c r="T735" s="325">
        <f t="shared" si="167"/>
        <v>952</v>
      </c>
      <c r="U735" s="409">
        <f t="shared" si="168"/>
        <v>2859</v>
      </c>
      <c r="V735" s="325">
        <f t="shared" si="169"/>
        <v>0</v>
      </c>
      <c r="W735" s="449" cm="1">
        <f t="array" ref="W735">+IF(U735&lt;0,error,0)</f>
        <v>0</v>
      </c>
    </row>
    <row r="736" spans="1:23" ht="18" customHeight="1" x14ac:dyDescent="0.2">
      <c r="A736" s="402" t="s">
        <v>1501</v>
      </c>
      <c r="B736" s="403"/>
      <c r="C736" s="404" t="s">
        <v>1502</v>
      </c>
      <c r="D736" s="405">
        <v>42976</v>
      </c>
      <c r="E736" s="406"/>
      <c r="F736" s="325"/>
      <c r="G736" s="324"/>
      <c r="H736" s="324">
        <v>1492.53</v>
      </c>
      <c r="I736" s="325">
        <v>364.53</v>
      </c>
      <c r="J736" s="325"/>
      <c r="K736" s="325">
        <f t="shared" si="160"/>
        <v>0</v>
      </c>
      <c r="L736" s="325">
        <f t="shared" si="161"/>
        <v>0</v>
      </c>
      <c r="M736" s="407">
        <v>50</v>
      </c>
      <c r="N736" s="408" t="s">
        <v>289</v>
      </c>
      <c r="O736" s="325">
        <f t="shared" si="162"/>
        <v>0</v>
      </c>
      <c r="P736" s="325">
        <f t="shared" si="163"/>
        <v>0</v>
      </c>
      <c r="Q736" s="325">
        <f t="shared" si="164"/>
        <v>0</v>
      </c>
      <c r="R736" s="325">
        <f t="shared" si="165"/>
        <v>91</v>
      </c>
      <c r="S736" s="325">
        <f t="shared" si="166"/>
        <v>0</v>
      </c>
      <c r="T736" s="325">
        <f t="shared" si="167"/>
        <v>91</v>
      </c>
      <c r="U736" s="409">
        <f t="shared" si="168"/>
        <v>273.52999999999997</v>
      </c>
      <c r="V736" s="325">
        <f t="shared" si="169"/>
        <v>0</v>
      </c>
      <c r="W736" s="449" cm="1">
        <f t="array" ref="W736">+IF(U736&lt;0,error,0)</f>
        <v>0</v>
      </c>
    </row>
    <row r="737" spans="1:23" ht="18" customHeight="1" x14ac:dyDescent="0.2">
      <c r="A737" s="402" t="s">
        <v>1503</v>
      </c>
      <c r="B737" s="403"/>
      <c r="C737" s="404" t="s">
        <v>1504</v>
      </c>
      <c r="D737" s="405">
        <v>42996</v>
      </c>
      <c r="E737" s="406"/>
      <c r="F737" s="325"/>
      <c r="G737" s="324"/>
      <c r="H737" s="324">
        <v>1551</v>
      </c>
      <c r="I737" s="325">
        <v>396</v>
      </c>
      <c r="J737" s="325"/>
      <c r="K737" s="325">
        <f t="shared" si="160"/>
        <v>0</v>
      </c>
      <c r="L737" s="325">
        <f t="shared" si="161"/>
        <v>0</v>
      </c>
      <c r="M737" s="407">
        <v>50</v>
      </c>
      <c r="N737" s="408" t="s">
        <v>289</v>
      </c>
      <c r="O737" s="325">
        <f t="shared" si="162"/>
        <v>0</v>
      </c>
      <c r="P737" s="325">
        <f t="shared" si="163"/>
        <v>0</v>
      </c>
      <c r="Q737" s="325">
        <f t="shared" si="164"/>
        <v>0</v>
      </c>
      <c r="R737" s="325">
        <f t="shared" si="165"/>
        <v>99</v>
      </c>
      <c r="S737" s="325">
        <f t="shared" si="166"/>
        <v>0</v>
      </c>
      <c r="T737" s="325">
        <f t="shared" si="167"/>
        <v>99</v>
      </c>
      <c r="U737" s="409">
        <f t="shared" si="168"/>
        <v>297</v>
      </c>
      <c r="V737" s="325">
        <f t="shared" si="169"/>
        <v>0</v>
      </c>
      <c r="W737" s="449" cm="1">
        <f t="array" ref="W737">+IF(U737&lt;0,error,0)</f>
        <v>0</v>
      </c>
    </row>
    <row r="738" spans="1:23" ht="18" customHeight="1" x14ac:dyDescent="0.2">
      <c r="A738" s="402" t="s">
        <v>1505</v>
      </c>
      <c r="B738" s="403"/>
      <c r="C738" s="404" t="s">
        <v>1506</v>
      </c>
      <c r="D738" s="405">
        <v>42996</v>
      </c>
      <c r="E738" s="406"/>
      <c r="F738" s="325"/>
      <c r="G738" s="324"/>
      <c r="H738" s="324">
        <v>1564</v>
      </c>
      <c r="I738" s="325">
        <v>400</v>
      </c>
      <c r="J738" s="325"/>
      <c r="K738" s="325">
        <f t="shared" si="160"/>
        <v>0</v>
      </c>
      <c r="L738" s="325">
        <f t="shared" si="161"/>
        <v>0</v>
      </c>
      <c r="M738" s="407">
        <v>50</v>
      </c>
      <c r="N738" s="408" t="s">
        <v>289</v>
      </c>
      <c r="O738" s="325">
        <f t="shared" si="162"/>
        <v>0</v>
      </c>
      <c r="P738" s="325">
        <f t="shared" si="163"/>
        <v>0</v>
      </c>
      <c r="Q738" s="325">
        <f t="shared" si="164"/>
        <v>0</v>
      </c>
      <c r="R738" s="325">
        <f t="shared" si="165"/>
        <v>100</v>
      </c>
      <c r="S738" s="325">
        <f t="shared" si="166"/>
        <v>0</v>
      </c>
      <c r="T738" s="325">
        <f t="shared" si="167"/>
        <v>100</v>
      </c>
      <c r="U738" s="409">
        <f t="shared" si="168"/>
        <v>300</v>
      </c>
      <c r="V738" s="325">
        <f t="shared" si="169"/>
        <v>0</v>
      </c>
      <c r="W738" s="449" cm="1">
        <f t="array" ref="W738">+IF(U738&lt;0,error,0)</f>
        <v>0</v>
      </c>
    </row>
    <row r="739" spans="1:23" ht="18" customHeight="1" x14ac:dyDescent="0.2">
      <c r="A739" s="402" t="s">
        <v>1507</v>
      </c>
      <c r="B739" s="403"/>
      <c r="C739" s="404" t="s">
        <v>1508</v>
      </c>
      <c r="D739" s="405">
        <v>43009</v>
      </c>
      <c r="E739" s="406"/>
      <c r="F739" s="325"/>
      <c r="G739" s="324"/>
      <c r="H739" s="324">
        <v>3289.9900000000002</v>
      </c>
      <c r="I739" s="325">
        <v>865.99</v>
      </c>
      <c r="J739" s="325"/>
      <c r="K739" s="325">
        <f t="shared" si="160"/>
        <v>0</v>
      </c>
      <c r="L739" s="325">
        <f t="shared" si="161"/>
        <v>0</v>
      </c>
      <c r="M739" s="407">
        <v>50</v>
      </c>
      <c r="N739" s="408" t="s">
        <v>289</v>
      </c>
      <c r="O739" s="325">
        <f t="shared" si="162"/>
        <v>0</v>
      </c>
      <c r="P739" s="325">
        <f t="shared" si="163"/>
        <v>0</v>
      </c>
      <c r="Q739" s="325">
        <f t="shared" si="164"/>
        <v>0</v>
      </c>
      <c r="R739" s="325">
        <f t="shared" si="165"/>
        <v>216</v>
      </c>
      <c r="S739" s="325">
        <f t="shared" si="166"/>
        <v>0</v>
      </c>
      <c r="T739" s="325">
        <f t="shared" si="167"/>
        <v>216</v>
      </c>
      <c r="U739" s="409">
        <f t="shared" si="168"/>
        <v>649.99</v>
      </c>
      <c r="V739" s="325">
        <f t="shared" si="169"/>
        <v>0</v>
      </c>
      <c r="W739" s="449" cm="1">
        <f t="array" ref="W739">+IF(U739&lt;0,error,0)</f>
        <v>0</v>
      </c>
    </row>
    <row r="740" spans="1:23" ht="18" customHeight="1" x14ac:dyDescent="0.2">
      <c r="A740" s="402" t="s">
        <v>1509</v>
      </c>
      <c r="B740" s="403"/>
      <c r="C740" s="404" t="s">
        <v>1510</v>
      </c>
      <c r="D740" s="405">
        <v>43009</v>
      </c>
      <c r="E740" s="406"/>
      <c r="F740" s="325"/>
      <c r="G740" s="324"/>
      <c r="H740" s="324">
        <v>3445.1</v>
      </c>
      <c r="I740" s="325">
        <v>906.10000000000014</v>
      </c>
      <c r="J740" s="325"/>
      <c r="K740" s="325">
        <f t="shared" si="160"/>
        <v>0</v>
      </c>
      <c r="L740" s="325">
        <f t="shared" si="161"/>
        <v>0</v>
      </c>
      <c r="M740" s="407">
        <v>50</v>
      </c>
      <c r="N740" s="408" t="s">
        <v>289</v>
      </c>
      <c r="O740" s="325">
        <f t="shared" si="162"/>
        <v>0</v>
      </c>
      <c r="P740" s="325">
        <f t="shared" si="163"/>
        <v>0</v>
      </c>
      <c r="Q740" s="325">
        <f t="shared" si="164"/>
        <v>0</v>
      </c>
      <c r="R740" s="325">
        <f t="shared" si="165"/>
        <v>226</v>
      </c>
      <c r="S740" s="325">
        <f t="shared" si="166"/>
        <v>0</v>
      </c>
      <c r="T740" s="325">
        <f t="shared" si="167"/>
        <v>226</v>
      </c>
      <c r="U740" s="409">
        <f t="shared" si="168"/>
        <v>680.10000000000014</v>
      </c>
      <c r="V740" s="325">
        <f t="shared" si="169"/>
        <v>0</v>
      </c>
      <c r="W740" s="449" cm="1">
        <f t="array" ref="W740">+IF(U740&lt;0,error,0)</f>
        <v>0</v>
      </c>
    </row>
    <row r="741" spans="1:23" ht="18" customHeight="1" x14ac:dyDescent="0.2">
      <c r="A741" s="402" t="s">
        <v>1511</v>
      </c>
      <c r="B741" s="403"/>
      <c r="C741" s="404" t="s">
        <v>1512</v>
      </c>
      <c r="D741" s="405">
        <v>43009</v>
      </c>
      <c r="E741" s="406"/>
      <c r="F741" s="325"/>
      <c r="G741" s="324"/>
      <c r="H741" s="324">
        <v>1645</v>
      </c>
      <c r="I741" s="325">
        <v>433</v>
      </c>
      <c r="J741" s="325"/>
      <c r="K741" s="325">
        <f t="shared" si="160"/>
        <v>0</v>
      </c>
      <c r="L741" s="325">
        <f t="shared" si="161"/>
        <v>0</v>
      </c>
      <c r="M741" s="407">
        <v>50</v>
      </c>
      <c r="N741" s="408" t="s">
        <v>289</v>
      </c>
      <c r="O741" s="325">
        <f t="shared" si="162"/>
        <v>0</v>
      </c>
      <c r="P741" s="325">
        <f t="shared" si="163"/>
        <v>0</v>
      </c>
      <c r="Q741" s="325">
        <f t="shared" si="164"/>
        <v>0</v>
      </c>
      <c r="R741" s="325">
        <f t="shared" si="165"/>
        <v>108</v>
      </c>
      <c r="S741" s="325">
        <f t="shared" si="166"/>
        <v>0</v>
      </c>
      <c r="T741" s="325">
        <f t="shared" si="167"/>
        <v>108</v>
      </c>
      <c r="U741" s="409">
        <f t="shared" si="168"/>
        <v>325</v>
      </c>
      <c r="V741" s="325">
        <f t="shared" si="169"/>
        <v>0</v>
      </c>
      <c r="W741" s="449" cm="1">
        <f t="array" ref="W741">+IF(U741&lt;0,error,0)</f>
        <v>0</v>
      </c>
    </row>
    <row r="742" spans="1:23" ht="18" customHeight="1" x14ac:dyDescent="0.2">
      <c r="A742" s="402" t="s">
        <v>1513</v>
      </c>
      <c r="B742" s="403"/>
      <c r="C742" s="411" t="s">
        <v>1514</v>
      </c>
      <c r="D742" s="405">
        <v>43009</v>
      </c>
      <c r="E742" s="406"/>
      <c r="F742" s="325"/>
      <c r="G742" s="439"/>
      <c r="H742" s="324">
        <v>3358.6</v>
      </c>
      <c r="I742" s="325">
        <v>883.60000000000014</v>
      </c>
      <c r="J742" s="325"/>
      <c r="K742" s="325">
        <f t="shared" si="160"/>
        <v>0</v>
      </c>
      <c r="L742" s="325">
        <f t="shared" si="161"/>
        <v>0</v>
      </c>
      <c r="M742" s="407">
        <v>50</v>
      </c>
      <c r="N742" s="408" t="s">
        <v>289</v>
      </c>
      <c r="O742" s="325">
        <f t="shared" si="162"/>
        <v>0</v>
      </c>
      <c r="P742" s="325">
        <f t="shared" si="163"/>
        <v>0</v>
      </c>
      <c r="Q742" s="325">
        <f t="shared" si="164"/>
        <v>0</v>
      </c>
      <c r="R742" s="325">
        <f t="shared" si="165"/>
        <v>220</v>
      </c>
      <c r="S742" s="325">
        <f t="shared" si="166"/>
        <v>0</v>
      </c>
      <c r="T742" s="325">
        <f t="shared" si="167"/>
        <v>220</v>
      </c>
      <c r="U742" s="409">
        <f t="shared" si="168"/>
        <v>663.60000000000014</v>
      </c>
      <c r="V742" s="325">
        <f t="shared" si="169"/>
        <v>0</v>
      </c>
      <c r="W742" s="449" cm="1">
        <f t="array" ref="W742">+IF(U742&lt;0,error,0)</f>
        <v>0</v>
      </c>
    </row>
    <row r="743" spans="1:23" ht="18" customHeight="1" x14ac:dyDescent="0.2">
      <c r="A743" s="402" t="s">
        <v>1515</v>
      </c>
      <c r="B743" s="403"/>
      <c r="C743" s="404" t="s">
        <v>1516</v>
      </c>
      <c r="D743" s="405">
        <v>43046</v>
      </c>
      <c r="E743" s="406"/>
      <c r="F743" s="325"/>
      <c r="G743" s="324"/>
      <c r="H743" s="324">
        <v>47895</v>
      </c>
      <c r="I743" s="325">
        <v>13611</v>
      </c>
      <c r="J743" s="325"/>
      <c r="K743" s="325">
        <f t="shared" si="160"/>
        <v>0</v>
      </c>
      <c r="L743" s="325">
        <f t="shared" si="161"/>
        <v>0</v>
      </c>
      <c r="M743" s="407">
        <v>50</v>
      </c>
      <c r="N743" s="408" t="s">
        <v>289</v>
      </c>
      <c r="O743" s="325">
        <f t="shared" si="162"/>
        <v>0</v>
      </c>
      <c r="P743" s="325">
        <f t="shared" si="163"/>
        <v>0</v>
      </c>
      <c r="Q743" s="325">
        <f t="shared" si="164"/>
        <v>0</v>
      </c>
      <c r="R743" s="325">
        <f t="shared" si="165"/>
        <v>3402</v>
      </c>
      <c r="S743" s="325">
        <f t="shared" si="166"/>
        <v>0</v>
      </c>
      <c r="T743" s="325">
        <f t="shared" si="167"/>
        <v>3402</v>
      </c>
      <c r="U743" s="409">
        <f t="shared" si="168"/>
        <v>10209</v>
      </c>
      <c r="V743" s="325">
        <f t="shared" si="169"/>
        <v>0</v>
      </c>
      <c r="W743" s="449" cm="1">
        <f t="array" ref="W743">+IF(U743&lt;0,error,0)</f>
        <v>0</v>
      </c>
    </row>
    <row r="744" spans="1:23" ht="18" customHeight="1" x14ac:dyDescent="0.2">
      <c r="A744" s="402" t="s">
        <v>1517</v>
      </c>
      <c r="B744" s="403"/>
      <c r="C744" s="411" t="s">
        <v>1518</v>
      </c>
      <c r="D744" s="405">
        <v>43146</v>
      </c>
      <c r="E744" s="406"/>
      <c r="F744" s="325"/>
      <c r="G744" s="439"/>
      <c r="H744" s="324">
        <v>3274</v>
      </c>
      <c r="I744" s="325">
        <v>723</v>
      </c>
      <c r="J744" s="325"/>
      <c r="K744" s="325">
        <f t="shared" si="160"/>
        <v>0</v>
      </c>
      <c r="L744" s="325">
        <f t="shared" si="161"/>
        <v>0</v>
      </c>
      <c r="M744" s="407">
        <v>66.67</v>
      </c>
      <c r="N744" s="408" t="s">
        <v>289</v>
      </c>
      <c r="O744" s="325">
        <f t="shared" si="162"/>
        <v>0</v>
      </c>
      <c r="P744" s="325">
        <f t="shared" si="163"/>
        <v>0</v>
      </c>
      <c r="Q744" s="325">
        <f t="shared" si="164"/>
        <v>0</v>
      </c>
      <c r="R744" s="325">
        <f t="shared" si="165"/>
        <v>241</v>
      </c>
      <c r="S744" s="325">
        <f t="shared" si="166"/>
        <v>0</v>
      </c>
      <c r="T744" s="325">
        <f t="shared" si="167"/>
        <v>241</v>
      </c>
      <c r="U744" s="409">
        <f t="shared" si="168"/>
        <v>482</v>
      </c>
      <c r="V744" s="325">
        <f t="shared" si="169"/>
        <v>0</v>
      </c>
      <c r="W744" s="449" cm="1">
        <f t="array" ref="W744">+IF(U744&lt;0,error,0)</f>
        <v>0</v>
      </c>
    </row>
    <row r="745" spans="1:23" ht="18" customHeight="1" x14ac:dyDescent="0.2">
      <c r="A745" s="402" t="s">
        <v>1519</v>
      </c>
      <c r="B745" s="403"/>
      <c r="C745" s="404" t="s">
        <v>1520</v>
      </c>
      <c r="D745" s="405">
        <v>43149</v>
      </c>
      <c r="E745" s="406"/>
      <c r="F745" s="325"/>
      <c r="G745" s="324"/>
      <c r="H745" s="324">
        <v>17500</v>
      </c>
      <c r="I745" s="325">
        <v>6010</v>
      </c>
      <c r="J745" s="325"/>
      <c r="K745" s="325">
        <f t="shared" si="160"/>
        <v>0</v>
      </c>
      <c r="L745" s="325">
        <f t="shared" si="161"/>
        <v>0</v>
      </c>
      <c r="M745" s="407">
        <v>50</v>
      </c>
      <c r="N745" s="408" t="s">
        <v>289</v>
      </c>
      <c r="O745" s="325">
        <f t="shared" si="162"/>
        <v>0</v>
      </c>
      <c r="P745" s="325">
        <f t="shared" si="163"/>
        <v>0</v>
      </c>
      <c r="Q745" s="325">
        <f t="shared" si="164"/>
        <v>0</v>
      </c>
      <c r="R745" s="325">
        <f t="shared" si="165"/>
        <v>1502</v>
      </c>
      <c r="S745" s="325">
        <f t="shared" si="166"/>
        <v>0</v>
      </c>
      <c r="T745" s="325">
        <f t="shared" si="167"/>
        <v>1502</v>
      </c>
      <c r="U745" s="409">
        <f t="shared" si="168"/>
        <v>4508</v>
      </c>
      <c r="V745" s="325">
        <f t="shared" si="169"/>
        <v>0</v>
      </c>
      <c r="W745" s="449" cm="1">
        <f t="array" ref="W745">+IF(U745&lt;0,error,0)</f>
        <v>0</v>
      </c>
    </row>
    <row r="746" spans="1:23" ht="18" customHeight="1" x14ac:dyDescent="0.2">
      <c r="A746" s="402" t="s">
        <v>1521</v>
      </c>
      <c r="B746" s="403"/>
      <c r="C746" s="411" t="s">
        <v>1522</v>
      </c>
      <c r="D746" s="405">
        <v>43153</v>
      </c>
      <c r="E746" s="406"/>
      <c r="F746" s="325"/>
      <c r="G746" s="324"/>
      <c r="H746" s="324">
        <v>20154</v>
      </c>
      <c r="I746" s="325">
        <v>6968</v>
      </c>
      <c r="J746" s="325"/>
      <c r="K746" s="325">
        <f t="shared" si="160"/>
        <v>0</v>
      </c>
      <c r="L746" s="325">
        <f t="shared" si="161"/>
        <v>0</v>
      </c>
      <c r="M746" s="407">
        <v>50</v>
      </c>
      <c r="N746" s="408" t="s">
        <v>289</v>
      </c>
      <c r="O746" s="325">
        <f t="shared" si="162"/>
        <v>0</v>
      </c>
      <c r="P746" s="325">
        <f t="shared" si="163"/>
        <v>0</v>
      </c>
      <c r="Q746" s="325">
        <f t="shared" si="164"/>
        <v>0</v>
      </c>
      <c r="R746" s="325">
        <f t="shared" si="165"/>
        <v>1742</v>
      </c>
      <c r="S746" s="325">
        <f t="shared" si="166"/>
        <v>0</v>
      </c>
      <c r="T746" s="325">
        <f t="shared" si="167"/>
        <v>1742</v>
      </c>
      <c r="U746" s="409">
        <f t="shared" si="168"/>
        <v>5226</v>
      </c>
      <c r="V746" s="325">
        <f t="shared" si="169"/>
        <v>0</v>
      </c>
      <c r="W746" s="449" cm="1">
        <f t="array" ref="W746">+IF(U746&lt;0,error,0)</f>
        <v>0</v>
      </c>
    </row>
    <row r="747" spans="1:23" ht="18" customHeight="1" x14ac:dyDescent="0.2">
      <c r="A747" s="402" t="s">
        <v>1523</v>
      </c>
      <c r="B747" s="403"/>
      <c r="C747" s="404" t="s">
        <v>1524</v>
      </c>
      <c r="D747" s="405">
        <v>43157</v>
      </c>
      <c r="E747" s="406"/>
      <c r="F747" s="325"/>
      <c r="G747" s="324"/>
      <c r="H747" s="324">
        <v>27829</v>
      </c>
      <c r="I747" s="325">
        <v>6305</v>
      </c>
      <c r="J747" s="325"/>
      <c r="K747" s="325">
        <f t="shared" si="160"/>
        <v>0</v>
      </c>
      <c r="L747" s="325">
        <f t="shared" si="161"/>
        <v>0</v>
      </c>
      <c r="M747" s="407">
        <v>66.67</v>
      </c>
      <c r="N747" s="408" t="s">
        <v>289</v>
      </c>
      <c r="O747" s="325">
        <f t="shared" si="162"/>
        <v>0</v>
      </c>
      <c r="P747" s="325">
        <f t="shared" si="163"/>
        <v>0</v>
      </c>
      <c r="Q747" s="325">
        <f t="shared" si="164"/>
        <v>0</v>
      </c>
      <c r="R747" s="325">
        <f t="shared" si="165"/>
        <v>2101</v>
      </c>
      <c r="S747" s="325">
        <f t="shared" si="166"/>
        <v>0</v>
      </c>
      <c r="T747" s="325">
        <f t="shared" si="167"/>
        <v>2101</v>
      </c>
      <c r="U747" s="409">
        <f t="shared" si="168"/>
        <v>4204</v>
      </c>
      <c r="V747" s="325">
        <f t="shared" si="169"/>
        <v>0</v>
      </c>
      <c r="W747" s="449" cm="1">
        <f t="array" ref="W747">+IF(U747&lt;0,error,0)</f>
        <v>0</v>
      </c>
    </row>
    <row r="748" spans="1:23" ht="18" customHeight="1" x14ac:dyDescent="0.2">
      <c r="A748" s="402" t="s">
        <v>1525</v>
      </c>
      <c r="B748" s="403"/>
      <c r="C748" s="404" t="s">
        <v>1526</v>
      </c>
      <c r="D748" s="405">
        <v>43157</v>
      </c>
      <c r="E748" s="406"/>
      <c r="F748" s="325"/>
      <c r="G748" s="324"/>
      <c r="H748" s="324">
        <v>24750</v>
      </c>
      <c r="I748" s="325">
        <v>8614</v>
      </c>
      <c r="J748" s="325"/>
      <c r="K748" s="325">
        <f t="shared" si="160"/>
        <v>0</v>
      </c>
      <c r="L748" s="325">
        <f t="shared" si="161"/>
        <v>0</v>
      </c>
      <c r="M748" s="407">
        <v>50</v>
      </c>
      <c r="N748" s="408" t="s">
        <v>289</v>
      </c>
      <c r="O748" s="325">
        <f t="shared" si="162"/>
        <v>0</v>
      </c>
      <c r="P748" s="325">
        <f t="shared" si="163"/>
        <v>0</v>
      </c>
      <c r="Q748" s="325">
        <f t="shared" si="164"/>
        <v>0</v>
      </c>
      <c r="R748" s="325">
        <f t="shared" si="165"/>
        <v>2153</v>
      </c>
      <c r="S748" s="325">
        <f t="shared" si="166"/>
        <v>0</v>
      </c>
      <c r="T748" s="325">
        <f t="shared" si="167"/>
        <v>2153</v>
      </c>
      <c r="U748" s="409">
        <f t="shared" si="168"/>
        <v>6461</v>
      </c>
      <c r="V748" s="325">
        <f t="shared" si="169"/>
        <v>0</v>
      </c>
      <c r="W748" s="449" cm="1">
        <f t="array" ref="W748">+IF(U748&lt;0,error,0)</f>
        <v>0</v>
      </c>
    </row>
    <row r="749" spans="1:23" ht="18" customHeight="1" x14ac:dyDescent="0.2">
      <c r="A749" s="402" t="s">
        <v>1527</v>
      </c>
      <c r="B749" s="403"/>
      <c r="C749" s="404" t="s">
        <v>1528</v>
      </c>
      <c r="D749" s="405">
        <v>43167</v>
      </c>
      <c r="E749" s="406"/>
      <c r="F749" s="325"/>
      <c r="G749" s="324"/>
      <c r="H749" s="324">
        <v>4576.83</v>
      </c>
      <c r="I749" s="325">
        <v>1620.83</v>
      </c>
      <c r="J749" s="325"/>
      <c r="K749" s="325">
        <f t="shared" si="160"/>
        <v>0</v>
      </c>
      <c r="L749" s="325">
        <f t="shared" si="161"/>
        <v>0</v>
      </c>
      <c r="M749" s="407">
        <v>50</v>
      </c>
      <c r="N749" s="408" t="s">
        <v>289</v>
      </c>
      <c r="O749" s="325">
        <f t="shared" si="162"/>
        <v>0</v>
      </c>
      <c r="P749" s="325">
        <f t="shared" si="163"/>
        <v>0</v>
      </c>
      <c r="Q749" s="325">
        <f t="shared" si="164"/>
        <v>0</v>
      </c>
      <c r="R749" s="325">
        <f t="shared" si="165"/>
        <v>405</v>
      </c>
      <c r="S749" s="325">
        <f t="shared" si="166"/>
        <v>0</v>
      </c>
      <c r="T749" s="325">
        <f t="shared" si="167"/>
        <v>405</v>
      </c>
      <c r="U749" s="409">
        <f t="shared" si="168"/>
        <v>1215.83</v>
      </c>
      <c r="V749" s="325">
        <f t="shared" si="169"/>
        <v>0</v>
      </c>
      <c r="W749" s="449" cm="1">
        <f t="array" ref="W749">+IF(U749&lt;0,error,0)</f>
        <v>0</v>
      </c>
    </row>
    <row r="750" spans="1:23" ht="18" customHeight="1" x14ac:dyDescent="0.2">
      <c r="A750" s="402" t="s">
        <v>1529</v>
      </c>
      <c r="B750" s="403"/>
      <c r="C750" s="411" t="s">
        <v>1530</v>
      </c>
      <c r="D750" s="405">
        <v>43167</v>
      </c>
      <c r="E750" s="406"/>
      <c r="F750" s="325"/>
      <c r="G750" s="439"/>
      <c r="H750" s="324">
        <v>3292.12</v>
      </c>
      <c r="I750" s="325">
        <v>1165.1199999999999</v>
      </c>
      <c r="J750" s="325"/>
      <c r="K750" s="325">
        <f t="shared" si="160"/>
        <v>0</v>
      </c>
      <c r="L750" s="325">
        <f t="shared" si="161"/>
        <v>0</v>
      </c>
      <c r="M750" s="407">
        <v>50</v>
      </c>
      <c r="N750" s="408" t="s">
        <v>289</v>
      </c>
      <c r="O750" s="325">
        <f t="shared" si="162"/>
        <v>0</v>
      </c>
      <c r="P750" s="325">
        <f t="shared" si="163"/>
        <v>0</v>
      </c>
      <c r="Q750" s="325">
        <f t="shared" si="164"/>
        <v>0</v>
      </c>
      <c r="R750" s="325">
        <f t="shared" si="165"/>
        <v>291</v>
      </c>
      <c r="S750" s="325">
        <f t="shared" si="166"/>
        <v>0</v>
      </c>
      <c r="T750" s="325">
        <f t="shared" si="167"/>
        <v>291</v>
      </c>
      <c r="U750" s="409">
        <f t="shared" si="168"/>
        <v>874.11999999999989</v>
      </c>
      <c r="V750" s="325">
        <f t="shared" si="169"/>
        <v>0</v>
      </c>
      <c r="W750" s="449" cm="1">
        <f t="array" ref="W750">+IF(U750&lt;0,error,0)</f>
        <v>0</v>
      </c>
    </row>
    <row r="751" spans="1:23" ht="18" customHeight="1" x14ac:dyDescent="0.2">
      <c r="A751" s="402" t="s">
        <v>1531</v>
      </c>
      <c r="B751" s="403"/>
      <c r="C751" s="404" t="s">
        <v>1532</v>
      </c>
      <c r="D751" s="405">
        <v>43167</v>
      </c>
      <c r="E751" s="406"/>
      <c r="F751" s="325"/>
      <c r="G751" s="324"/>
      <c r="H751" s="324">
        <v>10679.26</v>
      </c>
      <c r="I751" s="325">
        <v>3778.26</v>
      </c>
      <c r="J751" s="325"/>
      <c r="K751" s="325">
        <f t="shared" si="160"/>
        <v>0</v>
      </c>
      <c r="L751" s="325">
        <f t="shared" si="161"/>
        <v>0</v>
      </c>
      <c r="M751" s="407">
        <v>50</v>
      </c>
      <c r="N751" s="408" t="s">
        <v>289</v>
      </c>
      <c r="O751" s="325">
        <f t="shared" si="162"/>
        <v>0</v>
      </c>
      <c r="P751" s="325">
        <f t="shared" si="163"/>
        <v>0</v>
      </c>
      <c r="Q751" s="325">
        <f t="shared" si="164"/>
        <v>0</v>
      </c>
      <c r="R751" s="325">
        <f t="shared" si="165"/>
        <v>944</v>
      </c>
      <c r="S751" s="325">
        <f t="shared" si="166"/>
        <v>0</v>
      </c>
      <c r="T751" s="325">
        <f t="shared" si="167"/>
        <v>944</v>
      </c>
      <c r="U751" s="409">
        <f t="shared" si="168"/>
        <v>2834.26</v>
      </c>
      <c r="V751" s="325">
        <f t="shared" si="169"/>
        <v>0</v>
      </c>
      <c r="W751" s="449" cm="1">
        <f t="array" ref="W751">+IF(U751&lt;0,error,0)</f>
        <v>0</v>
      </c>
    </row>
    <row r="752" spans="1:23" ht="18" customHeight="1" x14ac:dyDescent="0.2">
      <c r="A752" s="402" t="s">
        <v>1533</v>
      </c>
      <c r="B752" s="403"/>
      <c r="C752" s="411" t="s">
        <v>1534</v>
      </c>
      <c r="D752" s="405">
        <v>43185</v>
      </c>
      <c r="E752" s="406"/>
      <c r="F752" s="325"/>
      <c r="G752" s="324"/>
      <c r="H752" s="324">
        <v>6040</v>
      </c>
      <c r="I752" s="325">
        <v>2199</v>
      </c>
      <c r="J752" s="325"/>
      <c r="K752" s="325">
        <f t="shared" si="160"/>
        <v>0</v>
      </c>
      <c r="L752" s="325">
        <f t="shared" si="161"/>
        <v>0</v>
      </c>
      <c r="M752" s="407">
        <v>50</v>
      </c>
      <c r="N752" s="408" t="s">
        <v>289</v>
      </c>
      <c r="O752" s="325">
        <f t="shared" si="162"/>
        <v>0</v>
      </c>
      <c r="P752" s="325">
        <f t="shared" si="163"/>
        <v>0</v>
      </c>
      <c r="Q752" s="325">
        <f t="shared" si="164"/>
        <v>0</v>
      </c>
      <c r="R752" s="325">
        <f t="shared" si="165"/>
        <v>549</v>
      </c>
      <c r="S752" s="325">
        <f t="shared" si="166"/>
        <v>0</v>
      </c>
      <c r="T752" s="325">
        <f t="shared" si="167"/>
        <v>549</v>
      </c>
      <c r="U752" s="409">
        <f t="shared" si="168"/>
        <v>1650</v>
      </c>
      <c r="V752" s="325">
        <f t="shared" si="169"/>
        <v>0</v>
      </c>
      <c r="W752" s="449" cm="1">
        <f t="array" ref="W752">+IF(U752&lt;0,error,0)</f>
        <v>0</v>
      </c>
    </row>
    <row r="753" spans="1:23" ht="18" customHeight="1" x14ac:dyDescent="0.2">
      <c r="A753" s="402" t="s">
        <v>1535</v>
      </c>
      <c r="B753" s="403"/>
      <c r="C753" s="404" t="s">
        <v>1536</v>
      </c>
      <c r="D753" s="405">
        <v>43187</v>
      </c>
      <c r="E753" s="406"/>
      <c r="F753" s="325"/>
      <c r="G753" s="324"/>
      <c r="H753" s="324">
        <v>7671</v>
      </c>
      <c r="I753" s="325">
        <v>2802</v>
      </c>
      <c r="J753" s="325"/>
      <c r="K753" s="325">
        <f t="shared" si="160"/>
        <v>0</v>
      </c>
      <c r="L753" s="325">
        <f t="shared" si="161"/>
        <v>0</v>
      </c>
      <c r="M753" s="407">
        <v>50</v>
      </c>
      <c r="N753" s="408" t="s">
        <v>289</v>
      </c>
      <c r="O753" s="325">
        <f t="shared" si="162"/>
        <v>0</v>
      </c>
      <c r="P753" s="325">
        <f t="shared" si="163"/>
        <v>0</v>
      </c>
      <c r="Q753" s="325">
        <f t="shared" si="164"/>
        <v>0</v>
      </c>
      <c r="R753" s="325">
        <f t="shared" si="165"/>
        <v>700</v>
      </c>
      <c r="S753" s="325">
        <f t="shared" si="166"/>
        <v>0</v>
      </c>
      <c r="T753" s="325">
        <f t="shared" si="167"/>
        <v>700</v>
      </c>
      <c r="U753" s="409">
        <f t="shared" si="168"/>
        <v>2102</v>
      </c>
      <c r="V753" s="325">
        <f t="shared" si="169"/>
        <v>0</v>
      </c>
      <c r="W753" s="449" cm="1">
        <f t="array" ref="W753">+IF(U753&lt;0,error,0)</f>
        <v>0</v>
      </c>
    </row>
    <row r="754" spans="1:23" ht="18" customHeight="1" x14ac:dyDescent="0.2">
      <c r="A754" s="402" t="s">
        <v>1537</v>
      </c>
      <c r="B754" s="403"/>
      <c r="C754" s="404" t="s">
        <v>1538</v>
      </c>
      <c r="D754" s="405">
        <v>43191</v>
      </c>
      <c r="E754" s="406"/>
      <c r="F754" s="325"/>
      <c r="G754" s="324"/>
      <c r="H754" s="324">
        <v>11149</v>
      </c>
      <c r="I754" s="325">
        <v>4099</v>
      </c>
      <c r="J754" s="325"/>
      <c r="K754" s="325">
        <f t="shared" si="160"/>
        <v>0</v>
      </c>
      <c r="L754" s="325">
        <f t="shared" si="161"/>
        <v>0</v>
      </c>
      <c r="M754" s="407">
        <v>50</v>
      </c>
      <c r="N754" s="408" t="s">
        <v>289</v>
      </c>
      <c r="O754" s="325">
        <f t="shared" si="162"/>
        <v>0</v>
      </c>
      <c r="P754" s="325">
        <f t="shared" si="163"/>
        <v>0</v>
      </c>
      <c r="Q754" s="325">
        <f t="shared" si="164"/>
        <v>0</v>
      </c>
      <c r="R754" s="325">
        <f t="shared" si="165"/>
        <v>1024</v>
      </c>
      <c r="S754" s="325">
        <f t="shared" si="166"/>
        <v>0</v>
      </c>
      <c r="T754" s="325">
        <f t="shared" si="167"/>
        <v>1024</v>
      </c>
      <c r="U754" s="409">
        <f t="shared" si="168"/>
        <v>3075</v>
      </c>
      <c r="V754" s="325">
        <f t="shared" si="169"/>
        <v>0</v>
      </c>
      <c r="W754" s="449" cm="1">
        <f t="array" ref="W754">+IF(U754&lt;0,error,0)</f>
        <v>0</v>
      </c>
    </row>
    <row r="755" spans="1:23" ht="18" customHeight="1" x14ac:dyDescent="0.2">
      <c r="A755" s="402" t="s">
        <v>1539</v>
      </c>
      <c r="B755" s="403"/>
      <c r="C755" s="411" t="s">
        <v>1540</v>
      </c>
      <c r="D755" s="405">
        <v>43191</v>
      </c>
      <c r="E755" s="406"/>
      <c r="F755" s="325"/>
      <c r="G755" s="324"/>
      <c r="H755" s="324">
        <v>62256</v>
      </c>
      <c r="I755" s="325">
        <v>22884</v>
      </c>
      <c r="J755" s="325"/>
      <c r="K755" s="325">
        <f t="shared" si="160"/>
        <v>0</v>
      </c>
      <c r="L755" s="325">
        <f t="shared" si="161"/>
        <v>0</v>
      </c>
      <c r="M755" s="407">
        <v>50</v>
      </c>
      <c r="N755" s="408" t="s">
        <v>289</v>
      </c>
      <c r="O755" s="325">
        <f t="shared" si="162"/>
        <v>0</v>
      </c>
      <c r="P755" s="325">
        <f t="shared" si="163"/>
        <v>0</v>
      </c>
      <c r="Q755" s="325">
        <f t="shared" si="164"/>
        <v>0</v>
      </c>
      <c r="R755" s="325">
        <f t="shared" si="165"/>
        <v>5721</v>
      </c>
      <c r="S755" s="325">
        <f t="shared" si="166"/>
        <v>0</v>
      </c>
      <c r="T755" s="325">
        <f t="shared" si="167"/>
        <v>5721</v>
      </c>
      <c r="U755" s="409">
        <f t="shared" si="168"/>
        <v>17163</v>
      </c>
      <c r="V755" s="325">
        <f t="shared" si="169"/>
        <v>0</v>
      </c>
      <c r="W755" s="449" cm="1">
        <f t="array" ref="W755">+IF(U755&lt;0,error,0)</f>
        <v>0</v>
      </c>
    </row>
    <row r="756" spans="1:23" ht="18" customHeight="1" x14ac:dyDescent="0.2">
      <c r="A756" s="402" t="s">
        <v>1541</v>
      </c>
      <c r="B756" s="403"/>
      <c r="C756" s="404" t="s">
        <v>1542</v>
      </c>
      <c r="D756" s="405">
        <v>43191</v>
      </c>
      <c r="E756" s="406"/>
      <c r="F756" s="325"/>
      <c r="G756" s="324"/>
      <c r="H756" s="324">
        <v>3087</v>
      </c>
      <c r="I756" s="325">
        <v>1135</v>
      </c>
      <c r="J756" s="325"/>
      <c r="K756" s="325">
        <f t="shared" si="160"/>
        <v>0</v>
      </c>
      <c r="L756" s="325">
        <f t="shared" si="161"/>
        <v>0</v>
      </c>
      <c r="M756" s="407">
        <v>50</v>
      </c>
      <c r="N756" s="408" t="s">
        <v>289</v>
      </c>
      <c r="O756" s="325">
        <f t="shared" si="162"/>
        <v>0</v>
      </c>
      <c r="P756" s="325">
        <f t="shared" si="163"/>
        <v>0</v>
      </c>
      <c r="Q756" s="325">
        <f t="shared" si="164"/>
        <v>0</v>
      </c>
      <c r="R756" s="325">
        <f t="shared" si="165"/>
        <v>283</v>
      </c>
      <c r="S756" s="325">
        <f t="shared" si="166"/>
        <v>0</v>
      </c>
      <c r="T756" s="325">
        <f t="shared" si="167"/>
        <v>283</v>
      </c>
      <c r="U756" s="409">
        <f t="shared" si="168"/>
        <v>852</v>
      </c>
      <c r="V756" s="325">
        <f t="shared" si="169"/>
        <v>0</v>
      </c>
      <c r="W756" s="449" cm="1">
        <f t="array" ref="W756">+IF(U756&lt;0,error,0)</f>
        <v>0</v>
      </c>
    </row>
    <row r="757" spans="1:23" ht="18" customHeight="1" x14ac:dyDescent="0.2">
      <c r="A757" s="402" t="s">
        <v>1543</v>
      </c>
      <c r="B757" s="403"/>
      <c r="C757" s="404" t="s">
        <v>1544</v>
      </c>
      <c r="D757" s="405">
        <v>43191</v>
      </c>
      <c r="E757" s="406"/>
      <c r="F757" s="325"/>
      <c r="G757" s="324"/>
      <c r="H757" s="324">
        <v>9874.76</v>
      </c>
      <c r="I757" s="325">
        <v>3630.76</v>
      </c>
      <c r="J757" s="325"/>
      <c r="K757" s="325">
        <f t="shared" si="160"/>
        <v>0</v>
      </c>
      <c r="L757" s="325">
        <f t="shared" si="161"/>
        <v>0</v>
      </c>
      <c r="M757" s="407">
        <v>50</v>
      </c>
      <c r="N757" s="408" t="s">
        <v>289</v>
      </c>
      <c r="O757" s="325">
        <f t="shared" si="162"/>
        <v>0</v>
      </c>
      <c r="P757" s="325">
        <f t="shared" si="163"/>
        <v>0</v>
      </c>
      <c r="Q757" s="325">
        <f t="shared" si="164"/>
        <v>0</v>
      </c>
      <c r="R757" s="325">
        <f t="shared" si="165"/>
        <v>907</v>
      </c>
      <c r="S757" s="325">
        <f t="shared" si="166"/>
        <v>0</v>
      </c>
      <c r="T757" s="325">
        <f t="shared" si="167"/>
        <v>907</v>
      </c>
      <c r="U757" s="409">
        <f t="shared" si="168"/>
        <v>2723.76</v>
      </c>
      <c r="V757" s="325">
        <f t="shared" si="169"/>
        <v>0</v>
      </c>
      <c r="W757" s="449" cm="1">
        <f t="array" ref="W757">+IF(U757&lt;0,error,0)</f>
        <v>0</v>
      </c>
    </row>
    <row r="758" spans="1:23" ht="18" customHeight="1" x14ac:dyDescent="0.2">
      <c r="A758" s="402" t="s">
        <v>1545</v>
      </c>
      <c r="B758" s="403"/>
      <c r="C758" s="404" t="s">
        <v>1546</v>
      </c>
      <c r="D758" s="405">
        <v>43191</v>
      </c>
      <c r="E758" s="406"/>
      <c r="F758" s="325"/>
      <c r="G758" s="324"/>
      <c r="H758" s="324">
        <v>15751.44</v>
      </c>
      <c r="I758" s="325">
        <v>5790.4400000000005</v>
      </c>
      <c r="J758" s="325"/>
      <c r="K758" s="325">
        <f t="shared" si="160"/>
        <v>0</v>
      </c>
      <c r="L758" s="325">
        <f t="shared" si="161"/>
        <v>0</v>
      </c>
      <c r="M758" s="407">
        <v>50</v>
      </c>
      <c r="N758" s="408" t="s">
        <v>289</v>
      </c>
      <c r="O758" s="325">
        <f t="shared" si="162"/>
        <v>0</v>
      </c>
      <c r="P758" s="325">
        <f t="shared" si="163"/>
        <v>0</v>
      </c>
      <c r="Q758" s="325">
        <f t="shared" si="164"/>
        <v>0</v>
      </c>
      <c r="R758" s="325">
        <f t="shared" si="165"/>
        <v>1447</v>
      </c>
      <c r="S758" s="325">
        <f t="shared" si="166"/>
        <v>0</v>
      </c>
      <c r="T758" s="325">
        <f t="shared" si="167"/>
        <v>1447</v>
      </c>
      <c r="U758" s="409">
        <f t="shared" si="168"/>
        <v>4343.4400000000005</v>
      </c>
      <c r="V758" s="325">
        <f t="shared" si="169"/>
        <v>0</v>
      </c>
      <c r="W758" s="449" cm="1">
        <f t="array" ref="W758">+IF(U758&lt;0,error,0)</f>
        <v>0</v>
      </c>
    </row>
    <row r="759" spans="1:23" ht="18" customHeight="1" x14ac:dyDescent="0.2">
      <c r="A759" s="402" t="s">
        <v>1547</v>
      </c>
      <c r="B759" s="403"/>
      <c r="C759" s="404" t="s">
        <v>1548</v>
      </c>
      <c r="D759" s="405">
        <v>43191</v>
      </c>
      <c r="E759" s="406"/>
      <c r="F759" s="325"/>
      <c r="G759" s="324"/>
      <c r="H759" s="324">
        <v>8228.9699999999993</v>
      </c>
      <c r="I759" s="325">
        <v>3024.9700000000003</v>
      </c>
      <c r="J759" s="325"/>
      <c r="K759" s="325">
        <f t="shared" si="160"/>
        <v>0</v>
      </c>
      <c r="L759" s="325">
        <f t="shared" si="161"/>
        <v>0</v>
      </c>
      <c r="M759" s="407">
        <v>50</v>
      </c>
      <c r="N759" s="408" t="s">
        <v>289</v>
      </c>
      <c r="O759" s="325">
        <f t="shared" si="162"/>
        <v>0</v>
      </c>
      <c r="P759" s="325">
        <f t="shared" si="163"/>
        <v>0</v>
      </c>
      <c r="Q759" s="325">
        <f t="shared" si="164"/>
        <v>0</v>
      </c>
      <c r="R759" s="325">
        <f t="shared" si="165"/>
        <v>756</v>
      </c>
      <c r="S759" s="325">
        <f t="shared" si="166"/>
        <v>0</v>
      </c>
      <c r="T759" s="325">
        <f t="shared" si="167"/>
        <v>756</v>
      </c>
      <c r="U759" s="409">
        <f t="shared" si="168"/>
        <v>2268.9700000000003</v>
      </c>
      <c r="V759" s="325">
        <f t="shared" si="169"/>
        <v>0</v>
      </c>
      <c r="W759" s="449" cm="1">
        <f t="array" ref="W759">+IF(U759&lt;0,error,0)</f>
        <v>0</v>
      </c>
    </row>
    <row r="760" spans="1:23" ht="18" customHeight="1" x14ac:dyDescent="0.2">
      <c r="A760" s="402" t="s">
        <v>1549</v>
      </c>
      <c r="B760" s="403"/>
      <c r="C760" s="404" t="s">
        <v>1550</v>
      </c>
      <c r="D760" s="405">
        <v>43206</v>
      </c>
      <c r="E760" s="406"/>
      <c r="F760" s="325"/>
      <c r="G760" s="324"/>
      <c r="H760" s="324">
        <v>3432.88</v>
      </c>
      <c r="I760" s="325">
        <v>1291.8800000000001</v>
      </c>
      <c r="J760" s="325"/>
      <c r="K760" s="325">
        <f t="shared" si="160"/>
        <v>0</v>
      </c>
      <c r="L760" s="325">
        <f t="shared" si="161"/>
        <v>0</v>
      </c>
      <c r="M760" s="407">
        <v>50</v>
      </c>
      <c r="N760" s="408" t="s">
        <v>289</v>
      </c>
      <c r="O760" s="325">
        <f t="shared" si="162"/>
        <v>0</v>
      </c>
      <c r="P760" s="325">
        <f t="shared" si="163"/>
        <v>0</v>
      </c>
      <c r="Q760" s="325">
        <f t="shared" si="164"/>
        <v>0</v>
      </c>
      <c r="R760" s="325">
        <f t="shared" si="165"/>
        <v>322</v>
      </c>
      <c r="S760" s="325">
        <f t="shared" si="166"/>
        <v>0</v>
      </c>
      <c r="T760" s="325">
        <f t="shared" si="167"/>
        <v>322</v>
      </c>
      <c r="U760" s="409">
        <f t="shared" si="168"/>
        <v>969.88000000000011</v>
      </c>
      <c r="V760" s="325">
        <f t="shared" si="169"/>
        <v>0</v>
      </c>
      <c r="W760" s="449" cm="1">
        <f t="array" ref="W760">+IF(U760&lt;0,error,0)</f>
        <v>0</v>
      </c>
    </row>
    <row r="761" spans="1:23" ht="18" customHeight="1" x14ac:dyDescent="0.2">
      <c r="A761" s="402" t="s">
        <v>1551</v>
      </c>
      <c r="B761" s="403"/>
      <c r="C761" s="404" t="s">
        <v>1518</v>
      </c>
      <c r="D761" s="405">
        <v>43213</v>
      </c>
      <c r="E761" s="406"/>
      <c r="F761" s="325"/>
      <c r="G761" s="324"/>
      <c r="H761" s="324">
        <v>3148</v>
      </c>
      <c r="I761" s="325">
        <v>808</v>
      </c>
      <c r="J761" s="325"/>
      <c r="K761" s="325">
        <f t="shared" si="160"/>
        <v>0</v>
      </c>
      <c r="L761" s="325">
        <f t="shared" si="161"/>
        <v>0</v>
      </c>
      <c r="M761" s="407">
        <v>66.67</v>
      </c>
      <c r="N761" s="408" t="s">
        <v>289</v>
      </c>
      <c r="O761" s="325">
        <f t="shared" si="162"/>
        <v>0</v>
      </c>
      <c r="P761" s="325">
        <f t="shared" si="163"/>
        <v>0</v>
      </c>
      <c r="Q761" s="325">
        <f t="shared" si="164"/>
        <v>0</v>
      </c>
      <c r="R761" s="325">
        <f t="shared" si="165"/>
        <v>269</v>
      </c>
      <c r="S761" s="325">
        <f t="shared" si="166"/>
        <v>0</v>
      </c>
      <c r="T761" s="325">
        <f t="shared" si="167"/>
        <v>269</v>
      </c>
      <c r="U761" s="409">
        <f t="shared" si="168"/>
        <v>539</v>
      </c>
      <c r="V761" s="325">
        <f t="shared" si="169"/>
        <v>0</v>
      </c>
      <c r="W761" s="449" cm="1">
        <f t="array" ref="W761">+IF(U761&lt;0,error,0)</f>
        <v>0</v>
      </c>
    </row>
    <row r="762" spans="1:23" ht="18" customHeight="1" x14ac:dyDescent="0.2">
      <c r="A762" s="402" t="s">
        <v>1552</v>
      </c>
      <c r="B762" s="403"/>
      <c r="C762" s="404" t="s">
        <v>1553</v>
      </c>
      <c r="D762" s="405">
        <v>43214</v>
      </c>
      <c r="E762" s="406"/>
      <c r="F762" s="325"/>
      <c r="G762" s="324"/>
      <c r="H762" s="324">
        <v>1782.27</v>
      </c>
      <c r="I762" s="325">
        <v>679.27</v>
      </c>
      <c r="J762" s="325"/>
      <c r="K762" s="325">
        <f t="shared" si="160"/>
        <v>0</v>
      </c>
      <c r="L762" s="325">
        <f t="shared" si="161"/>
        <v>0</v>
      </c>
      <c r="M762" s="407">
        <v>50</v>
      </c>
      <c r="N762" s="408" t="s">
        <v>289</v>
      </c>
      <c r="O762" s="325">
        <f t="shared" si="162"/>
        <v>0</v>
      </c>
      <c r="P762" s="325">
        <f t="shared" si="163"/>
        <v>0</v>
      </c>
      <c r="Q762" s="325">
        <f t="shared" si="164"/>
        <v>0</v>
      </c>
      <c r="R762" s="325">
        <f t="shared" si="165"/>
        <v>169</v>
      </c>
      <c r="S762" s="325">
        <f t="shared" si="166"/>
        <v>0</v>
      </c>
      <c r="T762" s="325">
        <f t="shared" si="167"/>
        <v>169</v>
      </c>
      <c r="U762" s="409">
        <f t="shared" si="168"/>
        <v>510.27</v>
      </c>
      <c r="V762" s="325">
        <f t="shared" si="169"/>
        <v>0</v>
      </c>
      <c r="W762" s="449" cm="1">
        <f t="array" ref="W762">+IF(U762&lt;0,error,0)</f>
        <v>0</v>
      </c>
    </row>
    <row r="763" spans="1:23" ht="18" customHeight="1" x14ac:dyDescent="0.2">
      <c r="A763" s="402" t="s">
        <v>1554</v>
      </c>
      <c r="B763" s="403"/>
      <c r="C763" s="404" t="s">
        <v>1555</v>
      </c>
      <c r="D763" s="405">
        <v>43227</v>
      </c>
      <c r="E763" s="406"/>
      <c r="F763" s="325"/>
      <c r="G763" s="324"/>
      <c r="H763" s="324">
        <v>3220.94</v>
      </c>
      <c r="I763" s="325">
        <v>1251.94</v>
      </c>
      <c r="J763" s="325"/>
      <c r="K763" s="325">
        <f t="shared" si="160"/>
        <v>0</v>
      </c>
      <c r="L763" s="325">
        <f t="shared" si="161"/>
        <v>0</v>
      </c>
      <c r="M763" s="407">
        <v>50</v>
      </c>
      <c r="N763" s="408" t="s">
        <v>289</v>
      </c>
      <c r="O763" s="325">
        <f t="shared" si="162"/>
        <v>0</v>
      </c>
      <c r="P763" s="325">
        <f t="shared" si="163"/>
        <v>0</v>
      </c>
      <c r="Q763" s="325">
        <f t="shared" si="164"/>
        <v>0</v>
      </c>
      <c r="R763" s="325">
        <f t="shared" si="165"/>
        <v>312</v>
      </c>
      <c r="S763" s="325">
        <f t="shared" si="166"/>
        <v>0</v>
      </c>
      <c r="T763" s="325">
        <f t="shared" si="167"/>
        <v>312</v>
      </c>
      <c r="U763" s="409">
        <f t="shared" si="168"/>
        <v>939.94</v>
      </c>
      <c r="V763" s="325">
        <f t="shared" si="169"/>
        <v>0</v>
      </c>
      <c r="W763" s="449" cm="1">
        <f t="array" ref="W763">+IF(U763&lt;0,error,0)</f>
        <v>0</v>
      </c>
    </row>
    <row r="764" spans="1:23" ht="18" customHeight="1" x14ac:dyDescent="0.2">
      <c r="A764" s="402" t="s">
        <v>1556</v>
      </c>
      <c r="B764" s="403"/>
      <c r="C764" s="404" t="s">
        <v>1557</v>
      </c>
      <c r="D764" s="405">
        <v>43227</v>
      </c>
      <c r="E764" s="406"/>
      <c r="F764" s="325"/>
      <c r="G764" s="324"/>
      <c r="H764" s="324">
        <v>1670</v>
      </c>
      <c r="I764" s="325">
        <v>649</v>
      </c>
      <c r="J764" s="325"/>
      <c r="K764" s="325">
        <f t="shared" si="160"/>
        <v>0</v>
      </c>
      <c r="L764" s="325">
        <f t="shared" si="161"/>
        <v>0</v>
      </c>
      <c r="M764" s="407">
        <v>50</v>
      </c>
      <c r="N764" s="408" t="s">
        <v>289</v>
      </c>
      <c r="O764" s="325">
        <f t="shared" si="162"/>
        <v>0</v>
      </c>
      <c r="P764" s="325">
        <f t="shared" si="163"/>
        <v>0</v>
      </c>
      <c r="Q764" s="325">
        <f t="shared" si="164"/>
        <v>0</v>
      </c>
      <c r="R764" s="325">
        <f t="shared" si="165"/>
        <v>162</v>
      </c>
      <c r="S764" s="325">
        <f t="shared" si="166"/>
        <v>0</v>
      </c>
      <c r="T764" s="325">
        <f t="shared" si="167"/>
        <v>162</v>
      </c>
      <c r="U764" s="409">
        <f t="shared" si="168"/>
        <v>487</v>
      </c>
      <c r="V764" s="325">
        <f t="shared" si="169"/>
        <v>0</v>
      </c>
      <c r="W764" s="449" cm="1">
        <f t="array" ref="W764">+IF(U764&lt;0,error,0)</f>
        <v>0</v>
      </c>
    </row>
    <row r="765" spans="1:23" ht="18" customHeight="1" x14ac:dyDescent="0.2">
      <c r="A765" s="402" t="s">
        <v>1558</v>
      </c>
      <c r="B765" s="403"/>
      <c r="C765" s="404" t="s">
        <v>1559</v>
      </c>
      <c r="D765" s="405">
        <v>43264</v>
      </c>
      <c r="E765" s="406"/>
      <c r="F765" s="325"/>
      <c r="G765" s="324"/>
      <c r="H765" s="324">
        <v>6936.3600000000006</v>
      </c>
      <c r="I765" s="325">
        <v>2841.3599999999997</v>
      </c>
      <c r="J765" s="325"/>
      <c r="K765" s="325">
        <f t="shared" si="160"/>
        <v>0</v>
      </c>
      <c r="L765" s="325">
        <f t="shared" si="161"/>
        <v>0</v>
      </c>
      <c r="M765" s="407">
        <v>50</v>
      </c>
      <c r="N765" s="408" t="s">
        <v>289</v>
      </c>
      <c r="O765" s="325">
        <f t="shared" si="162"/>
        <v>0</v>
      </c>
      <c r="P765" s="325">
        <f t="shared" si="163"/>
        <v>0</v>
      </c>
      <c r="Q765" s="325">
        <f t="shared" si="164"/>
        <v>0</v>
      </c>
      <c r="R765" s="325">
        <f t="shared" si="165"/>
        <v>710</v>
      </c>
      <c r="S765" s="325">
        <f t="shared" si="166"/>
        <v>0</v>
      </c>
      <c r="T765" s="325">
        <f t="shared" si="167"/>
        <v>710</v>
      </c>
      <c r="U765" s="409">
        <f t="shared" si="168"/>
        <v>2131.3599999999997</v>
      </c>
      <c r="V765" s="325">
        <f t="shared" si="169"/>
        <v>0</v>
      </c>
      <c r="W765" s="449" cm="1">
        <f t="array" ref="W765">+IF(U765&lt;0,error,0)</f>
        <v>0</v>
      </c>
    </row>
    <row r="766" spans="1:23" ht="18" customHeight="1" x14ac:dyDescent="0.2">
      <c r="A766" s="402" t="s">
        <v>1560</v>
      </c>
      <c r="B766" s="403"/>
      <c r="C766" s="404" t="s">
        <v>1561</v>
      </c>
      <c r="D766" s="405">
        <v>43264</v>
      </c>
      <c r="E766" s="406"/>
      <c r="F766" s="325"/>
      <c r="G766" s="324"/>
      <c r="H766" s="324">
        <v>25581</v>
      </c>
      <c r="I766" s="325">
        <v>10477.1453</v>
      </c>
      <c r="J766" s="325"/>
      <c r="K766" s="325">
        <f t="shared" si="160"/>
        <v>0</v>
      </c>
      <c r="L766" s="325">
        <f t="shared" si="161"/>
        <v>0</v>
      </c>
      <c r="M766" s="407">
        <v>50</v>
      </c>
      <c r="N766" s="408" t="s">
        <v>289</v>
      </c>
      <c r="O766" s="325">
        <f t="shared" si="162"/>
        <v>0</v>
      </c>
      <c r="P766" s="325">
        <f t="shared" si="163"/>
        <v>0</v>
      </c>
      <c r="Q766" s="325">
        <f t="shared" si="164"/>
        <v>0</v>
      </c>
      <c r="R766" s="325">
        <f t="shared" si="165"/>
        <v>2619</v>
      </c>
      <c r="S766" s="325">
        <f t="shared" si="166"/>
        <v>0</v>
      </c>
      <c r="T766" s="325">
        <f t="shared" si="167"/>
        <v>2619</v>
      </c>
      <c r="U766" s="409">
        <f t="shared" si="168"/>
        <v>7858.1453000000001</v>
      </c>
      <c r="V766" s="325">
        <f t="shared" si="169"/>
        <v>0</v>
      </c>
      <c r="W766" s="449" cm="1">
        <f t="array" ref="W766">+IF(U766&lt;0,error,0)</f>
        <v>0</v>
      </c>
    </row>
    <row r="767" spans="1:23" ht="18" customHeight="1" x14ac:dyDescent="0.2">
      <c r="A767" s="402" t="s">
        <v>1564</v>
      </c>
      <c r="B767" s="403"/>
      <c r="C767" s="404" t="s">
        <v>1565</v>
      </c>
      <c r="D767" s="405">
        <v>43191</v>
      </c>
      <c r="E767" s="406"/>
      <c r="F767" s="325"/>
      <c r="G767" s="324"/>
      <c r="H767" s="324">
        <v>2219</v>
      </c>
      <c r="I767" s="325">
        <v>816</v>
      </c>
      <c r="J767" s="325"/>
      <c r="K767" s="325">
        <f t="shared" si="160"/>
        <v>0</v>
      </c>
      <c r="L767" s="325">
        <f t="shared" si="161"/>
        <v>0</v>
      </c>
      <c r="M767" s="407">
        <v>50</v>
      </c>
      <c r="N767" s="408" t="s">
        <v>289</v>
      </c>
      <c r="O767" s="325">
        <f t="shared" si="162"/>
        <v>0</v>
      </c>
      <c r="P767" s="325">
        <f t="shared" si="163"/>
        <v>0</v>
      </c>
      <c r="Q767" s="325">
        <f t="shared" si="164"/>
        <v>0</v>
      </c>
      <c r="R767" s="325">
        <f t="shared" si="165"/>
        <v>204</v>
      </c>
      <c r="S767" s="325">
        <f t="shared" si="166"/>
        <v>0</v>
      </c>
      <c r="T767" s="325">
        <f t="shared" si="167"/>
        <v>204</v>
      </c>
      <c r="U767" s="409">
        <f t="shared" si="168"/>
        <v>612</v>
      </c>
      <c r="V767" s="325">
        <f t="shared" si="169"/>
        <v>0</v>
      </c>
      <c r="W767" s="449" cm="1">
        <f t="array" ref="W767">+IF(U767&lt;0,error,0)</f>
        <v>0</v>
      </c>
    </row>
    <row r="768" spans="1:23" ht="18" customHeight="1" x14ac:dyDescent="0.2">
      <c r="A768" s="402" t="s">
        <v>1566</v>
      </c>
      <c r="B768" s="403"/>
      <c r="C768" s="404" t="s">
        <v>1567</v>
      </c>
      <c r="D768" s="405">
        <v>43191</v>
      </c>
      <c r="E768" s="406"/>
      <c r="F768" s="325"/>
      <c r="G768" s="324"/>
      <c r="H768" s="324">
        <v>2218.7000000000003</v>
      </c>
      <c r="I768" s="325">
        <v>816.7</v>
      </c>
      <c r="J768" s="325"/>
      <c r="K768" s="325">
        <f t="shared" si="160"/>
        <v>0</v>
      </c>
      <c r="L768" s="325">
        <f t="shared" si="161"/>
        <v>0</v>
      </c>
      <c r="M768" s="407">
        <v>50</v>
      </c>
      <c r="N768" s="408" t="s">
        <v>289</v>
      </c>
      <c r="O768" s="325">
        <f t="shared" si="162"/>
        <v>0</v>
      </c>
      <c r="P768" s="325">
        <f t="shared" si="163"/>
        <v>0</v>
      </c>
      <c r="Q768" s="325">
        <f t="shared" si="164"/>
        <v>0</v>
      </c>
      <c r="R768" s="325">
        <f t="shared" si="165"/>
        <v>204</v>
      </c>
      <c r="S768" s="325">
        <f t="shared" si="166"/>
        <v>0</v>
      </c>
      <c r="T768" s="325">
        <f t="shared" si="167"/>
        <v>204</v>
      </c>
      <c r="U768" s="409">
        <f t="shared" si="168"/>
        <v>612.70000000000005</v>
      </c>
      <c r="V768" s="325">
        <f t="shared" si="169"/>
        <v>0</v>
      </c>
      <c r="W768" s="449" cm="1">
        <f t="array" ref="W768">+IF(U768&lt;0,error,0)</f>
        <v>0</v>
      </c>
    </row>
    <row r="769" spans="1:23" ht="18" customHeight="1" x14ac:dyDescent="0.2">
      <c r="A769" s="402" t="s">
        <v>1568</v>
      </c>
      <c r="B769" s="403"/>
      <c r="C769" s="404" t="s">
        <v>1569</v>
      </c>
      <c r="D769" s="405">
        <v>43191</v>
      </c>
      <c r="E769" s="406"/>
      <c r="F769" s="325"/>
      <c r="G769" s="324"/>
      <c r="H769" s="324">
        <v>2329</v>
      </c>
      <c r="I769" s="325">
        <v>857</v>
      </c>
      <c r="J769" s="325"/>
      <c r="K769" s="325">
        <f t="shared" si="160"/>
        <v>0</v>
      </c>
      <c r="L769" s="325">
        <f t="shared" si="161"/>
        <v>0</v>
      </c>
      <c r="M769" s="407">
        <v>50</v>
      </c>
      <c r="N769" s="408" t="s">
        <v>289</v>
      </c>
      <c r="O769" s="325">
        <f t="shared" si="162"/>
        <v>0</v>
      </c>
      <c r="P769" s="325">
        <f t="shared" si="163"/>
        <v>0</v>
      </c>
      <c r="Q769" s="325">
        <f t="shared" si="164"/>
        <v>0</v>
      </c>
      <c r="R769" s="325">
        <f t="shared" si="165"/>
        <v>214</v>
      </c>
      <c r="S769" s="325">
        <f t="shared" si="166"/>
        <v>0</v>
      </c>
      <c r="T769" s="325">
        <f t="shared" si="167"/>
        <v>214</v>
      </c>
      <c r="U769" s="409">
        <f t="shared" si="168"/>
        <v>643</v>
      </c>
      <c r="V769" s="325">
        <f t="shared" si="169"/>
        <v>0</v>
      </c>
      <c r="W769" s="449" cm="1">
        <f t="array" ref="W769">+IF(U769&lt;0,error,0)</f>
        <v>0</v>
      </c>
    </row>
    <row r="770" spans="1:23" ht="18" customHeight="1" x14ac:dyDescent="0.2">
      <c r="A770" s="402" t="s">
        <v>1570</v>
      </c>
      <c r="B770" s="403"/>
      <c r="C770" s="404" t="s">
        <v>1571</v>
      </c>
      <c r="D770" s="405">
        <v>42948</v>
      </c>
      <c r="E770" s="406"/>
      <c r="F770" s="325"/>
      <c r="G770" s="324"/>
      <c r="H770" s="324">
        <v>1772.73</v>
      </c>
      <c r="I770" s="325">
        <v>404.73</v>
      </c>
      <c r="J770" s="325"/>
      <c r="K770" s="325">
        <f t="shared" si="160"/>
        <v>0</v>
      </c>
      <c r="L770" s="325">
        <f t="shared" si="161"/>
        <v>0</v>
      </c>
      <c r="M770" s="407">
        <v>50</v>
      </c>
      <c r="N770" s="408" t="s">
        <v>289</v>
      </c>
      <c r="O770" s="325">
        <f t="shared" si="162"/>
        <v>0</v>
      </c>
      <c r="P770" s="325">
        <f t="shared" si="163"/>
        <v>0</v>
      </c>
      <c r="Q770" s="325">
        <f t="shared" si="164"/>
        <v>0</v>
      </c>
      <c r="R770" s="325">
        <f t="shared" si="165"/>
        <v>101</v>
      </c>
      <c r="S770" s="325">
        <f t="shared" si="166"/>
        <v>0</v>
      </c>
      <c r="T770" s="325">
        <f t="shared" si="167"/>
        <v>101</v>
      </c>
      <c r="U770" s="409">
        <f t="shared" si="168"/>
        <v>303.73</v>
      </c>
      <c r="V770" s="325">
        <f t="shared" si="169"/>
        <v>0</v>
      </c>
      <c r="W770" s="449" cm="1">
        <f t="array" ref="W770">+IF(U770&lt;0,error,0)</f>
        <v>0</v>
      </c>
    </row>
    <row r="771" spans="1:23" s="448" customFormat="1" ht="18" customHeight="1" x14ac:dyDescent="0.2">
      <c r="A771" s="402" t="s">
        <v>1572</v>
      </c>
      <c r="B771" s="403"/>
      <c r="C771" s="412" t="s">
        <v>1573</v>
      </c>
      <c r="D771" s="405">
        <v>43362</v>
      </c>
      <c r="E771" s="406"/>
      <c r="F771" s="325"/>
      <c r="G771" s="324"/>
      <c r="H771" s="324">
        <v>11025</v>
      </c>
      <c r="I771" s="325">
        <v>5272</v>
      </c>
      <c r="J771" s="325"/>
      <c r="K771" s="325">
        <f t="shared" si="160"/>
        <v>0</v>
      </c>
      <c r="L771" s="325">
        <f t="shared" si="161"/>
        <v>0</v>
      </c>
      <c r="M771" s="407">
        <v>50</v>
      </c>
      <c r="N771" s="408" t="s">
        <v>289</v>
      </c>
      <c r="O771" s="325">
        <f t="shared" si="162"/>
        <v>0</v>
      </c>
      <c r="P771" s="325">
        <f t="shared" si="163"/>
        <v>0</v>
      </c>
      <c r="Q771" s="325">
        <f t="shared" si="164"/>
        <v>0</v>
      </c>
      <c r="R771" s="325">
        <f t="shared" si="165"/>
        <v>1318</v>
      </c>
      <c r="S771" s="325">
        <f t="shared" si="166"/>
        <v>0</v>
      </c>
      <c r="T771" s="325">
        <f t="shared" si="167"/>
        <v>1318</v>
      </c>
      <c r="U771" s="409">
        <f t="shared" si="168"/>
        <v>3954</v>
      </c>
      <c r="V771" s="325">
        <f t="shared" si="169"/>
        <v>0</v>
      </c>
      <c r="W771" s="449" cm="1">
        <f t="array" ref="W771">+IF(U771&lt;0,error,0)</f>
        <v>0</v>
      </c>
    </row>
    <row r="772" spans="1:23" s="448" customFormat="1" ht="18" customHeight="1" x14ac:dyDescent="0.2">
      <c r="A772" s="402" t="s">
        <v>1574</v>
      </c>
      <c r="B772" s="403"/>
      <c r="C772" s="412" t="s">
        <v>1575</v>
      </c>
      <c r="D772" s="405">
        <v>43402</v>
      </c>
      <c r="E772" s="406"/>
      <c r="F772" s="325"/>
      <c r="G772" s="324"/>
      <c r="H772" s="324">
        <v>13000</v>
      </c>
      <c r="I772" s="325">
        <v>6594</v>
      </c>
      <c r="J772" s="325"/>
      <c r="K772" s="325">
        <f t="shared" si="160"/>
        <v>0</v>
      </c>
      <c r="L772" s="325">
        <f t="shared" si="161"/>
        <v>0</v>
      </c>
      <c r="M772" s="407">
        <v>50</v>
      </c>
      <c r="N772" s="408" t="s">
        <v>289</v>
      </c>
      <c r="O772" s="325">
        <f t="shared" si="162"/>
        <v>0</v>
      </c>
      <c r="P772" s="325">
        <f t="shared" si="163"/>
        <v>0</v>
      </c>
      <c r="Q772" s="325">
        <f t="shared" si="164"/>
        <v>0</v>
      </c>
      <c r="R772" s="325">
        <f t="shared" si="165"/>
        <v>1648</v>
      </c>
      <c r="S772" s="325">
        <f t="shared" si="166"/>
        <v>0</v>
      </c>
      <c r="T772" s="325">
        <f t="shared" si="167"/>
        <v>1648</v>
      </c>
      <c r="U772" s="409">
        <f t="shared" si="168"/>
        <v>4946</v>
      </c>
      <c r="V772" s="325">
        <f t="shared" si="169"/>
        <v>0</v>
      </c>
      <c r="W772" s="449" cm="1">
        <f t="array" ref="W772">+IF(U772&lt;0,error,0)</f>
        <v>0</v>
      </c>
    </row>
    <row r="773" spans="1:23" ht="18" customHeight="1" x14ac:dyDescent="0.2">
      <c r="A773" s="402" t="s">
        <v>2075</v>
      </c>
      <c r="B773" s="403"/>
      <c r="C773" s="404" t="s">
        <v>2080</v>
      </c>
      <c r="D773" s="405">
        <v>43586</v>
      </c>
      <c r="E773" s="406"/>
      <c r="F773" s="325"/>
      <c r="G773" s="324"/>
      <c r="H773" s="324">
        <v>75509.05</v>
      </c>
      <c r="I773" s="325">
        <v>51978.05</v>
      </c>
      <c r="J773" s="325"/>
      <c r="K773" s="325">
        <f t="shared" si="160"/>
        <v>0</v>
      </c>
      <c r="L773" s="325">
        <f t="shared" si="161"/>
        <v>0</v>
      </c>
      <c r="M773" s="407">
        <v>50</v>
      </c>
      <c r="N773" s="408" t="s">
        <v>289</v>
      </c>
      <c r="O773" s="325">
        <f t="shared" si="162"/>
        <v>0</v>
      </c>
      <c r="P773" s="325">
        <f t="shared" si="163"/>
        <v>0</v>
      </c>
      <c r="Q773" s="325">
        <f t="shared" si="164"/>
        <v>0</v>
      </c>
      <c r="R773" s="325">
        <f t="shared" si="165"/>
        <v>12994</v>
      </c>
      <c r="S773" s="325">
        <f t="shared" si="166"/>
        <v>0</v>
      </c>
      <c r="T773" s="325">
        <f t="shared" si="167"/>
        <v>12994</v>
      </c>
      <c r="U773" s="409">
        <f t="shared" si="168"/>
        <v>38984.050000000003</v>
      </c>
      <c r="V773" s="325">
        <f t="shared" si="169"/>
        <v>0</v>
      </c>
      <c r="W773" s="449" cm="1">
        <f t="array" ref="W773">+IF(U773&lt;0,error,0)</f>
        <v>0</v>
      </c>
    </row>
    <row r="774" spans="1:23" ht="18" customHeight="1" x14ac:dyDescent="0.2">
      <c r="A774" s="402" t="s">
        <v>2076</v>
      </c>
      <c r="B774" s="403"/>
      <c r="C774" s="404" t="s">
        <v>2081</v>
      </c>
      <c r="D774" s="405">
        <v>43586</v>
      </c>
      <c r="E774" s="406"/>
      <c r="F774" s="325"/>
      <c r="G774" s="324"/>
      <c r="H774" s="324">
        <v>246295.31</v>
      </c>
      <c r="I774" s="325">
        <v>169539.31</v>
      </c>
      <c r="J774" s="325"/>
      <c r="K774" s="325">
        <f>INT(IF($E774&gt;0,IF(+F774-I774+Q774&lt;0,0,+F774-I774+Q774),0))</f>
        <v>0</v>
      </c>
      <c r="L774" s="325">
        <f>INT(IF($E774&gt;0,IF(K774=0,-F774+I774-Q774,0),0))</f>
        <v>0</v>
      </c>
      <c r="M774" s="407">
        <v>50</v>
      </c>
      <c r="N774" s="408" t="s">
        <v>289</v>
      </c>
      <c r="O774" s="325">
        <f>IF(E774&gt;0,INT(IF($N774="D",IF($D774&lt;$H$3,$I774*($M774/100)*((E774-$H$3)/365),$J774*($M774/100)*($J$3-$D774)/365),0)),0)</f>
        <v>0</v>
      </c>
      <c r="P774" s="325">
        <f>IF(E774&gt;0,INT(IF($N774="P",IF($D774&lt;$H$3,$H774*($M774/100)*(E774-$H$3)/365,$J774*($M774/100)*($J$3-$D774)/365),0)),0)</f>
        <v>0</v>
      </c>
      <c r="Q774" s="325">
        <f>+O774+P774</f>
        <v>0</v>
      </c>
      <c r="R774" s="325">
        <f t="shared" si="165"/>
        <v>42384</v>
      </c>
      <c r="S774" s="325">
        <f t="shared" si="166"/>
        <v>0</v>
      </c>
      <c r="T774" s="325">
        <f>+R774+S774+Q774</f>
        <v>42384</v>
      </c>
      <c r="U774" s="409">
        <f>+I774+J774-T774-F774+K774-L774</f>
        <v>127155.31</v>
      </c>
      <c r="V774" s="325">
        <f t="shared" si="169"/>
        <v>0</v>
      </c>
      <c r="W774" s="449" cm="1">
        <f t="array" ref="W774">+IF(U774&lt;0,error,0)</f>
        <v>0</v>
      </c>
    </row>
    <row r="775" spans="1:23" ht="18" customHeight="1" x14ac:dyDescent="0.2">
      <c r="A775" s="402" t="s">
        <v>2077</v>
      </c>
      <c r="B775" s="403"/>
      <c r="C775" s="404" t="s">
        <v>2082</v>
      </c>
      <c r="D775" s="405">
        <v>43586</v>
      </c>
      <c r="E775" s="406"/>
      <c r="F775" s="325"/>
      <c r="G775" s="324"/>
      <c r="H775" s="324">
        <v>26133.35</v>
      </c>
      <c r="I775" s="325">
        <v>17990.349999999999</v>
      </c>
      <c r="J775" s="325"/>
      <c r="K775" s="325">
        <f>INT(IF($E775&gt;0,IF(+F775-I775+Q775&lt;0,0,+F775-I775+Q775),0))</f>
        <v>0</v>
      </c>
      <c r="L775" s="325">
        <f>INT(IF($E775&gt;0,IF(K775=0,-F775+I775-Q775,0),0))</f>
        <v>0</v>
      </c>
      <c r="M775" s="407">
        <v>50</v>
      </c>
      <c r="N775" s="408" t="s">
        <v>289</v>
      </c>
      <c r="O775" s="325">
        <f>IF(E775&gt;0,INT(IF($N775="D",IF($D775&lt;$H$3,$I775*($M775/100)*((E775-$H$3)/365),$J775*($M775/100)*($J$3-$D775)/365),0)),0)</f>
        <v>0</v>
      </c>
      <c r="P775" s="325">
        <f>IF(E775&gt;0,INT(IF($N775="P",IF($D775&lt;$H$3,$H775*($M775/100)*(E775-$H$3)/365,$J775*($M775/100)*($J$3-$D775)/365),0)),0)</f>
        <v>0</v>
      </c>
      <c r="Q775" s="325">
        <f>+O775+P775</f>
        <v>0</v>
      </c>
      <c r="R775" s="325">
        <f t="shared" si="165"/>
        <v>4497</v>
      </c>
      <c r="S775" s="325">
        <f t="shared" si="166"/>
        <v>0</v>
      </c>
      <c r="T775" s="325">
        <f>+R775+S775+Q775</f>
        <v>4497</v>
      </c>
      <c r="U775" s="409">
        <f>+I775+J775-T775-F775+K775-L775</f>
        <v>13493.349999999999</v>
      </c>
      <c r="V775" s="325">
        <f t="shared" si="169"/>
        <v>0</v>
      </c>
      <c r="W775" s="449" cm="1">
        <f t="array" ref="W775">+IF(U775&lt;0,error,0)</f>
        <v>0</v>
      </c>
    </row>
    <row r="776" spans="1:23" ht="18" customHeight="1" x14ac:dyDescent="0.2">
      <c r="A776" s="402" t="s">
        <v>2078</v>
      </c>
      <c r="B776" s="403"/>
      <c r="C776" s="404" t="s">
        <v>2083</v>
      </c>
      <c r="D776" s="405">
        <v>43446</v>
      </c>
      <c r="E776" s="406"/>
      <c r="F776" s="325"/>
      <c r="G776" s="324"/>
      <c r="H776" s="324">
        <v>13000</v>
      </c>
      <c r="I776" s="325">
        <v>7080</v>
      </c>
      <c r="J776" s="325"/>
      <c r="K776" s="325">
        <f t="shared" ref="K776:K789" si="170">INT(IF($E776&gt;0,IF(+F776-I776+Q776&lt;0,0,+F776-I776+Q776),0))</f>
        <v>0</v>
      </c>
      <c r="L776" s="325">
        <f t="shared" ref="L776:L789" si="171">INT(IF($E776&gt;0,IF(K776=0,-F776+I776-Q776,0),0))</f>
        <v>0</v>
      </c>
      <c r="M776" s="407">
        <v>50</v>
      </c>
      <c r="N776" s="408" t="s">
        <v>289</v>
      </c>
      <c r="O776" s="325">
        <f t="shared" ref="O776:O789" si="172">IF(E776&gt;0,INT(IF($N776="D",IF($D776&lt;$H$3,$I776*($M776/100)*((E776-$H$3)/365),$J776*($M776/100)*($J$3-$D776)/365),0)),0)</f>
        <v>0</v>
      </c>
      <c r="P776" s="325">
        <f t="shared" ref="P776:P789" si="173">IF(E776&gt;0,INT(IF($N776="P",IF($D776&lt;$H$3,$H776*($M776/100)*(E776-$H$3)/365,$J776*($M776/100)*($J$3-$D776)/365),0)),0)</f>
        <v>0</v>
      </c>
      <c r="Q776" s="325">
        <f t="shared" ref="Q776:Q789" si="174">+O776+P776</f>
        <v>0</v>
      </c>
      <c r="R776" s="325">
        <f t="shared" si="165"/>
        <v>1770</v>
      </c>
      <c r="S776" s="325">
        <f t="shared" si="166"/>
        <v>0</v>
      </c>
      <c r="T776" s="325">
        <f t="shared" ref="T776:T789" si="175">+R776+S776+Q776</f>
        <v>1770</v>
      </c>
      <c r="U776" s="409">
        <f t="shared" ref="U776:U789" si="176">+I776+J776-T776-F776+K776-L776</f>
        <v>5310</v>
      </c>
      <c r="V776" s="325">
        <f t="shared" si="169"/>
        <v>0</v>
      </c>
      <c r="W776" s="449" cm="1">
        <f t="array" ref="W776">+IF(U776&lt;0,error,0)</f>
        <v>0</v>
      </c>
    </row>
    <row r="777" spans="1:23" ht="18" customHeight="1" x14ac:dyDescent="0.2">
      <c r="A777" s="402" t="s">
        <v>2079</v>
      </c>
      <c r="B777" s="403"/>
      <c r="C777" s="404" t="s">
        <v>2083</v>
      </c>
      <c r="D777" s="405">
        <v>43446</v>
      </c>
      <c r="E777" s="406"/>
      <c r="F777" s="325"/>
      <c r="G777" s="324"/>
      <c r="H777" s="324">
        <v>13000</v>
      </c>
      <c r="I777" s="325">
        <v>7080</v>
      </c>
      <c r="J777" s="325"/>
      <c r="K777" s="325">
        <f t="shared" si="170"/>
        <v>0</v>
      </c>
      <c r="L777" s="325">
        <f t="shared" si="171"/>
        <v>0</v>
      </c>
      <c r="M777" s="407">
        <v>50</v>
      </c>
      <c r="N777" s="408" t="s">
        <v>289</v>
      </c>
      <c r="O777" s="325">
        <f t="shared" si="172"/>
        <v>0</v>
      </c>
      <c r="P777" s="325">
        <f t="shared" si="173"/>
        <v>0</v>
      </c>
      <c r="Q777" s="325">
        <f t="shared" si="174"/>
        <v>0</v>
      </c>
      <c r="R777" s="325">
        <f t="shared" si="165"/>
        <v>1770</v>
      </c>
      <c r="S777" s="325">
        <f t="shared" si="166"/>
        <v>0</v>
      </c>
      <c r="T777" s="325">
        <f t="shared" si="175"/>
        <v>1770</v>
      </c>
      <c r="U777" s="409">
        <f t="shared" si="176"/>
        <v>5310</v>
      </c>
      <c r="V777" s="325">
        <f t="shared" si="169"/>
        <v>0</v>
      </c>
      <c r="W777" s="449" cm="1">
        <f t="array" ref="W777">+IF(U777&lt;0,error,0)</f>
        <v>0</v>
      </c>
    </row>
    <row r="778" spans="1:23" ht="18" customHeight="1" x14ac:dyDescent="0.2">
      <c r="A778" s="402">
        <v>746244</v>
      </c>
      <c r="B778" s="403"/>
      <c r="C778" s="404" t="s">
        <v>2375</v>
      </c>
      <c r="D778" s="405">
        <v>43893</v>
      </c>
      <c r="E778" s="406"/>
      <c r="F778" s="325"/>
      <c r="G778" s="324"/>
      <c r="H778" s="324"/>
      <c r="I778" s="325"/>
      <c r="J778" s="325">
        <v>12936</v>
      </c>
      <c r="K778" s="325">
        <f t="shared" si="170"/>
        <v>0</v>
      </c>
      <c r="L778" s="325">
        <f t="shared" si="171"/>
        <v>0</v>
      </c>
      <c r="M778" s="407">
        <v>50</v>
      </c>
      <c r="N778" s="408" t="s">
        <v>289</v>
      </c>
      <c r="O778" s="325">
        <f t="shared" si="172"/>
        <v>0</v>
      </c>
      <c r="P778" s="325">
        <f t="shared" si="173"/>
        <v>0</v>
      </c>
      <c r="Q778" s="325">
        <f t="shared" si="174"/>
        <v>0</v>
      </c>
      <c r="R778" s="325">
        <f t="shared" si="165"/>
        <v>2108</v>
      </c>
      <c r="S778" s="325">
        <f t="shared" si="166"/>
        <v>0</v>
      </c>
      <c r="T778" s="325">
        <f t="shared" si="175"/>
        <v>2108</v>
      </c>
      <c r="U778" s="409">
        <f t="shared" si="176"/>
        <v>10828</v>
      </c>
      <c r="V778" s="325">
        <f t="shared" si="169"/>
        <v>0</v>
      </c>
      <c r="W778" s="449" cm="1">
        <f t="array" ref="W778">+IF(U778&lt;0,error,0)</f>
        <v>0</v>
      </c>
    </row>
    <row r="779" spans="1:23" ht="18" customHeight="1" x14ac:dyDescent="0.2">
      <c r="A779" s="402">
        <v>746245</v>
      </c>
      <c r="B779" s="403"/>
      <c r="C779" s="404" t="s">
        <v>2370</v>
      </c>
      <c r="D779" s="405">
        <v>43920</v>
      </c>
      <c r="E779" s="406"/>
      <c r="F779" s="325"/>
      <c r="G779" s="324"/>
      <c r="H779" s="324"/>
      <c r="I779" s="325"/>
      <c r="J779" s="325">
        <f>6742.86+1882.03+7630.33</f>
        <v>16255.22</v>
      </c>
      <c r="K779" s="325">
        <f t="shared" si="170"/>
        <v>0</v>
      </c>
      <c r="L779" s="325">
        <f t="shared" si="171"/>
        <v>0</v>
      </c>
      <c r="M779" s="407">
        <v>50</v>
      </c>
      <c r="N779" s="408" t="s">
        <v>289</v>
      </c>
      <c r="O779" s="325">
        <f t="shared" si="172"/>
        <v>0</v>
      </c>
      <c r="P779" s="325">
        <f t="shared" si="173"/>
        <v>0</v>
      </c>
      <c r="Q779" s="325">
        <f t="shared" si="174"/>
        <v>0</v>
      </c>
      <c r="R779" s="325">
        <f t="shared" si="165"/>
        <v>2048</v>
      </c>
      <c r="S779" s="325">
        <f t="shared" si="166"/>
        <v>0</v>
      </c>
      <c r="T779" s="325">
        <f t="shared" si="175"/>
        <v>2048</v>
      </c>
      <c r="U779" s="409">
        <f t="shared" si="176"/>
        <v>14207.22</v>
      </c>
      <c r="V779" s="325">
        <f t="shared" si="169"/>
        <v>0</v>
      </c>
      <c r="W779" s="449" cm="1">
        <f t="array" ref="W779">+IF(U779&lt;0,error,0)</f>
        <v>0</v>
      </c>
    </row>
    <row r="780" spans="1:23" ht="18" customHeight="1" x14ac:dyDescent="0.2">
      <c r="A780" s="402">
        <v>746246</v>
      </c>
      <c r="B780" s="403"/>
      <c r="C780" s="404" t="s">
        <v>2371</v>
      </c>
      <c r="D780" s="405">
        <v>43936</v>
      </c>
      <c r="E780" s="406"/>
      <c r="F780" s="325"/>
      <c r="G780" s="324"/>
      <c r="H780" s="324"/>
      <c r="I780" s="325"/>
      <c r="J780" s="325">
        <v>3460.71</v>
      </c>
      <c r="K780" s="325">
        <f t="shared" si="170"/>
        <v>0</v>
      </c>
      <c r="L780" s="325">
        <f t="shared" si="171"/>
        <v>0</v>
      </c>
      <c r="M780" s="407">
        <v>50</v>
      </c>
      <c r="N780" s="408" t="s">
        <v>289</v>
      </c>
      <c r="O780" s="325">
        <f t="shared" si="172"/>
        <v>0</v>
      </c>
      <c r="P780" s="325">
        <f t="shared" si="173"/>
        <v>0</v>
      </c>
      <c r="Q780" s="325">
        <f t="shared" si="174"/>
        <v>0</v>
      </c>
      <c r="R780" s="325">
        <f t="shared" si="165"/>
        <v>360</v>
      </c>
      <c r="S780" s="325">
        <f t="shared" si="166"/>
        <v>0</v>
      </c>
      <c r="T780" s="325">
        <f t="shared" si="175"/>
        <v>360</v>
      </c>
      <c r="U780" s="409">
        <f t="shared" si="176"/>
        <v>3100.71</v>
      </c>
      <c r="V780" s="325">
        <f t="shared" si="169"/>
        <v>0</v>
      </c>
      <c r="W780" s="449" cm="1">
        <f t="array" ref="W780">+IF(U780&lt;0,error,0)</f>
        <v>0</v>
      </c>
    </row>
    <row r="781" spans="1:23" ht="18" customHeight="1" x14ac:dyDescent="0.2">
      <c r="A781" s="402">
        <v>746247</v>
      </c>
      <c r="B781" s="403"/>
      <c r="C781" s="404" t="s">
        <v>2372</v>
      </c>
      <c r="D781" s="405">
        <v>43861</v>
      </c>
      <c r="E781" s="406"/>
      <c r="F781" s="325"/>
      <c r="G781" s="324"/>
      <c r="H781" s="324"/>
      <c r="I781" s="325"/>
      <c r="J781" s="325">
        <f>17030+3668</f>
        <v>20698</v>
      </c>
      <c r="K781" s="325">
        <f t="shared" si="170"/>
        <v>0</v>
      </c>
      <c r="L781" s="325">
        <f t="shared" si="171"/>
        <v>0</v>
      </c>
      <c r="M781" s="407">
        <v>50</v>
      </c>
      <c r="N781" s="408" t="s">
        <v>289</v>
      </c>
      <c r="O781" s="325">
        <f t="shared" si="172"/>
        <v>0</v>
      </c>
      <c r="P781" s="325">
        <f t="shared" si="173"/>
        <v>0</v>
      </c>
      <c r="Q781" s="325">
        <f t="shared" si="174"/>
        <v>0</v>
      </c>
      <c r="R781" s="325">
        <f t="shared" si="165"/>
        <v>4281</v>
      </c>
      <c r="S781" s="325">
        <f t="shared" si="166"/>
        <v>0</v>
      </c>
      <c r="T781" s="325">
        <f t="shared" si="175"/>
        <v>4281</v>
      </c>
      <c r="U781" s="409">
        <f t="shared" si="176"/>
        <v>16417</v>
      </c>
      <c r="V781" s="325">
        <f t="shared" si="169"/>
        <v>0</v>
      </c>
      <c r="W781" s="449" cm="1">
        <f t="array" ref="W781">+IF(U781&lt;0,error,0)</f>
        <v>0</v>
      </c>
    </row>
    <row r="782" spans="1:23" ht="18" customHeight="1" x14ac:dyDescent="0.2">
      <c r="A782" s="402">
        <v>746248</v>
      </c>
      <c r="B782" s="403"/>
      <c r="C782" s="404" t="s">
        <v>2373</v>
      </c>
      <c r="D782" s="405">
        <v>43871</v>
      </c>
      <c r="E782" s="406"/>
      <c r="F782" s="325"/>
      <c r="G782" s="324"/>
      <c r="H782" s="324"/>
      <c r="I782" s="325"/>
      <c r="J782" s="325">
        <v>6704.32</v>
      </c>
      <c r="K782" s="325">
        <f t="shared" si="170"/>
        <v>0</v>
      </c>
      <c r="L782" s="325">
        <f t="shared" si="171"/>
        <v>0</v>
      </c>
      <c r="M782" s="407">
        <v>50</v>
      </c>
      <c r="N782" s="408" t="s">
        <v>289</v>
      </c>
      <c r="O782" s="325">
        <f t="shared" si="172"/>
        <v>0</v>
      </c>
      <c r="P782" s="325">
        <f t="shared" si="173"/>
        <v>0</v>
      </c>
      <c r="Q782" s="325">
        <f t="shared" si="174"/>
        <v>0</v>
      </c>
      <c r="R782" s="325">
        <f t="shared" si="165"/>
        <v>1294</v>
      </c>
      <c r="S782" s="325">
        <f t="shared" si="166"/>
        <v>0</v>
      </c>
      <c r="T782" s="325">
        <f t="shared" si="175"/>
        <v>1294</v>
      </c>
      <c r="U782" s="409">
        <f t="shared" si="176"/>
        <v>5410.32</v>
      </c>
      <c r="V782" s="325">
        <f t="shared" si="169"/>
        <v>0</v>
      </c>
      <c r="W782" s="449" cm="1">
        <f t="array" ref="W782">+IF(U782&lt;0,error,0)</f>
        <v>0</v>
      </c>
    </row>
    <row r="783" spans="1:23" ht="18" customHeight="1" x14ac:dyDescent="0.2">
      <c r="A783" s="402">
        <v>746249</v>
      </c>
      <c r="B783" s="403"/>
      <c r="C783" s="404" t="s">
        <v>2374</v>
      </c>
      <c r="D783" s="405">
        <v>43887</v>
      </c>
      <c r="E783" s="406"/>
      <c r="F783" s="325"/>
      <c r="G783" s="324"/>
      <c r="H783" s="324"/>
      <c r="I783" s="325"/>
      <c r="J783" s="325">
        <v>3497.8</v>
      </c>
      <c r="K783" s="325">
        <f t="shared" si="170"/>
        <v>0</v>
      </c>
      <c r="L783" s="325">
        <f t="shared" si="171"/>
        <v>0</v>
      </c>
      <c r="M783" s="407">
        <v>50</v>
      </c>
      <c r="N783" s="408" t="s">
        <v>289</v>
      </c>
      <c r="O783" s="325">
        <f t="shared" si="172"/>
        <v>0</v>
      </c>
      <c r="P783" s="325">
        <f t="shared" si="173"/>
        <v>0</v>
      </c>
      <c r="Q783" s="325">
        <f t="shared" si="174"/>
        <v>0</v>
      </c>
      <c r="R783" s="325">
        <f t="shared" si="165"/>
        <v>598</v>
      </c>
      <c r="S783" s="325">
        <f t="shared" si="166"/>
        <v>0</v>
      </c>
      <c r="T783" s="325">
        <f t="shared" si="175"/>
        <v>598</v>
      </c>
      <c r="U783" s="409">
        <f t="shared" si="176"/>
        <v>2899.8</v>
      </c>
      <c r="V783" s="325">
        <f t="shared" si="169"/>
        <v>0</v>
      </c>
      <c r="W783" s="449" cm="1">
        <f t="array" ref="W783">+IF(U783&lt;0,error,0)</f>
        <v>0</v>
      </c>
    </row>
    <row r="784" spans="1:23" ht="18" customHeight="1" x14ac:dyDescent="0.2">
      <c r="A784" s="402">
        <v>746250</v>
      </c>
      <c r="B784" s="403"/>
      <c r="C784" s="404" t="s">
        <v>2376</v>
      </c>
      <c r="D784" s="405">
        <v>43893</v>
      </c>
      <c r="E784" s="406"/>
      <c r="F784" s="325"/>
      <c r="G784" s="324"/>
      <c r="H784" s="324"/>
      <c r="I784" s="325"/>
      <c r="J784" s="325">
        <f>13034+30816</f>
        <v>43850</v>
      </c>
      <c r="K784" s="325">
        <f t="shared" si="170"/>
        <v>0</v>
      </c>
      <c r="L784" s="325">
        <f t="shared" si="171"/>
        <v>0</v>
      </c>
      <c r="M784" s="407">
        <v>50</v>
      </c>
      <c r="N784" s="408" t="s">
        <v>289</v>
      </c>
      <c r="O784" s="325">
        <f t="shared" si="172"/>
        <v>0</v>
      </c>
      <c r="P784" s="325">
        <f t="shared" si="173"/>
        <v>0</v>
      </c>
      <c r="Q784" s="325">
        <f t="shared" si="174"/>
        <v>0</v>
      </c>
      <c r="R784" s="325">
        <f t="shared" si="165"/>
        <v>7148</v>
      </c>
      <c r="S784" s="325">
        <f t="shared" si="166"/>
        <v>0</v>
      </c>
      <c r="T784" s="325">
        <f t="shared" si="175"/>
        <v>7148</v>
      </c>
      <c r="U784" s="409">
        <f t="shared" si="176"/>
        <v>36702</v>
      </c>
      <c r="V784" s="325">
        <f t="shared" si="169"/>
        <v>0</v>
      </c>
      <c r="W784" s="449" cm="1">
        <f t="array" ref="W784">+IF(U784&lt;0,error,0)</f>
        <v>0</v>
      </c>
    </row>
    <row r="785" spans="1:29" ht="18" customHeight="1" x14ac:dyDescent="0.2">
      <c r="A785" s="402">
        <v>746251</v>
      </c>
      <c r="B785" s="403"/>
      <c r="C785" s="404" t="s">
        <v>2377</v>
      </c>
      <c r="D785" s="405">
        <v>43900</v>
      </c>
      <c r="E785" s="406"/>
      <c r="F785" s="325"/>
      <c r="G785" s="324"/>
      <c r="H785" s="324"/>
      <c r="I785" s="325"/>
      <c r="J785" s="325">
        <v>3321.22</v>
      </c>
      <c r="K785" s="325">
        <f t="shared" si="170"/>
        <v>0</v>
      </c>
      <c r="L785" s="325">
        <f t="shared" si="171"/>
        <v>0</v>
      </c>
      <c r="M785" s="407">
        <v>50</v>
      </c>
      <c r="N785" s="408" t="s">
        <v>289</v>
      </c>
      <c r="O785" s="325">
        <f t="shared" si="172"/>
        <v>0</v>
      </c>
      <c r="P785" s="325">
        <f t="shared" si="173"/>
        <v>0</v>
      </c>
      <c r="Q785" s="325">
        <f t="shared" si="174"/>
        <v>0</v>
      </c>
      <c r="R785" s="325">
        <f t="shared" si="165"/>
        <v>509</v>
      </c>
      <c r="S785" s="325">
        <f t="shared" si="166"/>
        <v>0</v>
      </c>
      <c r="T785" s="325">
        <f t="shared" si="175"/>
        <v>509</v>
      </c>
      <c r="U785" s="409">
        <f t="shared" si="176"/>
        <v>2812.22</v>
      </c>
      <c r="V785" s="325">
        <f t="shared" si="169"/>
        <v>0</v>
      </c>
      <c r="W785" s="449" cm="1">
        <f t="array" ref="W785">+IF(U785&lt;0,error,0)</f>
        <v>0</v>
      </c>
    </row>
    <row r="786" spans="1:29" ht="18" customHeight="1" x14ac:dyDescent="0.2">
      <c r="A786" s="402">
        <v>746252</v>
      </c>
      <c r="B786" s="403"/>
      <c r="C786" s="404" t="s">
        <v>2378</v>
      </c>
      <c r="D786" s="405">
        <v>43914</v>
      </c>
      <c r="E786" s="406"/>
      <c r="F786" s="325"/>
      <c r="G786" s="324"/>
      <c r="H786" s="324"/>
      <c r="I786" s="325"/>
      <c r="J786" s="325">
        <f>29676.8+6092.63</f>
        <v>35769.43</v>
      </c>
      <c r="K786" s="325">
        <f t="shared" si="170"/>
        <v>0</v>
      </c>
      <c r="L786" s="325">
        <f t="shared" si="171"/>
        <v>0</v>
      </c>
      <c r="M786" s="407">
        <v>50</v>
      </c>
      <c r="N786" s="408" t="s">
        <v>289</v>
      </c>
      <c r="O786" s="325">
        <f t="shared" si="172"/>
        <v>0</v>
      </c>
      <c r="P786" s="325">
        <f t="shared" si="173"/>
        <v>0</v>
      </c>
      <c r="Q786" s="325">
        <f t="shared" si="174"/>
        <v>0</v>
      </c>
      <c r="R786" s="325">
        <f t="shared" si="165"/>
        <v>4801</v>
      </c>
      <c r="S786" s="325">
        <f t="shared" si="166"/>
        <v>0</v>
      </c>
      <c r="T786" s="325">
        <f t="shared" si="175"/>
        <v>4801</v>
      </c>
      <c r="U786" s="409">
        <f t="shared" si="176"/>
        <v>30968.43</v>
      </c>
      <c r="V786" s="325">
        <f t="shared" si="169"/>
        <v>0</v>
      </c>
      <c r="W786" s="449" cm="1">
        <f t="array" ref="W786">+IF(U786&lt;0,error,0)</f>
        <v>0</v>
      </c>
    </row>
    <row r="787" spans="1:29" ht="18" customHeight="1" x14ac:dyDescent="0.2">
      <c r="A787" s="402">
        <v>746253</v>
      </c>
      <c r="B787" s="403"/>
      <c r="C787" s="404" t="s">
        <v>2379</v>
      </c>
      <c r="D787" s="405">
        <v>43920</v>
      </c>
      <c r="E787" s="406"/>
      <c r="F787" s="325"/>
      <c r="G787" s="324"/>
      <c r="H787" s="324"/>
      <c r="I787" s="325"/>
      <c r="J787" s="325">
        <f>5620.35+9367.25+9964.59</f>
        <v>24952.190000000002</v>
      </c>
      <c r="K787" s="325">
        <f t="shared" si="170"/>
        <v>0</v>
      </c>
      <c r="L787" s="325">
        <f t="shared" si="171"/>
        <v>0</v>
      </c>
      <c r="M787" s="407">
        <v>50</v>
      </c>
      <c r="N787" s="408" t="s">
        <v>289</v>
      </c>
      <c r="O787" s="325">
        <f t="shared" si="172"/>
        <v>0</v>
      </c>
      <c r="P787" s="325">
        <f t="shared" si="173"/>
        <v>0</v>
      </c>
      <c r="Q787" s="325">
        <f t="shared" si="174"/>
        <v>0</v>
      </c>
      <c r="R787" s="325">
        <f t="shared" si="165"/>
        <v>3144</v>
      </c>
      <c r="S787" s="325">
        <f t="shared" si="166"/>
        <v>0</v>
      </c>
      <c r="T787" s="325">
        <f t="shared" si="175"/>
        <v>3144</v>
      </c>
      <c r="U787" s="409">
        <f t="shared" si="176"/>
        <v>21808.190000000002</v>
      </c>
      <c r="V787" s="325">
        <f t="shared" si="169"/>
        <v>0</v>
      </c>
      <c r="W787" s="449" cm="1">
        <f t="array" ref="W787">+IF(U787&lt;0,error,0)</f>
        <v>0</v>
      </c>
    </row>
    <row r="788" spans="1:29" ht="18" customHeight="1" x14ac:dyDescent="0.2">
      <c r="A788" s="402">
        <v>746254</v>
      </c>
      <c r="B788" s="403"/>
      <c r="C788" s="404" t="s">
        <v>2380</v>
      </c>
      <c r="D788" s="405">
        <v>43922</v>
      </c>
      <c r="E788" s="406"/>
      <c r="F788" s="325"/>
      <c r="G788" s="324"/>
      <c r="H788" s="324"/>
      <c r="I788" s="325"/>
      <c r="J788" s="325">
        <f>89861.04+11594</f>
        <v>101455.03999999999</v>
      </c>
      <c r="K788" s="325">
        <f t="shared" si="170"/>
        <v>0</v>
      </c>
      <c r="L788" s="325">
        <f t="shared" si="171"/>
        <v>0</v>
      </c>
      <c r="M788" s="407">
        <v>50</v>
      </c>
      <c r="N788" s="408" t="s">
        <v>289</v>
      </c>
      <c r="O788" s="325">
        <f t="shared" si="172"/>
        <v>0</v>
      </c>
      <c r="P788" s="325">
        <f t="shared" si="173"/>
        <v>0</v>
      </c>
      <c r="Q788" s="325">
        <f t="shared" si="174"/>
        <v>0</v>
      </c>
      <c r="R788" s="325">
        <f t="shared" si="165"/>
        <v>12508</v>
      </c>
      <c r="S788" s="325">
        <f t="shared" si="166"/>
        <v>0</v>
      </c>
      <c r="T788" s="325">
        <f t="shared" si="175"/>
        <v>12508</v>
      </c>
      <c r="U788" s="409">
        <f t="shared" si="176"/>
        <v>88947.04</v>
      </c>
      <c r="V788" s="325">
        <f t="shared" si="169"/>
        <v>0</v>
      </c>
      <c r="W788" s="449" cm="1">
        <f t="array" ref="W788">+IF(U788&lt;0,error,0)</f>
        <v>0</v>
      </c>
    </row>
    <row r="789" spans="1:29" ht="18" customHeight="1" x14ac:dyDescent="0.2">
      <c r="A789" s="402">
        <v>746255</v>
      </c>
      <c r="B789" s="403"/>
      <c r="C789" s="404" t="s">
        <v>2381</v>
      </c>
      <c r="D789" s="405">
        <v>43936</v>
      </c>
      <c r="E789" s="406"/>
      <c r="F789" s="325"/>
      <c r="G789" s="324"/>
      <c r="H789" s="324"/>
      <c r="I789" s="325"/>
      <c r="J789" s="325">
        <v>8528.57</v>
      </c>
      <c r="K789" s="325">
        <f t="shared" si="170"/>
        <v>0</v>
      </c>
      <c r="L789" s="325">
        <f t="shared" si="171"/>
        <v>0</v>
      </c>
      <c r="M789" s="407">
        <v>50</v>
      </c>
      <c r="N789" s="408" t="s">
        <v>289</v>
      </c>
      <c r="O789" s="325">
        <f t="shared" si="172"/>
        <v>0</v>
      </c>
      <c r="P789" s="325">
        <f t="shared" si="173"/>
        <v>0</v>
      </c>
      <c r="Q789" s="325">
        <f t="shared" si="174"/>
        <v>0</v>
      </c>
      <c r="R789" s="325">
        <f t="shared" si="165"/>
        <v>887</v>
      </c>
      <c r="S789" s="325">
        <f t="shared" si="166"/>
        <v>0</v>
      </c>
      <c r="T789" s="325">
        <f t="shared" si="175"/>
        <v>887</v>
      </c>
      <c r="U789" s="409">
        <f t="shared" si="176"/>
        <v>7641.57</v>
      </c>
      <c r="V789" s="325">
        <f t="shared" ref="V789" si="177">IF(E789&gt;0,+H789+J789,0)</f>
        <v>0</v>
      </c>
      <c r="W789" s="449" cm="1">
        <f t="array" ref="W789">+IF(U789&lt;0,error,0)</f>
        <v>0</v>
      </c>
    </row>
    <row r="790" spans="1:29" ht="18" customHeight="1" x14ac:dyDescent="0.2">
      <c r="A790" s="402">
        <v>746256</v>
      </c>
      <c r="B790" s="403"/>
      <c r="C790" s="404" t="s">
        <v>2382</v>
      </c>
      <c r="D790" s="405">
        <v>43969</v>
      </c>
      <c r="E790" s="406"/>
      <c r="F790" s="325"/>
      <c r="G790" s="324"/>
      <c r="H790" s="324"/>
      <c r="I790" s="325"/>
      <c r="J790" s="325">
        <f>5835+14000</f>
        <v>19835</v>
      </c>
      <c r="K790" s="325">
        <f t="shared" ref="K790" si="178">INT(IF($E790&gt;0,IF(+F790-I790+Q790&lt;0,0,+F790-I790+Q790),0))</f>
        <v>0</v>
      </c>
      <c r="L790" s="325">
        <f t="shared" ref="L790" si="179">INT(IF($E790&gt;0,IF(K790=0,-F790+I790-Q790,0),0))</f>
        <v>0</v>
      </c>
      <c r="M790" s="407">
        <v>50</v>
      </c>
      <c r="N790" s="408" t="s">
        <v>289</v>
      </c>
      <c r="O790" s="325">
        <f t="shared" ref="O790" si="180">IF(E790&gt;0,INT(IF($N790="D",IF($D790&lt;$H$3,$I790*($M790/100)*((E790-$H$3)/365),$J790*($M790/100)*($J$3-$D790)/365),0)),0)</f>
        <v>0</v>
      </c>
      <c r="P790" s="325">
        <f t="shared" ref="P790" si="181">IF(E790&gt;0,INT(IF($N790="P",IF($D790&lt;$H$3,$H790*($M790/100)*(E790-$H$3)/365,$J790*($M790/100)*($J$3-$D790)/365),0)),0)</f>
        <v>0</v>
      </c>
      <c r="Q790" s="325">
        <f t="shared" ref="Q790" si="182">+O790+P790</f>
        <v>0</v>
      </c>
      <c r="R790" s="325">
        <f t="shared" si="165"/>
        <v>1168</v>
      </c>
      <c r="S790" s="325">
        <f t="shared" si="166"/>
        <v>0</v>
      </c>
      <c r="T790" s="325">
        <f t="shared" ref="T790" si="183">+R790+S790+Q790</f>
        <v>1168</v>
      </c>
      <c r="U790" s="409">
        <f t="shared" ref="U790" si="184">+I790+J790-T790-F790+K790-L790</f>
        <v>18667</v>
      </c>
      <c r="V790" s="325">
        <f t="shared" ref="V790" si="185">IF(E790&gt;0,+H790+J790,0)</f>
        <v>0</v>
      </c>
      <c r="W790" s="449" cm="1">
        <f t="array" ref="W790">+IF(U790&lt;0,error,0)</f>
        <v>0</v>
      </c>
    </row>
    <row r="791" spans="1:29" ht="18" customHeight="1" x14ac:dyDescent="0.2">
      <c r="A791" s="413"/>
      <c r="B791" s="414"/>
      <c r="C791" s="416"/>
      <c r="D791" s="416"/>
      <c r="E791" s="406"/>
      <c r="F791" s="325"/>
      <c r="G791" s="324"/>
      <c r="H791" s="324"/>
      <c r="I791" s="333"/>
      <c r="J791" s="333"/>
      <c r="K791" s="333"/>
      <c r="L791" s="333"/>
      <c r="M791" s="418"/>
      <c r="N791" s="408"/>
      <c r="O791" s="408"/>
      <c r="P791" s="333"/>
      <c r="Q791" s="333"/>
      <c r="R791" s="408"/>
      <c r="S791" s="333"/>
      <c r="T791" s="333"/>
      <c r="U791" s="419"/>
      <c r="V791" s="333"/>
      <c r="W791" s="449" cm="1">
        <f t="array" ref="W791">+IF(U791&lt;0,error,0)</f>
        <v>0</v>
      </c>
    </row>
    <row r="792" spans="1:29" ht="18" customHeight="1" x14ac:dyDescent="0.2">
      <c r="A792" s="413"/>
      <c r="B792" s="414"/>
      <c r="C792" s="415" t="s">
        <v>2043</v>
      </c>
      <c r="D792" s="416"/>
      <c r="E792" s="406"/>
      <c r="F792" s="325"/>
      <c r="G792" s="324"/>
      <c r="H792" s="417">
        <f>+J793-V793</f>
        <v>240729.31</v>
      </c>
      <c r="I792" s="333"/>
      <c r="J792" s="333"/>
      <c r="K792" s="333"/>
      <c r="L792" s="333"/>
      <c r="M792" s="418"/>
      <c r="N792" s="408"/>
      <c r="O792" s="408"/>
      <c r="P792" s="333"/>
      <c r="Q792" s="333"/>
      <c r="R792" s="408"/>
      <c r="S792" s="333"/>
      <c r="T792" s="333"/>
      <c r="U792" s="419"/>
      <c r="V792" s="333"/>
      <c r="W792" s="449" cm="1">
        <f t="array" ref="W792">+IF(U792&lt;0,error,0)</f>
        <v>0</v>
      </c>
    </row>
    <row r="793" spans="1:29" s="347" customFormat="1" ht="18" customHeight="1" x14ac:dyDescent="0.2">
      <c r="A793" s="420"/>
      <c r="B793" s="421"/>
      <c r="C793" s="415" t="s">
        <v>1656</v>
      </c>
      <c r="D793" s="415"/>
      <c r="E793" s="429"/>
      <c r="F793" s="417">
        <f>SUM(F611:F791)</f>
        <v>9126.369999999999</v>
      </c>
      <c r="G793" s="417">
        <f>SUM(G611:G791)</f>
        <v>60534.19</v>
      </c>
      <c r="H793" s="417">
        <f>SUM(H611:H792)</f>
        <v>1898622.35</v>
      </c>
      <c r="I793" s="334">
        <f>SUM(I611:I791)</f>
        <v>451293.14500000002</v>
      </c>
      <c r="J793" s="334">
        <f>SUM(J611:J791)</f>
        <v>301263.5</v>
      </c>
      <c r="K793" s="417">
        <f>SUM(K611:K791)</f>
        <v>8420.61</v>
      </c>
      <c r="L793" s="334">
        <f>SUM(L611:L791)</f>
        <v>0</v>
      </c>
      <c r="M793" s="450"/>
      <c r="N793" s="426"/>
      <c r="O793" s="334">
        <f>SUM(O611:O791)</f>
        <v>50</v>
      </c>
      <c r="P793" s="334">
        <f>SUM(P611:P791)</f>
        <v>0</v>
      </c>
      <c r="Q793" s="334"/>
      <c r="R793" s="334">
        <f>SUM(R611:R791)</f>
        <v>154185</v>
      </c>
      <c r="S793" s="334">
        <f>SUM(S611:S791)</f>
        <v>0</v>
      </c>
      <c r="T793" s="417">
        <f>SUM(T611:T791)</f>
        <v>154256.94</v>
      </c>
      <c r="U793" s="417">
        <f>SUM(U611:U791)</f>
        <v>597593.94499999995</v>
      </c>
      <c r="V793" s="417">
        <f>SUM(V611:V791)</f>
        <v>60534.19</v>
      </c>
      <c r="W793" s="449" cm="1">
        <f t="array" ref="W793">+IF(U793&lt;0,error,0)</f>
        <v>0</v>
      </c>
      <c r="X793" s="347">
        <f>1898622.35-1301028.47</f>
        <v>597593.88000000012</v>
      </c>
      <c r="Y793" s="427">
        <f>+U793-X793</f>
        <v>6.4999999827705324E-2</v>
      </c>
      <c r="Z793" s="427"/>
      <c r="AC793" s="445">
        <f>+H792+F793</f>
        <v>249855.68</v>
      </c>
    </row>
    <row r="794" spans="1:29" ht="18" customHeight="1" x14ac:dyDescent="0.2">
      <c r="A794" s="413"/>
      <c r="B794" s="414"/>
      <c r="C794" s="416"/>
      <c r="D794" s="416"/>
      <c r="E794" s="406"/>
      <c r="F794" s="325"/>
      <c r="G794" s="324"/>
      <c r="H794" s="324"/>
      <c r="I794" s="325"/>
      <c r="J794" s="325"/>
      <c r="K794" s="325"/>
      <c r="L794" s="325"/>
      <c r="M794" s="451"/>
      <c r="N794" s="452"/>
      <c r="O794" s="334">
        <v>7157</v>
      </c>
      <c r="P794" s="334">
        <v>0</v>
      </c>
      <c r="Q794" s="334"/>
      <c r="R794" s="334">
        <v>102573</v>
      </c>
      <c r="S794" s="334">
        <v>0</v>
      </c>
      <c r="T794" s="334"/>
      <c r="U794" s="409"/>
      <c r="V794" s="325"/>
      <c r="W794" s="449" cm="1">
        <f t="array" ref="W794">+IF(U794&lt;0,error,0)</f>
        <v>0</v>
      </c>
    </row>
    <row r="795" spans="1:29" ht="18" customHeight="1" x14ac:dyDescent="0.2">
      <c r="A795" s="432" t="s">
        <v>1576</v>
      </c>
      <c r="B795" s="433"/>
      <c r="C795" s="416"/>
      <c r="D795" s="415"/>
      <c r="E795" s="429"/>
      <c r="F795" s="334"/>
      <c r="G795" s="417"/>
      <c r="H795" s="417"/>
      <c r="I795" s="334"/>
      <c r="J795" s="334"/>
      <c r="K795" s="334"/>
      <c r="L795" s="334"/>
      <c r="M795" s="415"/>
      <c r="N795" s="446"/>
      <c r="O795" s="446"/>
      <c r="P795" s="334"/>
      <c r="Q795" s="334"/>
      <c r="R795" s="446"/>
      <c r="S795" s="334"/>
      <c r="T795" s="334"/>
      <c r="U795" s="419"/>
      <c r="V795" s="333"/>
      <c r="W795" s="449" cm="1">
        <f t="array" ref="W795">+IF(U795&lt;0,error,0)</f>
        <v>0</v>
      </c>
      <c r="AA795" s="447"/>
    </row>
    <row r="796" spans="1:29" ht="18" customHeight="1" x14ac:dyDescent="0.2">
      <c r="A796" s="437" t="s">
        <v>1577</v>
      </c>
      <c r="B796" s="453"/>
      <c r="C796" s="416"/>
      <c r="D796" s="428"/>
      <c r="E796" s="434"/>
      <c r="F796" s="336"/>
      <c r="G796" s="435"/>
      <c r="H796" s="435"/>
      <c r="I796" s="337"/>
      <c r="J796" s="337"/>
      <c r="K796" s="337"/>
      <c r="L796" s="337"/>
      <c r="M796" s="422"/>
      <c r="N796" s="436"/>
      <c r="O796" s="436"/>
      <c r="P796" s="337"/>
      <c r="Q796" s="337"/>
      <c r="R796" s="436"/>
      <c r="S796" s="337"/>
      <c r="T796" s="337"/>
      <c r="U796" s="419"/>
      <c r="V796" s="333"/>
      <c r="W796" s="449" cm="1">
        <f t="array" ref="W796">+IF(U796&lt;0,error,0)</f>
        <v>0</v>
      </c>
    </row>
    <row r="797" spans="1:29" ht="18" customHeight="1" x14ac:dyDescent="0.2">
      <c r="A797" s="402" t="s">
        <v>1578</v>
      </c>
      <c r="B797" s="403"/>
      <c r="C797" s="404" t="s">
        <v>1579</v>
      </c>
      <c r="D797" s="405">
        <v>41281</v>
      </c>
      <c r="E797" s="406"/>
      <c r="F797" s="325"/>
      <c r="G797" s="324"/>
      <c r="H797" s="324">
        <v>6450</v>
      </c>
      <c r="I797" s="325">
        <v>2087</v>
      </c>
      <c r="J797" s="325"/>
      <c r="K797" s="325">
        <f t="shared" ref="K797:K825" si="186">INT(IF($E797&gt;0,IF(+F797-I797+Q797&lt;0,0,+F797-I797+Q797),0))</f>
        <v>0</v>
      </c>
      <c r="L797" s="325">
        <f t="shared" ref="L797:L825" si="187">INT(IF($E797&gt;0,IF(K797=0,-F797+I797-Q797,0),0))</f>
        <v>0</v>
      </c>
      <c r="M797" s="407">
        <v>20</v>
      </c>
      <c r="N797" s="408" t="s">
        <v>289</v>
      </c>
      <c r="O797" s="325">
        <f t="shared" ref="O797:O825" si="188">IF(E797&gt;0,INT(IF($N797="D",IF($D797&lt;$H$3,$I797*($M797/100)*((E797-$H$3)/365),$J797*($M797/100)*($J$3-$D797)/365),0)),0)</f>
        <v>0</v>
      </c>
      <c r="P797" s="325">
        <f t="shared" ref="P797:P825" si="189">IF(E797&gt;0,INT(IF($N797="P",IF($D797&lt;$H$3,$H797*($M797/100)*(E797-$H$3)/365,$J797*($M797/100)*($J$3-$D797)/365),0)),0)</f>
        <v>0</v>
      </c>
      <c r="Q797" s="325">
        <f t="shared" ref="Q797:Q825" si="190">+O797+P797</f>
        <v>0</v>
      </c>
      <c r="R797" s="325">
        <f t="shared" ref="R797:R826" si="191">INT(IF($E797&gt;0,0,(IF($N797="D",IF($D797&lt;$H$3,$I797*($M797/100)*$U$3/12,$J797*($M797/100)*($J$3-$D797)/365),0))))</f>
        <v>208</v>
      </c>
      <c r="S797" s="325">
        <f t="shared" ref="S797:S826" si="192">INT(IF($E797&gt;0,0,(IF($N797="P",IF($D797&lt;$H$3,$H797*($M797/100)*$U$3/12,$J797*($M797/100)*($J$3-$D797)/365),0))))</f>
        <v>0</v>
      </c>
      <c r="T797" s="325">
        <f t="shared" ref="T797:T825" si="193">+R797+S797+Q797</f>
        <v>208</v>
      </c>
      <c r="U797" s="409">
        <f t="shared" ref="U797:U822" si="194">+I797+J797-T797-F797+K797-L797</f>
        <v>1879</v>
      </c>
      <c r="V797" s="325">
        <f t="shared" ref="V797:V825" si="195">IF(E797&gt;0,+H797+J797,0)</f>
        <v>0</v>
      </c>
      <c r="W797" s="449" cm="1">
        <f t="array" ref="W797">+IF(U797&lt;0,error,0)</f>
        <v>0</v>
      </c>
    </row>
    <row r="798" spans="1:29" ht="18" customHeight="1" x14ac:dyDescent="0.2">
      <c r="A798" s="402" t="s">
        <v>1580</v>
      </c>
      <c r="B798" s="403"/>
      <c r="C798" s="404" t="s">
        <v>1581</v>
      </c>
      <c r="D798" s="405">
        <v>41478</v>
      </c>
      <c r="E798" s="406"/>
      <c r="F798" s="325"/>
      <c r="G798" s="324"/>
      <c r="H798" s="324">
        <v>679.09</v>
      </c>
      <c r="I798" s="325">
        <v>10.09</v>
      </c>
      <c r="J798" s="325"/>
      <c r="K798" s="325">
        <f t="shared" si="186"/>
        <v>0</v>
      </c>
      <c r="L798" s="325">
        <f t="shared" si="187"/>
        <v>0</v>
      </c>
      <c r="M798" s="407">
        <v>50</v>
      </c>
      <c r="N798" s="408" t="s">
        <v>289</v>
      </c>
      <c r="O798" s="325">
        <f t="shared" si="188"/>
        <v>0</v>
      </c>
      <c r="P798" s="325">
        <f t="shared" si="189"/>
        <v>0</v>
      </c>
      <c r="Q798" s="325">
        <f t="shared" si="190"/>
        <v>0</v>
      </c>
      <c r="R798" s="325">
        <f t="shared" si="191"/>
        <v>2</v>
      </c>
      <c r="S798" s="325">
        <f t="shared" si="192"/>
        <v>0</v>
      </c>
      <c r="T798" s="325">
        <v>10</v>
      </c>
      <c r="U798" s="409">
        <f t="shared" si="194"/>
        <v>8.9999999999999858E-2</v>
      </c>
      <c r="V798" s="325">
        <f t="shared" si="195"/>
        <v>0</v>
      </c>
      <c r="W798" s="449" cm="1">
        <f t="array" ref="W798">+IF(U798&lt;0,error,0)</f>
        <v>0</v>
      </c>
    </row>
    <row r="799" spans="1:29" ht="18" customHeight="1" x14ac:dyDescent="0.2">
      <c r="A799" s="402" t="s">
        <v>1582</v>
      </c>
      <c r="B799" s="403"/>
      <c r="C799" s="404" t="s">
        <v>1583</v>
      </c>
      <c r="D799" s="405">
        <v>41688</v>
      </c>
      <c r="E799" s="406"/>
      <c r="F799" s="325"/>
      <c r="G799" s="324"/>
      <c r="H799" s="324">
        <v>1363.64</v>
      </c>
      <c r="I799" s="325">
        <v>179.64000000000001</v>
      </c>
      <c r="J799" s="325"/>
      <c r="K799" s="325">
        <f t="shared" si="186"/>
        <v>0</v>
      </c>
      <c r="L799" s="325">
        <f t="shared" si="187"/>
        <v>0</v>
      </c>
      <c r="M799" s="407">
        <v>30</v>
      </c>
      <c r="N799" s="408" t="s">
        <v>289</v>
      </c>
      <c r="O799" s="325">
        <f t="shared" si="188"/>
        <v>0</v>
      </c>
      <c r="P799" s="325">
        <f t="shared" si="189"/>
        <v>0</v>
      </c>
      <c r="Q799" s="325">
        <f t="shared" si="190"/>
        <v>0</v>
      </c>
      <c r="R799" s="325">
        <f t="shared" si="191"/>
        <v>26</v>
      </c>
      <c r="S799" s="325">
        <f t="shared" si="192"/>
        <v>0</v>
      </c>
      <c r="T799" s="325">
        <f t="shared" si="193"/>
        <v>26</v>
      </c>
      <c r="U799" s="409">
        <f t="shared" si="194"/>
        <v>153.64000000000001</v>
      </c>
      <c r="V799" s="325">
        <f t="shared" si="195"/>
        <v>0</v>
      </c>
      <c r="W799" s="449" cm="1">
        <f t="array" ref="W799">+IF(U799&lt;0,error,0)</f>
        <v>0</v>
      </c>
    </row>
    <row r="800" spans="1:29" ht="18" customHeight="1" x14ac:dyDescent="0.2">
      <c r="A800" s="402" t="s">
        <v>1584</v>
      </c>
      <c r="B800" s="403"/>
      <c r="C800" s="404" t="s">
        <v>1585</v>
      </c>
      <c r="D800" s="405">
        <v>42149</v>
      </c>
      <c r="E800" s="406"/>
      <c r="F800" s="325"/>
      <c r="G800" s="324"/>
      <c r="H800" s="324">
        <v>1522.73</v>
      </c>
      <c r="I800" s="325">
        <v>16.730000000000004</v>
      </c>
      <c r="J800" s="325"/>
      <c r="K800" s="325">
        <f t="shared" si="186"/>
        <v>0</v>
      </c>
      <c r="L800" s="325">
        <f t="shared" si="187"/>
        <v>0</v>
      </c>
      <c r="M800" s="407">
        <v>66.67</v>
      </c>
      <c r="N800" s="408" t="s">
        <v>289</v>
      </c>
      <c r="O800" s="325">
        <f t="shared" si="188"/>
        <v>0</v>
      </c>
      <c r="P800" s="325">
        <f t="shared" si="189"/>
        <v>0</v>
      </c>
      <c r="Q800" s="325">
        <f t="shared" si="190"/>
        <v>0</v>
      </c>
      <c r="R800" s="325">
        <f t="shared" si="191"/>
        <v>5</v>
      </c>
      <c r="S800" s="325">
        <f t="shared" si="192"/>
        <v>0</v>
      </c>
      <c r="T800" s="325">
        <f t="shared" si="193"/>
        <v>5</v>
      </c>
      <c r="U800" s="409">
        <f t="shared" si="194"/>
        <v>11.730000000000004</v>
      </c>
      <c r="V800" s="325">
        <f t="shared" si="195"/>
        <v>0</v>
      </c>
      <c r="W800" s="449" cm="1">
        <f t="array" ref="W800">+IF(U800&lt;0,error,0)</f>
        <v>0</v>
      </c>
    </row>
    <row r="801" spans="1:23" ht="18" customHeight="1" x14ac:dyDescent="0.2">
      <c r="A801" s="402" t="s">
        <v>1586</v>
      </c>
      <c r="B801" s="403"/>
      <c r="C801" s="404" t="s">
        <v>1587</v>
      </c>
      <c r="D801" s="405">
        <v>42242</v>
      </c>
      <c r="E801" s="406"/>
      <c r="F801" s="325"/>
      <c r="G801" s="324"/>
      <c r="H801" s="324">
        <v>1145.4000000000001</v>
      </c>
      <c r="I801" s="325">
        <v>0</v>
      </c>
      <c r="J801" s="325"/>
      <c r="K801" s="325">
        <f t="shared" si="186"/>
        <v>0</v>
      </c>
      <c r="L801" s="325">
        <f t="shared" si="187"/>
        <v>0</v>
      </c>
      <c r="M801" s="407">
        <v>100</v>
      </c>
      <c r="N801" s="408" t="s">
        <v>289</v>
      </c>
      <c r="O801" s="325">
        <f t="shared" si="188"/>
        <v>0</v>
      </c>
      <c r="P801" s="325">
        <f t="shared" si="189"/>
        <v>0</v>
      </c>
      <c r="Q801" s="325">
        <f t="shared" si="190"/>
        <v>0</v>
      </c>
      <c r="R801" s="325">
        <f t="shared" si="191"/>
        <v>0</v>
      </c>
      <c r="S801" s="325">
        <f t="shared" si="192"/>
        <v>0</v>
      </c>
      <c r="T801" s="325">
        <f t="shared" si="193"/>
        <v>0</v>
      </c>
      <c r="U801" s="409">
        <f t="shared" si="194"/>
        <v>0</v>
      </c>
      <c r="V801" s="325">
        <f t="shared" si="195"/>
        <v>0</v>
      </c>
      <c r="W801" s="449" cm="1">
        <f t="array" ref="W801">+IF(U801&lt;0,error,0)</f>
        <v>0</v>
      </c>
    </row>
    <row r="802" spans="1:23" ht="18" customHeight="1" x14ac:dyDescent="0.2">
      <c r="A802" s="402" t="s">
        <v>1588</v>
      </c>
      <c r="B802" s="403"/>
      <c r="C802" s="404" t="s">
        <v>1589</v>
      </c>
      <c r="D802" s="405">
        <v>42392</v>
      </c>
      <c r="E802" s="406"/>
      <c r="F802" s="325"/>
      <c r="G802" s="324"/>
      <c r="H802" s="324">
        <v>2229.09</v>
      </c>
      <c r="I802" s="325">
        <v>949.08999999999992</v>
      </c>
      <c r="J802" s="325"/>
      <c r="K802" s="325">
        <f t="shared" si="186"/>
        <v>0</v>
      </c>
      <c r="L802" s="325">
        <f t="shared" si="187"/>
        <v>0</v>
      </c>
      <c r="M802" s="407">
        <v>20</v>
      </c>
      <c r="N802" s="408" t="s">
        <v>289</v>
      </c>
      <c r="O802" s="325">
        <f t="shared" si="188"/>
        <v>0</v>
      </c>
      <c r="P802" s="325">
        <f t="shared" si="189"/>
        <v>0</v>
      </c>
      <c r="Q802" s="325">
        <f t="shared" si="190"/>
        <v>0</v>
      </c>
      <c r="R802" s="325">
        <f t="shared" si="191"/>
        <v>94</v>
      </c>
      <c r="S802" s="325">
        <f t="shared" si="192"/>
        <v>0</v>
      </c>
      <c r="T802" s="325">
        <f t="shared" si="193"/>
        <v>94</v>
      </c>
      <c r="U802" s="409">
        <f t="shared" si="194"/>
        <v>855.08999999999992</v>
      </c>
      <c r="V802" s="325">
        <f t="shared" si="195"/>
        <v>0</v>
      </c>
      <c r="W802" s="449" cm="1">
        <f t="array" ref="W802">+IF(U802&lt;0,error,0)</f>
        <v>0</v>
      </c>
    </row>
    <row r="803" spans="1:23" ht="18" customHeight="1" x14ac:dyDescent="0.2">
      <c r="A803" s="402" t="s">
        <v>1590</v>
      </c>
      <c r="B803" s="403"/>
      <c r="C803" s="404" t="s">
        <v>1591</v>
      </c>
      <c r="D803" s="405">
        <v>42513</v>
      </c>
      <c r="E803" s="406"/>
      <c r="F803" s="325"/>
      <c r="G803" s="324"/>
      <c r="H803" s="324">
        <v>796.36</v>
      </c>
      <c r="I803" s="325">
        <v>0</v>
      </c>
      <c r="J803" s="325"/>
      <c r="K803" s="325">
        <f t="shared" si="186"/>
        <v>0</v>
      </c>
      <c r="L803" s="325">
        <f t="shared" si="187"/>
        <v>0</v>
      </c>
      <c r="M803" s="407">
        <v>100</v>
      </c>
      <c r="N803" s="408" t="s">
        <v>289</v>
      </c>
      <c r="O803" s="325">
        <f t="shared" si="188"/>
        <v>0</v>
      </c>
      <c r="P803" s="325">
        <f t="shared" si="189"/>
        <v>0</v>
      </c>
      <c r="Q803" s="325">
        <f t="shared" si="190"/>
        <v>0</v>
      </c>
      <c r="R803" s="325">
        <f t="shared" si="191"/>
        <v>0</v>
      </c>
      <c r="S803" s="325">
        <f t="shared" si="192"/>
        <v>0</v>
      </c>
      <c r="T803" s="325">
        <f t="shared" si="193"/>
        <v>0</v>
      </c>
      <c r="U803" s="409">
        <f t="shared" si="194"/>
        <v>0</v>
      </c>
      <c r="V803" s="325">
        <f t="shared" si="195"/>
        <v>0</v>
      </c>
      <c r="W803" s="449" cm="1">
        <f t="array" ref="W803">+IF(U803&lt;0,error,0)</f>
        <v>0</v>
      </c>
    </row>
    <row r="804" spans="1:23" ht="18" customHeight="1" x14ac:dyDescent="0.2">
      <c r="A804" s="402" t="s">
        <v>1592</v>
      </c>
      <c r="B804" s="403"/>
      <c r="C804" s="404" t="s">
        <v>1593</v>
      </c>
      <c r="D804" s="405">
        <v>42355</v>
      </c>
      <c r="E804" s="406"/>
      <c r="F804" s="325"/>
      <c r="G804" s="324"/>
      <c r="H804" s="324">
        <v>2499.0500000000002</v>
      </c>
      <c r="I804" s="325">
        <v>0</v>
      </c>
      <c r="J804" s="325"/>
      <c r="K804" s="325">
        <f t="shared" si="186"/>
        <v>0</v>
      </c>
      <c r="L804" s="325">
        <f t="shared" si="187"/>
        <v>0</v>
      </c>
      <c r="M804" s="407">
        <v>100</v>
      </c>
      <c r="N804" s="408" t="s">
        <v>289</v>
      </c>
      <c r="O804" s="325">
        <f t="shared" si="188"/>
        <v>0</v>
      </c>
      <c r="P804" s="325">
        <f t="shared" si="189"/>
        <v>0</v>
      </c>
      <c r="Q804" s="325">
        <f t="shared" si="190"/>
        <v>0</v>
      </c>
      <c r="R804" s="325">
        <f t="shared" si="191"/>
        <v>0</v>
      </c>
      <c r="S804" s="325">
        <f t="shared" si="192"/>
        <v>0</v>
      </c>
      <c r="T804" s="325">
        <f t="shared" si="193"/>
        <v>0</v>
      </c>
      <c r="U804" s="409">
        <f t="shared" si="194"/>
        <v>0</v>
      </c>
      <c r="V804" s="325">
        <f t="shared" si="195"/>
        <v>0</v>
      </c>
      <c r="W804" s="449" cm="1">
        <f t="array" ref="W804">+IF(U804&lt;0,error,0)</f>
        <v>0</v>
      </c>
    </row>
    <row r="805" spans="1:23" ht="18" customHeight="1" x14ac:dyDescent="0.2">
      <c r="A805" s="402" t="s">
        <v>1594</v>
      </c>
      <c r="B805" s="403"/>
      <c r="C805" s="404" t="s">
        <v>1595</v>
      </c>
      <c r="D805" s="405">
        <v>42772</v>
      </c>
      <c r="E805" s="406"/>
      <c r="F805" s="325"/>
      <c r="G805" s="324"/>
      <c r="H805" s="324">
        <v>1352.73</v>
      </c>
      <c r="I805" s="325">
        <v>0</v>
      </c>
      <c r="J805" s="325"/>
      <c r="K805" s="325">
        <f t="shared" si="186"/>
        <v>0</v>
      </c>
      <c r="L805" s="325">
        <f t="shared" si="187"/>
        <v>0</v>
      </c>
      <c r="M805" s="407">
        <v>100</v>
      </c>
      <c r="N805" s="408" t="s">
        <v>289</v>
      </c>
      <c r="O805" s="325">
        <f t="shared" si="188"/>
        <v>0</v>
      </c>
      <c r="P805" s="325">
        <f t="shared" si="189"/>
        <v>0</v>
      </c>
      <c r="Q805" s="325">
        <f t="shared" si="190"/>
        <v>0</v>
      </c>
      <c r="R805" s="325">
        <f t="shared" si="191"/>
        <v>0</v>
      </c>
      <c r="S805" s="325">
        <f t="shared" si="192"/>
        <v>0</v>
      </c>
      <c r="T805" s="325">
        <f t="shared" si="193"/>
        <v>0</v>
      </c>
      <c r="U805" s="409">
        <f t="shared" si="194"/>
        <v>0</v>
      </c>
      <c r="V805" s="325">
        <f t="shared" si="195"/>
        <v>0</v>
      </c>
      <c r="W805" s="449" cm="1">
        <f t="array" ref="W805">+IF(U805&lt;0,error,0)</f>
        <v>0</v>
      </c>
    </row>
    <row r="806" spans="1:23" ht="18" customHeight="1" x14ac:dyDescent="0.2">
      <c r="A806" s="402" t="s">
        <v>1596</v>
      </c>
      <c r="B806" s="403"/>
      <c r="C806" s="404" t="s">
        <v>1597</v>
      </c>
      <c r="D806" s="405">
        <v>42809</v>
      </c>
      <c r="E806" s="406"/>
      <c r="F806" s="325"/>
      <c r="G806" s="324"/>
      <c r="H806" s="324">
        <v>710.91</v>
      </c>
      <c r="I806" s="325">
        <v>0</v>
      </c>
      <c r="J806" s="325"/>
      <c r="K806" s="325">
        <f t="shared" si="186"/>
        <v>0</v>
      </c>
      <c r="L806" s="325">
        <f t="shared" si="187"/>
        <v>0</v>
      </c>
      <c r="M806" s="407">
        <v>100</v>
      </c>
      <c r="N806" s="408" t="s">
        <v>289</v>
      </c>
      <c r="O806" s="325">
        <f t="shared" si="188"/>
        <v>0</v>
      </c>
      <c r="P806" s="325">
        <f t="shared" si="189"/>
        <v>0</v>
      </c>
      <c r="Q806" s="325">
        <f t="shared" si="190"/>
        <v>0</v>
      </c>
      <c r="R806" s="325">
        <f t="shared" si="191"/>
        <v>0</v>
      </c>
      <c r="S806" s="325">
        <f t="shared" si="192"/>
        <v>0</v>
      </c>
      <c r="T806" s="325">
        <f t="shared" si="193"/>
        <v>0</v>
      </c>
      <c r="U806" s="409">
        <f t="shared" si="194"/>
        <v>0</v>
      </c>
      <c r="V806" s="325">
        <f t="shared" si="195"/>
        <v>0</v>
      </c>
      <c r="W806" s="449" cm="1">
        <f t="array" ref="W806">+IF(U806&lt;0,error,0)</f>
        <v>0</v>
      </c>
    </row>
    <row r="807" spans="1:23" ht="18" customHeight="1" x14ac:dyDescent="0.2">
      <c r="A807" s="402" t="s">
        <v>1598</v>
      </c>
      <c r="B807" s="403"/>
      <c r="C807" s="411" t="s">
        <v>1599</v>
      </c>
      <c r="D807" s="405">
        <v>42809</v>
      </c>
      <c r="E807" s="406"/>
      <c r="F807" s="325"/>
      <c r="G807" s="324"/>
      <c r="H807" s="324">
        <v>1632.73</v>
      </c>
      <c r="I807" s="325">
        <v>0</v>
      </c>
      <c r="J807" s="325"/>
      <c r="K807" s="325">
        <f t="shared" si="186"/>
        <v>0</v>
      </c>
      <c r="L807" s="325">
        <f t="shared" si="187"/>
        <v>0</v>
      </c>
      <c r="M807" s="407">
        <v>100</v>
      </c>
      <c r="N807" s="408" t="s">
        <v>289</v>
      </c>
      <c r="O807" s="325">
        <f t="shared" si="188"/>
        <v>0</v>
      </c>
      <c r="P807" s="325">
        <f t="shared" si="189"/>
        <v>0</v>
      </c>
      <c r="Q807" s="325">
        <f t="shared" si="190"/>
        <v>0</v>
      </c>
      <c r="R807" s="325">
        <f t="shared" si="191"/>
        <v>0</v>
      </c>
      <c r="S807" s="325">
        <f t="shared" si="192"/>
        <v>0</v>
      </c>
      <c r="T807" s="325">
        <f t="shared" si="193"/>
        <v>0</v>
      </c>
      <c r="U807" s="409">
        <f t="shared" si="194"/>
        <v>0</v>
      </c>
      <c r="V807" s="325">
        <f t="shared" si="195"/>
        <v>0</v>
      </c>
      <c r="W807" s="449" cm="1">
        <f t="array" ref="W807">+IF(U807&lt;0,error,0)</f>
        <v>0</v>
      </c>
    </row>
    <row r="808" spans="1:23" ht="18" customHeight="1" x14ac:dyDescent="0.2">
      <c r="A808" s="402" t="s">
        <v>1600</v>
      </c>
      <c r="B808" s="403"/>
      <c r="C808" s="404" t="s">
        <v>1601</v>
      </c>
      <c r="D808" s="405">
        <v>42873</v>
      </c>
      <c r="E808" s="406"/>
      <c r="F808" s="325"/>
      <c r="G808" s="324"/>
      <c r="H808" s="324">
        <v>526.36</v>
      </c>
      <c r="I808" s="325">
        <v>0</v>
      </c>
      <c r="J808" s="325"/>
      <c r="K808" s="325">
        <f t="shared" si="186"/>
        <v>0</v>
      </c>
      <c r="L808" s="325">
        <f t="shared" si="187"/>
        <v>0</v>
      </c>
      <c r="M808" s="407">
        <v>100</v>
      </c>
      <c r="N808" s="408" t="s">
        <v>289</v>
      </c>
      <c r="O808" s="325">
        <f t="shared" si="188"/>
        <v>0</v>
      </c>
      <c r="P808" s="325">
        <f t="shared" si="189"/>
        <v>0</v>
      </c>
      <c r="Q808" s="325">
        <f t="shared" si="190"/>
        <v>0</v>
      </c>
      <c r="R808" s="325">
        <f t="shared" si="191"/>
        <v>0</v>
      </c>
      <c r="S808" s="325">
        <f t="shared" si="192"/>
        <v>0</v>
      </c>
      <c r="T808" s="325">
        <f t="shared" si="193"/>
        <v>0</v>
      </c>
      <c r="U808" s="409">
        <f t="shared" si="194"/>
        <v>0</v>
      </c>
      <c r="V808" s="325">
        <f t="shared" si="195"/>
        <v>0</v>
      </c>
      <c r="W808" s="449" cm="1">
        <f t="array" ref="W808">+IF(U808&lt;0,error,0)</f>
        <v>0</v>
      </c>
    </row>
    <row r="809" spans="1:23" ht="18" customHeight="1" x14ac:dyDescent="0.2">
      <c r="A809" s="402" t="s">
        <v>1602</v>
      </c>
      <c r="B809" s="403"/>
      <c r="C809" s="404" t="s">
        <v>1603</v>
      </c>
      <c r="D809" s="405">
        <v>43159</v>
      </c>
      <c r="E809" s="406"/>
      <c r="F809" s="325"/>
      <c r="G809" s="324"/>
      <c r="H809" s="324">
        <v>2550</v>
      </c>
      <c r="I809" s="325">
        <v>891</v>
      </c>
      <c r="J809" s="325"/>
      <c r="K809" s="325">
        <f t="shared" si="186"/>
        <v>0</v>
      </c>
      <c r="L809" s="325">
        <f t="shared" si="187"/>
        <v>0</v>
      </c>
      <c r="M809" s="407">
        <v>50</v>
      </c>
      <c r="N809" s="408" t="s">
        <v>289</v>
      </c>
      <c r="O809" s="325">
        <f t="shared" si="188"/>
        <v>0</v>
      </c>
      <c r="P809" s="325">
        <f t="shared" si="189"/>
        <v>0</v>
      </c>
      <c r="Q809" s="325">
        <f t="shared" si="190"/>
        <v>0</v>
      </c>
      <c r="R809" s="325">
        <f t="shared" si="191"/>
        <v>222</v>
      </c>
      <c r="S809" s="325">
        <f t="shared" si="192"/>
        <v>0</v>
      </c>
      <c r="T809" s="325">
        <f t="shared" si="193"/>
        <v>222</v>
      </c>
      <c r="U809" s="409">
        <f t="shared" si="194"/>
        <v>669</v>
      </c>
      <c r="V809" s="325">
        <f t="shared" si="195"/>
        <v>0</v>
      </c>
      <c r="W809" s="449" cm="1">
        <f t="array" ref="W809">+IF(U809&lt;0,error,0)</f>
        <v>0</v>
      </c>
    </row>
    <row r="810" spans="1:23" ht="18" customHeight="1" x14ac:dyDescent="0.2">
      <c r="A810" s="402" t="s">
        <v>1604</v>
      </c>
      <c r="B810" s="403"/>
      <c r="C810" s="404" t="s">
        <v>1605</v>
      </c>
      <c r="D810" s="405">
        <v>43300</v>
      </c>
      <c r="E810" s="406"/>
      <c r="F810" s="325"/>
      <c r="G810" s="324"/>
      <c r="H810" s="324">
        <v>2195.4500000000003</v>
      </c>
      <c r="I810" s="325">
        <v>1892.4499999999998</v>
      </c>
      <c r="J810" s="325"/>
      <c r="K810" s="325">
        <f t="shared" si="186"/>
        <v>0</v>
      </c>
      <c r="L810" s="325">
        <f t="shared" si="187"/>
        <v>0</v>
      </c>
      <c r="M810" s="407">
        <v>10</v>
      </c>
      <c r="N810" s="408" t="s">
        <v>289</v>
      </c>
      <c r="O810" s="325">
        <f t="shared" si="188"/>
        <v>0</v>
      </c>
      <c r="P810" s="325">
        <f t="shared" si="189"/>
        <v>0</v>
      </c>
      <c r="Q810" s="325">
        <f t="shared" si="190"/>
        <v>0</v>
      </c>
      <c r="R810" s="325">
        <f t="shared" si="191"/>
        <v>94</v>
      </c>
      <c r="S810" s="325">
        <f t="shared" si="192"/>
        <v>0</v>
      </c>
      <c r="T810" s="325">
        <f t="shared" si="193"/>
        <v>94</v>
      </c>
      <c r="U810" s="409">
        <f t="shared" si="194"/>
        <v>1798.4499999999998</v>
      </c>
      <c r="V810" s="325">
        <f t="shared" si="195"/>
        <v>0</v>
      </c>
      <c r="W810" s="449" cm="1">
        <f t="array" ref="W810">+IF(U810&lt;0,error,0)</f>
        <v>0</v>
      </c>
    </row>
    <row r="811" spans="1:23" ht="18" customHeight="1" x14ac:dyDescent="0.2">
      <c r="A811" s="402" t="s">
        <v>1606</v>
      </c>
      <c r="B811" s="403"/>
      <c r="C811" s="404" t="s">
        <v>1607</v>
      </c>
      <c r="D811" s="405">
        <v>43300</v>
      </c>
      <c r="E811" s="406"/>
      <c r="F811" s="325"/>
      <c r="G811" s="324"/>
      <c r="H811" s="324">
        <v>1240.9100000000001</v>
      </c>
      <c r="I811" s="325">
        <v>913.91000000000008</v>
      </c>
      <c r="J811" s="325"/>
      <c r="K811" s="325">
        <f t="shared" si="186"/>
        <v>0</v>
      </c>
      <c r="L811" s="325">
        <f t="shared" si="187"/>
        <v>0</v>
      </c>
      <c r="M811" s="407">
        <v>20</v>
      </c>
      <c r="N811" s="408" t="s">
        <v>289</v>
      </c>
      <c r="O811" s="325">
        <f t="shared" si="188"/>
        <v>0</v>
      </c>
      <c r="P811" s="325">
        <f t="shared" si="189"/>
        <v>0</v>
      </c>
      <c r="Q811" s="325">
        <f t="shared" si="190"/>
        <v>0</v>
      </c>
      <c r="R811" s="325">
        <f t="shared" si="191"/>
        <v>91</v>
      </c>
      <c r="S811" s="325">
        <f t="shared" si="192"/>
        <v>0</v>
      </c>
      <c r="T811" s="325">
        <f t="shared" si="193"/>
        <v>91</v>
      </c>
      <c r="U811" s="409">
        <f t="shared" si="194"/>
        <v>822.91000000000008</v>
      </c>
      <c r="V811" s="325">
        <f t="shared" si="195"/>
        <v>0</v>
      </c>
      <c r="W811" s="449" cm="1">
        <f t="array" ref="W811">+IF(U811&lt;0,error,0)</f>
        <v>0</v>
      </c>
    </row>
    <row r="812" spans="1:23" ht="18" customHeight="1" x14ac:dyDescent="0.2">
      <c r="A812" s="402" t="s">
        <v>1608</v>
      </c>
      <c r="B812" s="403"/>
      <c r="C812" s="404" t="s">
        <v>1609</v>
      </c>
      <c r="D812" s="405">
        <v>43300</v>
      </c>
      <c r="E812" s="406"/>
      <c r="F812" s="325"/>
      <c r="G812" s="324"/>
      <c r="H812" s="324">
        <v>95.460000000000008</v>
      </c>
      <c r="I812" s="325">
        <v>71.460000000000008</v>
      </c>
      <c r="J812" s="325"/>
      <c r="K812" s="325">
        <f t="shared" si="186"/>
        <v>0</v>
      </c>
      <c r="L812" s="325">
        <f t="shared" si="187"/>
        <v>0</v>
      </c>
      <c r="M812" s="407">
        <v>20</v>
      </c>
      <c r="N812" s="408" t="s">
        <v>289</v>
      </c>
      <c r="O812" s="325">
        <f t="shared" si="188"/>
        <v>0</v>
      </c>
      <c r="P812" s="325">
        <f t="shared" si="189"/>
        <v>0</v>
      </c>
      <c r="Q812" s="325">
        <f t="shared" si="190"/>
        <v>0</v>
      </c>
      <c r="R812" s="325">
        <f t="shared" si="191"/>
        <v>7</v>
      </c>
      <c r="S812" s="325">
        <f t="shared" si="192"/>
        <v>0</v>
      </c>
      <c r="T812" s="325">
        <f t="shared" si="193"/>
        <v>7</v>
      </c>
      <c r="U812" s="409">
        <f t="shared" si="194"/>
        <v>64.460000000000008</v>
      </c>
      <c r="V812" s="325">
        <f t="shared" si="195"/>
        <v>0</v>
      </c>
      <c r="W812" s="449" cm="1">
        <f t="array" ref="W812">+IF(U812&lt;0,error,0)</f>
        <v>0</v>
      </c>
    </row>
    <row r="813" spans="1:23" ht="18" customHeight="1" x14ac:dyDescent="0.2">
      <c r="A813" s="402" t="s">
        <v>1610</v>
      </c>
      <c r="B813" s="403"/>
      <c r="C813" s="411" t="s">
        <v>1611</v>
      </c>
      <c r="D813" s="405">
        <v>43300</v>
      </c>
      <c r="E813" s="406"/>
      <c r="F813" s="325"/>
      <c r="G813" s="324"/>
      <c r="H813" s="324">
        <v>663.63</v>
      </c>
      <c r="I813" s="325">
        <v>543.63</v>
      </c>
      <c r="J813" s="325"/>
      <c r="K813" s="325">
        <f t="shared" si="186"/>
        <v>0</v>
      </c>
      <c r="L813" s="325">
        <f t="shared" si="187"/>
        <v>0</v>
      </c>
      <c r="M813" s="407">
        <v>13.33</v>
      </c>
      <c r="N813" s="408" t="s">
        <v>289</v>
      </c>
      <c r="O813" s="325">
        <f t="shared" si="188"/>
        <v>0</v>
      </c>
      <c r="P813" s="325">
        <f t="shared" si="189"/>
        <v>0</v>
      </c>
      <c r="Q813" s="325">
        <f t="shared" si="190"/>
        <v>0</v>
      </c>
      <c r="R813" s="325">
        <f t="shared" si="191"/>
        <v>36</v>
      </c>
      <c r="S813" s="325">
        <f t="shared" si="192"/>
        <v>0</v>
      </c>
      <c r="T813" s="325">
        <f t="shared" si="193"/>
        <v>36</v>
      </c>
      <c r="U813" s="409">
        <f t="shared" si="194"/>
        <v>507.63</v>
      </c>
      <c r="V813" s="325">
        <f t="shared" si="195"/>
        <v>0</v>
      </c>
      <c r="W813" s="449" cm="1">
        <f t="array" ref="W813">+IF(U813&lt;0,error,0)</f>
        <v>0</v>
      </c>
    </row>
    <row r="814" spans="1:23" ht="18" customHeight="1" x14ac:dyDescent="0.2">
      <c r="A814" s="402" t="s">
        <v>1612</v>
      </c>
      <c r="B814" s="403"/>
      <c r="C814" s="411" t="s">
        <v>1613</v>
      </c>
      <c r="D814" s="405">
        <v>43300</v>
      </c>
      <c r="E814" s="406"/>
      <c r="F814" s="325"/>
      <c r="G814" s="324"/>
      <c r="H814" s="324">
        <v>777.28</v>
      </c>
      <c r="I814" s="325">
        <v>637.28</v>
      </c>
      <c r="J814" s="325"/>
      <c r="K814" s="325">
        <f t="shared" si="186"/>
        <v>0</v>
      </c>
      <c r="L814" s="325">
        <f t="shared" si="187"/>
        <v>0</v>
      </c>
      <c r="M814" s="407">
        <v>13.33</v>
      </c>
      <c r="N814" s="408" t="s">
        <v>289</v>
      </c>
      <c r="O814" s="325">
        <f t="shared" si="188"/>
        <v>0</v>
      </c>
      <c r="P814" s="325">
        <f t="shared" si="189"/>
        <v>0</v>
      </c>
      <c r="Q814" s="325">
        <f t="shared" si="190"/>
        <v>0</v>
      </c>
      <c r="R814" s="325">
        <f t="shared" si="191"/>
        <v>42</v>
      </c>
      <c r="S814" s="325">
        <f t="shared" si="192"/>
        <v>0</v>
      </c>
      <c r="T814" s="325">
        <f t="shared" si="193"/>
        <v>42</v>
      </c>
      <c r="U814" s="409">
        <f t="shared" si="194"/>
        <v>595.28</v>
      </c>
      <c r="V814" s="325">
        <f t="shared" si="195"/>
        <v>0</v>
      </c>
      <c r="W814" s="449" cm="1">
        <f t="array" ref="W814">+IF(U814&lt;0,error,0)</f>
        <v>0</v>
      </c>
    </row>
    <row r="815" spans="1:23" ht="18" customHeight="1" x14ac:dyDescent="0.2">
      <c r="A815" s="402" t="s">
        <v>1614</v>
      </c>
      <c r="B815" s="403"/>
      <c r="C815" s="411" t="s">
        <v>1615</v>
      </c>
      <c r="D815" s="405">
        <v>43300</v>
      </c>
      <c r="E815" s="406"/>
      <c r="F815" s="325"/>
      <c r="G815" s="324"/>
      <c r="H815" s="324">
        <v>960</v>
      </c>
      <c r="I815" s="325">
        <v>787</v>
      </c>
      <c r="J815" s="325"/>
      <c r="K815" s="325">
        <f t="shared" si="186"/>
        <v>0</v>
      </c>
      <c r="L815" s="325">
        <f t="shared" si="187"/>
        <v>0</v>
      </c>
      <c r="M815" s="407">
        <v>13.33</v>
      </c>
      <c r="N815" s="408" t="s">
        <v>289</v>
      </c>
      <c r="O815" s="325">
        <f t="shared" si="188"/>
        <v>0</v>
      </c>
      <c r="P815" s="325">
        <f t="shared" si="189"/>
        <v>0</v>
      </c>
      <c r="Q815" s="325">
        <f t="shared" si="190"/>
        <v>0</v>
      </c>
      <c r="R815" s="325">
        <f t="shared" si="191"/>
        <v>52</v>
      </c>
      <c r="S815" s="325">
        <f t="shared" si="192"/>
        <v>0</v>
      </c>
      <c r="T815" s="325">
        <f t="shared" si="193"/>
        <v>52</v>
      </c>
      <c r="U815" s="409">
        <f t="shared" si="194"/>
        <v>735</v>
      </c>
      <c r="V815" s="325">
        <f t="shared" si="195"/>
        <v>0</v>
      </c>
      <c r="W815" s="449" cm="1">
        <f t="array" ref="W815">+IF(U815&lt;0,error,0)</f>
        <v>0</v>
      </c>
    </row>
    <row r="816" spans="1:23" ht="18" customHeight="1" x14ac:dyDescent="0.2">
      <c r="A816" s="402" t="s">
        <v>1616</v>
      </c>
      <c r="B816" s="403"/>
      <c r="C816" s="411" t="s">
        <v>1617</v>
      </c>
      <c r="D816" s="405">
        <v>43300</v>
      </c>
      <c r="E816" s="406"/>
      <c r="F816" s="325"/>
      <c r="G816" s="439"/>
      <c r="H816" s="324">
        <v>1089.0899999999999</v>
      </c>
      <c r="I816" s="325">
        <v>892.08999999999992</v>
      </c>
      <c r="J816" s="325"/>
      <c r="K816" s="325">
        <f t="shared" si="186"/>
        <v>0</v>
      </c>
      <c r="L816" s="325">
        <f t="shared" si="187"/>
        <v>0</v>
      </c>
      <c r="M816" s="407">
        <v>13.33</v>
      </c>
      <c r="N816" s="408" t="s">
        <v>289</v>
      </c>
      <c r="O816" s="325">
        <f t="shared" si="188"/>
        <v>0</v>
      </c>
      <c r="P816" s="325">
        <f t="shared" si="189"/>
        <v>0</v>
      </c>
      <c r="Q816" s="325">
        <f t="shared" si="190"/>
        <v>0</v>
      </c>
      <c r="R816" s="325">
        <f t="shared" si="191"/>
        <v>59</v>
      </c>
      <c r="S816" s="325">
        <f t="shared" si="192"/>
        <v>0</v>
      </c>
      <c r="T816" s="325">
        <f t="shared" si="193"/>
        <v>59</v>
      </c>
      <c r="U816" s="409">
        <f t="shared" si="194"/>
        <v>833.08999999999992</v>
      </c>
      <c r="V816" s="325">
        <f t="shared" si="195"/>
        <v>0</v>
      </c>
      <c r="W816" s="449" cm="1">
        <f t="array" ref="W816">+IF(U816&lt;0,error,0)</f>
        <v>0</v>
      </c>
    </row>
    <row r="817" spans="1:24" ht="18" customHeight="1" x14ac:dyDescent="0.2">
      <c r="A817" s="402" t="s">
        <v>1618</v>
      </c>
      <c r="B817" s="403"/>
      <c r="C817" s="411" t="s">
        <v>1619</v>
      </c>
      <c r="D817" s="405">
        <v>43300</v>
      </c>
      <c r="E817" s="406"/>
      <c r="F817" s="325"/>
      <c r="G817" s="439"/>
      <c r="H817" s="324">
        <v>654.54</v>
      </c>
      <c r="I817" s="325">
        <v>483.53999999999996</v>
      </c>
      <c r="J817" s="325"/>
      <c r="K817" s="325">
        <f t="shared" si="186"/>
        <v>0</v>
      </c>
      <c r="L817" s="325">
        <f t="shared" si="187"/>
        <v>0</v>
      </c>
      <c r="M817" s="407">
        <v>20</v>
      </c>
      <c r="N817" s="408" t="s">
        <v>289</v>
      </c>
      <c r="O817" s="325">
        <f t="shared" si="188"/>
        <v>0</v>
      </c>
      <c r="P817" s="325">
        <f t="shared" si="189"/>
        <v>0</v>
      </c>
      <c r="Q817" s="325">
        <f t="shared" si="190"/>
        <v>0</v>
      </c>
      <c r="R817" s="325">
        <f t="shared" si="191"/>
        <v>48</v>
      </c>
      <c r="S817" s="325">
        <f t="shared" si="192"/>
        <v>0</v>
      </c>
      <c r="T817" s="325">
        <f t="shared" si="193"/>
        <v>48</v>
      </c>
      <c r="U817" s="409">
        <f t="shared" si="194"/>
        <v>435.53999999999996</v>
      </c>
      <c r="V817" s="325">
        <f t="shared" si="195"/>
        <v>0</v>
      </c>
      <c r="W817" s="449" cm="1">
        <f t="array" ref="W817">+IF(U817&lt;0,error,0)</f>
        <v>0</v>
      </c>
    </row>
    <row r="818" spans="1:24" ht="18" customHeight="1" x14ac:dyDescent="0.2">
      <c r="A818" s="402" t="s">
        <v>1620</v>
      </c>
      <c r="B818" s="403"/>
      <c r="C818" s="411" t="s">
        <v>1621</v>
      </c>
      <c r="D818" s="405">
        <v>43300</v>
      </c>
      <c r="E818" s="406"/>
      <c r="F818" s="325"/>
      <c r="G818" s="324"/>
      <c r="H818" s="324">
        <v>5727.28</v>
      </c>
      <c r="I818" s="325">
        <v>4217.28</v>
      </c>
      <c r="J818" s="325"/>
      <c r="K818" s="325">
        <f t="shared" si="186"/>
        <v>0</v>
      </c>
      <c r="L818" s="325">
        <f t="shared" si="187"/>
        <v>0</v>
      </c>
      <c r="M818" s="407">
        <v>20</v>
      </c>
      <c r="N818" s="408" t="s">
        <v>289</v>
      </c>
      <c r="O818" s="325">
        <f t="shared" si="188"/>
        <v>0</v>
      </c>
      <c r="P818" s="325">
        <f t="shared" si="189"/>
        <v>0</v>
      </c>
      <c r="Q818" s="325">
        <f t="shared" si="190"/>
        <v>0</v>
      </c>
      <c r="R818" s="325">
        <f t="shared" si="191"/>
        <v>421</v>
      </c>
      <c r="S818" s="325">
        <f t="shared" si="192"/>
        <v>0</v>
      </c>
      <c r="T818" s="325">
        <f t="shared" si="193"/>
        <v>421</v>
      </c>
      <c r="U818" s="409">
        <f t="shared" si="194"/>
        <v>3796.2799999999997</v>
      </c>
      <c r="V818" s="325">
        <f t="shared" si="195"/>
        <v>0</v>
      </c>
      <c r="W818" s="449" cm="1">
        <f t="array" ref="W818">+IF(U818&lt;0,error,0)</f>
        <v>0</v>
      </c>
    </row>
    <row r="819" spans="1:24" ht="18" customHeight="1" x14ac:dyDescent="0.2">
      <c r="A819" s="402" t="s">
        <v>1622</v>
      </c>
      <c r="B819" s="403"/>
      <c r="C819" s="411" t="s">
        <v>1623</v>
      </c>
      <c r="D819" s="405">
        <v>43357</v>
      </c>
      <c r="E819" s="406"/>
      <c r="F819" s="325"/>
      <c r="G819" s="324"/>
      <c r="H819" s="324">
        <v>3300</v>
      </c>
      <c r="I819" s="325">
        <v>2889</v>
      </c>
      <c r="J819" s="325"/>
      <c r="K819" s="325">
        <f t="shared" si="186"/>
        <v>0</v>
      </c>
      <c r="L819" s="325">
        <f t="shared" si="187"/>
        <v>0</v>
      </c>
      <c r="M819" s="407">
        <v>10</v>
      </c>
      <c r="N819" s="408" t="s">
        <v>289</v>
      </c>
      <c r="O819" s="325">
        <f t="shared" si="188"/>
        <v>0</v>
      </c>
      <c r="P819" s="325">
        <f t="shared" si="189"/>
        <v>0</v>
      </c>
      <c r="Q819" s="325">
        <f t="shared" si="190"/>
        <v>0</v>
      </c>
      <c r="R819" s="325">
        <f t="shared" si="191"/>
        <v>144</v>
      </c>
      <c r="S819" s="325">
        <f t="shared" si="192"/>
        <v>0</v>
      </c>
      <c r="T819" s="325">
        <f t="shared" si="193"/>
        <v>144</v>
      </c>
      <c r="U819" s="409">
        <f t="shared" si="194"/>
        <v>2745</v>
      </c>
      <c r="V819" s="325">
        <f t="shared" si="195"/>
        <v>0</v>
      </c>
      <c r="W819" s="449" cm="1">
        <f t="array" ref="W819">+IF(U819&lt;0,error,0)</f>
        <v>0</v>
      </c>
    </row>
    <row r="820" spans="1:24" ht="18" customHeight="1" x14ac:dyDescent="0.2">
      <c r="A820" s="402" t="s">
        <v>1624</v>
      </c>
      <c r="B820" s="403"/>
      <c r="C820" s="411" t="s">
        <v>1625</v>
      </c>
      <c r="D820" s="405">
        <v>43357</v>
      </c>
      <c r="E820" s="406"/>
      <c r="F820" s="325"/>
      <c r="G820" s="439"/>
      <c r="H820" s="324">
        <v>8000</v>
      </c>
      <c r="I820" s="325">
        <v>7005</v>
      </c>
      <c r="J820" s="325"/>
      <c r="K820" s="325">
        <f t="shared" si="186"/>
        <v>0</v>
      </c>
      <c r="L820" s="325">
        <f t="shared" si="187"/>
        <v>0</v>
      </c>
      <c r="M820" s="407">
        <v>10</v>
      </c>
      <c r="N820" s="408" t="s">
        <v>289</v>
      </c>
      <c r="O820" s="325">
        <f t="shared" si="188"/>
        <v>0</v>
      </c>
      <c r="P820" s="325">
        <f t="shared" si="189"/>
        <v>0</v>
      </c>
      <c r="Q820" s="325">
        <f t="shared" si="190"/>
        <v>0</v>
      </c>
      <c r="R820" s="325">
        <f t="shared" si="191"/>
        <v>350</v>
      </c>
      <c r="S820" s="325">
        <f t="shared" si="192"/>
        <v>0</v>
      </c>
      <c r="T820" s="325">
        <f t="shared" si="193"/>
        <v>350</v>
      </c>
      <c r="U820" s="409">
        <f t="shared" si="194"/>
        <v>6655</v>
      </c>
      <c r="V820" s="325">
        <f t="shared" si="195"/>
        <v>0</v>
      </c>
      <c r="W820" s="449" cm="1">
        <f t="array" ref="W820">+IF(U820&lt;0,error,0)</f>
        <v>0</v>
      </c>
    </row>
    <row r="821" spans="1:24" ht="18" customHeight="1" x14ac:dyDescent="0.2">
      <c r="A821" s="402" t="s">
        <v>1626</v>
      </c>
      <c r="B821" s="403"/>
      <c r="C821" s="411" t="s">
        <v>1627</v>
      </c>
      <c r="D821" s="405">
        <v>43381</v>
      </c>
      <c r="E821" s="406"/>
      <c r="F821" s="325"/>
      <c r="G821" s="439"/>
      <c r="H821" s="324">
        <v>2461.77</v>
      </c>
      <c r="I821" s="325">
        <v>1899.77</v>
      </c>
      <c r="J821" s="325"/>
      <c r="K821" s="325">
        <f t="shared" si="186"/>
        <v>0</v>
      </c>
      <c r="L821" s="325">
        <f t="shared" si="187"/>
        <v>0</v>
      </c>
      <c r="M821" s="407">
        <v>20</v>
      </c>
      <c r="N821" s="408" t="s">
        <v>289</v>
      </c>
      <c r="O821" s="325">
        <f t="shared" si="188"/>
        <v>0</v>
      </c>
      <c r="P821" s="325">
        <f t="shared" si="189"/>
        <v>0</v>
      </c>
      <c r="Q821" s="325">
        <f t="shared" si="190"/>
        <v>0</v>
      </c>
      <c r="R821" s="325">
        <f t="shared" si="191"/>
        <v>189</v>
      </c>
      <c r="S821" s="325">
        <f t="shared" si="192"/>
        <v>0</v>
      </c>
      <c r="T821" s="325">
        <f t="shared" si="193"/>
        <v>189</v>
      </c>
      <c r="U821" s="409">
        <f t="shared" si="194"/>
        <v>1710.77</v>
      </c>
      <c r="V821" s="325">
        <f t="shared" si="195"/>
        <v>0</v>
      </c>
      <c r="W821" s="449" cm="1">
        <f t="array" ref="W821">+IF(U821&lt;0,error,0)</f>
        <v>0</v>
      </c>
    </row>
    <row r="822" spans="1:24" ht="18" customHeight="1" x14ac:dyDescent="0.2">
      <c r="A822" s="402" t="s">
        <v>1628</v>
      </c>
      <c r="B822" s="403"/>
      <c r="C822" s="411" t="s">
        <v>1629</v>
      </c>
      <c r="D822" s="405">
        <v>43374</v>
      </c>
      <c r="E822" s="406"/>
      <c r="F822" s="325"/>
      <c r="G822" s="324"/>
      <c r="H822" s="324">
        <v>825.45</v>
      </c>
      <c r="I822" s="325">
        <v>562.45000000000005</v>
      </c>
      <c r="J822" s="325"/>
      <c r="K822" s="325">
        <f t="shared" si="186"/>
        <v>0</v>
      </c>
      <c r="L822" s="325">
        <f t="shared" si="187"/>
        <v>0</v>
      </c>
      <c r="M822" s="407">
        <v>28.57</v>
      </c>
      <c r="N822" s="408" t="s">
        <v>289</v>
      </c>
      <c r="O822" s="325">
        <f t="shared" si="188"/>
        <v>0</v>
      </c>
      <c r="P822" s="325">
        <f t="shared" si="189"/>
        <v>0</v>
      </c>
      <c r="Q822" s="325">
        <f t="shared" si="190"/>
        <v>0</v>
      </c>
      <c r="R822" s="325">
        <f t="shared" si="191"/>
        <v>80</v>
      </c>
      <c r="S822" s="325">
        <f t="shared" si="192"/>
        <v>0</v>
      </c>
      <c r="T822" s="325">
        <f t="shared" si="193"/>
        <v>80</v>
      </c>
      <c r="U822" s="409">
        <f t="shared" si="194"/>
        <v>482.45000000000005</v>
      </c>
      <c r="V822" s="325">
        <f t="shared" si="195"/>
        <v>0</v>
      </c>
      <c r="W822" s="449" cm="1">
        <f t="array" ref="W822">+IF(U822&lt;0,error,0)</f>
        <v>0</v>
      </c>
    </row>
    <row r="823" spans="1:24" ht="18" customHeight="1" x14ac:dyDescent="0.2">
      <c r="A823" s="402" t="s">
        <v>1630</v>
      </c>
      <c r="B823" s="403"/>
      <c r="C823" s="411" t="s">
        <v>1631</v>
      </c>
      <c r="D823" s="405">
        <v>43374</v>
      </c>
      <c r="E823" s="406"/>
      <c r="F823" s="325"/>
      <c r="G823" s="324"/>
      <c r="H823" s="324">
        <v>516.28</v>
      </c>
      <c r="I823" s="325">
        <v>252.28000000000003</v>
      </c>
      <c r="J823" s="325"/>
      <c r="K823" s="325">
        <f t="shared" si="186"/>
        <v>0</v>
      </c>
      <c r="L823" s="325">
        <f t="shared" si="187"/>
        <v>0</v>
      </c>
      <c r="M823" s="407">
        <v>50</v>
      </c>
      <c r="N823" s="408" t="s">
        <v>289</v>
      </c>
      <c r="O823" s="325">
        <f t="shared" si="188"/>
        <v>0</v>
      </c>
      <c r="P823" s="325">
        <f t="shared" si="189"/>
        <v>0</v>
      </c>
      <c r="Q823" s="325">
        <f t="shared" si="190"/>
        <v>0</v>
      </c>
      <c r="R823" s="325">
        <f t="shared" si="191"/>
        <v>63</v>
      </c>
      <c r="S823" s="325">
        <f t="shared" si="192"/>
        <v>0</v>
      </c>
      <c r="T823" s="325">
        <f t="shared" si="193"/>
        <v>63</v>
      </c>
      <c r="U823" s="409">
        <f>+I823+J823-T823-F823+K823-L823</f>
        <v>189.28000000000003</v>
      </c>
      <c r="V823" s="325">
        <f t="shared" si="195"/>
        <v>0</v>
      </c>
      <c r="W823" s="449" cm="1">
        <f t="array" ref="W823">+IF(U823&lt;0,error,0)</f>
        <v>0</v>
      </c>
    </row>
    <row r="824" spans="1:24" ht="18" customHeight="1" x14ac:dyDescent="0.2">
      <c r="A824" s="402" t="s">
        <v>2085</v>
      </c>
      <c r="B824" s="403"/>
      <c r="C824" s="404" t="s">
        <v>1996</v>
      </c>
      <c r="D824" s="405">
        <v>43536</v>
      </c>
      <c r="E824" s="406"/>
      <c r="F824" s="325"/>
      <c r="G824" s="324"/>
      <c r="H824" s="324">
        <v>2025</v>
      </c>
      <c r="I824" s="325">
        <v>1290.45</v>
      </c>
      <c r="J824" s="325"/>
      <c r="K824" s="325">
        <f t="shared" si="186"/>
        <v>0</v>
      </c>
      <c r="L824" s="325">
        <f t="shared" si="187"/>
        <v>0</v>
      </c>
      <c r="M824" s="407">
        <v>50</v>
      </c>
      <c r="N824" s="408" t="s">
        <v>289</v>
      </c>
      <c r="O824" s="325">
        <f t="shared" si="188"/>
        <v>0</v>
      </c>
      <c r="P824" s="325">
        <f t="shared" si="189"/>
        <v>0</v>
      </c>
      <c r="Q824" s="325">
        <f t="shared" si="190"/>
        <v>0</v>
      </c>
      <c r="R824" s="325">
        <f t="shared" si="191"/>
        <v>322</v>
      </c>
      <c r="S824" s="325">
        <f t="shared" si="192"/>
        <v>0</v>
      </c>
      <c r="T824" s="325">
        <f t="shared" si="193"/>
        <v>322</v>
      </c>
      <c r="U824" s="409">
        <f>+I824+J824-T824-F824+K824-L824</f>
        <v>968.45</v>
      </c>
      <c r="V824" s="325">
        <f t="shared" si="195"/>
        <v>0</v>
      </c>
      <c r="W824" s="449" cm="1">
        <f t="array" ref="W824">+IF(U824&lt;0,error,0)</f>
        <v>0</v>
      </c>
    </row>
    <row r="825" spans="1:24" ht="18" customHeight="1" x14ac:dyDescent="0.2">
      <c r="A825" s="402">
        <v>748033</v>
      </c>
      <c r="B825" s="403"/>
      <c r="C825" s="404" t="s">
        <v>2153</v>
      </c>
      <c r="D825" s="405">
        <v>43724</v>
      </c>
      <c r="E825" s="406"/>
      <c r="F825" s="325"/>
      <c r="G825" s="324"/>
      <c r="H825" s="324">
        <v>1828.75</v>
      </c>
      <c r="I825" s="325">
        <v>1563.75</v>
      </c>
      <c r="J825" s="325"/>
      <c r="K825" s="325">
        <f t="shared" si="186"/>
        <v>0</v>
      </c>
      <c r="L825" s="325">
        <f t="shared" si="187"/>
        <v>0</v>
      </c>
      <c r="M825" s="407">
        <v>50</v>
      </c>
      <c r="N825" s="408" t="s">
        <v>289</v>
      </c>
      <c r="O825" s="325">
        <f t="shared" si="188"/>
        <v>0</v>
      </c>
      <c r="P825" s="325">
        <f t="shared" si="189"/>
        <v>0</v>
      </c>
      <c r="Q825" s="325">
        <f t="shared" si="190"/>
        <v>0</v>
      </c>
      <c r="R825" s="325">
        <f t="shared" si="191"/>
        <v>390</v>
      </c>
      <c r="S825" s="325">
        <f t="shared" si="192"/>
        <v>0</v>
      </c>
      <c r="T825" s="325">
        <f t="shared" si="193"/>
        <v>390</v>
      </c>
      <c r="U825" s="409">
        <f>+I825+J825-T825-F825+K825-L825</f>
        <v>1173.75</v>
      </c>
      <c r="V825" s="325">
        <f t="shared" si="195"/>
        <v>0</v>
      </c>
      <c r="W825" s="449" cm="1">
        <f t="array" ref="W825">+IF(U825&lt;0,error,0)</f>
        <v>0</v>
      </c>
    </row>
    <row r="826" spans="1:24" ht="18" customHeight="1" x14ac:dyDescent="0.2">
      <c r="A826" s="402">
        <v>748033</v>
      </c>
      <c r="B826" s="403"/>
      <c r="C826" s="404" t="s">
        <v>2383</v>
      </c>
      <c r="D826" s="405">
        <v>44011</v>
      </c>
      <c r="E826" s="406"/>
      <c r="F826" s="325"/>
      <c r="G826" s="324"/>
      <c r="H826" s="324"/>
      <c r="I826" s="325"/>
      <c r="J826" s="325">
        <v>1235.45</v>
      </c>
      <c r="K826" s="325">
        <f t="shared" ref="K826" si="196">INT(IF($E826&gt;0,IF(+F826-I826+Q826&lt;0,0,+F826-I826+Q826),0))</f>
        <v>0</v>
      </c>
      <c r="L826" s="325">
        <f t="shared" ref="L826" si="197">INT(IF($E826&gt;0,IF(K826=0,-F826+I826-Q826,0),0))</f>
        <v>0</v>
      </c>
      <c r="M826" s="407">
        <v>50</v>
      </c>
      <c r="N826" s="408" t="s">
        <v>289</v>
      </c>
      <c r="O826" s="325">
        <f t="shared" ref="O826" si="198">IF(E826&gt;0,INT(IF($N826="D",IF($D826&lt;$H$3,$I826*($M826/100)*((E826-$H$3)/365),$J826*($M826/100)*($J$3-$D826)/365),0)),0)</f>
        <v>0</v>
      </c>
      <c r="P826" s="325">
        <f t="shared" ref="P826" si="199">IF(E826&gt;0,INT(IF($N826="P",IF($D826&lt;$H$3,$H826*($M826/100)*(E826-$H$3)/365,$J826*($M826/100)*($J$3-$D826)/365),0)),0)</f>
        <v>0</v>
      </c>
      <c r="Q826" s="325">
        <f t="shared" ref="Q826" si="200">+O826+P826</f>
        <v>0</v>
      </c>
      <c r="R826" s="325">
        <f t="shared" si="191"/>
        <v>1</v>
      </c>
      <c r="S826" s="325">
        <f t="shared" si="192"/>
        <v>0</v>
      </c>
      <c r="T826" s="325">
        <f t="shared" ref="T826" si="201">+R826+S826+Q826</f>
        <v>1</v>
      </c>
      <c r="U826" s="409">
        <f>+I826+J826-T826-F826+K826-L826</f>
        <v>1234.45</v>
      </c>
      <c r="V826" s="325">
        <f t="shared" ref="V826" si="202">IF(E826&gt;0,+H826+J826,0)</f>
        <v>0</v>
      </c>
      <c r="W826" s="449" cm="1">
        <f t="array" ref="W826">+IF(U826&lt;0,error,0)</f>
        <v>0</v>
      </c>
    </row>
    <row r="827" spans="1:24" ht="18" customHeight="1" x14ac:dyDescent="0.2">
      <c r="A827" s="413"/>
      <c r="B827" s="414"/>
      <c r="C827" s="416"/>
      <c r="D827" s="416"/>
      <c r="E827" s="406"/>
      <c r="F827" s="325"/>
      <c r="G827" s="324"/>
      <c r="H827" s="324"/>
      <c r="I827" s="333"/>
      <c r="J827" s="333"/>
      <c r="K827" s="333"/>
      <c r="L827" s="333"/>
      <c r="M827" s="418"/>
      <c r="N827" s="408"/>
      <c r="O827" s="408"/>
      <c r="P827" s="333"/>
      <c r="Q827" s="333"/>
      <c r="R827" s="408"/>
      <c r="S827" s="333"/>
      <c r="T827" s="333"/>
      <c r="U827" s="419"/>
      <c r="V827" s="333"/>
      <c r="W827" s="449" cm="1">
        <f t="array" ref="W827">+IF(U827&lt;0,error,0)</f>
        <v>0</v>
      </c>
    </row>
    <row r="828" spans="1:24" ht="18" customHeight="1" x14ac:dyDescent="0.2">
      <c r="A828" s="413"/>
      <c r="B828" s="414"/>
      <c r="C828" s="415" t="s">
        <v>2043</v>
      </c>
      <c r="D828" s="416"/>
      <c r="E828" s="406"/>
      <c r="F828" s="325"/>
      <c r="G828" s="324"/>
      <c r="H828" s="417">
        <f>+J829-V829</f>
        <v>1235.45</v>
      </c>
      <c r="I828" s="333"/>
      <c r="J828" s="333"/>
      <c r="K828" s="333"/>
      <c r="L828" s="333"/>
      <c r="M828" s="418"/>
      <c r="N828" s="408"/>
      <c r="O828" s="408"/>
      <c r="P828" s="333"/>
      <c r="Q828" s="333"/>
      <c r="R828" s="408"/>
      <c r="S828" s="333"/>
      <c r="T828" s="333"/>
      <c r="U828" s="419"/>
      <c r="V828" s="333"/>
      <c r="W828" s="449" cm="1">
        <f t="array" ref="W828">+IF(U828&lt;0,error,0)</f>
        <v>0</v>
      </c>
    </row>
    <row r="829" spans="1:24" s="347" customFormat="1" ht="18" customHeight="1" x14ac:dyDescent="0.2">
      <c r="A829" s="420"/>
      <c r="B829" s="421"/>
      <c r="C829" s="415" t="s">
        <v>1657</v>
      </c>
      <c r="D829" s="415"/>
      <c r="E829" s="429"/>
      <c r="F829" s="334">
        <f t="shared" ref="F829:L829" si="203">SUM(F797:F827)</f>
        <v>0</v>
      </c>
      <c r="G829" s="417">
        <f t="shared" si="203"/>
        <v>0</v>
      </c>
      <c r="H829" s="417">
        <f>SUM(H797:H828)</f>
        <v>57054.429999999993</v>
      </c>
      <c r="I829" s="334">
        <f t="shared" si="203"/>
        <v>30034.89</v>
      </c>
      <c r="J829" s="334">
        <f t="shared" si="203"/>
        <v>1235.45</v>
      </c>
      <c r="K829" s="334">
        <f t="shared" si="203"/>
        <v>0</v>
      </c>
      <c r="L829" s="334">
        <f t="shared" si="203"/>
        <v>0</v>
      </c>
      <c r="M829" s="423"/>
      <c r="N829" s="446"/>
      <c r="O829" s="334">
        <f>SUM(O797:O827)</f>
        <v>0</v>
      </c>
      <c r="P829" s="334">
        <f>SUM(P797:P827)</f>
        <v>0</v>
      </c>
      <c r="Q829" s="334"/>
      <c r="R829" s="334">
        <f>SUM(R797:R827)</f>
        <v>2946</v>
      </c>
      <c r="S829" s="334">
        <f>SUM(S797:S827)</f>
        <v>0</v>
      </c>
      <c r="T829" s="417">
        <f>SUM(T797:T827)</f>
        <v>2954</v>
      </c>
      <c r="U829" s="417">
        <f>SUM(U797:U827)</f>
        <v>28316.34</v>
      </c>
      <c r="V829" s="334">
        <f>SUM(V797:V827)</f>
        <v>0</v>
      </c>
      <c r="W829" s="449" cm="1">
        <f t="array" ref="W829">+IF(U829&lt;0,error,0)</f>
        <v>0</v>
      </c>
      <c r="X829" s="454"/>
    </row>
    <row r="830" spans="1:24" s="347" customFormat="1" ht="18" customHeight="1" x14ac:dyDescent="0.2">
      <c r="A830" s="420"/>
      <c r="B830" s="421"/>
      <c r="C830" s="415"/>
      <c r="D830" s="415"/>
      <c r="E830" s="429"/>
      <c r="F830" s="334"/>
      <c r="G830" s="417"/>
      <c r="H830" s="417"/>
      <c r="I830" s="334"/>
      <c r="J830" s="334"/>
      <c r="K830" s="334"/>
      <c r="L830" s="334"/>
      <c r="M830" s="423"/>
      <c r="N830" s="446"/>
      <c r="O830" s="334"/>
      <c r="P830" s="334"/>
      <c r="Q830" s="334"/>
      <c r="R830" s="334"/>
      <c r="S830" s="334"/>
      <c r="T830" s="334"/>
      <c r="U830" s="431"/>
      <c r="V830" s="334"/>
      <c r="W830" s="449" cm="1">
        <f t="array" ref="W830">+IF(U830&lt;0,error,0)</f>
        <v>0</v>
      </c>
    </row>
    <row r="831" spans="1:24" s="347" customFormat="1" ht="18" customHeight="1" x14ac:dyDescent="0.2">
      <c r="A831" s="420"/>
      <c r="B831" s="421"/>
      <c r="C831" s="415" t="s">
        <v>2044</v>
      </c>
      <c r="D831" s="415"/>
      <c r="E831" s="429"/>
      <c r="F831" s="334"/>
      <c r="G831" s="417"/>
      <c r="H831" s="417"/>
      <c r="I831" s="334"/>
      <c r="J831" s="334"/>
      <c r="K831" s="334"/>
      <c r="L831" s="334"/>
      <c r="M831" s="423"/>
      <c r="N831" s="446"/>
      <c r="O831" s="334"/>
      <c r="P831" s="334"/>
      <c r="Q831" s="334"/>
      <c r="R831" s="334"/>
      <c r="S831" s="334"/>
      <c r="T831" s="334"/>
      <c r="U831" s="431"/>
      <c r="V831" s="334"/>
      <c r="W831" s="449" cm="1">
        <f t="array" ref="W831">+IF(U831&lt;0,error,0)</f>
        <v>0</v>
      </c>
    </row>
    <row r="832" spans="1:24" ht="18" customHeight="1" x14ac:dyDescent="0.2">
      <c r="A832" s="413"/>
      <c r="B832" s="414"/>
      <c r="C832" s="416" t="s">
        <v>2088</v>
      </c>
      <c r="D832" s="416"/>
      <c r="E832" s="406"/>
      <c r="F832" s="325"/>
      <c r="G832" s="324"/>
      <c r="H832" s="324"/>
      <c r="I832" s="325">
        <f>10210.17+6805.91</f>
        <v>17016.080000000002</v>
      </c>
      <c r="J832" s="325"/>
      <c r="K832" s="325">
        <f>INT(IF($E832&gt;0,IF(+F832-I832+Q832&lt;0,0,+F832-I832+Q832),0))</f>
        <v>0</v>
      </c>
      <c r="L832" s="325">
        <f>INT(IF($E832&gt;0,IF(K832=0,-F832+I832-Q832,0),0))</f>
        <v>0</v>
      </c>
      <c r="M832" s="407">
        <v>37.5</v>
      </c>
      <c r="N832" s="408" t="s">
        <v>289</v>
      </c>
      <c r="O832" s="325">
        <f>IF(E832&gt;0,INT(IF($N832="D",IF($D832&lt;$H$3,$I832*($M832/100)*((E832-$H$3)/365),$J832*($M832/100)*($J$3-$D832)/365),0)),0)</f>
        <v>0</v>
      </c>
      <c r="P832" s="325">
        <f>IF(E832&gt;0,INT(IF($N832="P",IF($D832&lt;$H$3,$H832*($M832/100)*(E832-$H$3)/365,$J832*($M832/100)*($J$3-$D832)/365),0)),0)</f>
        <v>0</v>
      </c>
      <c r="Q832" s="325">
        <f>+O832+P832</f>
        <v>0</v>
      </c>
      <c r="R832" s="325">
        <f>INT(IF($E832&gt;0,0,(IF($N832="D",IF($D832&lt;$H$3,$I832*($M832/100)*$U$3/12,$J832*($M832/100)*($J$3-$D832)/365),0))))</f>
        <v>3190</v>
      </c>
      <c r="S832" s="325">
        <f>INT(IF($E832&gt;0,0,(IF($N832="P",IF($D832&lt;$H$3,$H832*($M832/100)*$U$3/12,$J832*($M832/100)*($J$3-$D832)/365),0))))</f>
        <v>0</v>
      </c>
      <c r="T832" s="325">
        <f>+R832+S832+Q832</f>
        <v>3190</v>
      </c>
      <c r="U832" s="409">
        <f>+I832+J832-T832-F832+K832-L832</f>
        <v>13826.080000000002</v>
      </c>
      <c r="V832" s="325">
        <f>IF(E832&gt;0,+H832+J832,0)</f>
        <v>0</v>
      </c>
      <c r="W832" s="449" cm="1">
        <f t="array" ref="W832">+IF(U832&lt;0,error,0)</f>
        <v>0</v>
      </c>
    </row>
    <row r="833" spans="1:24" ht="35.25" customHeight="1" x14ac:dyDescent="0.2">
      <c r="A833" s="413"/>
      <c r="B833" s="414"/>
      <c r="C833" s="404" t="s">
        <v>2384</v>
      </c>
      <c r="D833" s="455">
        <v>43647</v>
      </c>
      <c r="E833" s="406"/>
      <c r="F833" s="325"/>
      <c r="G833" s="324"/>
      <c r="H833" s="324"/>
      <c r="I833" s="325">
        <v>2472.09</v>
      </c>
      <c r="J833" s="325"/>
      <c r="K833" s="325">
        <f>INT(IF($E833&gt;0,IF(+F833-I833+Q833&lt;0,0,+F833-I833+Q833),0))</f>
        <v>0</v>
      </c>
      <c r="L833" s="325">
        <f>INT(IF($E833&gt;0,IF(K833=0,-F833+I833-Q833,0),0))</f>
        <v>0</v>
      </c>
      <c r="M833" s="407">
        <v>18.75</v>
      </c>
      <c r="N833" s="408" t="s">
        <v>289</v>
      </c>
      <c r="O833" s="325">
        <f>IF(E833&gt;0,INT(IF($N833="D",IF($D833&lt;$H$3,$I833*($M833/100)*((E833-$H$3)/365),$J833*($M833/100)*($J$3-$D833)/365),0)),0)</f>
        <v>0</v>
      </c>
      <c r="P833" s="325">
        <f>IF(E833&gt;0,INT(IF($N833="P",IF($D833&lt;$H$3,$H833*($M833/100)*(E833-$H$3)/365,$J833*($M833/100)*($J$3-$D833)/365),0)),0)</f>
        <v>0</v>
      </c>
      <c r="Q833" s="325">
        <f>+O833+P833</f>
        <v>0</v>
      </c>
      <c r="R833" s="325">
        <f>INT(IF($E833&gt;0,0,(IF($N833="D",IF($D833&lt;$H$3,$I833*($M833/100)*$U$3/12,$J833*($M833/100)*($J$3-$D833)/365),0))))</f>
        <v>231</v>
      </c>
      <c r="S833" s="325">
        <f>INT(IF($E833&gt;0,0,(IF($N833="P",IF($D833&lt;$H$3,$H833*($M833/100)*$U$3/12,$J833*($M833/100)*($J$3-$D833)/365),0))))</f>
        <v>0</v>
      </c>
      <c r="T833" s="325">
        <f>+R833+S833+Q833</f>
        <v>231</v>
      </c>
      <c r="U833" s="409">
        <f>+I833+J833-T833-F833+K833-L833</f>
        <v>2241.09</v>
      </c>
      <c r="V833" s="325">
        <f>IF(E833&gt;0,+H833+J833,0)</f>
        <v>0</v>
      </c>
      <c r="W833" s="449" cm="1">
        <f t="array" ref="W833">+IF(U833&lt;0,error,0)</f>
        <v>0</v>
      </c>
      <c r="X833" s="456"/>
    </row>
    <row r="834" spans="1:24" ht="35.25" customHeight="1" x14ac:dyDescent="0.2">
      <c r="A834" s="413"/>
      <c r="B834" s="414"/>
      <c r="C834" s="404" t="s">
        <v>2385</v>
      </c>
      <c r="D834" s="455">
        <v>43831</v>
      </c>
      <c r="E834" s="406"/>
      <c r="F834" s="325"/>
      <c r="G834" s="324"/>
      <c r="H834" s="324"/>
      <c r="I834" s="325"/>
      <c r="J834" s="325">
        <v>9413</v>
      </c>
      <c r="K834" s="325">
        <f>INT(IF($E834&gt;0,IF(+F834-I834+Q834&lt;0,0,+F834-I834+Q834),0))</f>
        <v>0</v>
      </c>
      <c r="L834" s="325">
        <f>INT(IF($E834&gt;0,IF(K834=0,-F834+I834-Q834,0),0))</f>
        <v>0</v>
      </c>
      <c r="M834" s="407">
        <v>18.75</v>
      </c>
      <c r="N834" s="408" t="s">
        <v>289</v>
      </c>
      <c r="O834" s="325">
        <f>IF(E834&gt;0,INT(IF($N834="D",IF($D834&lt;$H$3,$I834*($M834/100)*((E834-$H$3)/365),$J834*($M834/100)*($J$3-$D834)/365),0)),0)</f>
        <v>0</v>
      </c>
      <c r="P834" s="325">
        <f>IF(E834&gt;0,INT(IF($N834="P",IF($D834&lt;$H$3,$H834*($M834/100)*(E834-$H$3)/365,$J834*($M834/100)*($J$3-$D834)/365),0)),0)</f>
        <v>0</v>
      </c>
      <c r="Q834" s="325">
        <f>+O834+P834</f>
        <v>0</v>
      </c>
      <c r="R834" s="325">
        <f>INT(IF($E834&gt;0,0,(IF($N834="D",IF($D834&lt;$H$3,$I834*($M834/100)*$U$3/12,$J834*($M834/100)*($J$3-$D834)/365),0))))</f>
        <v>875</v>
      </c>
      <c r="S834" s="325">
        <f>INT(IF($E834&gt;0,0,(IF($N834="P",IF($D834&lt;$H$3,$H834*($M834/100)*$U$3/12,$J834*($M834/100)*($J$3-$D834)/365),0))))</f>
        <v>0</v>
      </c>
      <c r="T834" s="325">
        <f>+R834+S834+Q834</f>
        <v>875</v>
      </c>
      <c r="U834" s="409">
        <f>+I834+J834-T834-F834+K834-L834</f>
        <v>8538</v>
      </c>
      <c r="V834" s="325">
        <f>IF(E834&gt;0,+H834+J834,0)</f>
        <v>0</v>
      </c>
      <c r="W834" s="449" cm="1">
        <f t="array" ref="W834">+IF(U834&lt;0,error,0)</f>
        <v>0</v>
      </c>
      <c r="X834" s="456"/>
    </row>
    <row r="835" spans="1:24" ht="18" customHeight="1" x14ac:dyDescent="0.2">
      <c r="A835" s="413"/>
      <c r="B835" s="414"/>
      <c r="C835" s="416"/>
      <c r="D835" s="416"/>
      <c r="E835" s="406"/>
      <c r="F835" s="325"/>
      <c r="G835" s="324"/>
      <c r="H835" s="324"/>
      <c r="I835" s="333"/>
      <c r="J835" s="333"/>
      <c r="K835" s="333"/>
      <c r="L835" s="333"/>
      <c r="M835" s="418"/>
      <c r="N835" s="408"/>
      <c r="O835" s="408"/>
      <c r="P835" s="333"/>
      <c r="Q835" s="333"/>
      <c r="R835" s="408"/>
      <c r="S835" s="333"/>
      <c r="T835" s="333"/>
      <c r="U835" s="419"/>
      <c r="V835" s="333"/>
      <c r="W835" s="449" cm="1">
        <f t="array" ref="W835">+IF(U835&lt;0,error,0)</f>
        <v>0</v>
      </c>
    </row>
    <row r="836" spans="1:24" ht="18" customHeight="1" x14ac:dyDescent="0.2">
      <c r="A836" s="413"/>
      <c r="B836" s="414"/>
      <c r="C836" s="415" t="s">
        <v>2043</v>
      </c>
      <c r="D836" s="416"/>
      <c r="E836" s="406"/>
      <c r="F836" s="325"/>
      <c r="G836" s="324"/>
      <c r="H836" s="417">
        <f>+J837-V837</f>
        <v>9413</v>
      </c>
      <c r="I836" s="333"/>
      <c r="J836" s="333"/>
      <c r="K836" s="333"/>
      <c r="L836" s="333"/>
      <c r="M836" s="418"/>
      <c r="N836" s="408"/>
      <c r="O836" s="408"/>
      <c r="P836" s="333"/>
      <c r="Q836" s="333"/>
      <c r="R836" s="408"/>
      <c r="S836" s="333"/>
      <c r="T836" s="333"/>
      <c r="U836" s="419"/>
      <c r="V836" s="333"/>
      <c r="W836" s="449" cm="1">
        <f t="array" ref="W836">+IF(U836&lt;0,error,0)</f>
        <v>0</v>
      </c>
    </row>
    <row r="837" spans="1:24" s="347" customFormat="1" ht="18" customHeight="1" x14ac:dyDescent="0.2">
      <c r="A837" s="420"/>
      <c r="B837" s="421"/>
      <c r="C837" s="415" t="s">
        <v>2090</v>
      </c>
      <c r="D837" s="415"/>
      <c r="E837" s="429"/>
      <c r="F837" s="334">
        <f t="shared" ref="F837:L837" si="204">SUM(F832:F835)</f>
        <v>0</v>
      </c>
      <c r="G837" s="417">
        <f t="shared" si="204"/>
        <v>0</v>
      </c>
      <c r="H837" s="417">
        <f t="shared" si="204"/>
        <v>0</v>
      </c>
      <c r="I837" s="334">
        <f t="shared" si="204"/>
        <v>19488.170000000002</v>
      </c>
      <c r="J837" s="334">
        <f t="shared" si="204"/>
        <v>9413</v>
      </c>
      <c r="K837" s="334">
        <f t="shared" si="204"/>
        <v>0</v>
      </c>
      <c r="L837" s="334">
        <f t="shared" si="204"/>
        <v>0</v>
      </c>
      <c r="M837" s="423"/>
      <c r="N837" s="446"/>
      <c r="O837" s="334">
        <f>SUM(O804:O835)</f>
        <v>0</v>
      </c>
      <c r="P837" s="334">
        <f>SUM(P804:P835)</f>
        <v>0</v>
      </c>
      <c r="Q837" s="334"/>
      <c r="R837" s="334">
        <f>SUM(R804:R835)</f>
        <v>9853</v>
      </c>
      <c r="S837" s="334">
        <f>SUM(S804:S835)</f>
        <v>0</v>
      </c>
      <c r="T837" s="334">
        <f>SUM(T832:T835)</f>
        <v>4296</v>
      </c>
      <c r="U837" s="417">
        <f>SUM(U832:U835)</f>
        <v>24605.170000000002</v>
      </c>
      <c r="V837" s="334">
        <f>SUM(V832:V835)</f>
        <v>0</v>
      </c>
      <c r="W837" s="449" cm="1">
        <f t="array" ref="W837">+IF(U837&lt;0,error,0)</f>
        <v>0</v>
      </c>
    </row>
    <row r="838" spans="1:24" ht="18" customHeight="1" x14ac:dyDescent="0.2">
      <c r="A838" s="413"/>
      <c r="B838" s="414"/>
      <c r="C838" s="416"/>
      <c r="D838" s="416"/>
      <c r="E838" s="406"/>
      <c r="F838" s="325"/>
      <c r="G838" s="324"/>
      <c r="H838" s="324"/>
      <c r="I838" s="333"/>
      <c r="J838" s="333"/>
      <c r="K838" s="333"/>
      <c r="L838" s="333"/>
      <c r="M838" s="418"/>
      <c r="N838" s="408"/>
      <c r="O838" s="408"/>
      <c r="P838" s="333"/>
      <c r="Q838" s="333"/>
      <c r="R838" s="408"/>
      <c r="S838" s="333"/>
      <c r="T838" s="333"/>
      <c r="U838" s="419"/>
      <c r="V838" s="333"/>
      <c r="W838" s="449" cm="1">
        <f t="array" ref="W838">+IF(U838&lt;0,error,0)</f>
        <v>0</v>
      </c>
    </row>
    <row r="839" spans="1:24" s="347" customFormat="1" ht="18" customHeight="1" x14ac:dyDescent="0.2">
      <c r="A839" s="457"/>
      <c r="B839" s="458"/>
      <c r="C839" s="459" t="s">
        <v>1658</v>
      </c>
      <c r="D839" s="459"/>
      <c r="E839" s="460"/>
      <c r="F839" s="338">
        <f t="shared" ref="F839:L839" si="205">+F172+F590+F607+F793+F829+F837</f>
        <v>52944.55</v>
      </c>
      <c r="G839" s="461">
        <f t="shared" si="205"/>
        <v>207495.39</v>
      </c>
      <c r="H839" s="461">
        <f t="shared" si="205"/>
        <v>9366969.2099999972</v>
      </c>
      <c r="I839" s="338">
        <f t="shared" si="205"/>
        <v>5766177.0908888886</v>
      </c>
      <c r="J839" s="338">
        <f t="shared" si="205"/>
        <v>596343.03</v>
      </c>
      <c r="K839" s="338">
        <f t="shared" si="205"/>
        <v>13449.61</v>
      </c>
      <c r="L839" s="338">
        <f t="shared" si="205"/>
        <v>7189</v>
      </c>
      <c r="M839" s="462"/>
      <c r="N839" s="463"/>
      <c r="O839" s="338">
        <f>+O172+O590+O607+O793+O829</f>
        <v>1036</v>
      </c>
      <c r="P839" s="338">
        <f>+P172+P590+P607+P793+P829</f>
        <v>0</v>
      </c>
      <c r="Q839" s="338"/>
      <c r="R839" s="338">
        <f>+R172+R590+R607+R793+R829</f>
        <v>333705</v>
      </c>
      <c r="S839" s="338">
        <f>+S172+S590+S607+S793+S829</f>
        <v>27400</v>
      </c>
      <c r="T839" s="338">
        <f>+T172+T590+T607+T793+T829+T837</f>
        <v>399011.15</v>
      </c>
      <c r="U839" s="461">
        <f>+U172+U590+U607+U793+U829+U837</f>
        <v>5916824.7708888892</v>
      </c>
      <c r="V839" s="338">
        <f>+V172+V590+V607+V793+V829+V837</f>
        <v>207495.39</v>
      </c>
      <c r="W839" s="449" cm="1">
        <f t="array" ref="W839">+IF(U839&lt;0,error,0)</f>
        <v>0</v>
      </c>
    </row>
    <row r="840" spans="1:24" ht="18" customHeight="1" x14ac:dyDescent="0.2">
      <c r="A840" s="464"/>
      <c r="B840" s="464"/>
      <c r="C840" s="464" t="s">
        <v>1659</v>
      </c>
      <c r="D840" s="465"/>
      <c r="E840" s="466"/>
      <c r="F840" s="467"/>
      <c r="G840" s="468"/>
      <c r="H840" s="469"/>
      <c r="I840" s="339"/>
      <c r="J840" s="467"/>
      <c r="K840" s="467"/>
      <c r="L840" s="467"/>
      <c r="N840" s="470"/>
      <c r="O840" s="470"/>
      <c r="P840" s="467"/>
      <c r="Q840" s="467"/>
      <c r="R840" s="470"/>
      <c r="S840" s="467"/>
      <c r="T840" s="467"/>
      <c r="U840" s="471"/>
      <c r="V840" s="467"/>
    </row>
    <row r="841" spans="1:24" ht="18" hidden="1" customHeight="1" x14ac:dyDescent="0.2">
      <c r="C841" s="465"/>
      <c r="D841" s="465"/>
      <c r="E841" s="466"/>
      <c r="F841" s="467"/>
      <c r="G841" s="468"/>
      <c r="H841" s="467"/>
      <c r="I841" s="340"/>
      <c r="J841" s="472"/>
      <c r="K841" s="472"/>
      <c r="L841" s="472">
        <f>+K839-L839</f>
        <v>6260.6100000000006</v>
      </c>
      <c r="P841" s="472"/>
      <c r="Q841" s="472"/>
      <c r="S841" s="472"/>
      <c r="T841" s="472"/>
      <c r="U841" s="474"/>
      <c r="V841" s="472"/>
    </row>
    <row r="842" spans="1:24" ht="18" customHeight="1" x14ac:dyDescent="0.2">
      <c r="A842" s="464"/>
      <c r="B842" s="464"/>
      <c r="C842" s="464"/>
      <c r="D842" s="464"/>
      <c r="E842" s="475"/>
      <c r="F842" s="476"/>
      <c r="G842" s="477" t="s">
        <v>1648</v>
      </c>
      <c r="H842" s="341"/>
      <c r="I842" s="341"/>
      <c r="J842" s="478"/>
      <c r="K842" s="472"/>
      <c r="L842" s="472"/>
      <c r="P842" s="472"/>
      <c r="Q842" s="472"/>
      <c r="S842" s="472"/>
      <c r="T842" s="472"/>
      <c r="U842" s="341" t="s">
        <v>2387</v>
      </c>
      <c r="V842" s="472"/>
    </row>
    <row r="843" spans="1:24" ht="18" customHeight="1" x14ac:dyDescent="0.2">
      <c r="C843" s="465"/>
      <c r="D843" s="465"/>
      <c r="E843" s="479"/>
      <c r="F843" s="468"/>
      <c r="G843" s="468"/>
      <c r="H843" s="342"/>
      <c r="I843" s="342"/>
      <c r="P843" s="472"/>
      <c r="Q843" s="472"/>
      <c r="S843" s="472"/>
      <c r="T843" s="472"/>
      <c r="U843" s="480" t="s">
        <v>1669</v>
      </c>
      <c r="V843" s="481"/>
    </row>
    <row r="844" spans="1:24" ht="18" customHeight="1" x14ac:dyDescent="0.2">
      <c r="C844" s="482" t="s">
        <v>1663</v>
      </c>
      <c r="D844" s="465"/>
      <c r="E844" s="479"/>
      <c r="F844" s="468"/>
      <c r="G844" s="468"/>
      <c r="H844" s="342"/>
      <c r="I844" s="342"/>
      <c r="P844" s="472"/>
      <c r="Q844" s="472"/>
      <c r="S844" s="472"/>
      <c r="T844" s="472"/>
      <c r="U844" s="342">
        <v>44012</v>
      </c>
      <c r="V844" s="472"/>
    </row>
    <row r="845" spans="1:24" ht="18" customHeight="1" x14ac:dyDescent="0.2">
      <c r="C845" s="465"/>
      <c r="D845" s="465"/>
      <c r="E845" s="479"/>
      <c r="F845" s="468"/>
      <c r="G845" s="468"/>
      <c r="H845" s="465"/>
      <c r="P845" s="472"/>
      <c r="Q845" s="472"/>
      <c r="S845" s="472"/>
      <c r="T845" s="472"/>
      <c r="U845" s="483">
        <v>5916824.7699999996</v>
      </c>
      <c r="V845" s="472"/>
    </row>
    <row r="846" spans="1:24" x14ac:dyDescent="0.2">
      <c r="C846" s="465"/>
      <c r="D846" s="465"/>
      <c r="E846" s="479"/>
      <c r="F846" s="468"/>
      <c r="G846" s="468"/>
      <c r="H846" s="465"/>
      <c r="P846" s="472"/>
      <c r="Q846" s="472"/>
      <c r="S846" s="472"/>
      <c r="T846" s="472"/>
      <c r="U846" s="474"/>
      <c r="V846" s="472"/>
    </row>
    <row r="847" spans="1:24" x14ac:dyDescent="0.2">
      <c r="C847" s="465"/>
      <c r="D847" s="465"/>
      <c r="E847" s="479"/>
      <c r="F847" s="468"/>
      <c r="G847" s="468"/>
      <c r="H847" s="465"/>
      <c r="P847" s="472"/>
      <c r="Q847" s="472"/>
      <c r="S847" s="472"/>
      <c r="T847" s="488" t="s">
        <v>2391</v>
      </c>
      <c r="U847" s="449">
        <f>+U845-U839</f>
        <v>-8.8888965547084808E-4</v>
      </c>
      <c r="V847" s="472"/>
    </row>
    <row r="848" spans="1:24" x14ac:dyDescent="0.2">
      <c r="C848" s="465"/>
      <c r="D848" s="465"/>
      <c r="E848" s="479"/>
      <c r="F848" s="468"/>
      <c r="G848" s="468"/>
      <c r="H848" s="465"/>
      <c r="P848" s="472"/>
      <c r="Q848" s="472"/>
      <c r="S848" s="472"/>
      <c r="T848" s="472"/>
      <c r="U848" s="474"/>
      <c r="V848" s="472"/>
    </row>
    <row r="849" spans="3:22" x14ac:dyDescent="0.2">
      <c r="C849" s="465"/>
      <c r="D849" s="465"/>
      <c r="E849" s="479"/>
      <c r="F849" s="468"/>
      <c r="G849" s="468"/>
      <c r="H849" s="465"/>
      <c r="P849" s="472"/>
      <c r="Q849" s="472"/>
      <c r="S849" s="472"/>
      <c r="T849" s="472"/>
      <c r="U849" s="474"/>
      <c r="V849" s="472"/>
    </row>
    <row r="850" spans="3:22" x14ac:dyDescent="0.2">
      <c r="C850" s="465"/>
      <c r="D850" s="465"/>
      <c r="E850" s="479"/>
      <c r="F850" s="468"/>
      <c r="G850" s="468"/>
      <c r="H850" s="465"/>
      <c r="J850" s="511" t="s">
        <v>2403</v>
      </c>
      <c r="P850" s="472"/>
      <c r="Q850" s="472"/>
      <c r="S850" s="472"/>
      <c r="T850" s="472">
        <f>+T793+T590</f>
        <v>330165.15000000002</v>
      </c>
      <c r="U850" s="474"/>
      <c r="V850" s="472"/>
    </row>
    <row r="851" spans="3:22" x14ac:dyDescent="0.2">
      <c r="C851" s="465"/>
      <c r="D851" s="465"/>
      <c r="E851" s="479"/>
      <c r="F851" s="468"/>
      <c r="G851" s="468"/>
      <c r="H851" s="465"/>
      <c r="P851" s="472"/>
      <c r="Q851" s="472"/>
      <c r="S851" s="472"/>
      <c r="T851" s="472"/>
      <c r="U851" s="474"/>
      <c r="V851" s="472"/>
    </row>
    <row r="852" spans="3:22" x14ac:dyDescent="0.2">
      <c r="C852" s="465"/>
      <c r="D852" s="465"/>
      <c r="E852" s="479"/>
      <c r="F852" s="468"/>
      <c r="G852" s="468"/>
      <c r="H852" s="465"/>
      <c r="P852" s="472"/>
      <c r="Q852" s="472"/>
      <c r="S852" s="472"/>
      <c r="T852" s="472"/>
      <c r="U852" s="474"/>
      <c r="V852" s="472"/>
    </row>
    <row r="853" spans="3:22" x14ac:dyDescent="0.2">
      <c r="C853" s="465"/>
      <c r="D853" s="465"/>
      <c r="E853" s="479"/>
      <c r="F853" s="468"/>
      <c r="G853" s="468"/>
      <c r="H853" s="465"/>
      <c r="P853" s="472"/>
      <c r="Q853" s="472"/>
      <c r="S853" s="472"/>
      <c r="T853" s="472"/>
      <c r="U853" s="474"/>
      <c r="V853" s="472"/>
    </row>
    <row r="854" spans="3:22" x14ac:dyDescent="0.2">
      <c r="C854" s="465"/>
      <c r="D854" s="465"/>
      <c r="E854" s="479"/>
      <c r="F854" s="468"/>
      <c r="G854" s="468"/>
      <c r="H854" s="465"/>
      <c r="P854" s="472"/>
      <c r="Q854" s="472"/>
      <c r="S854" s="472"/>
      <c r="T854" s="472"/>
      <c r="U854" s="474"/>
      <c r="V854" s="472"/>
    </row>
    <row r="855" spans="3:22" x14ac:dyDescent="0.2">
      <c r="C855" s="465"/>
      <c r="D855" s="465"/>
      <c r="E855" s="479"/>
      <c r="F855" s="468"/>
      <c r="G855" s="468"/>
      <c r="H855" s="465"/>
      <c r="P855" s="472"/>
      <c r="Q855" s="472"/>
      <c r="S855" s="472"/>
      <c r="T855" s="472"/>
      <c r="U855" s="474"/>
      <c r="V855" s="472"/>
    </row>
    <row r="856" spans="3:22" x14ac:dyDescent="0.2">
      <c r="C856" s="465"/>
      <c r="D856" s="465"/>
      <c r="E856" s="479"/>
      <c r="F856" s="468"/>
      <c r="G856" s="468"/>
      <c r="H856" s="465"/>
      <c r="P856" s="472"/>
      <c r="Q856" s="472"/>
      <c r="S856" s="472"/>
      <c r="T856" s="472"/>
      <c r="U856" s="474"/>
      <c r="V856" s="472"/>
    </row>
    <row r="857" spans="3:22" x14ac:dyDescent="0.2">
      <c r="C857" s="465"/>
      <c r="D857" s="465"/>
      <c r="E857" s="479"/>
      <c r="F857" s="468"/>
      <c r="G857" s="468"/>
      <c r="H857" s="465"/>
      <c r="P857" s="472"/>
      <c r="Q857" s="472"/>
      <c r="S857" s="472"/>
      <c r="T857" s="472"/>
      <c r="U857" s="474"/>
      <c r="V857" s="472"/>
    </row>
    <row r="858" spans="3:22" x14ac:dyDescent="0.2">
      <c r="C858" s="465"/>
      <c r="D858" s="465"/>
      <c r="E858" s="479"/>
      <c r="F858" s="468"/>
      <c r="G858" s="468"/>
      <c r="H858" s="465"/>
      <c r="P858" s="472"/>
      <c r="Q858" s="472"/>
      <c r="S858" s="472"/>
      <c r="T858" s="472"/>
      <c r="U858" s="474"/>
      <c r="V858" s="472"/>
    </row>
    <row r="859" spans="3:22" x14ac:dyDescent="0.2">
      <c r="C859" s="465"/>
      <c r="D859" s="465"/>
      <c r="E859" s="479"/>
      <c r="F859" s="468"/>
      <c r="G859" s="468"/>
      <c r="P859" s="472"/>
      <c r="Q859" s="472"/>
      <c r="S859" s="472"/>
      <c r="T859" s="472"/>
      <c r="U859" s="474"/>
      <c r="V859" s="472"/>
    </row>
    <row r="860" spans="3:22" x14ac:dyDescent="0.2">
      <c r="C860" s="465"/>
      <c r="D860" s="465"/>
      <c r="E860" s="479"/>
      <c r="F860" s="468"/>
      <c r="G860" s="468"/>
      <c r="H860" s="465"/>
      <c r="P860" s="472"/>
      <c r="Q860" s="472"/>
      <c r="S860" s="472"/>
      <c r="T860" s="472"/>
      <c r="U860" s="474"/>
      <c r="V860" s="472"/>
    </row>
    <row r="861" spans="3:22" x14ac:dyDescent="0.2">
      <c r="P861" s="472"/>
      <c r="Q861" s="472"/>
      <c r="S861" s="472"/>
      <c r="T861" s="472"/>
      <c r="U861" s="474"/>
      <c r="V861" s="472"/>
    </row>
    <row r="862" spans="3:22" x14ac:dyDescent="0.2">
      <c r="P862" s="472"/>
      <c r="Q862" s="472"/>
      <c r="S862" s="472"/>
      <c r="T862" s="472"/>
      <c r="U862" s="474"/>
      <c r="V862" s="472"/>
    </row>
    <row r="863" spans="3:22" x14ac:dyDescent="0.2">
      <c r="F863" s="468"/>
      <c r="G863" s="468"/>
      <c r="H863" s="465"/>
      <c r="P863" s="472"/>
      <c r="Q863" s="472"/>
      <c r="S863" s="472"/>
      <c r="T863" s="472"/>
      <c r="U863" s="474"/>
      <c r="V863" s="472"/>
    </row>
    <row r="864" spans="3:22" x14ac:dyDescent="0.2">
      <c r="P864" s="472"/>
      <c r="Q864" s="472"/>
      <c r="S864" s="472"/>
      <c r="T864" s="472"/>
      <c r="U864" s="474"/>
      <c r="V864" s="472"/>
    </row>
    <row r="865" spans="16:22" x14ac:dyDescent="0.2">
      <c r="P865" s="472"/>
      <c r="Q865" s="472"/>
      <c r="S865" s="472"/>
      <c r="T865" s="472"/>
      <c r="U865" s="474"/>
      <c r="V865" s="472"/>
    </row>
    <row r="866" spans="16:22" x14ac:dyDescent="0.2">
      <c r="P866" s="472"/>
      <c r="Q866" s="472"/>
      <c r="S866" s="472"/>
      <c r="T866" s="472"/>
      <c r="U866" s="474"/>
      <c r="V866" s="472"/>
    </row>
    <row r="867" spans="16:22" x14ac:dyDescent="0.2">
      <c r="P867" s="472"/>
      <c r="Q867" s="472"/>
      <c r="S867" s="472"/>
      <c r="T867" s="472"/>
      <c r="U867" s="474"/>
      <c r="V867" s="472"/>
    </row>
    <row r="868" spans="16:22" x14ac:dyDescent="0.2">
      <c r="P868" s="472"/>
      <c r="Q868" s="472"/>
      <c r="S868" s="472"/>
      <c r="T868" s="472"/>
      <c r="U868" s="474"/>
      <c r="V868" s="472"/>
    </row>
    <row r="869" spans="16:22" x14ac:dyDescent="0.2">
      <c r="P869" s="472"/>
      <c r="Q869" s="472"/>
      <c r="S869" s="472"/>
      <c r="T869" s="472"/>
      <c r="U869" s="474"/>
      <c r="V869" s="472"/>
    </row>
    <row r="870" spans="16:22" x14ac:dyDescent="0.2">
      <c r="P870" s="472"/>
      <c r="Q870" s="472"/>
      <c r="S870" s="472"/>
      <c r="T870" s="472"/>
      <c r="U870" s="474"/>
      <c r="V870" s="472"/>
    </row>
    <row r="871" spans="16:22" x14ac:dyDescent="0.2">
      <c r="P871" s="472"/>
      <c r="Q871" s="472"/>
      <c r="S871" s="472"/>
      <c r="T871" s="472"/>
      <c r="U871" s="474"/>
      <c r="V871" s="472"/>
    </row>
    <row r="872" spans="16:22" x14ac:dyDescent="0.2">
      <c r="P872" s="472"/>
      <c r="Q872" s="472"/>
      <c r="S872" s="472"/>
      <c r="T872" s="472"/>
      <c r="U872" s="474"/>
      <c r="V872" s="472"/>
    </row>
    <row r="873" spans="16:22" x14ac:dyDescent="0.2">
      <c r="P873" s="472"/>
      <c r="Q873" s="472"/>
      <c r="S873" s="472"/>
      <c r="T873" s="472"/>
      <c r="U873" s="474"/>
      <c r="V873" s="472"/>
    </row>
    <row r="874" spans="16:22" x14ac:dyDescent="0.2">
      <c r="P874" s="472"/>
      <c r="Q874" s="472"/>
      <c r="S874" s="472"/>
      <c r="T874" s="472"/>
      <c r="U874" s="474"/>
      <c r="V874" s="472"/>
    </row>
    <row r="875" spans="16:22" x14ac:dyDescent="0.2">
      <c r="P875" s="472"/>
      <c r="Q875" s="472"/>
      <c r="S875" s="472"/>
      <c r="T875" s="472"/>
      <c r="U875" s="474"/>
      <c r="V875" s="472"/>
    </row>
    <row r="876" spans="16:22" x14ac:dyDescent="0.2">
      <c r="P876" s="472"/>
      <c r="Q876" s="472"/>
      <c r="S876" s="472"/>
      <c r="T876" s="472"/>
      <c r="U876" s="474"/>
      <c r="V876" s="472"/>
    </row>
    <row r="877" spans="16:22" x14ac:dyDescent="0.2">
      <c r="P877" s="472"/>
      <c r="Q877" s="472"/>
      <c r="S877" s="472"/>
      <c r="T877" s="472"/>
      <c r="U877" s="474"/>
      <c r="V877" s="472"/>
    </row>
    <row r="878" spans="16:22" x14ac:dyDescent="0.2">
      <c r="P878" s="472"/>
      <c r="Q878" s="472"/>
      <c r="S878" s="472"/>
      <c r="T878" s="472"/>
      <c r="U878" s="474"/>
      <c r="V878" s="472"/>
    </row>
    <row r="879" spans="16:22" x14ac:dyDescent="0.2">
      <c r="P879" s="472"/>
      <c r="Q879" s="472"/>
      <c r="S879" s="472"/>
      <c r="T879" s="472"/>
      <c r="U879" s="474"/>
      <c r="V879" s="472"/>
    </row>
    <row r="880" spans="16:22" x14ac:dyDescent="0.2">
      <c r="P880" s="472"/>
      <c r="Q880" s="472"/>
      <c r="S880" s="472"/>
      <c r="T880" s="472"/>
      <c r="U880" s="474"/>
      <c r="V880" s="472"/>
    </row>
    <row r="881" spans="16:22" x14ac:dyDescent="0.2">
      <c r="P881" s="472"/>
      <c r="Q881" s="472"/>
      <c r="S881" s="472"/>
      <c r="T881" s="472"/>
      <c r="U881" s="474"/>
      <c r="V881" s="472"/>
    </row>
    <row r="882" spans="16:22" x14ac:dyDescent="0.2">
      <c r="P882" s="472"/>
      <c r="Q882" s="472"/>
      <c r="S882" s="472"/>
      <c r="T882" s="472"/>
      <c r="U882" s="474"/>
      <c r="V882" s="472"/>
    </row>
    <row r="883" spans="16:22" x14ac:dyDescent="0.2">
      <c r="P883" s="472"/>
      <c r="Q883" s="472"/>
      <c r="S883" s="472"/>
      <c r="T883" s="472"/>
      <c r="U883" s="474"/>
      <c r="V883" s="472"/>
    </row>
    <row r="884" spans="16:22" x14ac:dyDescent="0.2">
      <c r="P884" s="472"/>
      <c r="Q884" s="472"/>
      <c r="S884" s="472"/>
      <c r="T884" s="472"/>
      <c r="U884" s="474"/>
      <c r="V884" s="472"/>
    </row>
    <row r="885" spans="16:22" x14ac:dyDescent="0.2">
      <c r="P885" s="472"/>
      <c r="Q885" s="472"/>
      <c r="S885" s="472"/>
      <c r="T885" s="472"/>
      <c r="U885" s="474"/>
      <c r="V885" s="472"/>
    </row>
    <row r="886" spans="16:22" x14ac:dyDescent="0.2">
      <c r="P886" s="472"/>
      <c r="Q886" s="472"/>
      <c r="S886" s="472"/>
      <c r="T886" s="472"/>
      <c r="U886" s="474"/>
      <c r="V886" s="472"/>
    </row>
    <row r="887" spans="16:22" x14ac:dyDescent="0.2">
      <c r="P887" s="472"/>
      <c r="Q887" s="472"/>
      <c r="S887" s="472"/>
      <c r="T887" s="472"/>
      <c r="U887" s="474"/>
      <c r="V887" s="472"/>
    </row>
    <row r="888" spans="16:22" x14ac:dyDescent="0.2">
      <c r="P888" s="472"/>
      <c r="Q888" s="472"/>
      <c r="S888" s="472"/>
      <c r="T888" s="472"/>
      <c r="U888" s="474"/>
      <c r="V888" s="472"/>
    </row>
    <row r="889" spans="16:22" x14ac:dyDescent="0.2">
      <c r="P889" s="472"/>
      <c r="Q889" s="472"/>
      <c r="S889" s="472"/>
      <c r="T889" s="472"/>
      <c r="U889" s="474"/>
      <c r="V889" s="472"/>
    </row>
    <row r="890" spans="16:22" x14ac:dyDescent="0.2">
      <c r="P890" s="472"/>
      <c r="Q890" s="472"/>
      <c r="S890" s="472"/>
      <c r="T890" s="472"/>
      <c r="U890" s="474"/>
      <c r="V890" s="472"/>
    </row>
    <row r="891" spans="16:22" x14ac:dyDescent="0.2">
      <c r="P891" s="472"/>
      <c r="Q891" s="472"/>
      <c r="S891" s="472"/>
      <c r="T891" s="472"/>
      <c r="U891" s="474"/>
      <c r="V891" s="472"/>
    </row>
    <row r="892" spans="16:22" x14ac:dyDescent="0.2">
      <c r="P892" s="472"/>
      <c r="Q892" s="472"/>
      <c r="S892" s="472"/>
      <c r="T892" s="472"/>
      <c r="U892" s="474"/>
      <c r="V892" s="472"/>
    </row>
    <row r="893" spans="16:22" x14ac:dyDescent="0.2">
      <c r="P893" s="472"/>
      <c r="Q893" s="472"/>
      <c r="S893" s="472"/>
      <c r="T893" s="472"/>
      <c r="U893" s="474"/>
      <c r="V893" s="472"/>
    </row>
  </sheetData>
  <mergeCells count="2">
    <mergeCell ref="D1:U1"/>
    <mergeCell ref="D2:U2"/>
  </mergeCells>
  <phoneticPr fontId="28" type="noConversion"/>
  <pageMargins left="0.25" right="0.25" top="0.75" bottom="0.75" header="0.3" footer="0.3"/>
  <pageSetup paperSize="9" scale="64" fitToHeight="25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DF582-6B9C-4E30-A3ED-463BAC9DA798}">
  <sheetPr>
    <pageSetUpPr fitToPage="1"/>
  </sheetPr>
  <dimension ref="A1:Y181"/>
  <sheetViews>
    <sheetView workbookViewId="0">
      <pane ySplit="1770" topLeftCell="A103" activePane="bottomLeft"/>
      <selection activeCell="A2" sqref="A1:XFD1048576"/>
      <selection pane="bottomLeft" activeCell="L120" sqref="L120"/>
    </sheetView>
  </sheetViews>
  <sheetFormatPr defaultColWidth="6.85546875" defaultRowHeight="12.75" x14ac:dyDescent="0.2"/>
  <cols>
    <col min="1" max="2" width="6.85546875" style="11"/>
    <col min="3" max="3" width="44.5703125" style="11" customWidth="1"/>
    <col min="4" max="4" width="10.28515625" style="11" bestFit="1" customWidth="1"/>
    <col min="5" max="5" width="6.5703125" style="18" customWidth="1"/>
    <col min="6" max="6" width="10" style="19" bestFit="1" customWidth="1"/>
    <col min="7" max="7" width="6" style="19" customWidth="1"/>
    <col min="8" max="8" width="12.85546875" style="11" bestFit="1" customWidth="1"/>
    <col min="9" max="9" width="12.85546875" style="42" bestFit="1" customWidth="1"/>
    <col min="10" max="10" width="12.85546875" style="11" bestFit="1" customWidth="1"/>
    <col min="11" max="11" width="6.5703125" style="11" customWidth="1"/>
    <col min="12" max="12" width="6.7109375" style="11" customWidth="1"/>
    <col min="13" max="13" width="7" style="11" bestFit="1" customWidth="1"/>
    <col min="14" max="14" width="6.85546875" style="44"/>
    <col min="15" max="15" width="8.7109375" style="44" hidden="1" customWidth="1"/>
    <col min="16" max="16" width="8.7109375" style="11" hidden="1" customWidth="1"/>
    <col min="17" max="17" width="9.85546875" style="11" hidden="1" customWidth="1"/>
    <col min="18" max="18" width="8.7109375" style="44" hidden="1" customWidth="1"/>
    <col min="19" max="19" width="8.7109375" style="11" hidden="1" customWidth="1"/>
    <col min="20" max="20" width="10.28515625" style="11" bestFit="1" customWidth="1"/>
    <col min="21" max="21" width="12.85546875" style="258" bestFit="1" customWidth="1"/>
    <col min="22" max="22" width="12.85546875" style="11" bestFit="1" customWidth="1"/>
    <col min="23" max="23" width="8.42578125" style="11" bestFit="1" customWidth="1"/>
    <col min="24" max="24" width="9.7109375" style="11" bestFit="1" customWidth="1"/>
    <col min="25" max="16384" width="6.85546875" style="11"/>
  </cols>
  <sheetData>
    <row r="1" spans="1:24" ht="13.5" customHeight="1" x14ac:dyDescent="0.2">
      <c r="A1" s="14"/>
      <c r="B1" s="15"/>
      <c r="C1" s="15"/>
      <c r="D1" s="519" t="s">
        <v>1824</v>
      </c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161"/>
    </row>
    <row r="2" spans="1:24" ht="15.75" customHeight="1" x14ac:dyDescent="0.2">
      <c r="A2" s="14"/>
      <c r="B2" s="16"/>
      <c r="C2" s="16"/>
      <c r="D2" s="520" t="s">
        <v>1</v>
      </c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161"/>
    </row>
    <row r="3" spans="1:24" ht="13.5" customHeight="1" x14ac:dyDescent="0.2">
      <c r="A3" s="14"/>
      <c r="B3" s="17"/>
      <c r="C3" s="17"/>
      <c r="D3" s="17"/>
      <c r="H3" s="345">
        <v>43831</v>
      </c>
      <c r="I3" s="346" t="s">
        <v>1637</v>
      </c>
      <c r="J3" s="345">
        <v>44012</v>
      </c>
      <c r="K3" s="17"/>
      <c r="L3" s="17"/>
      <c r="M3" s="17"/>
      <c r="N3" s="22"/>
      <c r="O3" s="22"/>
      <c r="P3" s="17"/>
      <c r="Q3" s="17"/>
      <c r="R3" s="22"/>
      <c r="S3" s="17"/>
      <c r="T3" s="17" t="s">
        <v>1639</v>
      </c>
      <c r="U3" s="260">
        <f>ROUND((+J3-H3)/365*12,0)</f>
        <v>6</v>
      </c>
      <c r="V3" s="172"/>
    </row>
    <row r="4" spans="1:24" ht="3" customHeight="1" x14ac:dyDescent="0.2">
      <c r="A4" s="14"/>
      <c r="B4" s="14"/>
      <c r="C4" s="14"/>
      <c r="D4" s="14"/>
      <c r="E4" s="24"/>
      <c r="F4" s="23"/>
      <c r="G4" s="23"/>
      <c r="H4" s="14"/>
      <c r="I4" s="347"/>
      <c r="J4" s="14"/>
      <c r="K4" s="14"/>
      <c r="L4" s="14"/>
      <c r="M4" s="14"/>
      <c r="N4" s="321"/>
      <c r="O4" s="321"/>
      <c r="P4" s="14"/>
      <c r="Q4" s="14"/>
      <c r="R4" s="321"/>
      <c r="S4" s="14"/>
      <c r="T4" s="14"/>
      <c r="U4" s="261"/>
      <c r="V4" s="164"/>
    </row>
    <row r="5" spans="1:24" ht="15" customHeight="1" x14ac:dyDescent="0.2">
      <c r="A5" s="54"/>
      <c r="B5" s="55"/>
      <c r="C5" s="55"/>
      <c r="D5" s="26" t="s">
        <v>4</v>
      </c>
      <c r="E5" s="27" t="s">
        <v>1641</v>
      </c>
      <c r="F5" s="28"/>
      <c r="G5" s="29"/>
      <c r="H5" s="30" t="s">
        <v>1643</v>
      </c>
      <c r="I5" s="348" t="s">
        <v>1646</v>
      </c>
      <c r="J5" s="32" t="s">
        <v>1647</v>
      </c>
      <c r="K5" s="31" t="s">
        <v>1649</v>
      </c>
      <c r="L5" s="31" t="s">
        <v>1650</v>
      </c>
      <c r="M5" s="31" t="s">
        <v>1634</v>
      </c>
      <c r="N5" s="33" t="s">
        <v>1634</v>
      </c>
      <c r="O5" s="33" t="s">
        <v>1664</v>
      </c>
      <c r="P5" s="31" t="s">
        <v>1665</v>
      </c>
      <c r="Q5" s="31" t="s">
        <v>1666</v>
      </c>
      <c r="R5" s="33" t="s">
        <v>1661</v>
      </c>
      <c r="S5" s="31" t="s">
        <v>1660</v>
      </c>
      <c r="T5" s="31" t="s">
        <v>1662</v>
      </c>
      <c r="U5" s="262" t="s">
        <v>1653</v>
      </c>
      <c r="V5" s="184" t="s">
        <v>2086</v>
      </c>
    </row>
    <row r="6" spans="1:24" ht="15" customHeight="1" x14ac:dyDescent="0.2">
      <c r="A6" s="56" t="s">
        <v>1636</v>
      </c>
      <c r="B6" s="57"/>
      <c r="C6" s="57" t="s">
        <v>12</v>
      </c>
      <c r="D6" s="34" t="s">
        <v>1640</v>
      </c>
      <c r="E6" s="35" t="s">
        <v>1640</v>
      </c>
      <c r="F6" s="36" t="s">
        <v>1642</v>
      </c>
      <c r="G6" s="37" t="s">
        <v>1644</v>
      </c>
      <c r="H6" s="38" t="s">
        <v>1644</v>
      </c>
      <c r="I6" s="349" t="s">
        <v>1645</v>
      </c>
      <c r="J6" s="34"/>
      <c r="K6" s="34"/>
      <c r="L6" s="34"/>
      <c r="M6" s="39" t="s">
        <v>1651</v>
      </c>
      <c r="N6" s="40" t="s">
        <v>1633</v>
      </c>
      <c r="O6" s="40" t="s">
        <v>1634</v>
      </c>
      <c r="P6" s="40" t="s">
        <v>1634</v>
      </c>
      <c r="Q6" s="40" t="s">
        <v>1667</v>
      </c>
      <c r="R6" s="40" t="s">
        <v>1634</v>
      </c>
      <c r="S6" s="40" t="s">
        <v>1634</v>
      </c>
      <c r="T6" s="40" t="s">
        <v>1634</v>
      </c>
      <c r="U6" s="263" t="s">
        <v>1652</v>
      </c>
      <c r="V6" s="193" t="s">
        <v>2087</v>
      </c>
      <c r="W6" s="487" t="s">
        <v>2390</v>
      </c>
    </row>
    <row r="7" spans="1:24" ht="15.75" customHeight="1" x14ac:dyDescent="0.2">
      <c r="A7" s="278"/>
      <c r="B7" s="279"/>
      <c r="C7" s="58"/>
      <c r="D7" s="59"/>
      <c r="E7" s="60"/>
      <c r="F7" s="61"/>
      <c r="G7" s="61"/>
      <c r="H7" s="61"/>
      <c r="I7" s="350"/>
      <c r="J7" s="61"/>
      <c r="K7" s="61"/>
      <c r="L7" s="61"/>
      <c r="M7" s="59"/>
      <c r="N7" s="62"/>
      <c r="O7" s="62"/>
      <c r="P7" s="59"/>
      <c r="Q7" s="59"/>
      <c r="R7" s="62"/>
      <c r="S7" s="59"/>
      <c r="T7" s="59"/>
      <c r="U7" s="264"/>
      <c r="V7" s="200"/>
      <c r="W7" s="343"/>
    </row>
    <row r="8" spans="1:24" ht="15.75" customHeight="1" x14ac:dyDescent="0.2">
      <c r="A8" s="269" t="s">
        <v>2102</v>
      </c>
      <c r="B8" s="270"/>
      <c r="C8" s="271"/>
      <c r="D8" s="272"/>
      <c r="E8" s="273"/>
      <c r="F8" s="274"/>
      <c r="G8" s="274"/>
      <c r="H8" s="274"/>
      <c r="I8" s="351"/>
      <c r="J8" s="274"/>
      <c r="K8" s="274"/>
      <c r="L8" s="274"/>
      <c r="M8" s="272"/>
      <c r="N8" s="275"/>
      <c r="O8" s="275"/>
      <c r="P8" s="272"/>
      <c r="Q8" s="272"/>
      <c r="R8" s="275"/>
      <c r="S8" s="272"/>
      <c r="T8" s="272"/>
      <c r="U8" s="276"/>
      <c r="V8" s="277"/>
      <c r="W8" s="449" cm="1">
        <f t="array" ref="W8">+IF(U8&lt;0,error,0)</f>
        <v>0</v>
      </c>
    </row>
    <row r="9" spans="1:24" ht="36.75" customHeight="1" x14ac:dyDescent="0.2">
      <c r="A9" s="280"/>
      <c r="B9" s="270"/>
      <c r="C9" s="271" t="s">
        <v>2103</v>
      </c>
      <c r="D9" s="286">
        <v>41761</v>
      </c>
      <c r="E9" s="282"/>
      <c r="F9" s="283"/>
      <c r="G9" s="283"/>
      <c r="H9" s="283">
        <v>1764225.9</v>
      </c>
      <c r="I9" s="352">
        <f>+H9</f>
        <v>1764225.9</v>
      </c>
      <c r="J9" s="283"/>
      <c r="K9" s="283"/>
      <c r="L9" s="283"/>
      <c r="M9" s="284"/>
      <c r="N9" s="285"/>
      <c r="O9" s="285"/>
      <c r="P9" s="284"/>
      <c r="Q9" s="284"/>
      <c r="R9" s="285"/>
      <c r="S9" s="284"/>
      <c r="T9" s="284"/>
      <c r="U9" s="276">
        <f>+I9</f>
        <v>1764225.9</v>
      </c>
      <c r="V9" s="277"/>
      <c r="W9" s="449" cm="1">
        <f t="array" ref="W9">+IF(U9&lt;0,error,0)</f>
        <v>0</v>
      </c>
    </row>
    <row r="10" spans="1:24" ht="36.75" customHeight="1" x14ac:dyDescent="0.2">
      <c r="A10" s="280"/>
      <c r="B10" s="270"/>
      <c r="C10" s="271" t="s">
        <v>2104</v>
      </c>
      <c r="D10" s="281">
        <v>42171</v>
      </c>
      <c r="E10" s="282"/>
      <c r="F10" s="283"/>
      <c r="G10" s="283"/>
      <c r="H10" s="283">
        <v>159527.31</v>
      </c>
      <c r="I10" s="352">
        <f>+H10</f>
        <v>159527.31</v>
      </c>
      <c r="J10" s="283"/>
      <c r="K10" s="283"/>
      <c r="L10" s="283"/>
      <c r="M10" s="284"/>
      <c r="N10" s="285"/>
      <c r="O10" s="285"/>
      <c r="P10" s="284"/>
      <c r="Q10" s="284"/>
      <c r="R10" s="285"/>
      <c r="S10" s="284"/>
      <c r="T10" s="284"/>
      <c r="U10" s="276">
        <f>+I10</f>
        <v>159527.31</v>
      </c>
      <c r="V10" s="277"/>
      <c r="W10" s="449" cm="1">
        <f t="array" ref="W10">+IF(U10&lt;0,error,0)</f>
        <v>0</v>
      </c>
      <c r="X10" s="258"/>
    </row>
    <row r="11" spans="1:24" ht="36.75" customHeight="1" x14ac:dyDescent="0.2">
      <c r="A11" s="280"/>
      <c r="B11" s="270"/>
      <c r="C11" s="271" t="s">
        <v>2105</v>
      </c>
      <c r="D11" s="281">
        <v>42186</v>
      </c>
      <c r="E11" s="282"/>
      <c r="F11" s="283"/>
      <c r="G11" s="283"/>
      <c r="H11" s="283">
        <v>1310</v>
      </c>
      <c r="I11" s="352">
        <f>+H11</f>
        <v>1310</v>
      </c>
      <c r="J11" s="283"/>
      <c r="K11" s="283"/>
      <c r="L11" s="283"/>
      <c r="M11" s="284"/>
      <c r="N11" s="285"/>
      <c r="O11" s="285"/>
      <c r="P11" s="284"/>
      <c r="Q11" s="284"/>
      <c r="R11" s="285"/>
      <c r="S11" s="284"/>
      <c r="T11" s="284"/>
      <c r="U11" s="276">
        <f>+I11</f>
        <v>1310</v>
      </c>
      <c r="V11" s="277"/>
      <c r="W11" s="449" cm="1">
        <f t="array" ref="W11">+IF(U11&lt;0,error,0)</f>
        <v>0</v>
      </c>
      <c r="X11" s="258"/>
    </row>
    <row r="12" spans="1:24" ht="36.75" customHeight="1" x14ac:dyDescent="0.2">
      <c r="A12" s="280"/>
      <c r="B12" s="270"/>
      <c r="C12" s="271"/>
      <c r="D12" s="281"/>
      <c r="E12" s="282"/>
      <c r="F12" s="283"/>
      <c r="G12" s="283"/>
      <c r="H12" s="283"/>
      <c r="I12" s="352"/>
      <c r="J12" s="283"/>
      <c r="K12" s="283"/>
      <c r="L12" s="283"/>
      <c r="M12" s="284"/>
      <c r="N12" s="285"/>
      <c r="O12" s="285"/>
      <c r="P12" s="284"/>
      <c r="Q12" s="284"/>
      <c r="R12" s="285"/>
      <c r="S12" s="284"/>
      <c r="T12" s="284"/>
      <c r="U12" s="276"/>
      <c r="V12" s="277"/>
      <c r="W12" s="449" cm="1">
        <f t="array" ref="W12">+IF(U12&lt;0,error,0)</f>
        <v>0</v>
      </c>
      <c r="X12" s="258"/>
    </row>
    <row r="13" spans="1:24" s="14" customFormat="1" ht="36.75" customHeight="1" x14ac:dyDescent="0.2">
      <c r="A13" s="105"/>
      <c r="B13" s="106"/>
      <c r="C13" s="77" t="s">
        <v>2106</v>
      </c>
      <c r="D13" s="76"/>
      <c r="E13" s="78"/>
      <c r="F13" s="79">
        <f t="shared" ref="F13:L13" si="0">SUM(F8:F12)</f>
        <v>0</v>
      </c>
      <c r="G13" s="79">
        <f t="shared" si="0"/>
        <v>0</v>
      </c>
      <c r="H13" s="268">
        <f t="shared" si="0"/>
        <v>1925063.21</v>
      </c>
      <c r="I13" s="353">
        <f t="shared" si="0"/>
        <v>1925063.21</v>
      </c>
      <c r="J13" s="79">
        <f t="shared" si="0"/>
        <v>0</v>
      </c>
      <c r="K13" s="79">
        <f t="shared" si="0"/>
        <v>0</v>
      </c>
      <c r="L13" s="79">
        <f t="shared" si="0"/>
        <v>0</v>
      </c>
      <c r="M13" s="80"/>
      <c r="N13" s="81"/>
      <c r="O13" s="79" t="e">
        <f>SUM(#REF!)</f>
        <v>#REF!</v>
      </c>
      <c r="P13" s="79" t="e">
        <f>SUM(#REF!)</f>
        <v>#REF!</v>
      </c>
      <c r="Q13" s="79"/>
      <c r="R13" s="79" t="e">
        <f>SUM(#REF!)</f>
        <v>#REF!</v>
      </c>
      <c r="S13" s="79" t="e">
        <f>SUM(#REF!)</f>
        <v>#REF!</v>
      </c>
      <c r="T13" s="79">
        <f>SUM(T8:T12)</f>
        <v>0</v>
      </c>
      <c r="U13" s="267">
        <f>SUM(U8:U12)</f>
        <v>1925063.21</v>
      </c>
      <c r="V13" s="79">
        <f>SUM(V8:V12)</f>
        <v>0</v>
      </c>
      <c r="W13" s="449" cm="1">
        <f t="array" ref="W13">+IF(U13&lt;0,error,0)</f>
        <v>0</v>
      </c>
    </row>
    <row r="14" spans="1:24" ht="36.75" customHeight="1" x14ac:dyDescent="0.2">
      <c r="A14" s="269"/>
      <c r="B14" s="270"/>
      <c r="C14" s="271"/>
      <c r="D14" s="272"/>
      <c r="E14" s="273"/>
      <c r="F14" s="274"/>
      <c r="G14" s="274"/>
      <c r="H14" s="274"/>
      <c r="I14" s="351"/>
      <c r="J14" s="274"/>
      <c r="K14" s="274"/>
      <c r="L14" s="274"/>
      <c r="M14" s="272"/>
      <c r="N14" s="275"/>
      <c r="O14" s="275"/>
      <c r="P14" s="272"/>
      <c r="Q14" s="272"/>
      <c r="R14" s="275"/>
      <c r="S14" s="272"/>
      <c r="T14" s="272"/>
      <c r="U14" s="276"/>
      <c r="V14" s="277"/>
      <c r="W14" s="449" cm="1">
        <f t="array" ref="W14">+IF(U14&lt;0,error,0)</f>
        <v>0</v>
      </c>
    </row>
    <row r="15" spans="1:24" ht="36.75" customHeight="1" x14ac:dyDescent="0.2">
      <c r="A15" s="269" t="s">
        <v>2101</v>
      </c>
      <c r="B15" s="270"/>
      <c r="C15" s="271"/>
      <c r="D15" s="272"/>
      <c r="E15" s="273"/>
      <c r="F15" s="274"/>
      <c r="G15" s="274"/>
      <c r="H15" s="274"/>
      <c r="I15" s="351"/>
      <c r="J15" s="274"/>
      <c r="K15" s="274"/>
      <c r="L15" s="274"/>
      <c r="M15" s="272"/>
      <c r="N15" s="275"/>
      <c r="O15" s="275"/>
      <c r="P15" s="272"/>
      <c r="Q15" s="272"/>
      <c r="R15" s="275"/>
      <c r="S15" s="272"/>
      <c r="T15" s="272"/>
      <c r="U15" s="276"/>
      <c r="V15" s="277"/>
      <c r="W15" s="449" cm="1">
        <f t="array" ref="W15">+IF(U15&lt;0,error,0)</f>
        <v>0</v>
      </c>
    </row>
    <row r="16" spans="1:24" ht="36.75" customHeight="1" x14ac:dyDescent="0.2">
      <c r="A16" s="101" t="s">
        <v>1675</v>
      </c>
      <c r="B16" s="102"/>
      <c r="C16" s="64" t="s">
        <v>1676</v>
      </c>
      <c r="D16" s="65">
        <v>41780</v>
      </c>
      <c r="E16" s="66"/>
      <c r="F16" s="67"/>
      <c r="G16" s="67"/>
      <c r="H16" s="67">
        <v>3730</v>
      </c>
      <c r="I16" s="354">
        <v>3209</v>
      </c>
      <c r="J16" s="67">
        <v>0</v>
      </c>
      <c r="K16" s="68">
        <f t="shared" ref="K16:K79" si="1">INT(IF($E16&gt;0,IF(+F16-I16+Q16&lt;0,0,+F16-I16+Q16),0))</f>
        <v>0</v>
      </c>
      <c r="L16" s="68">
        <f t="shared" ref="L16:L79" si="2">INT(IF($E16&gt;0,IF(K16=0,-F16+I16-Q16,0),0))</f>
        <v>0</v>
      </c>
      <c r="M16" s="69">
        <v>2.5</v>
      </c>
      <c r="N16" s="70" t="s">
        <v>17</v>
      </c>
      <c r="O16" s="68">
        <f>IF(E16&gt;0,INT(IF($N16="D",IF($D16&lt;$H$3,$I16*($M16/100)*((E16-$H$3)/365),$J16*($M16/100)*($J$3-$D16)/365),0)),0)</f>
        <v>0</v>
      </c>
      <c r="P16" s="68">
        <f>IF(E16&gt;0,INT(IF($N16="P",IF($D16&lt;$H$3,$H16*($M16/100)*(E16-$H$3)/365,$J16*($M16/100)*($J$3-$D16)/365),0)),0)</f>
        <v>0</v>
      </c>
      <c r="Q16" s="68">
        <f>+O16+P16</f>
        <v>0</v>
      </c>
      <c r="R16" s="68">
        <f t="shared" ref="R16:R79" si="3">INT(IF($E16&gt;0,0,(IF($N16="D",IF($D16&lt;$H$3,$I16*($M16/100)*$U$3/12,$J16*($M16/100)*($J$3-$D16)/365),0))))</f>
        <v>0</v>
      </c>
      <c r="S16" s="68">
        <f t="shared" ref="S16:S79" si="4">INT(IF($E16&gt;0,0,(IF($N16="P",IF($D16&lt;$H$3,$H16*($M16/100)*$U$3/12,$J16*($M16/100)*($J$3-$D16)/365),0))))</f>
        <v>46</v>
      </c>
      <c r="T16" s="68">
        <f>+R16+S16+Q16</f>
        <v>46</v>
      </c>
      <c r="U16" s="265">
        <f>+I16+J16-T16</f>
        <v>3163</v>
      </c>
      <c r="V16" s="93">
        <f>IF(E16&gt;0,+H16+J16,0)</f>
        <v>0</v>
      </c>
      <c r="W16" s="449" cm="1">
        <f t="array" ref="W16">+IF(U16&lt;0,error,0)</f>
        <v>0</v>
      </c>
    </row>
    <row r="17" spans="1:25" ht="36.75" customHeight="1" x14ac:dyDescent="0.2">
      <c r="A17" s="101" t="s">
        <v>1677</v>
      </c>
      <c r="B17" s="102"/>
      <c r="C17" s="71" t="s">
        <v>1678</v>
      </c>
      <c r="D17" s="65">
        <v>41780</v>
      </c>
      <c r="E17" s="66"/>
      <c r="F17" s="67"/>
      <c r="G17" s="67"/>
      <c r="H17" s="67">
        <v>15123.76</v>
      </c>
      <c r="I17" s="354">
        <v>13002.76</v>
      </c>
      <c r="J17" s="67">
        <v>0</v>
      </c>
      <c r="K17" s="68">
        <f t="shared" si="1"/>
        <v>0</v>
      </c>
      <c r="L17" s="68">
        <f t="shared" si="2"/>
        <v>0</v>
      </c>
      <c r="M17" s="69">
        <v>2.5</v>
      </c>
      <c r="N17" s="70" t="s">
        <v>17</v>
      </c>
      <c r="O17" s="68">
        <f t="shared" ref="O17:O80" si="5">IF(E17&gt;0,INT(IF($N17="D",IF($D17&lt;$H$3,$I17*($M17/100)*((E17-$H$3)/365),$J17*($M17/100)*($J$3-$D17)/365),0)),0)</f>
        <v>0</v>
      </c>
      <c r="P17" s="68">
        <f t="shared" ref="P17:P80" si="6">IF(E17&gt;0,INT(IF($N17="P",IF($D17&lt;$H$3,$H17*($M17/100)*(E17-$H$3)/365,$J17*($M17/100)*($J$3-$D17)/365),0)),0)</f>
        <v>0</v>
      </c>
      <c r="Q17" s="68">
        <f t="shared" ref="Q17:Q80" si="7">+O17+P17</f>
        <v>0</v>
      </c>
      <c r="R17" s="68">
        <f t="shared" si="3"/>
        <v>0</v>
      </c>
      <c r="S17" s="68">
        <f t="shared" si="4"/>
        <v>189</v>
      </c>
      <c r="T17" s="68">
        <f t="shared" ref="T17:T80" si="8">+R17+S17+Q17</f>
        <v>189</v>
      </c>
      <c r="U17" s="265">
        <f t="shared" ref="U17:U80" si="9">+I17+J17-T17</f>
        <v>12813.76</v>
      </c>
      <c r="V17" s="93">
        <f t="shared" ref="V17:V80" si="10">IF(E17&gt;0,+H17+J17,0)</f>
        <v>0</v>
      </c>
      <c r="W17" s="449" cm="1">
        <f t="array" ref="W17">+IF(U17&lt;0,error,0)</f>
        <v>0</v>
      </c>
    </row>
    <row r="18" spans="1:25" ht="36.75" customHeight="1" x14ac:dyDescent="0.2">
      <c r="A18" s="101" t="s">
        <v>1679</v>
      </c>
      <c r="B18" s="102"/>
      <c r="C18" s="71" t="s">
        <v>1676</v>
      </c>
      <c r="D18" s="65">
        <v>41820</v>
      </c>
      <c r="E18" s="66"/>
      <c r="F18" s="67"/>
      <c r="G18" s="67"/>
      <c r="H18" s="67">
        <v>8798.5500000000011</v>
      </c>
      <c r="I18" s="354">
        <v>7588.55</v>
      </c>
      <c r="J18" s="67">
        <v>0</v>
      </c>
      <c r="K18" s="68">
        <f t="shared" si="1"/>
        <v>0</v>
      </c>
      <c r="L18" s="68">
        <f t="shared" si="2"/>
        <v>0</v>
      </c>
      <c r="M18" s="69">
        <v>2.5</v>
      </c>
      <c r="N18" s="70" t="s">
        <v>17</v>
      </c>
      <c r="O18" s="68">
        <f t="shared" si="5"/>
        <v>0</v>
      </c>
      <c r="P18" s="68">
        <f t="shared" si="6"/>
        <v>0</v>
      </c>
      <c r="Q18" s="68">
        <f t="shared" si="7"/>
        <v>0</v>
      </c>
      <c r="R18" s="68">
        <f t="shared" si="3"/>
        <v>0</v>
      </c>
      <c r="S18" s="68">
        <f t="shared" si="4"/>
        <v>109</v>
      </c>
      <c r="T18" s="68">
        <f t="shared" si="8"/>
        <v>109</v>
      </c>
      <c r="U18" s="265">
        <f t="shared" si="9"/>
        <v>7479.55</v>
      </c>
      <c r="V18" s="93">
        <f t="shared" si="10"/>
        <v>0</v>
      </c>
      <c r="W18" s="449" cm="1">
        <f t="array" ref="W18">+IF(U18&lt;0,error,0)</f>
        <v>0</v>
      </c>
    </row>
    <row r="19" spans="1:25" ht="36.75" customHeight="1" x14ac:dyDescent="0.2">
      <c r="A19" s="101" t="s">
        <v>1680</v>
      </c>
      <c r="B19" s="102"/>
      <c r="C19" s="71" t="s">
        <v>1681</v>
      </c>
      <c r="D19" s="65">
        <v>41863</v>
      </c>
      <c r="E19" s="66"/>
      <c r="F19" s="67"/>
      <c r="G19" s="67"/>
      <c r="H19" s="67">
        <v>6110</v>
      </c>
      <c r="I19" s="354">
        <v>5287</v>
      </c>
      <c r="J19" s="67">
        <v>0</v>
      </c>
      <c r="K19" s="68">
        <f t="shared" si="1"/>
        <v>0</v>
      </c>
      <c r="L19" s="68">
        <f t="shared" si="2"/>
        <v>0</v>
      </c>
      <c r="M19" s="69">
        <v>2.5</v>
      </c>
      <c r="N19" s="70" t="s">
        <v>17</v>
      </c>
      <c r="O19" s="68">
        <f t="shared" si="5"/>
        <v>0</v>
      </c>
      <c r="P19" s="68">
        <f t="shared" si="6"/>
        <v>0</v>
      </c>
      <c r="Q19" s="68">
        <f t="shared" si="7"/>
        <v>0</v>
      </c>
      <c r="R19" s="68">
        <f t="shared" si="3"/>
        <v>0</v>
      </c>
      <c r="S19" s="68">
        <f t="shared" si="4"/>
        <v>76</v>
      </c>
      <c r="T19" s="68">
        <f t="shared" si="8"/>
        <v>76</v>
      </c>
      <c r="U19" s="265">
        <f t="shared" si="9"/>
        <v>5211</v>
      </c>
      <c r="V19" s="93">
        <f t="shared" si="10"/>
        <v>0</v>
      </c>
      <c r="W19" s="449" cm="1">
        <f t="array" ref="W19">+IF(U19&lt;0,error,0)</f>
        <v>0</v>
      </c>
    </row>
    <row r="20" spans="1:25" ht="36.75" customHeight="1" x14ac:dyDescent="0.2">
      <c r="A20" s="101" t="s">
        <v>1682</v>
      </c>
      <c r="B20" s="102"/>
      <c r="C20" s="71" t="s">
        <v>1683</v>
      </c>
      <c r="D20" s="65">
        <v>41891</v>
      </c>
      <c r="E20" s="66"/>
      <c r="F20" s="67"/>
      <c r="G20" s="67"/>
      <c r="H20" s="67">
        <v>1128.6400000000001</v>
      </c>
      <c r="I20" s="354">
        <v>979.64</v>
      </c>
      <c r="J20" s="67">
        <v>0</v>
      </c>
      <c r="K20" s="68">
        <f t="shared" si="1"/>
        <v>0</v>
      </c>
      <c r="L20" s="68">
        <f t="shared" si="2"/>
        <v>0</v>
      </c>
      <c r="M20" s="69">
        <v>2.5</v>
      </c>
      <c r="N20" s="70" t="s">
        <v>17</v>
      </c>
      <c r="O20" s="68">
        <f t="shared" si="5"/>
        <v>0</v>
      </c>
      <c r="P20" s="68">
        <f t="shared" si="6"/>
        <v>0</v>
      </c>
      <c r="Q20" s="68">
        <f t="shared" si="7"/>
        <v>0</v>
      </c>
      <c r="R20" s="68">
        <f t="shared" si="3"/>
        <v>0</v>
      </c>
      <c r="S20" s="68">
        <f t="shared" si="4"/>
        <v>14</v>
      </c>
      <c r="T20" s="68">
        <f t="shared" si="8"/>
        <v>14</v>
      </c>
      <c r="U20" s="265">
        <f t="shared" si="9"/>
        <v>965.64</v>
      </c>
      <c r="V20" s="93">
        <f t="shared" si="10"/>
        <v>0</v>
      </c>
      <c r="W20" s="449" cm="1">
        <f t="array" ref="W20">+IF(U20&lt;0,error,0)</f>
        <v>0</v>
      </c>
    </row>
    <row r="21" spans="1:25" ht="36.75" customHeight="1" x14ac:dyDescent="0.2">
      <c r="A21" s="101" t="s">
        <v>1684</v>
      </c>
      <c r="B21" s="102"/>
      <c r="C21" s="72" t="s">
        <v>1681</v>
      </c>
      <c r="D21" s="65">
        <v>41891</v>
      </c>
      <c r="E21" s="66"/>
      <c r="F21" s="67"/>
      <c r="G21" s="67"/>
      <c r="H21" s="67">
        <v>5296</v>
      </c>
      <c r="I21" s="354">
        <v>4595</v>
      </c>
      <c r="J21" s="67">
        <v>0</v>
      </c>
      <c r="K21" s="68">
        <f t="shared" si="1"/>
        <v>0</v>
      </c>
      <c r="L21" s="68">
        <f t="shared" si="2"/>
        <v>0</v>
      </c>
      <c r="M21" s="69">
        <v>2.5</v>
      </c>
      <c r="N21" s="70" t="s">
        <v>17</v>
      </c>
      <c r="O21" s="68">
        <f t="shared" si="5"/>
        <v>0</v>
      </c>
      <c r="P21" s="68">
        <f t="shared" si="6"/>
        <v>0</v>
      </c>
      <c r="Q21" s="68">
        <f t="shared" si="7"/>
        <v>0</v>
      </c>
      <c r="R21" s="68">
        <f t="shared" si="3"/>
        <v>0</v>
      </c>
      <c r="S21" s="68">
        <f t="shared" si="4"/>
        <v>66</v>
      </c>
      <c r="T21" s="68">
        <f t="shared" si="8"/>
        <v>66</v>
      </c>
      <c r="U21" s="265">
        <f t="shared" si="9"/>
        <v>4529</v>
      </c>
      <c r="V21" s="93">
        <f t="shared" si="10"/>
        <v>0</v>
      </c>
      <c r="W21" s="449" cm="1">
        <f t="array" ref="W21">+IF(U21&lt;0,error,0)</f>
        <v>0</v>
      </c>
    </row>
    <row r="22" spans="1:25" ht="36.75" customHeight="1" x14ac:dyDescent="0.2">
      <c r="A22" s="101" t="s">
        <v>1685</v>
      </c>
      <c r="B22" s="102"/>
      <c r="C22" s="64" t="s">
        <v>1676</v>
      </c>
      <c r="D22" s="65">
        <v>41935</v>
      </c>
      <c r="E22" s="66"/>
      <c r="F22" s="67"/>
      <c r="G22" s="67"/>
      <c r="H22" s="67">
        <v>5708.11</v>
      </c>
      <c r="I22" s="354">
        <v>4967.1099999999997</v>
      </c>
      <c r="J22" s="67">
        <v>0</v>
      </c>
      <c r="K22" s="68">
        <f t="shared" si="1"/>
        <v>0</v>
      </c>
      <c r="L22" s="68">
        <f t="shared" si="2"/>
        <v>0</v>
      </c>
      <c r="M22" s="69">
        <v>2.5</v>
      </c>
      <c r="N22" s="70" t="s">
        <v>17</v>
      </c>
      <c r="O22" s="68">
        <f t="shared" si="5"/>
        <v>0</v>
      </c>
      <c r="P22" s="68">
        <f t="shared" si="6"/>
        <v>0</v>
      </c>
      <c r="Q22" s="68">
        <f t="shared" si="7"/>
        <v>0</v>
      </c>
      <c r="R22" s="68">
        <f t="shared" si="3"/>
        <v>0</v>
      </c>
      <c r="S22" s="68">
        <f t="shared" si="4"/>
        <v>71</v>
      </c>
      <c r="T22" s="68">
        <f t="shared" si="8"/>
        <v>71</v>
      </c>
      <c r="U22" s="265">
        <f t="shared" si="9"/>
        <v>4896.1099999999997</v>
      </c>
      <c r="V22" s="93">
        <f t="shared" si="10"/>
        <v>0</v>
      </c>
      <c r="W22" s="449" cm="1">
        <f t="array" ref="W22">+IF(U22&lt;0,error,0)</f>
        <v>0</v>
      </c>
    </row>
    <row r="23" spans="1:25" ht="36.75" customHeight="1" x14ac:dyDescent="0.2">
      <c r="A23" s="101" t="s">
        <v>1686</v>
      </c>
      <c r="B23" s="102"/>
      <c r="C23" s="64" t="s">
        <v>1687</v>
      </c>
      <c r="D23" s="65">
        <v>42122</v>
      </c>
      <c r="E23" s="66"/>
      <c r="F23" s="67"/>
      <c r="G23" s="67"/>
      <c r="H23" s="67">
        <v>6247.2</v>
      </c>
      <c r="I23" s="354">
        <v>5518.2</v>
      </c>
      <c r="J23" s="67">
        <v>0</v>
      </c>
      <c r="K23" s="68">
        <f t="shared" si="1"/>
        <v>0</v>
      </c>
      <c r="L23" s="68">
        <f t="shared" si="2"/>
        <v>0</v>
      </c>
      <c r="M23" s="69">
        <v>2.5</v>
      </c>
      <c r="N23" s="70" t="s">
        <v>17</v>
      </c>
      <c r="O23" s="68">
        <f t="shared" si="5"/>
        <v>0</v>
      </c>
      <c r="P23" s="68">
        <f t="shared" si="6"/>
        <v>0</v>
      </c>
      <c r="Q23" s="68">
        <f t="shared" si="7"/>
        <v>0</v>
      </c>
      <c r="R23" s="68">
        <f t="shared" si="3"/>
        <v>0</v>
      </c>
      <c r="S23" s="68">
        <f t="shared" si="4"/>
        <v>78</v>
      </c>
      <c r="T23" s="68">
        <f t="shared" si="8"/>
        <v>78</v>
      </c>
      <c r="U23" s="265">
        <f t="shared" si="9"/>
        <v>5440.2</v>
      </c>
      <c r="V23" s="93">
        <f t="shared" si="10"/>
        <v>0</v>
      </c>
      <c r="W23" s="449" cm="1">
        <f t="array" ref="W23">+IF(U23&lt;0,error,0)</f>
        <v>0</v>
      </c>
    </row>
    <row r="24" spans="1:25" ht="36.75" customHeight="1" x14ac:dyDescent="0.2">
      <c r="A24" s="101" t="s">
        <v>1688</v>
      </c>
      <c r="B24" s="102"/>
      <c r="C24" s="71" t="s">
        <v>1689</v>
      </c>
      <c r="D24" s="65">
        <v>41935</v>
      </c>
      <c r="E24" s="66"/>
      <c r="F24" s="67"/>
      <c r="G24" s="67"/>
      <c r="H24" s="67">
        <v>1900.75</v>
      </c>
      <c r="I24" s="354">
        <v>1653.75</v>
      </c>
      <c r="J24" s="67">
        <v>0</v>
      </c>
      <c r="K24" s="68">
        <f t="shared" si="1"/>
        <v>0</v>
      </c>
      <c r="L24" s="68">
        <f t="shared" si="2"/>
        <v>0</v>
      </c>
      <c r="M24" s="69">
        <v>2.5</v>
      </c>
      <c r="N24" s="70" t="s">
        <v>17</v>
      </c>
      <c r="O24" s="68">
        <f t="shared" si="5"/>
        <v>0</v>
      </c>
      <c r="P24" s="68">
        <f t="shared" si="6"/>
        <v>0</v>
      </c>
      <c r="Q24" s="68">
        <f t="shared" si="7"/>
        <v>0</v>
      </c>
      <c r="R24" s="68">
        <f t="shared" si="3"/>
        <v>0</v>
      </c>
      <c r="S24" s="68">
        <f t="shared" si="4"/>
        <v>23</v>
      </c>
      <c r="T24" s="68">
        <f t="shared" si="8"/>
        <v>23</v>
      </c>
      <c r="U24" s="265">
        <f t="shared" si="9"/>
        <v>1630.75</v>
      </c>
      <c r="V24" s="93">
        <f t="shared" si="10"/>
        <v>0</v>
      </c>
      <c r="W24" s="449" cm="1">
        <f t="array" ref="W24">+IF(U24&lt;0,error,0)</f>
        <v>0</v>
      </c>
    </row>
    <row r="25" spans="1:25" ht="36.75" customHeight="1" x14ac:dyDescent="0.2">
      <c r="A25" s="101" t="s">
        <v>1690</v>
      </c>
      <c r="B25" s="102"/>
      <c r="C25" s="72" t="s">
        <v>1689</v>
      </c>
      <c r="D25" s="65">
        <v>42095</v>
      </c>
      <c r="E25" s="66"/>
      <c r="F25" s="67"/>
      <c r="G25" s="67"/>
      <c r="H25" s="67">
        <v>4463.6500000000005</v>
      </c>
      <c r="I25" s="354">
        <v>3932.65</v>
      </c>
      <c r="J25" s="67">
        <v>0</v>
      </c>
      <c r="K25" s="68">
        <f t="shared" si="1"/>
        <v>0</v>
      </c>
      <c r="L25" s="68">
        <f t="shared" si="2"/>
        <v>0</v>
      </c>
      <c r="M25" s="69">
        <v>2.5</v>
      </c>
      <c r="N25" s="70" t="s">
        <v>17</v>
      </c>
      <c r="O25" s="68">
        <f t="shared" si="5"/>
        <v>0</v>
      </c>
      <c r="P25" s="68">
        <f t="shared" si="6"/>
        <v>0</v>
      </c>
      <c r="Q25" s="68">
        <f t="shared" si="7"/>
        <v>0</v>
      </c>
      <c r="R25" s="68">
        <f t="shared" si="3"/>
        <v>0</v>
      </c>
      <c r="S25" s="68">
        <f t="shared" si="4"/>
        <v>55</v>
      </c>
      <c r="T25" s="68">
        <f t="shared" si="8"/>
        <v>55</v>
      </c>
      <c r="U25" s="265">
        <f t="shared" si="9"/>
        <v>3877.65</v>
      </c>
      <c r="V25" s="93">
        <f t="shared" si="10"/>
        <v>0</v>
      </c>
      <c r="W25" s="449" cm="1">
        <f t="array" ref="W25">+IF(U25&lt;0,error,0)</f>
        <v>0</v>
      </c>
    </row>
    <row r="26" spans="1:25" ht="36.75" customHeight="1" x14ac:dyDescent="0.2">
      <c r="A26" s="101" t="s">
        <v>1691</v>
      </c>
      <c r="B26" s="102"/>
      <c r="C26" s="71" t="s">
        <v>1689</v>
      </c>
      <c r="D26" s="65">
        <v>42170</v>
      </c>
      <c r="E26" s="66"/>
      <c r="F26" s="67"/>
      <c r="G26" s="67"/>
      <c r="H26" s="67">
        <v>2366.9299999999998</v>
      </c>
      <c r="I26" s="354">
        <v>2098.9299999999998</v>
      </c>
      <c r="J26" s="67">
        <v>0</v>
      </c>
      <c r="K26" s="68">
        <f t="shared" si="1"/>
        <v>0</v>
      </c>
      <c r="L26" s="68">
        <f t="shared" si="2"/>
        <v>0</v>
      </c>
      <c r="M26" s="69">
        <v>2.5</v>
      </c>
      <c r="N26" s="70" t="s">
        <v>17</v>
      </c>
      <c r="O26" s="68">
        <f t="shared" si="5"/>
        <v>0</v>
      </c>
      <c r="P26" s="68">
        <f t="shared" si="6"/>
        <v>0</v>
      </c>
      <c r="Q26" s="68">
        <f t="shared" si="7"/>
        <v>0</v>
      </c>
      <c r="R26" s="68">
        <f t="shared" si="3"/>
        <v>0</v>
      </c>
      <c r="S26" s="68">
        <f t="shared" si="4"/>
        <v>29</v>
      </c>
      <c r="T26" s="68">
        <f t="shared" si="8"/>
        <v>29</v>
      </c>
      <c r="U26" s="265">
        <f t="shared" si="9"/>
        <v>2069.9299999999998</v>
      </c>
      <c r="V26" s="93">
        <f t="shared" si="10"/>
        <v>0</v>
      </c>
      <c r="W26" s="449" cm="1">
        <f t="array" ref="W26">+IF(U26&lt;0,error,0)</f>
        <v>0</v>
      </c>
    </row>
    <row r="27" spans="1:25" ht="36.75" customHeight="1" x14ac:dyDescent="0.2">
      <c r="A27" s="101" t="s">
        <v>1692</v>
      </c>
      <c r="B27" s="102"/>
      <c r="C27" s="71" t="s">
        <v>1693</v>
      </c>
      <c r="D27" s="65">
        <v>41960</v>
      </c>
      <c r="E27" s="66"/>
      <c r="F27" s="67"/>
      <c r="G27" s="67"/>
      <c r="H27" s="67">
        <v>20320</v>
      </c>
      <c r="I27" s="354">
        <v>0</v>
      </c>
      <c r="J27" s="67">
        <v>0</v>
      </c>
      <c r="K27" s="68">
        <f t="shared" si="1"/>
        <v>0</v>
      </c>
      <c r="L27" s="68">
        <f t="shared" si="2"/>
        <v>0</v>
      </c>
      <c r="M27" s="69">
        <v>20</v>
      </c>
      <c r="N27" s="70" t="s">
        <v>17</v>
      </c>
      <c r="O27" s="68">
        <f t="shared" si="5"/>
        <v>0</v>
      </c>
      <c r="P27" s="68">
        <f t="shared" si="6"/>
        <v>0</v>
      </c>
      <c r="Q27" s="68">
        <f t="shared" si="7"/>
        <v>0</v>
      </c>
      <c r="R27" s="68">
        <f t="shared" si="3"/>
        <v>0</v>
      </c>
      <c r="S27" s="68">
        <f t="shared" si="4"/>
        <v>2032</v>
      </c>
      <c r="T27" s="68">
        <v>0</v>
      </c>
      <c r="U27" s="265">
        <f t="shared" si="9"/>
        <v>0</v>
      </c>
      <c r="V27" s="93">
        <f t="shared" si="10"/>
        <v>0</v>
      </c>
      <c r="W27" s="449" cm="1">
        <f t="array" ref="W27">+IF(U27&lt;0,error,0)</f>
        <v>0</v>
      </c>
      <c r="Y27" s="258"/>
    </row>
    <row r="28" spans="1:25" ht="36.75" customHeight="1" x14ac:dyDescent="0.2">
      <c r="A28" s="101" t="s">
        <v>1694</v>
      </c>
      <c r="B28" s="102"/>
      <c r="C28" s="73" t="s">
        <v>1695</v>
      </c>
      <c r="D28" s="65">
        <v>41971</v>
      </c>
      <c r="E28" s="66"/>
      <c r="F28" s="67"/>
      <c r="G28" s="67"/>
      <c r="H28" s="67">
        <v>6712</v>
      </c>
      <c r="I28" s="354">
        <v>5859</v>
      </c>
      <c r="J28" s="67">
        <v>0</v>
      </c>
      <c r="K28" s="68">
        <f t="shared" si="1"/>
        <v>0</v>
      </c>
      <c r="L28" s="68">
        <f t="shared" si="2"/>
        <v>0</v>
      </c>
      <c r="M28" s="69">
        <v>2.5</v>
      </c>
      <c r="N28" s="70" t="s">
        <v>17</v>
      </c>
      <c r="O28" s="68">
        <f t="shared" si="5"/>
        <v>0</v>
      </c>
      <c r="P28" s="68">
        <f t="shared" si="6"/>
        <v>0</v>
      </c>
      <c r="Q28" s="68">
        <f t="shared" si="7"/>
        <v>0</v>
      </c>
      <c r="R28" s="68">
        <f t="shared" si="3"/>
        <v>0</v>
      </c>
      <c r="S28" s="68">
        <f t="shared" si="4"/>
        <v>83</v>
      </c>
      <c r="T28" s="68">
        <f t="shared" si="8"/>
        <v>83</v>
      </c>
      <c r="U28" s="265">
        <f t="shared" si="9"/>
        <v>5776</v>
      </c>
      <c r="V28" s="93">
        <f t="shared" si="10"/>
        <v>0</v>
      </c>
      <c r="W28" s="449" cm="1">
        <f t="array" ref="W28">+IF(U28&lt;0,error,0)</f>
        <v>0</v>
      </c>
    </row>
    <row r="29" spans="1:25" ht="36.75" customHeight="1" x14ac:dyDescent="0.2">
      <c r="A29" s="101" t="s">
        <v>1696</v>
      </c>
      <c r="B29" s="102"/>
      <c r="C29" s="72" t="s">
        <v>1695</v>
      </c>
      <c r="D29" s="65">
        <v>42082</v>
      </c>
      <c r="E29" s="66"/>
      <c r="F29" s="67"/>
      <c r="G29" s="67"/>
      <c r="H29" s="67">
        <v>1425</v>
      </c>
      <c r="I29" s="354">
        <v>1255</v>
      </c>
      <c r="J29" s="67">
        <v>0</v>
      </c>
      <c r="K29" s="68">
        <f t="shared" si="1"/>
        <v>0</v>
      </c>
      <c r="L29" s="68">
        <f t="shared" si="2"/>
        <v>0</v>
      </c>
      <c r="M29" s="69">
        <v>2.5</v>
      </c>
      <c r="N29" s="70" t="s">
        <v>17</v>
      </c>
      <c r="O29" s="68">
        <f t="shared" si="5"/>
        <v>0</v>
      </c>
      <c r="P29" s="68">
        <f t="shared" si="6"/>
        <v>0</v>
      </c>
      <c r="Q29" s="68">
        <f t="shared" si="7"/>
        <v>0</v>
      </c>
      <c r="R29" s="68">
        <f t="shared" si="3"/>
        <v>0</v>
      </c>
      <c r="S29" s="68">
        <f t="shared" si="4"/>
        <v>17</v>
      </c>
      <c r="T29" s="68">
        <f t="shared" si="8"/>
        <v>17</v>
      </c>
      <c r="U29" s="265">
        <f t="shared" si="9"/>
        <v>1238</v>
      </c>
      <c r="V29" s="93">
        <f t="shared" si="10"/>
        <v>0</v>
      </c>
      <c r="W29" s="449" cm="1">
        <f t="array" ref="W29">+IF(U29&lt;0,error,0)</f>
        <v>0</v>
      </c>
    </row>
    <row r="30" spans="1:25" ht="36.75" customHeight="1" x14ac:dyDescent="0.2">
      <c r="A30" s="101" t="s">
        <v>1697</v>
      </c>
      <c r="B30" s="102"/>
      <c r="C30" s="73" t="s">
        <v>1698</v>
      </c>
      <c r="D30" s="65">
        <v>42018</v>
      </c>
      <c r="E30" s="66"/>
      <c r="F30" s="67"/>
      <c r="G30" s="67"/>
      <c r="H30" s="67">
        <v>35118.58</v>
      </c>
      <c r="I30" s="354">
        <v>30762.58</v>
      </c>
      <c r="J30" s="67">
        <v>0</v>
      </c>
      <c r="K30" s="68">
        <f t="shared" si="1"/>
        <v>0</v>
      </c>
      <c r="L30" s="68">
        <f t="shared" si="2"/>
        <v>0</v>
      </c>
      <c r="M30" s="69">
        <v>2.5</v>
      </c>
      <c r="N30" s="70" t="s">
        <v>17</v>
      </c>
      <c r="O30" s="68">
        <f t="shared" si="5"/>
        <v>0</v>
      </c>
      <c r="P30" s="68">
        <f t="shared" si="6"/>
        <v>0</v>
      </c>
      <c r="Q30" s="68">
        <f t="shared" si="7"/>
        <v>0</v>
      </c>
      <c r="R30" s="68">
        <f t="shared" si="3"/>
        <v>0</v>
      </c>
      <c r="S30" s="68">
        <f t="shared" si="4"/>
        <v>438</v>
      </c>
      <c r="T30" s="68">
        <f t="shared" si="8"/>
        <v>438</v>
      </c>
      <c r="U30" s="265">
        <f t="shared" si="9"/>
        <v>30324.58</v>
      </c>
      <c r="V30" s="93">
        <f t="shared" si="10"/>
        <v>0</v>
      </c>
      <c r="W30" s="449" cm="1">
        <f t="array" ref="W30">+IF(U30&lt;0,error,0)</f>
        <v>0</v>
      </c>
    </row>
    <row r="31" spans="1:25" ht="36.75" customHeight="1" x14ac:dyDescent="0.2">
      <c r="A31" s="101" t="s">
        <v>1699</v>
      </c>
      <c r="B31" s="102"/>
      <c r="C31" s="72" t="s">
        <v>1695</v>
      </c>
      <c r="D31" s="65">
        <v>42096</v>
      </c>
      <c r="E31" s="66"/>
      <c r="F31" s="67"/>
      <c r="G31" s="67"/>
      <c r="H31" s="67">
        <v>763</v>
      </c>
      <c r="I31" s="354">
        <v>673</v>
      </c>
      <c r="J31" s="67">
        <v>0</v>
      </c>
      <c r="K31" s="68">
        <f t="shared" si="1"/>
        <v>0</v>
      </c>
      <c r="L31" s="68">
        <f t="shared" si="2"/>
        <v>0</v>
      </c>
      <c r="M31" s="69">
        <v>2.5</v>
      </c>
      <c r="N31" s="70" t="s">
        <v>17</v>
      </c>
      <c r="O31" s="68">
        <f t="shared" si="5"/>
        <v>0</v>
      </c>
      <c r="P31" s="68">
        <f t="shared" si="6"/>
        <v>0</v>
      </c>
      <c r="Q31" s="68">
        <f t="shared" si="7"/>
        <v>0</v>
      </c>
      <c r="R31" s="68">
        <f t="shared" si="3"/>
        <v>0</v>
      </c>
      <c r="S31" s="68">
        <f t="shared" si="4"/>
        <v>9</v>
      </c>
      <c r="T31" s="68">
        <f t="shared" si="8"/>
        <v>9</v>
      </c>
      <c r="U31" s="265">
        <f t="shared" si="9"/>
        <v>664</v>
      </c>
      <c r="V31" s="93">
        <f t="shared" si="10"/>
        <v>0</v>
      </c>
      <c r="W31" s="449" cm="1">
        <f t="array" ref="W31">+IF(U31&lt;0,error,0)</f>
        <v>0</v>
      </c>
    </row>
    <row r="32" spans="1:25" ht="36.75" customHeight="1" x14ac:dyDescent="0.2">
      <c r="A32" s="101" t="s">
        <v>1700</v>
      </c>
      <c r="B32" s="102"/>
      <c r="C32" s="64" t="s">
        <v>1698</v>
      </c>
      <c r="D32" s="65">
        <v>42130</v>
      </c>
      <c r="E32" s="66"/>
      <c r="F32" s="67"/>
      <c r="G32" s="67"/>
      <c r="H32" s="67">
        <v>5339.55</v>
      </c>
      <c r="I32" s="354">
        <v>4721.55</v>
      </c>
      <c r="J32" s="67">
        <v>0</v>
      </c>
      <c r="K32" s="68">
        <f t="shared" si="1"/>
        <v>0</v>
      </c>
      <c r="L32" s="68">
        <f t="shared" si="2"/>
        <v>0</v>
      </c>
      <c r="M32" s="69">
        <v>2.5</v>
      </c>
      <c r="N32" s="70" t="s">
        <v>17</v>
      </c>
      <c r="O32" s="68">
        <f t="shared" si="5"/>
        <v>0</v>
      </c>
      <c r="P32" s="68">
        <f t="shared" si="6"/>
        <v>0</v>
      </c>
      <c r="Q32" s="68">
        <f t="shared" si="7"/>
        <v>0</v>
      </c>
      <c r="R32" s="68">
        <f t="shared" si="3"/>
        <v>0</v>
      </c>
      <c r="S32" s="68">
        <f t="shared" si="4"/>
        <v>66</v>
      </c>
      <c r="T32" s="68">
        <f t="shared" si="8"/>
        <v>66</v>
      </c>
      <c r="U32" s="265">
        <f t="shared" si="9"/>
        <v>4655.55</v>
      </c>
      <c r="V32" s="93">
        <f t="shared" si="10"/>
        <v>0</v>
      </c>
      <c r="W32" s="449" cm="1">
        <f t="array" ref="W32">+IF(U32&lt;0,error,0)</f>
        <v>0</v>
      </c>
    </row>
    <row r="33" spans="1:23" ht="36.75" customHeight="1" x14ac:dyDescent="0.2">
      <c r="A33" s="101" t="s">
        <v>1701</v>
      </c>
      <c r="B33" s="102"/>
      <c r="C33" s="64" t="s">
        <v>1702</v>
      </c>
      <c r="D33" s="65">
        <v>42175</v>
      </c>
      <c r="E33" s="66"/>
      <c r="F33" s="67"/>
      <c r="G33" s="67"/>
      <c r="H33" s="67">
        <v>196.81</v>
      </c>
      <c r="I33" s="354">
        <v>174.81</v>
      </c>
      <c r="J33" s="67">
        <v>0</v>
      </c>
      <c r="K33" s="68">
        <f t="shared" si="1"/>
        <v>0</v>
      </c>
      <c r="L33" s="68">
        <f t="shared" si="2"/>
        <v>0</v>
      </c>
      <c r="M33" s="69">
        <v>2.5</v>
      </c>
      <c r="N33" s="70" t="s">
        <v>17</v>
      </c>
      <c r="O33" s="68">
        <f t="shared" si="5"/>
        <v>0</v>
      </c>
      <c r="P33" s="68">
        <f t="shared" si="6"/>
        <v>0</v>
      </c>
      <c r="Q33" s="68">
        <f t="shared" si="7"/>
        <v>0</v>
      </c>
      <c r="R33" s="68">
        <f t="shared" si="3"/>
        <v>0</v>
      </c>
      <c r="S33" s="68">
        <f t="shared" si="4"/>
        <v>2</v>
      </c>
      <c r="T33" s="68">
        <f t="shared" si="8"/>
        <v>2</v>
      </c>
      <c r="U33" s="265">
        <f t="shared" si="9"/>
        <v>172.81</v>
      </c>
      <c r="V33" s="93">
        <f t="shared" si="10"/>
        <v>0</v>
      </c>
      <c r="W33" s="449" cm="1">
        <f t="array" ref="W33">+IF(U33&lt;0,error,0)</f>
        <v>0</v>
      </c>
    </row>
    <row r="34" spans="1:23" ht="36.75" customHeight="1" x14ac:dyDescent="0.2">
      <c r="A34" s="101" t="s">
        <v>1703</v>
      </c>
      <c r="B34" s="102"/>
      <c r="C34" s="64" t="s">
        <v>1704</v>
      </c>
      <c r="D34" s="65">
        <v>42186</v>
      </c>
      <c r="E34" s="66"/>
      <c r="F34" s="67"/>
      <c r="G34" s="67"/>
      <c r="H34" s="67">
        <v>33936.89</v>
      </c>
      <c r="I34" s="354">
        <v>30118.89</v>
      </c>
      <c r="J34" s="67">
        <v>0</v>
      </c>
      <c r="K34" s="68">
        <f t="shared" si="1"/>
        <v>0</v>
      </c>
      <c r="L34" s="68">
        <f t="shared" si="2"/>
        <v>0</v>
      </c>
      <c r="M34" s="69">
        <v>2.5</v>
      </c>
      <c r="N34" s="70" t="s">
        <v>17</v>
      </c>
      <c r="O34" s="68">
        <f t="shared" si="5"/>
        <v>0</v>
      </c>
      <c r="P34" s="68">
        <f t="shared" si="6"/>
        <v>0</v>
      </c>
      <c r="Q34" s="68">
        <f t="shared" si="7"/>
        <v>0</v>
      </c>
      <c r="R34" s="68">
        <f t="shared" si="3"/>
        <v>0</v>
      </c>
      <c r="S34" s="68">
        <f t="shared" si="4"/>
        <v>424</v>
      </c>
      <c r="T34" s="68">
        <f t="shared" si="8"/>
        <v>424</v>
      </c>
      <c r="U34" s="265">
        <f t="shared" si="9"/>
        <v>29694.89</v>
      </c>
      <c r="V34" s="93">
        <f t="shared" si="10"/>
        <v>0</v>
      </c>
      <c r="W34" s="449" cm="1">
        <f t="array" ref="W34">+IF(U34&lt;0,error,0)</f>
        <v>0</v>
      </c>
    </row>
    <row r="35" spans="1:23" ht="36.75" customHeight="1" x14ac:dyDescent="0.2">
      <c r="A35" s="101" t="s">
        <v>1705</v>
      </c>
      <c r="B35" s="102"/>
      <c r="C35" s="64" t="s">
        <v>1706</v>
      </c>
      <c r="D35" s="65">
        <v>42514</v>
      </c>
      <c r="E35" s="66"/>
      <c r="F35" s="67"/>
      <c r="G35" s="67"/>
      <c r="H35" s="67">
        <v>1746.3600000000001</v>
      </c>
      <c r="I35" s="354">
        <v>919.36000000000013</v>
      </c>
      <c r="J35" s="67">
        <v>0</v>
      </c>
      <c r="K35" s="68">
        <f t="shared" si="1"/>
        <v>0</v>
      </c>
      <c r="L35" s="68">
        <f t="shared" si="2"/>
        <v>0</v>
      </c>
      <c r="M35" s="69">
        <v>16.669999999999998</v>
      </c>
      <c r="N35" s="70" t="s">
        <v>289</v>
      </c>
      <c r="O35" s="68">
        <f t="shared" si="5"/>
        <v>0</v>
      </c>
      <c r="P35" s="68">
        <f t="shared" si="6"/>
        <v>0</v>
      </c>
      <c r="Q35" s="68">
        <f t="shared" si="7"/>
        <v>0</v>
      </c>
      <c r="R35" s="68">
        <f t="shared" si="3"/>
        <v>76</v>
      </c>
      <c r="S35" s="68">
        <f t="shared" si="4"/>
        <v>0</v>
      </c>
      <c r="T35" s="68">
        <f t="shared" si="8"/>
        <v>76</v>
      </c>
      <c r="U35" s="265">
        <f t="shared" si="9"/>
        <v>843.36000000000013</v>
      </c>
      <c r="V35" s="93">
        <f t="shared" si="10"/>
        <v>0</v>
      </c>
      <c r="W35" s="449" cm="1">
        <f t="array" ref="W35">+IF(U35&lt;0,error,0)</f>
        <v>0</v>
      </c>
    </row>
    <row r="36" spans="1:23" ht="36.75" customHeight="1" x14ac:dyDescent="0.2">
      <c r="A36" s="101" t="s">
        <v>1707</v>
      </c>
      <c r="B36" s="102"/>
      <c r="C36" s="64" t="s">
        <v>1708</v>
      </c>
      <c r="D36" s="65">
        <v>42514</v>
      </c>
      <c r="E36" s="66"/>
      <c r="F36" s="67"/>
      <c r="G36" s="67"/>
      <c r="H36" s="67">
        <v>4398.41</v>
      </c>
      <c r="I36" s="354">
        <v>4003.41</v>
      </c>
      <c r="J36" s="67">
        <v>0</v>
      </c>
      <c r="K36" s="68">
        <f t="shared" si="1"/>
        <v>0</v>
      </c>
      <c r="L36" s="68">
        <f t="shared" si="2"/>
        <v>0</v>
      </c>
      <c r="M36" s="69">
        <v>2.5</v>
      </c>
      <c r="N36" s="70" t="s">
        <v>17</v>
      </c>
      <c r="O36" s="68">
        <f t="shared" si="5"/>
        <v>0</v>
      </c>
      <c r="P36" s="68">
        <f t="shared" si="6"/>
        <v>0</v>
      </c>
      <c r="Q36" s="68">
        <f t="shared" si="7"/>
        <v>0</v>
      </c>
      <c r="R36" s="68">
        <f t="shared" si="3"/>
        <v>0</v>
      </c>
      <c r="S36" s="68">
        <f t="shared" si="4"/>
        <v>54</v>
      </c>
      <c r="T36" s="68">
        <f t="shared" si="8"/>
        <v>54</v>
      </c>
      <c r="U36" s="265">
        <f t="shared" si="9"/>
        <v>3949.41</v>
      </c>
      <c r="V36" s="93">
        <f t="shared" si="10"/>
        <v>0</v>
      </c>
      <c r="W36" s="449" cm="1">
        <f t="array" ref="W36">+IF(U36&lt;0,error,0)</f>
        <v>0</v>
      </c>
    </row>
    <row r="37" spans="1:23" ht="36.75" customHeight="1" x14ac:dyDescent="0.2">
      <c r="A37" s="101" t="s">
        <v>1709</v>
      </c>
      <c r="B37" s="102"/>
      <c r="C37" s="64" t="s">
        <v>1710</v>
      </c>
      <c r="D37" s="65">
        <v>42514</v>
      </c>
      <c r="E37" s="66"/>
      <c r="F37" s="67"/>
      <c r="G37" s="67"/>
      <c r="H37" s="67">
        <v>3646.48</v>
      </c>
      <c r="I37" s="354">
        <v>3319.48</v>
      </c>
      <c r="J37" s="67">
        <v>0</v>
      </c>
      <c r="K37" s="68">
        <f t="shared" si="1"/>
        <v>0</v>
      </c>
      <c r="L37" s="68">
        <f t="shared" si="2"/>
        <v>0</v>
      </c>
      <c r="M37" s="69">
        <v>2.5</v>
      </c>
      <c r="N37" s="70" t="s">
        <v>17</v>
      </c>
      <c r="O37" s="68">
        <f t="shared" si="5"/>
        <v>0</v>
      </c>
      <c r="P37" s="68">
        <f t="shared" si="6"/>
        <v>0</v>
      </c>
      <c r="Q37" s="68">
        <f t="shared" si="7"/>
        <v>0</v>
      </c>
      <c r="R37" s="68">
        <f t="shared" si="3"/>
        <v>0</v>
      </c>
      <c r="S37" s="68">
        <f t="shared" si="4"/>
        <v>45</v>
      </c>
      <c r="T37" s="68">
        <f t="shared" si="8"/>
        <v>45</v>
      </c>
      <c r="U37" s="265">
        <f t="shared" si="9"/>
        <v>3274.48</v>
      </c>
      <c r="V37" s="93">
        <f t="shared" si="10"/>
        <v>0</v>
      </c>
      <c r="W37" s="449" cm="1">
        <f t="array" ref="W37">+IF(U37&lt;0,error,0)</f>
        <v>0</v>
      </c>
    </row>
    <row r="38" spans="1:23" ht="36.75" customHeight="1" x14ac:dyDescent="0.2">
      <c r="A38" s="101" t="s">
        <v>1711</v>
      </c>
      <c r="B38" s="102"/>
      <c r="C38" s="64" t="s">
        <v>1096</v>
      </c>
      <c r="D38" s="65">
        <v>42514</v>
      </c>
      <c r="E38" s="66"/>
      <c r="F38" s="67"/>
      <c r="G38" s="67"/>
      <c r="H38" s="67">
        <v>445</v>
      </c>
      <c r="I38" s="354">
        <v>205</v>
      </c>
      <c r="J38" s="67">
        <v>0</v>
      </c>
      <c r="K38" s="68">
        <f t="shared" si="1"/>
        <v>0</v>
      </c>
      <c r="L38" s="68">
        <f t="shared" si="2"/>
        <v>0</v>
      </c>
      <c r="M38" s="69">
        <v>20</v>
      </c>
      <c r="N38" s="70" t="s">
        <v>289</v>
      </c>
      <c r="O38" s="68">
        <f t="shared" si="5"/>
        <v>0</v>
      </c>
      <c r="P38" s="68">
        <f t="shared" si="6"/>
        <v>0</v>
      </c>
      <c r="Q38" s="68">
        <f t="shared" si="7"/>
        <v>0</v>
      </c>
      <c r="R38" s="68">
        <f t="shared" si="3"/>
        <v>20</v>
      </c>
      <c r="S38" s="68">
        <f t="shared" si="4"/>
        <v>0</v>
      </c>
      <c r="T38" s="68">
        <f t="shared" si="8"/>
        <v>20</v>
      </c>
      <c r="U38" s="265">
        <f t="shared" si="9"/>
        <v>185</v>
      </c>
      <c r="V38" s="93">
        <f t="shared" si="10"/>
        <v>0</v>
      </c>
      <c r="W38" s="449" cm="1">
        <f t="array" ref="W38">+IF(U38&lt;0,error,0)</f>
        <v>0</v>
      </c>
    </row>
    <row r="39" spans="1:23" ht="36.75" customHeight="1" x14ac:dyDescent="0.2">
      <c r="A39" s="101" t="s">
        <v>1712</v>
      </c>
      <c r="B39" s="102"/>
      <c r="C39" s="73" t="s">
        <v>1713</v>
      </c>
      <c r="D39" s="65">
        <v>42514</v>
      </c>
      <c r="E39" s="66"/>
      <c r="F39" s="67"/>
      <c r="G39" s="67"/>
      <c r="H39" s="67">
        <v>434.09000000000003</v>
      </c>
      <c r="I39" s="354">
        <v>395.09000000000003</v>
      </c>
      <c r="J39" s="67">
        <v>0</v>
      </c>
      <c r="K39" s="68">
        <f t="shared" si="1"/>
        <v>0</v>
      </c>
      <c r="L39" s="68">
        <f t="shared" si="2"/>
        <v>0</v>
      </c>
      <c r="M39" s="69">
        <v>2.5</v>
      </c>
      <c r="N39" s="70" t="s">
        <v>17</v>
      </c>
      <c r="O39" s="68">
        <f t="shared" si="5"/>
        <v>0</v>
      </c>
      <c r="P39" s="68">
        <f t="shared" si="6"/>
        <v>0</v>
      </c>
      <c r="Q39" s="68">
        <f t="shared" si="7"/>
        <v>0</v>
      </c>
      <c r="R39" s="68">
        <f t="shared" si="3"/>
        <v>0</v>
      </c>
      <c r="S39" s="68">
        <f t="shared" si="4"/>
        <v>5</v>
      </c>
      <c r="T39" s="68">
        <f t="shared" si="8"/>
        <v>5</v>
      </c>
      <c r="U39" s="265">
        <f t="shared" si="9"/>
        <v>390.09000000000003</v>
      </c>
      <c r="V39" s="93">
        <f t="shared" si="10"/>
        <v>0</v>
      </c>
      <c r="W39" s="449" cm="1">
        <f t="array" ref="W39">+IF(U39&lt;0,error,0)</f>
        <v>0</v>
      </c>
    </row>
    <row r="40" spans="1:23" ht="36.75" customHeight="1" x14ac:dyDescent="0.2">
      <c r="A40" s="101" t="s">
        <v>1714</v>
      </c>
      <c r="B40" s="102"/>
      <c r="C40" s="72" t="s">
        <v>1715</v>
      </c>
      <c r="D40" s="65">
        <v>42514</v>
      </c>
      <c r="E40" s="66"/>
      <c r="F40" s="67"/>
      <c r="G40" s="67"/>
      <c r="H40" s="67">
        <v>118.18</v>
      </c>
      <c r="I40" s="354">
        <v>108.18</v>
      </c>
      <c r="J40" s="67">
        <v>0</v>
      </c>
      <c r="K40" s="68">
        <f t="shared" si="1"/>
        <v>0</v>
      </c>
      <c r="L40" s="68">
        <f t="shared" si="2"/>
        <v>0</v>
      </c>
      <c r="M40" s="69">
        <v>2.5</v>
      </c>
      <c r="N40" s="70" t="s">
        <v>17</v>
      </c>
      <c r="O40" s="68">
        <f t="shared" si="5"/>
        <v>0</v>
      </c>
      <c r="P40" s="68">
        <f t="shared" si="6"/>
        <v>0</v>
      </c>
      <c r="Q40" s="68">
        <f t="shared" si="7"/>
        <v>0</v>
      </c>
      <c r="R40" s="68">
        <f t="shared" si="3"/>
        <v>0</v>
      </c>
      <c r="S40" s="68">
        <f t="shared" si="4"/>
        <v>1</v>
      </c>
      <c r="T40" s="68">
        <f t="shared" si="8"/>
        <v>1</v>
      </c>
      <c r="U40" s="265">
        <f t="shared" si="9"/>
        <v>107.18</v>
      </c>
      <c r="V40" s="93">
        <f t="shared" si="10"/>
        <v>0</v>
      </c>
      <c r="W40" s="449" cm="1">
        <f t="array" ref="W40">+IF(U40&lt;0,error,0)</f>
        <v>0</v>
      </c>
    </row>
    <row r="41" spans="1:23" ht="36.75" customHeight="1" x14ac:dyDescent="0.2">
      <c r="A41" s="101" t="s">
        <v>1716</v>
      </c>
      <c r="B41" s="102"/>
      <c r="C41" s="73" t="s">
        <v>1717</v>
      </c>
      <c r="D41" s="65">
        <v>42514</v>
      </c>
      <c r="E41" s="66"/>
      <c r="F41" s="67"/>
      <c r="G41" s="67"/>
      <c r="H41" s="67">
        <v>4480</v>
      </c>
      <c r="I41" s="354">
        <v>790</v>
      </c>
      <c r="J41" s="67">
        <v>0</v>
      </c>
      <c r="K41" s="68">
        <f t="shared" si="1"/>
        <v>0</v>
      </c>
      <c r="L41" s="68">
        <f t="shared" si="2"/>
        <v>0</v>
      </c>
      <c r="M41" s="69">
        <v>40</v>
      </c>
      <c r="N41" s="70" t="s">
        <v>289</v>
      </c>
      <c r="O41" s="68">
        <f t="shared" si="5"/>
        <v>0</v>
      </c>
      <c r="P41" s="68">
        <f t="shared" si="6"/>
        <v>0</v>
      </c>
      <c r="Q41" s="68">
        <f t="shared" si="7"/>
        <v>0</v>
      </c>
      <c r="R41" s="68">
        <f t="shared" si="3"/>
        <v>158</v>
      </c>
      <c r="S41" s="68">
        <f t="shared" si="4"/>
        <v>0</v>
      </c>
      <c r="T41" s="68">
        <f t="shared" si="8"/>
        <v>158</v>
      </c>
      <c r="U41" s="265">
        <f t="shared" si="9"/>
        <v>632</v>
      </c>
      <c r="V41" s="93">
        <f t="shared" si="10"/>
        <v>0</v>
      </c>
      <c r="W41" s="449" cm="1">
        <f t="array" ref="W41">+IF(U41&lt;0,error,0)</f>
        <v>0</v>
      </c>
    </row>
    <row r="42" spans="1:23" ht="36.75" customHeight="1" x14ac:dyDescent="0.2">
      <c r="A42" s="101" t="s">
        <v>1718</v>
      </c>
      <c r="B42" s="102"/>
      <c r="C42" s="73" t="s">
        <v>1719</v>
      </c>
      <c r="D42" s="65">
        <v>42514</v>
      </c>
      <c r="E42" s="66"/>
      <c r="F42" s="67"/>
      <c r="G42" s="67"/>
      <c r="H42" s="67">
        <v>945.45</v>
      </c>
      <c r="I42" s="354">
        <v>432.45000000000005</v>
      </c>
      <c r="J42" s="67">
        <v>0</v>
      </c>
      <c r="K42" s="68">
        <f t="shared" si="1"/>
        <v>0</v>
      </c>
      <c r="L42" s="68">
        <f t="shared" si="2"/>
        <v>0</v>
      </c>
      <c r="M42" s="69">
        <v>20</v>
      </c>
      <c r="N42" s="70" t="s">
        <v>289</v>
      </c>
      <c r="O42" s="68">
        <f t="shared" si="5"/>
        <v>0</v>
      </c>
      <c r="P42" s="68">
        <f t="shared" si="6"/>
        <v>0</v>
      </c>
      <c r="Q42" s="68">
        <f t="shared" si="7"/>
        <v>0</v>
      </c>
      <c r="R42" s="68">
        <f t="shared" si="3"/>
        <v>43</v>
      </c>
      <c r="S42" s="68">
        <f t="shared" si="4"/>
        <v>0</v>
      </c>
      <c r="T42" s="68">
        <f t="shared" si="8"/>
        <v>43</v>
      </c>
      <c r="U42" s="265">
        <f t="shared" si="9"/>
        <v>389.45000000000005</v>
      </c>
      <c r="V42" s="93">
        <f t="shared" si="10"/>
        <v>0</v>
      </c>
      <c r="W42" s="449" cm="1">
        <f t="array" ref="W42">+IF(U42&lt;0,error,0)</f>
        <v>0</v>
      </c>
    </row>
    <row r="43" spans="1:23" ht="36.75" customHeight="1" x14ac:dyDescent="0.2">
      <c r="A43" s="101" t="s">
        <v>1720</v>
      </c>
      <c r="B43" s="102"/>
      <c r="C43" s="72" t="s">
        <v>1721</v>
      </c>
      <c r="D43" s="65">
        <v>42514</v>
      </c>
      <c r="E43" s="66"/>
      <c r="F43" s="67"/>
      <c r="G43" s="67"/>
      <c r="H43" s="67">
        <v>7439</v>
      </c>
      <c r="I43" s="354">
        <v>6770</v>
      </c>
      <c r="J43" s="67">
        <v>0</v>
      </c>
      <c r="K43" s="68">
        <f t="shared" si="1"/>
        <v>0</v>
      </c>
      <c r="L43" s="68">
        <f t="shared" si="2"/>
        <v>0</v>
      </c>
      <c r="M43" s="69">
        <v>2.5</v>
      </c>
      <c r="N43" s="70" t="s">
        <v>17</v>
      </c>
      <c r="O43" s="68">
        <f t="shared" si="5"/>
        <v>0</v>
      </c>
      <c r="P43" s="68">
        <f t="shared" si="6"/>
        <v>0</v>
      </c>
      <c r="Q43" s="68">
        <f t="shared" si="7"/>
        <v>0</v>
      </c>
      <c r="R43" s="68">
        <f t="shared" si="3"/>
        <v>0</v>
      </c>
      <c r="S43" s="68">
        <f t="shared" si="4"/>
        <v>92</v>
      </c>
      <c r="T43" s="68">
        <f t="shared" si="8"/>
        <v>92</v>
      </c>
      <c r="U43" s="265">
        <f t="shared" si="9"/>
        <v>6678</v>
      </c>
      <c r="V43" s="93">
        <f t="shared" si="10"/>
        <v>0</v>
      </c>
      <c r="W43" s="449" cm="1">
        <f t="array" ref="W43">+IF(U43&lt;0,error,0)</f>
        <v>0</v>
      </c>
    </row>
    <row r="44" spans="1:23" ht="36.75" customHeight="1" x14ac:dyDescent="0.2">
      <c r="A44" s="101" t="s">
        <v>1722</v>
      </c>
      <c r="B44" s="102"/>
      <c r="C44" s="73" t="s">
        <v>1723</v>
      </c>
      <c r="D44" s="65">
        <v>42551</v>
      </c>
      <c r="E44" s="66"/>
      <c r="F44" s="67"/>
      <c r="G44" s="67"/>
      <c r="H44" s="67">
        <v>5339.55</v>
      </c>
      <c r="I44" s="354">
        <v>4873.55</v>
      </c>
      <c r="J44" s="67">
        <v>0</v>
      </c>
      <c r="K44" s="68">
        <f t="shared" si="1"/>
        <v>0</v>
      </c>
      <c r="L44" s="68">
        <f t="shared" si="2"/>
        <v>0</v>
      </c>
      <c r="M44" s="69">
        <v>2.5</v>
      </c>
      <c r="N44" s="70" t="s">
        <v>17</v>
      </c>
      <c r="O44" s="68">
        <f t="shared" si="5"/>
        <v>0</v>
      </c>
      <c r="P44" s="68">
        <f t="shared" si="6"/>
        <v>0</v>
      </c>
      <c r="Q44" s="68">
        <f t="shared" si="7"/>
        <v>0</v>
      </c>
      <c r="R44" s="68">
        <f t="shared" si="3"/>
        <v>0</v>
      </c>
      <c r="S44" s="68">
        <f t="shared" si="4"/>
        <v>66</v>
      </c>
      <c r="T44" s="68">
        <f t="shared" si="8"/>
        <v>66</v>
      </c>
      <c r="U44" s="265">
        <f t="shared" si="9"/>
        <v>4807.55</v>
      </c>
      <c r="V44" s="93">
        <f t="shared" si="10"/>
        <v>0</v>
      </c>
      <c r="W44" s="449" cm="1">
        <f t="array" ref="W44">+IF(U44&lt;0,error,0)</f>
        <v>0</v>
      </c>
    </row>
    <row r="45" spans="1:23" ht="36.75" customHeight="1" x14ac:dyDescent="0.2">
      <c r="A45" s="101" t="s">
        <v>1724</v>
      </c>
      <c r="B45" s="102"/>
      <c r="C45" s="73" t="s">
        <v>1725</v>
      </c>
      <c r="D45" s="65">
        <v>42592</v>
      </c>
      <c r="E45" s="66"/>
      <c r="F45" s="67"/>
      <c r="G45" s="67"/>
      <c r="H45" s="67">
        <v>1027.25</v>
      </c>
      <c r="I45" s="354">
        <v>941.25</v>
      </c>
      <c r="J45" s="67">
        <v>0</v>
      </c>
      <c r="K45" s="68">
        <f t="shared" si="1"/>
        <v>0</v>
      </c>
      <c r="L45" s="68">
        <f t="shared" si="2"/>
        <v>0</v>
      </c>
      <c r="M45" s="69">
        <v>2.5</v>
      </c>
      <c r="N45" s="70" t="s">
        <v>17</v>
      </c>
      <c r="O45" s="68">
        <f t="shared" si="5"/>
        <v>0</v>
      </c>
      <c r="P45" s="68">
        <f t="shared" si="6"/>
        <v>0</v>
      </c>
      <c r="Q45" s="68">
        <f t="shared" si="7"/>
        <v>0</v>
      </c>
      <c r="R45" s="68">
        <f t="shared" si="3"/>
        <v>0</v>
      </c>
      <c r="S45" s="68">
        <f t="shared" si="4"/>
        <v>12</v>
      </c>
      <c r="T45" s="68">
        <f t="shared" si="8"/>
        <v>12</v>
      </c>
      <c r="U45" s="265">
        <f t="shared" si="9"/>
        <v>929.25</v>
      </c>
      <c r="V45" s="93">
        <f t="shared" si="10"/>
        <v>0</v>
      </c>
      <c r="W45" s="449" cm="1">
        <f t="array" ref="W45">+IF(U45&lt;0,error,0)</f>
        <v>0</v>
      </c>
    </row>
    <row r="46" spans="1:23" ht="36.75" customHeight="1" x14ac:dyDescent="0.2">
      <c r="A46" s="101" t="s">
        <v>1726</v>
      </c>
      <c r="B46" s="102"/>
      <c r="C46" s="73" t="s">
        <v>1727</v>
      </c>
      <c r="D46" s="65">
        <v>42690</v>
      </c>
      <c r="E46" s="66"/>
      <c r="F46" s="67"/>
      <c r="G46" s="67"/>
      <c r="H46" s="67">
        <v>58590</v>
      </c>
      <c r="I46" s="354">
        <v>42385</v>
      </c>
      <c r="J46" s="67">
        <v>0</v>
      </c>
      <c r="K46" s="68">
        <f t="shared" si="1"/>
        <v>0</v>
      </c>
      <c r="L46" s="68">
        <f t="shared" si="2"/>
        <v>0</v>
      </c>
      <c r="M46" s="69">
        <v>10</v>
      </c>
      <c r="N46" s="70" t="s">
        <v>289</v>
      </c>
      <c r="O46" s="68">
        <f t="shared" si="5"/>
        <v>0</v>
      </c>
      <c r="P46" s="68">
        <f t="shared" si="6"/>
        <v>0</v>
      </c>
      <c r="Q46" s="68">
        <f t="shared" si="7"/>
        <v>0</v>
      </c>
      <c r="R46" s="68">
        <f t="shared" si="3"/>
        <v>2119</v>
      </c>
      <c r="S46" s="68">
        <f t="shared" si="4"/>
        <v>0</v>
      </c>
      <c r="T46" s="68">
        <f t="shared" si="8"/>
        <v>2119</v>
      </c>
      <c r="U46" s="265">
        <f t="shared" si="9"/>
        <v>40266</v>
      </c>
      <c r="V46" s="93">
        <f t="shared" si="10"/>
        <v>0</v>
      </c>
      <c r="W46" s="449" cm="1">
        <f t="array" ref="W46">+IF(U46&lt;0,error,0)</f>
        <v>0</v>
      </c>
    </row>
    <row r="47" spans="1:23" ht="36.75" customHeight="1" x14ac:dyDescent="0.2">
      <c r="A47" s="101" t="s">
        <v>1728</v>
      </c>
      <c r="B47" s="102"/>
      <c r="C47" s="72" t="s">
        <v>1729</v>
      </c>
      <c r="D47" s="65">
        <v>42704</v>
      </c>
      <c r="E47" s="66"/>
      <c r="F47" s="67"/>
      <c r="G47" s="67"/>
      <c r="H47" s="67">
        <v>2700</v>
      </c>
      <c r="I47" s="354">
        <v>2493</v>
      </c>
      <c r="J47" s="67">
        <v>0</v>
      </c>
      <c r="K47" s="68">
        <f t="shared" si="1"/>
        <v>0</v>
      </c>
      <c r="L47" s="68">
        <f t="shared" si="2"/>
        <v>0</v>
      </c>
      <c r="M47" s="69">
        <v>2.5</v>
      </c>
      <c r="N47" s="70" t="s">
        <v>17</v>
      </c>
      <c r="O47" s="68">
        <f t="shared" si="5"/>
        <v>0</v>
      </c>
      <c r="P47" s="68">
        <f t="shared" si="6"/>
        <v>0</v>
      </c>
      <c r="Q47" s="68">
        <f t="shared" si="7"/>
        <v>0</v>
      </c>
      <c r="R47" s="68">
        <f t="shared" si="3"/>
        <v>0</v>
      </c>
      <c r="S47" s="68">
        <f t="shared" si="4"/>
        <v>33</v>
      </c>
      <c r="T47" s="68">
        <f t="shared" si="8"/>
        <v>33</v>
      </c>
      <c r="U47" s="265">
        <f t="shared" si="9"/>
        <v>2460</v>
      </c>
      <c r="V47" s="93">
        <f t="shared" si="10"/>
        <v>0</v>
      </c>
      <c r="W47" s="449" cm="1">
        <f t="array" ref="W47">+IF(U47&lt;0,error,0)</f>
        <v>0</v>
      </c>
    </row>
    <row r="48" spans="1:23" ht="36.75" customHeight="1" x14ac:dyDescent="0.2">
      <c r="A48" s="101" t="s">
        <v>1730</v>
      </c>
      <c r="B48" s="102"/>
      <c r="C48" s="64" t="s">
        <v>1731</v>
      </c>
      <c r="D48" s="65">
        <v>42781</v>
      </c>
      <c r="E48" s="66"/>
      <c r="F48" s="67"/>
      <c r="G48" s="67"/>
      <c r="H48" s="67">
        <v>4582</v>
      </c>
      <c r="I48" s="354">
        <v>4253</v>
      </c>
      <c r="J48" s="67">
        <v>0</v>
      </c>
      <c r="K48" s="68">
        <f t="shared" si="1"/>
        <v>0</v>
      </c>
      <c r="L48" s="68">
        <f t="shared" si="2"/>
        <v>0</v>
      </c>
      <c r="M48" s="69">
        <v>2.5</v>
      </c>
      <c r="N48" s="70" t="s">
        <v>17</v>
      </c>
      <c r="O48" s="68">
        <f t="shared" si="5"/>
        <v>0</v>
      </c>
      <c r="P48" s="68">
        <f t="shared" si="6"/>
        <v>0</v>
      </c>
      <c r="Q48" s="68">
        <f t="shared" si="7"/>
        <v>0</v>
      </c>
      <c r="R48" s="68">
        <f t="shared" si="3"/>
        <v>0</v>
      </c>
      <c r="S48" s="68">
        <f t="shared" si="4"/>
        <v>57</v>
      </c>
      <c r="T48" s="68">
        <f t="shared" si="8"/>
        <v>57</v>
      </c>
      <c r="U48" s="265">
        <f t="shared" si="9"/>
        <v>4196</v>
      </c>
      <c r="V48" s="93">
        <f t="shared" si="10"/>
        <v>0</v>
      </c>
      <c r="W48" s="449" cm="1">
        <f t="array" ref="W48">+IF(U48&lt;0,error,0)</f>
        <v>0</v>
      </c>
    </row>
    <row r="49" spans="1:23" ht="36.75" customHeight="1" x14ac:dyDescent="0.2">
      <c r="A49" s="101" t="s">
        <v>1732</v>
      </c>
      <c r="B49" s="102"/>
      <c r="C49" s="64" t="s">
        <v>1733</v>
      </c>
      <c r="D49" s="65">
        <v>42794</v>
      </c>
      <c r="E49" s="66"/>
      <c r="F49" s="67"/>
      <c r="G49" s="67"/>
      <c r="H49" s="67">
        <v>4900</v>
      </c>
      <c r="I49" s="354">
        <v>4553</v>
      </c>
      <c r="J49" s="67">
        <v>0</v>
      </c>
      <c r="K49" s="68">
        <f t="shared" si="1"/>
        <v>0</v>
      </c>
      <c r="L49" s="68">
        <f t="shared" si="2"/>
        <v>0</v>
      </c>
      <c r="M49" s="69">
        <v>2.5</v>
      </c>
      <c r="N49" s="70" t="s">
        <v>17</v>
      </c>
      <c r="O49" s="68">
        <f t="shared" si="5"/>
        <v>0</v>
      </c>
      <c r="P49" s="68">
        <f t="shared" si="6"/>
        <v>0</v>
      </c>
      <c r="Q49" s="68">
        <f t="shared" si="7"/>
        <v>0</v>
      </c>
      <c r="R49" s="68">
        <f t="shared" si="3"/>
        <v>0</v>
      </c>
      <c r="S49" s="68">
        <f t="shared" si="4"/>
        <v>61</v>
      </c>
      <c r="T49" s="68">
        <f t="shared" si="8"/>
        <v>61</v>
      </c>
      <c r="U49" s="265">
        <f t="shared" si="9"/>
        <v>4492</v>
      </c>
      <c r="V49" s="93">
        <f t="shared" si="10"/>
        <v>0</v>
      </c>
      <c r="W49" s="449" cm="1">
        <f t="array" ref="W49">+IF(U49&lt;0,error,0)</f>
        <v>0</v>
      </c>
    </row>
    <row r="50" spans="1:23" ht="36.75" customHeight="1" x14ac:dyDescent="0.2">
      <c r="A50" s="101" t="s">
        <v>1734</v>
      </c>
      <c r="B50" s="102"/>
      <c r="C50" s="64" t="s">
        <v>1735</v>
      </c>
      <c r="D50" s="65">
        <v>42794</v>
      </c>
      <c r="E50" s="66"/>
      <c r="F50" s="67"/>
      <c r="G50" s="67"/>
      <c r="H50" s="67">
        <v>53058.36</v>
      </c>
      <c r="I50" s="354">
        <v>49293.36</v>
      </c>
      <c r="J50" s="67">
        <v>0</v>
      </c>
      <c r="K50" s="68">
        <f t="shared" si="1"/>
        <v>0</v>
      </c>
      <c r="L50" s="68">
        <f t="shared" si="2"/>
        <v>0</v>
      </c>
      <c r="M50" s="69">
        <v>2.5</v>
      </c>
      <c r="N50" s="70" t="s">
        <v>17</v>
      </c>
      <c r="O50" s="68">
        <f t="shared" si="5"/>
        <v>0</v>
      </c>
      <c r="P50" s="68">
        <f t="shared" si="6"/>
        <v>0</v>
      </c>
      <c r="Q50" s="68">
        <f t="shared" si="7"/>
        <v>0</v>
      </c>
      <c r="R50" s="68">
        <f t="shared" si="3"/>
        <v>0</v>
      </c>
      <c r="S50" s="68">
        <f t="shared" si="4"/>
        <v>663</v>
      </c>
      <c r="T50" s="68">
        <f t="shared" si="8"/>
        <v>663</v>
      </c>
      <c r="U50" s="265">
        <f t="shared" si="9"/>
        <v>48630.36</v>
      </c>
      <c r="V50" s="93">
        <f t="shared" si="10"/>
        <v>0</v>
      </c>
      <c r="W50" s="449" cm="1">
        <f t="array" ref="W50">+IF(U50&lt;0,error,0)</f>
        <v>0</v>
      </c>
    </row>
    <row r="51" spans="1:23" ht="36.75" customHeight="1" x14ac:dyDescent="0.2">
      <c r="A51" s="101" t="s">
        <v>1736</v>
      </c>
      <c r="B51" s="102"/>
      <c r="C51" s="64" t="s">
        <v>1737</v>
      </c>
      <c r="D51" s="65">
        <v>42821</v>
      </c>
      <c r="E51" s="66"/>
      <c r="F51" s="67"/>
      <c r="G51" s="67"/>
      <c r="H51" s="67">
        <v>363</v>
      </c>
      <c r="I51" s="354">
        <v>339</v>
      </c>
      <c r="J51" s="67">
        <v>0</v>
      </c>
      <c r="K51" s="68">
        <f t="shared" si="1"/>
        <v>0</v>
      </c>
      <c r="L51" s="68">
        <f t="shared" si="2"/>
        <v>0</v>
      </c>
      <c r="M51" s="69">
        <v>2.5</v>
      </c>
      <c r="N51" s="70" t="s">
        <v>17</v>
      </c>
      <c r="O51" s="68">
        <f t="shared" si="5"/>
        <v>0</v>
      </c>
      <c r="P51" s="68">
        <f t="shared" si="6"/>
        <v>0</v>
      </c>
      <c r="Q51" s="68">
        <f t="shared" si="7"/>
        <v>0</v>
      </c>
      <c r="R51" s="68">
        <f t="shared" si="3"/>
        <v>0</v>
      </c>
      <c r="S51" s="68">
        <f t="shared" si="4"/>
        <v>4</v>
      </c>
      <c r="T51" s="68">
        <f t="shared" si="8"/>
        <v>4</v>
      </c>
      <c r="U51" s="265">
        <f t="shared" si="9"/>
        <v>335</v>
      </c>
      <c r="V51" s="93">
        <f t="shared" si="10"/>
        <v>0</v>
      </c>
      <c r="W51" s="449" cm="1">
        <f t="array" ref="W51">+IF(U51&lt;0,error,0)</f>
        <v>0</v>
      </c>
    </row>
    <row r="52" spans="1:23" ht="36.75" customHeight="1" x14ac:dyDescent="0.2">
      <c r="A52" s="101" t="s">
        <v>1738</v>
      </c>
      <c r="B52" s="102"/>
      <c r="C52" s="64" t="s">
        <v>1735</v>
      </c>
      <c r="D52" s="65">
        <v>42826</v>
      </c>
      <c r="E52" s="66"/>
      <c r="F52" s="67"/>
      <c r="G52" s="67"/>
      <c r="H52" s="67">
        <v>30767.5</v>
      </c>
      <c r="I52" s="354">
        <v>28652.5</v>
      </c>
      <c r="J52" s="67">
        <v>0</v>
      </c>
      <c r="K52" s="68">
        <f t="shared" si="1"/>
        <v>0</v>
      </c>
      <c r="L52" s="68">
        <f t="shared" si="2"/>
        <v>0</v>
      </c>
      <c r="M52" s="69">
        <v>2.5</v>
      </c>
      <c r="N52" s="70" t="s">
        <v>17</v>
      </c>
      <c r="O52" s="68">
        <f t="shared" si="5"/>
        <v>0</v>
      </c>
      <c r="P52" s="68">
        <f t="shared" si="6"/>
        <v>0</v>
      </c>
      <c r="Q52" s="68">
        <f t="shared" si="7"/>
        <v>0</v>
      </c>
      <c r="R52" s="68">
        <f t="shared" si="3"/>
        <v>0</v>
      </c>
      <c r="S52" s="68">
        <f t="shared" si="4"/>
        <v>384</v>
      </c>
      <c r="T52" s="68">
        <f t="shared" si="8"/>
        <v>384</v>
      </c>
      <c r="U52" s="265">
        <f t="shared" si="9"/>
        <v>28268.5</v>
      </c>
      <c r="V52" s="93">
        <f t="shared" si="10"/>
        <v>0</v>
      </c>
      <c r="W52" s="449" cm="1">
        <f t="array" ref="W52">+IF(U52&lt;0,error,0)</f>
        <v>0</v>
      </c>
    </row>
    <row r="53" spans="1:23" ht="36.75" customHeight="1" x14ac:dyDescent="0.2">
      <c r="A53" s="101" t="s">
        <v>1739</v>
      </c>
      <c r="B53" s="102"/>
      <c r="C53" s="64" t="s">
        <v>1735</v>
      </c>
      <c r="D53" s="65">
        <v>42828</v>
      </c>
      <c r="E53" s="66"/>
      <c r="F53" s="67"/>
      <c r="G53" s="67"/>
      <c r="H53" s="67">
        <v>3377.5</v>
      </c>
      <c r="I53" s="354">
        <v>3146.5</v>
      </c>
      <c r="J53" s="67">
        <v>0</v>
      </c>
      <c r="K53" s="68">
        <f t="shared" si="1"/>
        <v>0</v>
      </c>
      <c r="L53" s="68">
        <f t="shared" si="2"/>
        <v>0</v>
      </c>
      <c r="M53" s="69">
        <v>2.5</v>
      </c>
      <c r="N53" s="70" t="s">
        <v>17</v>
      </c>
      <c r="O53" s="68">
        <f t="shared" si="5"/>
        <v>0</v>
      </c>
      <c r="P53" s="68">
        <f t="shared" si="6"/>
        <v>0</v>
      </c>
      <c r="Q53" s="68">
        <f t="shared" si="7"/>
        <v>0</v>
      </c>
      <c r="R53" s="68">
        <f t="shared" si="3"/>
        <v>0</v>
      </c>
      <c r="S53" s="68">
        <f t="shared" si="4"/>
        <v>42</v>
      </c>
      <c r="T53" s="68">
        <f t="shared" si="8"/>
        <v>42</v>
      </c>
      <c r="U53" s="265">
        <f t="shared" si="9"/>
        <v>3104.5</v>
      </c>
      <c r="V53" s="93">
        <f t="shared" si="10"/>
        <v>0</v>
      </c>
      <c r="W53" s="449" cm="1">
        <f t="array" ref="W53">+IF(U53&lt;0,error,0)</f>
        <v>0</v>
      </c>
    </row>
    <row r="54" spans="1:23" ht="36.75" customHeight="1" x14ac:dyDescent="0.2">
      <c r="A54" s="101" t="s">
        <v>1740</v>
      </c>
      <c r="B54" s="102"/>
      <c r="C54" s="64" t="s">
        <v>1735</v>
      </c>
      <c r="D54" s="65">
        <v>42855</v>
      </c>
      <c r="E54" s="66"/>
      <c r="F54" s="67"/>
      <c r="G54" s="67"/>
      <c r="H54" s="67">
        <v>10177</v>
      </c>
      <c r="I54" s="354">
        <v>9498</v>
      </c>
      <c r="J54" s="67">
        <v>0</v>
      </c>
      <c r="K54" s="68">
        <f t="shared" si="1"/>
        <v>0</v>
      </c>
      <c r="L54" s="68">
        <f t="shared" si="2"/>
        <v>0</v>
      </c>
      <c r="M54" s="69">
        <v>2.5</v>
      </c>
      <c r="N54" s="70" t="s">
        <v>17</v>
      </c>
      <c r="O54" s="68">
        <f t="shared" si="5"/>
        <v>0</v>
      </c>
      <c r="P54" s="68">
        <f t="shared" si="6"/>
        <v>0</v>
      </c>
      <c r="Q54" s="68">
        <f t="shared" si="7"/>
        <v>0</v>
      </c>
      <c r="R54" s="68">
        <f t="shared" si="3"/>
        <v>0</v>
      </c>
      <c r="S54" s="68">
        <f t="shared" si="4"/>
        <v>127</v>
      </c>
      <c r="T54" s="68">
        <f t="shared" si="8"/>
        <v>127</v>
      </c>
      <c r="U54" s="265">
        <f t="shared" si="9"/>
        <v>9371</v>
      </c>
      <c r="V54" s="93">
        <f t="shared" si="10"/>
        <v>0</v>
      </c>
      <c r="W54" s="449" cm="1">
        <f t="array" ref="W54">+IF(U54&lt;0,error,0)</f>
        <v>0</v>
      </c>
    </row>
    <row r="55" spans="1:23" ht="36.75" customHeight="1" x14ac:dyDescent="0.2">
      <c r="A55" s="101" t="s">
        <v>1741</v>
      </c>
      <c r="B55" s="102"/>
      <c r="C55" s="73" t="s">
        <v>1742</v>
      </c>
      <c r="D55" s="65">
        <v>42884</v>
      </c>
      <c r="E55" s="66"/>
      <c r="F55" s="67"/>
      <c r="G55" s="67"/>
      <c r="H55" s="67">
        <v>1260</v>
      </c>
      <c r="I55" s="354">
        <v>1179</v>
      </c>
      <c r="J55" s="67">
        <v>0</v>
      </c>
      <c r="K55" s="68">
        <f t="shared" si="1"/>
        <v>0</v>
      </c>
      <c r="L55" s="68">
        <f t="shared" si="2"/>
        <v>0</v>
      </c>
      <c r="M55" s="69">
        <v>2.5</v>
      </c>
      <c r="N55" s="70" t="s">
        <v>17</v>
      </c>
      <c r="O55" s="68">
        <f t="shared" si="5"/>
        <v>0</v>
      </c>
      <c r="P55" s="68">
        <f t="shared" si="6"/>
        <v>0</v>
      </c>
      <c r="Q55" s="68">
        <f t="shared" si="7"/>
        <v>0</v>
      </c>
      <c r="R55" s="68">
        <f t="shared" si="3"/>
        <v>0</v>
      </c>
      <c r="S55" s="68">
        <f t="shared" si="4"/>
        <v>15</v>
      </c>
      <c r="T55" s="68">
        <f t="shared" si="8"/>
        <v>15</v>
      </c>
      <c r="U55" s="265">
        <f t="shared" si="9"/>
        <v>1164</v>
      </c>
      <c r="V55" s="93">
        <f t="shared" si="10"/>
        <v>0</v>
      </c>
      <c r="W55" s="449" cm="1">
        <f t="array" ref="W55">+IF(U55&lt;0,error,0)</f>
        <v>0</v>
      </c>
    </row>
    <row r="56" spans="1:23" ht="36.75" customHeight="1" x14ac:dyDescent="0.2">
      <c r="A56" s="101" t="s">
        <v>1743</v>
      </c>
      <c r="B56" s="102"/>
      <c r="C56" s="64" t="s">
        <v>1735</v>
      </c>
      <c r="D56" s="65">
        <v>42886</v>
      </c>
      <c r="E56" s="66"/>
      <c r="F56" s="67"/>
      <c r="G56" s="67"/>
      <c r="H56" s="67">
        <v>10975</v>
      </c>
      <c r="I56" s="354">
        <v>10266</v>
      </c>
      <c r="J56" s="67">
        <v>0</v>
      </c>
      <c r="K56" s="68">
        <f t="shared" si="1"/>
        <v>0</v>
      </c>
      <c r="L56" s="68">
        <f t="shared" si="2"/>
        <v>0</v>
      </c>
      <c r="M56" s="69">
        <v>2.5</v>
      </c>
      <c r="N56" s="70" t="s">
        <v>17</v>
      </c>
      <c r="O56" s="68">
        <f t="shared" si="5"/>
        <v>0</v>
      </c>
      <c r="P56" s="68">
        <f t="shared" si="6"/>
        <v>0</v>
      </c>
      <c r="Q56" s="68">
        <f t="shared" si="7"/>
        <v>0</v>
      </c>
      <c r="R56" s="68">
        <f t="shared" si="3"/>
        <v>0</v>
      </c>
      <c r="S56" s="68">
        <f t="shared" si="4"/>
        <v>137</v>
      </c>
      <c r="T56" s="68">
        <f t="shared" si="8"/>
        <v>137</v>
      </c>
      <c r="U56" s="265">
        <f t="shared" si="9"/>
        <v>10129</v>
      </c>
      <c r="V56" s="93">
        <f t="shared" si="10"/>
        <v>0</v>
      </c>
      <c r="W56" s="449" cm="1">
        <f t="array" ref="W56">+IF(U56&lt;0,error,0)</f>
        <v>0</v>
      </c>
    </row>
    <row r="57" spans="1:23" ht="36.75" customHeight="1" x14ac:dyDescent="0.2">
      <c r="A57" s="101" t="s">
        <v>1744</v>
      </c>
      <c r="B57" s="102"/>
      <c r="C57" s="64" t="s">
        <v>1735</v>
      </c>
      <c r="D57" s="65">
        <v>42886</v>
      </c>
      <c r="E57" s="66"/>
      <c r="F57" s="67"/>
      <c r="G57" s="67"/>
      <c r="H57" s="67">
        <v>15437.5</v>
      </c>
      <c r="I57" s="354">
        <v>14439.5</v>
      </c>
      <c r="J57" s="67">
        <v>0</v>
      </c>
      <c r="K57" s="68">
        <f t="shared" si="1"/>
        <v>0</v>
      </c>
      <c r="L57" s="68">
        <f t="shared" si="2"/>
        <v>0</v>
      </c>
      <c r="M57" s="69">
        <v>2.5</v>
      </c>
      <c r="N57" s="70" t="s">
        <v>17</v>
      </c>
      <c r="O57" s="68">
        <f t="shared" si="5"/>
        <v>0</v>
      </c>
      <c r="P57" s="68">
        <f t="shared" si="6"/>
        <v>0</v>
      </c>
      <c r="Q57" s="68">
        <f t="shared" si="7"/>
        <v>0</v>
      </c>
      <c r="R57" s="68">
        <f t="shared" si="3"/>
        <v>0</v>
      </c>
      <c r="S57" s="68">
        <f t="shared" si="4"/>
        <v>192</v>
      </c>
      <c r="T57" s="68">
        <f t="shared" si="8"/>
        <v>192</v>
      </c>
      <c r="U57" s="265">
        <f t="shared" si="9"/>
        <v>14247.5</v>
      </c>
      <c r="V57" s="93">
        <f t="shared" si="10"/>
        <v>0</v>
      </c>
      <c r="W57" s="449" cm="1">
        <f t="array" ref="W57">+IF(U57&lt;0,error,0)</f>
        <v>0</v>
      </c>
    </row>
    <row r="58" spans="1:23" ht="36.75" customHeight="1" x14ac:dyDescent="0.2">
      <c r="A58" s="101" t="s">
        <v>1745</v>
      </c>
      <c r="B58" s="102"/>
      <c r="C58" s="64" t="s">
        <v>1746</v>
      </c>
      <c r="D58" s="65">
        <v>42886</v>
      </c>
      <c r="E58" s="66"/>
      <c r="F58" s="67"/>
      <c r="G58" s="67"/>
      <c r="H58" s="67">
        <v>10656.25</v>
      </c>
      <c r="I58" s="354">
        <v>9967.25</v>
      </c>
      <c r="J58" s="67">
        <v>0</v>
      </c>
      <c r="K58" s="68">
        <f t="shared" si="1"/>
        <v>0</v>
      </c>
      <c r="L58" s="68">
        <f t="shared" si="2"/>
        <v>0</v>
      </c>
      <c r="M58" s="69">
        <v>2.5</v>
      </c>
      <c r="N58" s="70" t="s">
        <v>17</v>
      </c>
      <c r="O58" s="68">
        <f t="shared" si="5"/>
        <v>0</v>
      </c>
      <c r="P58" s="68">
        <f t="shared" si="6"/>
        <v>0</v>
      </c>
      <c r="Q58" s="68">
        <f t="shared" si="7"/>
        <v>0</v>
      </c>
      <c r="R58" s="68">
        <f t="shared" si="3"/>
        <v>0</v>
      </c>
      <c r="S58" s="68">
        <f t="shared" si="4"/>
        <v>133</v>
      </c>
      <c r="T58" s="68">
        <f t="shared" si="8"/>
        <v>133</v>
      </c>
      <c r="U58" s="265">
        <f t="shared" si="9"/>
        <v>9834.25</v>
      </c>
      <c r="V58" s="93">
        <f t="shared" si="10"/>
        <v>0</v>
      </c>
      <c r="W58" s="449" cm="1">
        <f t="array" ref="W58">+IF(U58&lt;0,error,0)</f>
        <v>0</v>
      </c>
    </row>
    <row r="59" spans="1:23" ht="36.75" customHeight="1" x14ac:dyDescent="0.2">
      <c r="A59" s="101" t="s">
        <v>1747</v>
      </c>
      <c r="B59" s="102"/>
      <c r="C59" s="64" t="s">
        <v>1748</v>
      </c>
      <c r="D59" s="65">
        <v>42887</v>
      </c>
      <c r="E59" s="66"/>
      <c r="F59" s="67"/>
      <c r="G59" s="67"/>
      <c r="H59" s="67">
        <v>437.5</v>
      </c>
      <c r="I59" s="354">
        <v>409.5</v>
      </c>
      <c r="J59" s="67">
        <v>0</v>
      </c>
      <c r="K59" s="68">
        <f t="shared" si="1"/>
        <v>0</v>
      </c>
      <c r="L59" s="68">
        <f t="shared" si="2"/>
        <v>0</v>
      </c>
      <c r="M59" s="69">
        <v>2.5</v>
      </c>
      <c r="N59" s="70" t="s">
        <v>17</v>
      </c>
      <c r="O59" s="68">
        <f t="shared" si="5"/>
        <v>0</v>
      </c>
      <c r="P59" s="68">
        <f t="shared" si="6"/>
        <v>0</v>
      </c>
      <c r="Q59" s="68">
        <f t="shared" si="7"/>
        <v>0</v>
      </c>
      <c r="R59" s="68">
        <f t="shared" si="3"/>
        <v>0</v>
      </c>
      <c r="S59" s="68">
        <f t="shared" si="4"/>
        <v>5</v>
      </c>
      <c r="T59" s="68">
        <f t="shared" si="8"/>
        <v>5</v>
      </c>
      <c r="U59" s="265">
        <f t="shared" si="9"/>
        <v>404.5</v>
      </c>
      <c r="V59" s="93">
        <f t="shared" si="10"/>
        <v>0</v>
      </c>
      <c r="W59" s="449" cm="1">
        <f t="array" ref="W59">+IF(U59&lt;0,error,0)</f>
        <v>0</v>
      </c>
    </row>
    <row r="60" spans="1:23" ht="36.75" customHeight="1" x14ac:dyDescent="0.2">
      <c r="A60" s="101" t="s">
        <v>1749</v>
      </c>
      <c r="B60" s="102"/>
      <c r="C60" s="64" t="s">
        <v>1750</v>
      </c>
      <c r="D60" s="65">
        <v>42894</v>
      </c>
      <c r="E60" s="66"/>
      <c r="F60" s="67"/>
      <c r="G60" s="67"/>
      <c r="H60" s="67">
        <v>16875</v>
      </c>
      <c r="I60" s="354">
        <v>15793</v>
      </c>
      <c r="J60" s="67">
        <v>0</v>
      </c>
      <c r="K60" s="68">
        <f t="shared" si="1"/>
        <v>0</v>
      </c>
      <c r="L60" s="68">
        <f t="shared" si="2"/>
        <v>0</v>
      </c>
      <c r="M60" s="69">
        <v>2.5</v>
      </c>
      <c r="N60" s="70" t="s">
        <v>17</v>
      </c>
      <c r="O60" s="68">
        <f t="shared" si="5"/>
        <v>0</v>
      </c>
      <c r="P60" s="68">
        <f t="shared" si="6"/>
        <v>0</v>
      </c>
      <c r="Q60" s="68">
        <f t="shared" si="7"/>
        <v>0</v>
      </c>
      <c r="R60" s="68">
        <f t="shared" si="3"/>
        <v>0</v>
      </c>
      <c r="S60" s="68">
        <f t="shared" si="4"/>
        <v>210</v>
      </c>
      <c r="T60" s="68">
        <f t="shared" si="8"/>
        <v>210</v>
      </c>
      <c r="U60" s="265">
        <f t="shared" si="9"/>
        <v>15583</v>
      </c>
      <c r="V60" s="93">
        <f t="shared" si="10"/>
        <v>0</v>
      </c>
      <c r="W60" s="449" cm="1">
        <f t="array" ref="W60">+IF(U60&lt;0,error,0)</f>
        <v>0</v>
      </c>
    </row>
    <row r="61" spans="1:23" ht="36.75" customHeight="1" x14ac:dyDescent="0.2">
      <c r="A61" s="101" t="s">
        <v>1751</v>
      </c>
      <c r="B61" s="102"/>
      <c r="C61" s="64" t="s">
        <v>1752</v>
      </c>
      <c r="D61" s="65">
        <v>42744</v>
      </c>
      <c r="E61" s="66"/>
      <c r="F61" s="67"/>
      <c r="G61" s="67"/>
      <c r="H61" s="67">
        <v>4150</v>
      </c>
      <c r="I61" s="354">
        <v>2190</v>
      </c>
      <c r="J61" s="67">
        <v>0</v>
      </c>
      <c r="K61" s="68">
        <f t="shared" si="1"/>
        <v>0</v>
      </c>
      <c r="L61" s="68">
        <f t="shared" si="2"/>
        <v>0</v>
      </c>
      <c r="M61" s="69">
        <v>20</v>
      </c>
      <c r="N61" s="70" t="s">
        <v>289</v>
      </c>
      <c r="O61" s="68">
        <f t="shared" si="5"/>
        <v>0</v>
      </c>
      <c r="P61" s="68">
        <f t="shared" si="6"/>
        <v>0</v>
      </c>
      <c r="Q61" s="68">
        <f t="shared" si="7"/>
        <v>0</v>
      </c>
      <c r="R61" s="68">
        <f t="shared" si="3"/>
        <v>219</v>
      </c>
      <c r="S61" s="68">
        <f t="shared" si="4"/>
        <v>0</v>
      </c>
      <c r="T61" s="68">
        <f t="shared" si="8"/>
        <v>219</v>
      </c>
      <c r="U61" s="265">
        <f t="shared" si="9"/>
        <v>1971</v>
      </c>
      <c r="V61" s="93">
        <f t="shared" si="10"/>
        <v>0</v>
      </c>
      <c r="W61" s="449" cm="1">
        <f t="array" ref="W61">+IF(U61&lt;0,error,0)</f>
        <v>0</v>
      </c>
    </row>
    <row r="62" spans="1:23" ht="36.75" customHeight="1" x14ac:dyDescent="0.2">
      <c r="A62" s="101" t="s">
        <v>1753</v>
      </c>
      <c r="B62" s="102"/>
      <c r="C62" s="64" t="s">
        <v>1754</v>
      </c>
      <c r="D62" s="65">
        <v>42754</v>
      </c>
      <c r="E62" s="66"/>
      <c r="F62" s="67"/>
      <c r="G62" s="67"/>
      <c r="H62" s="67">
        <v>90.91</v>
      </c>
      <c r="I62" s="354">
        <v>84.91</v>
      </c>
      <c r="J62" s="67">
        <v>0</v>
      </c>
      <c r="K62" s="68">
        <f t="shared" si="1"/>
        <v>0</v>
      </c>
      <c r="L62" s="68">
        <f t="shared" si="2"/>
        <v>0</v>
      </c>
      <c r="M62" s="69">
        <v>2.5</v>
      </c>
      <c r="N62" s="70" t="s">
        <v>17</v>
      </c>
      <c r="O62" s="68">
        <f t="shared" si="5"/>
        <v>0</v>
      </c>
      <c r="P62" s="68">
        <f t="shared" si="6"/>
        <v>0</v>
      </c>
      <c r="Q62" s="68">
        <f t="shared" si="7"/>
        <v>0</v>
      </c>
      <c r="R62" s="68">
        <f t="shared" si="3"/>
        <v>0</v>
      </c>
      <c r="S62" s="68">
        <f t="shared" si="4"/>
        <v>1</v>
      </c>
      <c r="T62" s="68">
        <f t="shared" si="8"/>
        <v>1</v>
      </c>
      <c r="U62" s="265">
        <f t="shared" si="9"/>
        <v>83.91</v>
      </c>
      <c r="V62" s="93">
        <f t="shared" si="10"/>
        <v>0</v>
      </c>
      <c r="W62" s="449" cm="1">
        <f t="array" ref="W62">+IF(U62&lt;0,error,0)</f>
        <v>0</v>
      </c>
    </row>
    <row r="63" spans="1:23" ht="36.75" customHeight="1" x14ac:dyDescent="0.2">
      <c r="A63" s="101" t="s">
        <v>1755</v>
      </c>
      <c r="B63" s="102"/>
      <c r="C63" s="64" t="s">
        <v>1756</v>
      </c>
      <c r="D63" s="65">
        <v>42552</v>
      </c>
      <c r="E63" s="66"/>
      <c r="F63" s="67"/>
      <c r="G63" s="67"/>
      <c r="H63" s="67">
        <v>19603</v>
      </c>
      <c r="I63" s="354">
        <v>17888</v>
      </c>
      <c r="J63" s="67">
        <v>0</v>
      </c>
      <c r="K63" s="68">
        <f t="shared" si="1"/>
        <v>0</v>
      </c>
      <c r="L63" s="68">
        <f t="shared" si="2"/>
        <v>0</v>
      </c>
      <c r="M63" s="69">
        <v>2.5</v>
      </c>
      <c r="N63" s="70" t="s">
        <v>17</v>
      </c>
      <c r="O63" s="68">
        <f t="shared" si="5"/>
        <v>0</v>
      </c>
      <c r="P63" s="68">
        <f t="shared" si="6"/>
        <v>0</v>
      </c>
      <c r="Q63" s="68">
        <f t="shared" si="7"/>
        <v>0</v>
      </c>
      <c r="R63" s="68">
        <f t="shared" si="3"/>
        <v>0</v>
      </c>
      <c r="S63" s="68">
        <f t="shared" si="4"/>
        <v>245</v>
      </c>
      <c r="T63" s="68">
        <f t="shared" si="8"/>
        <v>245</v>
      </c>
      <c r="U63" s="265">
        <f t="shared" si="9"/>
        <v>17643</v>
      </c>
      <c r="V63" s="93">
        <f t="shared" si="10"/>
        <v>0</v>
      </c>
      <c r="W63" s="449" cm="1">
        <f t="array" ref="W63">+IF(U63&lt;0,error,0)</f>
        <v>0</v>
      </c>
    </row>
    <row r="64" spans="1:23" ht="36.75" customHeight="1" x14ac:dyDescent="0.2">
      <c r="A64" s="101" t="s">
        <v>1757</v>
      </c>
      <c r="B64" s="102"/>
      <c r="C64" s="64" t="s">
        <v>1758</v>
      </c>
      <c r="D64" s="65">
        <v>42670</v>
      </c>
      <c r="E64" s="66"/>
      <c r="F64" s="67"/>
      <c r="G64" s="67"/>
      <c r="H64" s="67">
        <v>713</v>
      </c>
      <c r="I64" s="354">
        <v>658</v>
      </c>
      <c r="J64" s="67">
        <v>0</v>
      </c>
      <c r="K64" s="68">
        <f t="shared" si="1"/>
        <v>0</v>
      </c>
      <c r="L64" s="68">
        <f t="shared" si="2"/>
        <v>0</v>
      </c>
      <c r="M64" s="69">
        <v>2.5</v>
      </c>
      <c r="N64" s="70" t="s">
        <v>17</v>
      </c>
      <c r="O64" s="68">
        <f t="shared" si="5"/>
        <v>0</v>
      </c>
      <c r="P64" s="68">
        <f t="shared" si="6"/>
        <v>0</v>
      </c>
      <c r="Q64" s="68">
        <f t="shared" si="7"/>
        <v>0</v>
      </c>
      <c r="R64" s="68">
        <f t="shared" si="3"/>
        <v>0</v>
      </c>
      <c r="S64" s="68">
        <f t="shared" si="4"/>
        <v>8</v>
      </c>
      <c r="T64" s="68">
        <f t="shared" si="8"/>
        <v>8</v>
      </c>
      <c r="U64" s="265">
        <f t="shared" si="9"/>
        <v>650</v>
      </c>
      <c r="V64" s="93">
        <f t="shared" si="10"/>
        <v>0</v>
      </c>
      <c r="W64" s="449" cm="1">
        <f t="array" ref="W64">+IF(U64&lt;0,error,0)</f>
        <v>0</v>
      </c>
    </row>
    <row r="65" spans="1:23" ht="36.75" customHeight="1" x14ac:dyDescent="0.2">
      <c r="A65" s="101" t="s">
        <v>1759</v>
      </c>
      <c r="B65" s="102"/>
      <c r="C65" s="64" t="s">
        <v>1760</v>
      </c>
      <c r="D65" s="65">
        <v>42772</v>
      </c>
      <c r="E65" s="66"/>
      <c r="F65" s="67"/>
      <c r="G65" s="67"/>
      <c r="H65" s="67">
        <v>15000</v>
      </c>
      <c r="I65" s="354">
        <v>13914</v>
      </c>
      <c r="J65" s="67">
        <v>0</v>
      </c>
      <c r="K65" s="68">
        <f t="shared" si="1"/>
        <v>0</v>
      </c>
      <c r="L65" s="68">
        <f t="shared" si="2"/>
        <v>0</v>
      </c>
      <c r="M65" s="69">
        <v>2.5</v>
      </c>
      <c r="N65" s="70" t="s">
        <v>17</v>
      </c>
      <c r="O65" s="68">
        <f t="shared" si="5"/>
        <v>0</v>
      </c>
      <c r="P65" s="68">
        <f t="shared" si="6"/>
        <v>0</v>
      </c>
      <c r="Q65" s="68">
        <f t="shared" si="7"/>
        <v>0</v>
      </c>
      <c r="R65" s="68">
        <f t="shared" si="3"/>
        <v>0</v>
      </c>
      <c r="S65" s="68">
        <f t="shared" si="4"/>
        <v>187</v>
      </c>
      <c r="T65" s="68">
        <f t="shared" si="8"/>
        <v>187</v>
      </c>
      <c r="U65" s="265">
        <f t="shared" si="9"/>
        <v>13727</v>
      </c>
      <c r="V65" s="93">
        <f t="shared" si="10"/>
        <v>0</v>
      </c>
      <c r="W65" s="449" cm="1">
        <f t="array" ref="W65">+IF(U65&lt;0,error,0)</f>
        <v>0</v>
      </c>
    </row>
    <row r="66" spans="1:23" ht="36.75" customHeight="1" x14ac:dyDescent="0.2">
      <c r="A66" s="101" t="s">
        <v>1761</v>
      </c>
      <c r="B66" s="102"/>
      <c r="C66" s="64" t="s">
        <v>1762</v>
      </c>
      <c r="D66" s="65">
        <v>42801</v>
      </c>
      <c r="E66" s="66"/>
      <c r="F66" s="67"/>
      <c r="G66" s="67"/>
      <c r="H66" s="67">
        <v>102416.55</v>
      </c>
      <c r="I66" s="354">
        <v>76492.55</v>
      </c>
      <c r="J66" s="67">
        <v>0</v>
      </c>
      <c r="K66" s="68">
        <f t="shared" si="1"/>
        <v>0</v>
      </c>
      <c r="L66" s="68">
        <f t="shared" si="2"/>
        <v>0</v>
      </c>
      <c r="M66" s="69">
        <v>10</v>
      </c>
      <c r="N66" s="70" t="s">
        <v>289</v>
      </c>
      <c r="O66" s="68">
        <f t="shared" si="5"/>
        <v>0</v>
      </c>
      <c r="P66" s="68">
        <f t="shared" si="6"/>
        <v>0</v>
      </c>
      <c r="Q66" s="68">
        <f t="shared" si="7"/>
        <v>0</v>
      </c>
      <c r="R66" s="68">
        <f t="shared" si="3"/>
        <v>3824</v>
      </c>
      <c r="S66" s="68">
        <f t="shared" si="4"/>
        <v>0</v>
      </c>
      <c r="T66" s="68">
        <f t="shared" si="8"/>
        <v>3824</v>
      </c>
      <c r="U66" s="265">
        <f t="shared" si="9"/>
        <v>72668.55</v>
      </c>
      <c r="V66" s="93">
        <f t="shared" si="10"/>
        <v>0</v>
      </c>
      <c r="W66" s="449" cm="1">
        <f t="array" ref="W66">+IF(U66&lt;0,error,0)</f>
        <v>0</v>
      </c>
    </row>
    <row r="67" spans="1:23" ht="36.75" customHeight="1" x14ac:dyDescent="0.2">
      <c r="A67" s="101" t="s">
        <v>1763</v>
      </c>
      <c r="B67" s="102"/>
      <c r="C67" s="64" t="s">
        <v>1764</v>
      </c>
      <c r="D67" s="65">
        <v>42915</v>
      </c>
      <c r="E67" s="66"/>
      <c r="F67" s="67"/>
      <c r="G67" s="67"/>
      <c r="H67" s="67">
        <v>11342</v>
      </c>
      <c r="I67" s="354">
        <v>6603</v>
      </c>
      <c r="J67" s="67">
        <v>0</v>
      </c>
      <c r="K67" s="68">
        <f t="shared" si="1"/>
        <v>0</v>
      </c>
      <c r="L67" s="68">
        <f t="shared" si="2"/>
        <v>0</v>
      </c>
      <c r="M67" s="69">
        <v>20</v>
      </c>
      <c r="N67" s="70" t="s">
        <v>289</v>
      </c>
      <c r="O67" s="68">
        <f t="shared" si="5"/>
        <v>0</v>
      </c>
      <c r="P67" s="68">
        <f t="shared" si="6"/>
        <v>0</v>
      </c>
      <c r="Q67" s="68">
        <f t="shared" si="7"/>
        <v>0</v>
      </c>
      <c r="R67" s="68">
        <f t="shared" si="3"/>
        <v>660</v>
      </c>
      <c r="S67" s="68">
        <f t="shared" si="4"/>
        <v>0</v>
      </c>
      <c r="T67" s="68">
        <f t="shared" si="8"/>
        <v>660</v>
      </c>
      <c r="U67" s="265">
        <f t="shared" si="9"/>
        <v>5943</v>
      </c>
      <c r="V67" s="93">
        <f t="shared" si="10"/>
        <v>0</v>
      </c>
      <c r="W67" s="449" cm="1">
        <f t="array" ref="W67">+IF(U67&lt;0,error,0)</f>
        <v>0</v>
      </c>
    </row>
    <row r="68" spans="1:23" ht="36.75" customHeight="1" x14ac:dyDescent="0.2">
      <c r="A68" s="101" t="s">
        <v>1765</v>
      </c>
      <c r="B68" s="102"/>
      <c r="C68" s="73" t="s">
        <v>1766</v>
      </c>
      <c r="D68" s="65">
        <v>42947</v>
      </c>
      <c r="E68" s="66"/>
      <c r="F68" s="67"/>
      <c r="G68" s="67"/>
      <c r="H68" s="67">
        <v>180000</v>
      </c>
      <c r="I68" s="354">
        <v>169109</v>
      </c>
      <c r="J68" s="67">
        <v>0</v>
      </c>
      <c r="K68" s="68">
        <f t="shared" si="1"/>
        <v>0</v>
      </c>
      <c r="L68" s="68">
        <f t="shared" si="2"/>
        <v>0</v>
      </c>
      <c r="M68" s="69">
        <v>2.5</v>
      </c>
      <c r="N68" s="70" t="s">
        <v>17</v>
      </c>
      <c r="O68" s="68">
        <f t="shared" si="5"/>
        <v>0</v>
      </c>
      <c r="P68" s="68">
        <f t="shared" si="6"/>
        <v>0</v>
      </c>
      <c r="Q68" s="68">
        <f t="shared" si="7"/>
        <v>0</v>
      </c>
      <c r="R68" s="68">
        <f t="shared" si="3"/>
        <v>0</v>
      </c>
      <c r="S68" s="68">
        <f t="shared" si="4"/>
        <v>2250</v>
      </c>
      <c r="T68" s="68">
        <f t="shared" si="8"/>
        <v>2250</v>
      </c>
      <c r="U68" s="265">
        <f t="shared" si="9"/>
        <v>166859</v>
      </c>
      <c r="V68" s="93">
        <f t="shared" si="10"/>
        <v>0</v>
      </c>
      <c r="W68" s="449" cm="1">
        <f t="array" ref="W68">+IF(U68&lt;0,error,0)</f>
        <v>0</v>
      </c>
    </row>
    <row r="69" spans="1:23" ht="36.75" customHeight="1" x14ac:dyDescent="0.2">
      <c r="A69" s="101" t="s">
        <v>1767</v>
      </c>
      <c r="B69" s="102"/>
      <c r="C69" s="72" t="s">
        <v>1768</v>
      </c>
      <c r="D69" s="65">
        <v>43074</v>
      </c>
      <c r="E69" s="66"/>
      <c r="F69" s="67"/>
      <c r="G69" s="67"/>
      <c r="H69" s="67">
        <v>6596.1</v>
      </c>
      <c r="I69" s="354">
        <v>6255.1</v>
      </c>
      <c r="J69" s="67">
        <v>0</v>
      </c>
      <c r="K69" s="68">
        <f t="shared" si="1"/>
        <v>0</v>
      </c>
      <c r="L69" s="68">
        <f t="shared" si="2"/>
        <v>0</v>
      </c>
      <c r="M69" s="69">
        <v>2.5</v>
      </c>
      <c r="N69" s="70" t="s">
        <v>17</v>
      </c>
      <c r="O69" s="68">
        <f t="shared" si="5"/>
        <v>0</v>
      </c>
      <c r="P69" s="68">
        <f t="shared" si="6"/>
        <v>0</v>
      </c>
      <c r="Q69" s="68">
        <f t="shared" si="7"/>
        <v>0</v>
      </c>
      <c r="R69" s="68">
        <f t="shared" si="3"/>
        <v>0</v>
      </c>
      <c r="S69" s="68">
        <f t="shared" si="4"/>
        <v>82</v>
      </c>
      <c r="T69" s="68">
        <f t="shared" si="8"/>
        <v>82</v>
      </c>
      <c r="U69" s="265">
        <f t="shared" si="9"/>
        <v>6173.1</v>
      </c>
      <c r="V69" s="93">
        <f t="shared" si="10"/>
        <v>0</v>
      </c>
      <c r="W69" s="449" cm="1">
        <f t="array" ref="W69">+IF(U69&lt;0,error,0)</f>
        <v>0</v>
      </c>
    </row>
    <row r="70" spans="1:23" ht="36.75" customHeight="1" x14ac:dyDescent="0.2">
      <c r="A70" s="101" t="s">
        <v>1769</v>
      </c>
      <c r="B70" s="102"/>
      <c r="C70" s="73" t="s">
        <v>1770</v>
      </c>
      <c r="D70" s="65">
        <v>43009</v>
      </c>
      <c r="E70" s="66"/>
      <c r="F70" s="67"/>
      <c r="G70" s="67"/>
      <c r="H70" s="67">
        <v>5520</v>
      </c>
      <c r="I70" s="354">
        <v>5210</v>
      </c>
      <c r="J70" s="67">
        <v>0</v>
      </c>
      <c r="K70" s="68">
        <f t="shared" si="1"/>
        <v>0</v>
      </c>
      <c r="L70" s="68">
        <f t="shared" si="2"/>
        <v>0</v>
      </c>
      <c r="M70" s="69">
        <v>2.5</v>
      </c>
      <c r="N70" s="70" t="s">
        <v>17</v>
      </c>
      <c r="O70" s="68">
        <f t="shared" si="5"/>
        <v>0</v>
      </c>
      <c r="P70" s="68">
        <f t="shared" si="6"/>
        <v>0</v>
      </c>
      <c r="Q70" s="68">
        <f t="shared" si="7"/>
        <v>0</v>
      </c>
      <c r="R70" s="68">
        <f t="shared" si="3"/>
        <v>0</v>
      </c>
      <c r="S70" s="68">
        <f t="shared" si="4"/>
        <v>69</v>
      </c>
      <c r="T70" s="68">
        <f t="shared" si="8"/>
        <v>69</v>
      </c>
      <c r="U70" s="265">
        <f t="shared" si="9"/>
        <v>5141</v>
      </c>
      <c r="V70" s="93">
        <f t="shared" si="10"/>
        <v>0</v>
      </c>
      <c r="W70" s="449" cm="1">
        <f t="array" ref="W70">+IF(U70&lt;0,error,0)</f>
        <v>0</v>
      </c>
    </row>
    <row r="71" spans="1:23" ht="36.75" customHeight="1" x14ac:dyDescent="0.2">
      <c r="A71" s="101" t="s">
        <v>1771</v>
      </c>
      <c r="B71" s="102"/>
      <c r="C71" s="72" t="s">
        <v>1770</v>
      </c>
      <c r="D71" s="65">
        <v>43101</v>
      </c>
      <c r="E71" s="66"/>
      <c r="F71" s="67"/>
      <c r="G71" s="67"/>
      <c r="H71" s="67">
        <v>15432.130000000001</v>
      </c>
      <c r="I71" s="354">
        <v>14662.130000000001</v>
      </c>
      <c r="J71" s="67">
        <v>0</v>
      </c>
      <c r="K71" s="68">
        <f t="shared" si="1"/>
        <v>0</v>
      </c>
      <c r="L71" s="68">
        <f t="shared" si="2"/>
        <v>0</v>
      </c>
      <c r="M71" s="69">
        <v>2.5</v>
      </c>
      <c r="N71" s="70" t="s">
        <v>17</v>
      </c>
      <c r="O71" s="68">
        <f t="shared" si="5"/>
        <v>0</v>
      </c>
      <c r="P71" s="68">
        <f t="shared" si="6"/>
        <v>0</v>
      </c>
      <c r="Q71" s="68">
        <f t="shared" si="7"/>
        <v>0</v>
      </c>
      <c r="R71" s="68">
        <f t="shared" si="3"/>
        <v>0</v>
      </c>
      <c r="S71" s="68">
        <f t="shared" si="4"/>
        <v>192</v>
      </c>
      <c r="T71" s="68">
        <f t="shared" si="8"/>
        <v>192</v>
      </c>
      <c r="U71" s="265">
        <f t="shared" si="9"/>
        <v>14470.130000000001</v>
      </c>
      <c r="V71" s="93">
        <f t="shared" si="10"/>
        <v>0</v>
      </c>
      <c r="W71" s="449" cm="1">
        <f t="array" ref="W71">+IF(U71&lt;0,error,0)</f>
        <v>0</v>
      </c>
    </row>
    <row r="72" spans="1:23" ht="36.75" customHeight="1" x14ac:dyDescent="0.2">
      <c r="A72" s="101" t="s">
        <v>1772</v>
      </c>
      <c r="B72" s="102"/>
      <c r="C72" s="64" t="s">
        <v>1770</v>
      </c>
      <c r="D72" s="65">
        <v>43165</v>
      </c>
      <c r="E72" s="66"/>
      <c r="F72" s="67"/>
      <c r="G72" s="67"/>
      <c r="H72" s="67">
        <v>1125</v>
      </c>
      <c r="I72" s="354">
        <v>1074</v>
      </c>
      <c r="J72" s="67">
        <v>0</v>
      </c>
      <c r="K72" s="68">
        <f t="shared" si="1"/>
        <v>0</v>
      </c>
      <c r="L72" s="68">
        <f t="shared" si="2"/>
        <v>0</v>
      </c>
      <c r="M72" s="69">
        <v>2.5</v>
      </c>
      <c r="N72" s="70" t="s">
        <v>17</v>
      </c>
      <c r="O72" s="68">
        <f t="shared" si="5"/>
        <v>0</v>
      </c>
      <c r="P72" s="68">
        <f t="shared" si="6"/>
        <v>0</v>
      </c>
      <c r="Q72" s="68">
        <f t="shared" si="7"/>
        <v>0</v>
      </c>
      <c r="R72" s="68">
        <f t="shared" si="3"/>
        <v>0</v>
      </c>
      <c r="S72" s="68">
        <f t="shared" si="4"/>
        <v>14</v>
      </c>
      <c r="T72" s="68">
        <f t="shared" si="8"/>
        <v>14</v>
      </c>
      <c r="U72" s="265">
        <f t="shared" si="9"/>
        <v>1060</v>
      </c>
      <c r="V72" s="93">
        <f t="shared" si="10"/>
        <v>0</v>
      </c>
      <c r="W72" s="449" cm="1">
        <f t="array" ref="W72">+IF(U72&lt;0,error,0)</f>
        <v>0</v>
      </c>
    </row>
    <row r="73" spans="1:23" ht="36.75" customHeight="1" x14ac:dyDescent="0.2">
      <c r="A73" s="101" t="s">
        <v>1773</v>
      </c>
      <c r="B73" s="102"/>
      <c r="C73" s="64" t="s">
        <v>1770</v>
      </c>
      <c r="D73" s="65">
        <v>43168</v>
      </c>
      <c r="E73" s="66"/>
      <c r="F73" s="67"/>
      <c r="G73" s="67"/>
      <c r="H73" s="67">
        <v>10016.25</v>
      </c>
      <c r="I73" s="354">
        <v>9562.25</v>
      </c>
      <c r="J73" s="67">
        <v>0</v>
      </c>
      <c r="K73" s="68">
        <f t="shared" si="1"/>
        <v>0</v>
      </c>
      <c r="L73" s="68">
        <f t="shared" si="2"/>
        <v>0</v>
      </c>
      <c r="M73" s="69">
        <v>2.5</v>
      </c>
      <c r="N73" s="70" t="s">
        <v>17</v>
      </c>
      <c r="O73" s="68">
        <f t="shared" si="5"/>
        <v>0</v>
      </c>
      <c r="P73" s="68">
        <f t="shared" si="6"/>
        <v>0</v>
      </c>
      <c r="Q73" s="68">
        <f t="shared" si="7"/>
        <v>0</v>
      </c>
      <c r="R73" s="68">
        <f t="shared" si="3"/>
        <v>0</v>
      </c>
      <c r="S73" s="68">
        <f t="shared" si="4"/>
        <v>125</v>
      </c>
      <c r="T73" s="68">
        <f t="shared" si="8"/>
        <v>125</v>
      </c>
      <c r="U73" s="265">
        <f t="shared" si="9"/>
        <v>9437.25</v>
      </c>
      <c r="V73" s="93">
        <f t="shared" si="10"/>
        <v>0</v>
      </c>
      <c r="W73" s="449" cm="1">
        <f t="array" ref="W73">+IF(U73&lt;0,error,0)</f>
        <v>0</v>
      </c>
    </row>
    <row r="74" spans="1:23" ht="36.75" customHeight="1" x14ac:dyDescent="0.2">
      <c r="A74" s="101" t="s">
        <v>1774</v>
      </c>
      <c r="B74" s="102"/>
      <c r="C74" s="64" t="s">
        <v>1770</v>
      </c>
      <c r="D74" s="65">
        <v>43175</v>
      </c>
      <c r="E74" s="66"/>
      <c r="F74" s="67"/>
      <c r="G74" s="67"/>
      <c r="H74" s="67">
        <v>10222.5</v>
      </c>
      <c r="I74" s="354">
        <v>9764.5</v>
      </c>
      <c r="J74" s="67">
        <v>0</v>
      </c>
      <c r="K74" s="68">
        <f t="shared" si="1"/>
        <v>0</v>
      </c>
      <c r="L74" s="68">
        <f t="shared" si="2"/>
        <v>0</v>
      </c>
      <c r="M74" s="69">
        <v>2.5</v>
      </c>
      <c r="N74" s="70" t="s">
        <v>17</v>
      </c>
      <c r="O74" s="68">
        <f t="shared" si="5"/>
        <v>0</v>
      </c>
      <c r="P74" s="68">
        <f t="shared" si="6"/>
        <v>0</v>
      </c>
      <c r="Q74" s="68">
        <f t="shared" si="7"/>
        <v>0</v>
      </c>
      <c r="R74" s="68">
        <f t="shared" si="3"/>
        <v>0</v>
      </c>
      <c r="S74" s="68">
        <f t="shared" si="4"/>
        <v>127</v>
      </c>
      <c r="T74" s="68">
        <f t="shared" si="8"/>
        <v>127</v>
      </c>
      <c r="U74" s="265">
        <f t="shared" si="9"/>
        <v>9637.5</v>
      </c>
      <c r="V74" s="93">
        <f t="shared" si="10"/>
        <v>0</v>
      </c>
      <c r="W74" s="449" cm="1">
        <f t="array" ref="W74">+IF(U74&lt;0,error,0)</f>
        <v>0</v>
      </c>
    </row>
    <row r="75" spans="1:23" ht="36.75" customHeight="1" x14ac:dyDescent="0.2">
      <c r="A75" s="101" t="s">
        <v>1775</v>
      </c>
      <c r="B75" s="102"/>
      <c r="C75" s="64" t="s">
        <v>1770</v>
      </c>
      <c r="D75" s="65">
        <v>43178</v>
      </c>
      <c r="E75" s="66"/>
      <c r="F75" s="67"/>
      <c r="G75" s="67"/>
      <c r="H75" s="67">
        <v>12062.5</v>
      </c>
      <c r="I75" s="354">
        <v>11525.5</v>
      </c>
      <c r="J75" s="67">
        <v>0</v>
      </c>
      <c r="K75" s="68">
        <f t="shared" si="1"/>
        <v>0</v>
      </c>
      <c r="L75" s="68">
        <f t="shared" si="2"/>
        <v>0</v>
      </c>
      <c r="M75" s="69">
        <v>2.5</v>
      </c>
      <c r="N75" s="70" t="s">
        <v>17</v>
      </c>
      <c r="O75" s="68">
        <f t="shared" si="5"/>
        <v>0</v>
      </c>
      <c r="P75" s="68">
        <f t="shared" si="6"/>
        <v>0</v>
      </c>
      <c r="Q75" s="68">
        <f t="shared" si="7"/>
        <v>0</v>
      </c>
      <c r="R75" s="68">
        <f t="shared" si="3"/>
        <v>0</v>
      </c>
      <c r="S75" s="68">
        <f t="shared" si="4"/>
        <v>150</v>
      </c>
      <c r="T75" s="68">
        <f t="shared" si="8"/>
        <v>150</v>
      </c>
      <c r="U75" s="265">
        <f t="shared" si="9"/>
        <v>11375.5</v>
      </c>
      <c r="V75" s="93">
        <f t="shared" si="10"/>
        <v>0</v>
      </c>
      <c r="W75" s="449" cm="1">
        <f t="array" ref="W75">+IF(U75&lt;0,error,0)</f>
        <v>0</v>
      </c>
    </row>
    <row r="76" spans="1:23" ht="36.75" customHeight="1" x14ac:dyDescent="0.2">
      <c r="A76" s="101" t="s">
        <v>1776</v>
      </c>
      <c r="B76" s="102"/>
      <c r="C76" s="64" t="s">
        <v>1770</v>
      </c>
      <c r="D76" s="65">
        <v>43223</v>
      </c>
      <c r="E76" s="66"/>
      <c r="F76" s="67"/>
      <c r="G76" s="67"/>
      <c r="H76" s="67">
        <v>42609.42</v>
      </c>
      <c r="I76" s="354">
        <v>40837.42</v>
      </c>
      <c r="J76" s="67">
        <v>0</v>
      </c>
      <c r="K76" s="68">
        <f t="shared" si="1"/>
        <v>0</v>
      </c>
      <c r="L76" s="68">
        <f t="shared" si="2"/>
        <v>0</v>
      </c>
      <c r="M76" s="69">
        <v>2.5</v>
      </c>
      <c r="N76" s="70" t="s">
        <v>17</v>
      </c>
      <c r="O76" s="68">
        <f t="shared" si="5"/>
        <v>0</v>
      </c>
      <c r="P76" s="68">
        <f t="shared" si="6"/>
        <v>0</v>
      </c>
      <c r="Q76" s="68">
        <f t="shared" si="7"/>
        <v>0</v>
      </c>
      <c r="R76" s="68">
        <f t="shared" si="3"/>
        <v>0</v>
      </c>
      <c r="S76" s="68">
        <f t="shared" si="4"/>
        <v>532</v>
      </c>
      <c r="T76" s="68">
        <f t="shared" si="8"/>
        <v>532</v>
      </c>
      <c r="U76" s="265">
        <f t="shared" si="9"/>
        <v>40305.42</v>
      </c>
      <c r="V76" s="93">
        <f t="shared" si="10"/>
        <v>0</v>
      </c>
      <c r="W76" s="449" cm="1">
        <f t="array" ref="W76">+IF(U76&lt;0,error,0)</f>
        <v>0</v>
      </c>
    </row>
    <row r="77" spans="1:23" ht="36.75" customHeight="1" x14ac:dyDescent="0.2">
      <c r="A77" s="101" t="s">
        <v>1777</v>
      </c>
      <c r="B77" s="102"/>
      <c r="C77" s="64" t="s">
        <v>1770</v>
      </c>
      <c r="D77" s="65">
        <v>43229</v>
      </c>
      <c r="E77" s="66"/>
      <c r="F77" s="67"/>
      <c r="G77" s="67"/>
      <c r="H77" s="67">
        <v>51124.42</v>
      </c>
      <c r="I77" s="354">
        <v>49018.42</v>
      </c>
      <c r="J77" s="67">
        <v>0</v>
      </c>
      <c r="K77" s="68">
        <f t="shared" si="1"/>
        <v>0</v>
      </c>
      <c r="L77" s="68">
        <f t="shared" si="2"/>
        <v>0</v>
      </c>
      <c r="M77" s="69">
        <v>2.5</v>
      </c>
      <c r="N77" s="70" t="s">
        <v>17</v>
      </c>
      <c r="O77" s="68">
        <f t="shared" si="5"/>
        <v>0</v>
      </c>
      <c r="P77" s="68">
        <f t="shared" si="6"/>
        <v>0</v>
      </c>
      <c r="Q77" s="68">
        <f t="shared" si="7"/>
        <v>0</v>
      </c>
      <c r="R77" s="68">
        <f t="shared" si="3"/>
        <v>0</v>
      </c>
      <c r="S77" s="68">
        <f t="shared" si="4"/>
        <v>639</v>
      </c>
      <c r="T77" s="68">
        <f t="shared" si="8"/>
        <v>639</v>
      </c>
      <c r="U77" s="265">
        <f t="shared" si="9"/>
        <v>48379.42</v>
      </c>
      <c r="V77" s="93">
        <f t="shared" si="10"/>
        <v>0</v>
      </c>
      <c r="W77" s="449" cm="1">
        <f t="array" ref="W77">+IF(U77&lt;0,error,0)</f>
        <v>0</v>
      </c>
    </row>
    <row r="78" spans="1:23" ht="36.75" customHeight="1" x14ac:dyDescent="0.2">
      <c r="A78" s="101" t="s">
        <v>1778</v>
      </c>
      <c r="B78" s="102"/>
      <c r="C78" s="64" t="s">
        <v>1770</v>
      </c>
      <c r="D78" s="65">
        <v>43265</v>
      </c>
      <c r="E78" s="66"/>
      <c r="F78" s="67"/>
      <c r="G78" s="67"/>
      <c r="H78" s="67">
        <v>625</v>
      </c>
      <c r="I78" s="354">
        <v>601</v>
      </c>
      <c r="J78" s="67">
        <v>0</v>
      </c>
      <c r="K78" s="68">
        <f t="shared" si="1"/>
        <v>0</v>
      </c>
      <c r="L78" s="68">
        <f t="shared" si="2"/>
        <v>0</v>
      </c>
      <c r="M78" s="69">
        <v>2.5</v>
      </c>
      <c r="N78" s="70" t="s">
        <v>17</v>
      </c>
      <c r="O78" s="68">
        <f t="shared" si="5"/>
        <v>0</v>
      </c>
      <c r="P78" s="68">
        <f t="shared" si="6"/>
        <v>0</v>
      </c>
      <c r="Q78" s="68">
        <f t="shared" si="7"/>
        <v>0</v>
      </c>
      <c r="R78" s="68">
        <f t="shared" si="3"/>
        <v>0</v>
      </c>
      <c r="S78" s="68">
        <f t="shared" si="4"/>
        <v>7</v>
      </c>
      <c r="T78" s="68">
        <f t="shared" si="8"/>
        <v>7</v>
      </c>
      <c r="U78" s="265">
        <f t="shared" si="9"/>
        <v>594</v>
      </c>
      <c r="V78" s="93">
        <f t="shared" si="10"/>
        <v>0</v>
      </c>
      <c r="W78" s="449" cm="1">
        <f t="array" ref="W78">+IF(U78&lt;0,error,0)</f>
        <v>0</v>
      </c>
    </row>
    <row r="79" spans="1:23" ht="36.75" customHeight="1" x14ac:dyDescent="0.2">
      <c r="A79" s="101" t="s">
        <v>1779</v>
      </c>
      <c r="B79" s="102"/>
      <c r="C79" s="73" t="s">
        <v>1780</v>
      </c>
      <c r="D79" s="65">
        <v>43311</v>
      </c>
      <c r="E79" s="66"/>
      <c r="F79" s="67"/>
      <c r="G79" s="67"/>
      <c r="H79" s="67">
        <v>66926</v>
      </c>
      <c r="I79" s="354">
        <v>64546</v>
      </c>
      <c r="J79" s="67">
        <v>0</v>
      </c>
      <c r="K79" s="68">
        <f t="shared" si="1"/>
        <v>0</v>
      </c>
      <c r="L79" s="68">
        <f t="shared" si="2"/>
        <v>0</v>
      </c>
      <c r="M79" s="69">
        <v>2.5</v>
      </c>
      <c r="N79" s="70" t="s">
        <v>17</v>
      </c>
      <c r="O79" s="68">
        <f t="shared" si="5"/>
        <v>0</v>
      </c>
      <c r="P79" s="68">
        <f t="shared" si="6"/>
        <v>0</v>
      </c>
      <c r="Q79" s="68">
        <f t="shared" si="7"/>
        <v>0</v>
      </c>
      <c r="R79" s="68">
        <f t="shared" si="3"/>
        <v>0</v>
      </c>
      <c r="S79" s="68">
        <f t="shared" si="4"/>
        <v>836</v>
      </c>
      <c r="T79" s="68">
        <f t="shared" si="8"/>
        <v>836</v>
      </c>
      <c r="U79" s="265">
        <f t="shared" si="9"/>
        <v>63710</v>
      </c>
      <c r="V79" s="93">
        <f t="shared" si="10"/>
        <v>0</v>
      </c>
      <c r="W79" s="449" cm="1">
        <f t="array" ref="W79">+IF(U79&lt;0,error,0)</f>
        <v>0</v>
      </c>
    </row>
    <row r="80" spans="1:23" ht="36.75" customHeight="1" x14ac:dyDescent="0.2">
      <c r="A80" s="101" t="s">
        <v>1781</v>
      </c>
      <c r="B80" s="102"/>
      <c r="C80" s="72" t="s">
        <v>1780</v>
      </c>
      <c r="D80" s="65">
        <v>43343</v>
      </c>
      <c r="E80" s="66"/>
      <c r="F80" s="67"/>
      <c r="G80" s="67"/>
      <c r="H80" s="67">
        <v>251248</v>
      </c>
      <c r="I80" s="354">
        <v>242861</v>
      </c>
      <c r="J80" s="67">
        <v>0</v>
      </c>
      <c r="K80" s="68">
        <f t="shared" ref="K80:K95" si="11">INT(IF($E80&gt;0,IF(+F80-I80+Q80&lt;0,0,+F80-I80+Q80),0))</f>
        <v>0</v>
      </c>
      <c r="L80" s="68">
        <f t="shared" ref="L80:L95" si="12">INT(IF($E80&gt;0,IF(K80=0,-F80+I80-Q80,0),0))</f>
        <v>0</v>
      </c>
      <c r="M80" s="69">
        <v>2.5</v>
      </c>
      <c r="N80" s="70" t="s">
        <v>17</v>
      </c>
      <c r="O80" s="68">
        <f t="shared" si="5"/>
        <v>0</v>
      </c>
      <c r="P80" s="68">
        <f t="shared" si="6"/>
        <v>0</v>
      </c>
      <c r="Q80" s="68">
        <f t="shared" si="7"/>
        <v>0</v>
      </c>
      <c r="R80" s="68">
        <f t="shared" ref="R80:R107" si="13">INT(IF($E80&gt;0,0,(IF($N80="D",IF($D80&lt;$H$3,$I80*($M80/100)*$U$3/12,$J80*($M80/100)*($J$3-$D80)/365),0))))</f>
        <v>0</v>
      </c>
      <c r="S80" s="68">
        <f t="shared" ref="S80:S107" si="14">INT(IF($E80&gt;0,0,(IF($N80="P",IF($D80&lt;$H$3,$H80*($M80/100)*$U$3/12,$J80*($M80/100)*($J$3-$D80)/365),0))))</f>
        <v>3140</v>
      </c>
      <c r="T80" s="68">
        <f t="shared" si="8"/>
        <v>3140</v>
      </c>
      <c r="U80" s="265">
        <f t="shared" si="9"/>
        <v>239721</v>
      </c>
      <c r="V80" s="93">
        <f t="shared" si="10"/>
        <v>0</v>
      </c>
      <c r="W80" s="449" cm="1">
        <f t="array" ref="W80">+IF(U80&lt;0,error,0)</f>
        <v>0</v>
      </c>
    </row>
    <row r="81" spans="1:23" ht="36.75" customHeight="1" x14ac:dyDescent="0.2">
      <c r="A81" s="101" t="s">
        <v>1782</v>
      </c>
      <c r="B81" s="102"/>
      <c r="C81" s="64" t="s">
        <v>1783</v>
      </c>
      <c r="D81" s="65">
        <v>43345</v>
      </c>
      <c r="E81" s="66"/>
      <c r="F81" s="67"/>
      <c r="G81" s="67"/>
      <c r="H81" s="67">
        <v>6368</v>
      </c>
      <c r="I81" s="354">
        <v>6158</v>
      </c>
      <c r="J81" s="67">
        <v>0</v>
      </c>
      <c r="K81" s="68">
        <f t="shared" si="11"/>
        <v>0</v>
      </c>
      <c r="L81" s="68">
        <f t="shared" si="12"/>
        <v>0</v>
      </c>
      <c r="M81" s="69">
        <v>2.5</v>
      </c>
      <c r="N81" s="70" t="s">
        <v>17</v>
      </c>
      <c r="O81" s="68">
        <f t="shared" ref="O81:O95" si="15">IF(E81&gt;0,INT(IF($N81="D",IF($D81&lt;$H$3,$I81*($M81/100)*((E81-$H$3)/365),$J81*($M81/100)*($J$3-$D81)/365),0)),0)</f>
        <v>0</v>
      </c>
      <c r="P81" s="68">
        <f t="shared" ref="P81:P95" si="16">IF(E81&gt;0,INT(IF($N81="P",IF($D81&lt;$H$3,$H81*($M81/100)*(E81-$H$3)/365,$J81*($M81/100)*($J$3-$D81)/365),0)),0)</f>
        <v>0</v>
      </c>
      <c r="Q81" s="68">
        <f t="shared" ref="Q81:Q95" si="17">+O81+P81</f>
        <v>0</v>
      </c>
      <c r="R81" s="68">
        <f t="shared" si="13"/>
        <v>0</v>
      </c>
      <c r="S81" s="68">
        <f t="shared" si="14"/>
        <v>79</v>
      </c>
      <c r="T81" s="68">
        <f t="shared" ref="T81:T95" si="18">+R81+S81+Q81</f>
        <v>79</v>
      </c>
      <c r="U81" s="265">
        <f t="shared" ref="U81:U95" si="19">+I81+J81-T81</f>
        <v>6079</v>
      </c>
      <c r="V81" s="93">
        <f t="shared" ref="V81:V118" si="20">IF(E81&gt;0,+H81+J81,0)</f>
        <v>0</v>
      </c>
      <c r="W81" s="449" cm="1">
        <f t="array" ref="W81">+IF(U81&lt;0,error,0)</f>
        <v>0</v>
      </c>
    </row>
    <row r="82" spans="1:23" ht="36.75" customHeight="1" x14ac:dyDescent="0.2">
      <c r="A82" s="101" t="s">
        <v>1784</v>
      </c>
      <c r="B82" s="102"/>
      <c r="C82" s="64" t="s">
        <v>1785</v>
      </c>
      <c r="D82" s="65">
        <v>43345</v>
      </c>
      <c r="E82" s="66"/>
      <c r="F82" s="67"/>
      <c r="G82" s="67"/>
      <c r="H82" s="67">
        <v>4524.2</v>
      </c>
      <c r="I82" s="354">
        <v>4375.2</v>
      </c>
      <c r="J82" s="67">
        <v>0</v>
      </c>
      <c r="K82" s="68">
        <f t="shared" si="11"/>
        <v>0</v>
      </c>
      <c r="L82" s="68">
        <f t="shared" si="12"/>
        <v>0</v>
      </c>
      <c r="M82" s="69">
        <v>2.5</v>
      </c>
      <c r="N82" s="70" t="s">
        <v>17</v>
      </c>
      <c r="O82" s="68">
        <f t="shared" si="15"/>
        <v>0</v>
      </c>
      <c r="P82" s="68">
        <f t="shared" si="16"/>
        <v>0</v>
      </c>
      <c r="Q82" s="68">
        <f t="shared" si="17"/>
        <v>0</v>
      </c>
      <c r="R82" s="68">
        <f t="shared" si="13"/>
        <v>0</v>
      </c>
      <c r="S82" s="68">
        <f t="shared" si="14"/>
        <v>56</v>
      </c>
      <c r="T82" s="68">
        <f t="shared" si="18"/>
        <v>56</v>
      </c>
      <c r="U82" s="265">
        <f t="shared" si="19"/>
        <v>4319.2</v>
      </c>
      <c r="V82" s="93">
        <f t="shared" si="20"/>
        <v>0</v>
      </c>
      <c r="W82" s="449" cm="1">
        <f t="array" ref="W82">+IF(U82&lt;0,error,0)</f>
        <v>0</v>
      </c>
    </row>
    <row r="83" spans="1:23" ht="36.75" customHeight="1" x14ac:dyDescent="0.2">
      <c r="A83" s="101" t="s">
        <v>1786</v>
      </c>
      <c r="B83" s="102"/>
      <c r="C83" s="73" t="s">
        <v>1787</v>
      </c>
      <c r="D83" s="65">
        <v>43345</v>
      </c>
      <c r="E83" s="66"/>
      <c r="F83" s="67"/>
      <c r="G83" s="67"/>
      <c r="H83" s="67">
        <v>3120</v>
      </c>
      <c r="I83" s="354">
        <v>3017</v>
      </c>
      <c r="J83" s="67">
        <v>0</v>
      </c>
      <c r="K83" s="68">
        <f t="shared" si="11"/>
        <v>0</v>
      </c>
      <c r="L83" s="68">
        <f t="shared" si="12"/>
        <v>0</v>
      </c>
      <c r="M83" s="69">
        <v>2.5</v>
      </c>
      <c r="N83" s="70" t="s">
        <v>17</v>
      </c>
      <c r="O83" s="68">
        <f t="shared" si="15"/>
        <v>0</v>
      </c>
      <c r="P83" s="68">
        <f t="shared" si="16"/>
        <v>0</v>
      </c>
      <c r="Q83" s="68">
        <f t="shared" si="17"/>
        <v>0</v>
      </c>
      <c r="R83" s="68">
        <f t="shared" si="13"/>
        <v>0</v>
      </c>
      <c r="S83" s="68">
        <f t="shared" si="14"/>
        <v>39</v>
      </c>
      <c r="T83" s="68">
        <f t="shared" si="18"/>
        <v>39</v>
      </c>
      <c r="U83" s="265">
        <f t="shared" si="19"/>
        <v>2978</v>
      </c>
      <c r="V83" s="93">
        <f t="shared" si="20"/>
        <v>0</v>
      </c>
      <c r="W83" s="449" cm="1">
        <f t="array" ref="W83">+IF(U83&lt;0,error,0)</f>
        <v>0</v>
      </c>
    </row>
    <row r="84" spans="1:23" ht="36.75" customHeight="1" x14ac:dyDescent="0.2">
      <c r="A84" s="101" t="s">
        <v>1788</v>
      </c>
      <c r="B84" s="102"/>
      <c r="C84" s="72" t="s">
        <v>1789</v>
      </c>
      <c r="D84" s="65">
        <v>43345</v>
      </c>
      <c r="E84" s="66"/>
      <c r="F84" s="67"/>
      <c r="G84" s="67"/>
      <c r="H84" s="67">
        <v>8877.8000000000011</v>
      </c>
      <c r="I84" s="354">
        <v>8583.8000000000011</v>
      </c>
      <c r="J84" s="67">
        <v>0</v>
      </c>
      <c r="K84" s="68">
        <f t="shared" si="11"/>
        <v>0</v>
      </c>
      <c r="L84" s="68">
        <f t="shared" si="12"/>
        <v>0</v>
      </c>
      <c r="M84" s="69">
        <v>2.5</v>
      </c>
      <c r="N84" s="70" t="s">
        <v>17</v>
      </c>
      <c r="O84" s="68">
        <f t="shared" si="15"/>
        <v>0</v>
      </c>
      <c r="P84" s="68">
        <f t="shared" si="16"/>
        <v>0</v>
      </c>
      <c r="Q84" s="68">
        <f t="shared" si="17"/>
        <v>0</v>
      </c>
      <c r="R84" s="68">
        <f t="shared" si="13"/>
        <v>0</v>
      </c>
      <c r="S84" s="68">
        <f t="shared" si="14"/>
        <v>110</v>
      </c>
      <c r="T84" s="68">
        <f t="shared" si="18"/>
        <v>110</v>
      </c>
      <c r="U84" s="265">
        <f t="shared" si="19"/>
        <v>8473.8000000000011</v>
      </c>
      <c r="V84" s="93">
        <f t="shared" si="20"/>
        <v>0</v>
      </c>
      <c r="W84" s="449" cm="1">
        <f t="array" ref="W84">+IF(U84&lt;0,error,0)</f>
        <v>0</v>
      </c>
    </row>
    <row r="85" spans="1:23" ht="36.75" customHeight="1" x14ac:dyDescent="0.2">
      <c r="A85" s="101" t="s">
        <v>1790</v>
      </c>
      <c r="B85" s="102"/>
      <c r="C85" s="64" t="s">
        <v>1791</v>
      </c>
      <c r="D85" s="65">
        <v>43370</v>
      </c>
      <c r="E85" s="66"/>
      <c r="F85" s="67"/>
      <c r="G85" s="67"/>
      <c r="H85" s="67">
        <v>42733</v>
      </c>
      <c r="I85" s="354">
        <v>41386</v>
      </c>
      <c r="J85" s="67">
        <v>0</v>
      </c>
      <c r="K85" s="68">
        <f t="shared" si="11"/>
        <v>0</v>
      </c>
      <c r="L85" s="68">
        <f t="shared" si="12"/>
        <v>0</v>
      </c>
      <c r="M85" s="69">
        <v>2.5</v>
      </c>
      <c r="N85" s="70" t="s">
        <v>17</v>
      </c>
      <c r="O85" s="68">
        <f t="shared" si="15"/>
        <v>0</v>
      </c>
      <c r="P85" s="68">
        <f t="shared" si="16"/>
        <v>0</v>
      </c>
      <c r="Q85" s="68">
        <f t="shared" si="17"/>
        <v>0</v>
      </c>
      <c r="R85" s="68">
        <f t="shared" si="13"/>
        <v>0</v>
      </c>
      <c r="S85" s="68">
        <f t="shared" si="14"/>
        <v>534</v>
      </c>
      <c r="T85" s="68">
        <f t="shared" si="18"/>
        <v>534</v>
      </c>
      <c r="U85" s="265">
        <f t="shared" si="19"/>
        <v>40852</v>
      </c>
      <c r="V85" s="93">
        <f t="shared" si="20"/>
        <v>0</v>
      </c>
      <c r="W85" s="449" cm="1">
        <f t="array" ref="W85">+IF(U85&lt;0,error,0)</f>
        <v>0</v>
      </c>
    </row>
    <row r="86" spans="1:23" ht="36.75" customHeight="1" x14ac:dyDescent="0.2">
      <c r="A86" s="101" t="s">
        <v>1792</v>
      </c>
      <c r="B86" s="102"/>
      <c r="C86" s="64" t="s">
        <v>1789</v>
      </c>
      <c r="D86" s="65">
        <v>43374</v>
      </c>
      <c r="E86" s="66"/>
      <c r="F86" s="67"/>
      <c r="G86" s="67"/>
      <c r="H86" s="67">
        <v>6718.4000000000005</v>
      </c>
      <c r="I86" s="354">
        <v>6510.4000000000005</v>
      </c>
      <c r="J86" s="67">
        <v>0</v>
      </c>
      <c r="K86" s="68">
        <f t="shared" si="11"/>
        <v>0</v>
      </c>
      <c r="L86" s="68">
        <f t="shared" si="12"/>
        <v>0</v>
      </c>
      <c r="M86" s="69">
        <v>2.5</v>
      </c>
      <c r="N86" s="70" t="s">
        <v>17</v>
      </c>
      <c r="O86" s="68">
        <f t="shared" si="15"/>
        <v>0</v>
      </c>
      <c r="P86" s="68">
        <f t="shared" si="16"/>
        <v>0</v>
      </c>
      <c r="Q86" s="68">
        <f t="shared" si="17"/>
        <v>0</v>
      </c>
      <c r="R86" s="68">
        <f t="shared" si="13"/>
        <v>0</v>
      </c>
      <c r="S86" s="68">
        <f t="shared" si="14"/>
        <v>83</v>
      </c>
      <c r="T86" s="68">
        <f t="shared" si="18"/>
        <v>83</v>
      </c>
      <c r="U86" s="265">
        <f t="shared" si="19"/>
        <v>6427.4000000000005</v>
      </c>
      <c r="V86" s="93">
        <f t="shared" si="20"/>
        <v>0</v>
      </c>
      <c r="W86" s="449" cm="1">
        <f t="array" ref="W86">+IF(U86&lt;0,error,0)</f>
        <v>0</v>
      </c>
    </row>
    <row r="87" spans="1:23" ht="36.75" customHeight="1" x14ac:dyDescent="0.2">
      <c r="A87" s="101" t="s">
        <v>1793</v>
      </c>
      <c r="B87" s="102"/>
      <c r="C87" s="64" t="s">
        <v>1794</v>
      </c>
      <c r="D87" s="65">
        <v>43374</v>
      </c>
      <c r="E87" s="66"/>
      <c r="F87" s="67"/>
      <c r="G87" s="67"/>
      <c r="H87" s="67">
        <v>3739.9</v>
      </c>
      <c r="I87" s="354">
        <v>3623.9</v>
      </c>
      <c r="J87" s="67">
        <v>0</v>
      </c>
      <c r="K87" s="68">
        <f t="shared" si="11"/>
        <v>0</v>
      </c>
      <c r="L87" s="68">
        <f t="shared" si="12"/>
        <v>0</v>
      </c>
      <c r="M87" s="69">
        <v>2.5</v>
      </c>
      <c r="N87" s="70" t="s">
        <v>17</v>
      </c>
      <c r="O87" s="68">
        <f t="shared" si="15"/>
        <v>0</v>
      </c>
      <c r="P87" s="68">
        <f t="shared" si="16"/>
        <v>0</v>
      </c>
      <c r="Q87" s="68">
        <f t="shared" si="17"/>
        <v>0</v>
      </c>
      <c r="R87" s="68">
        <f t="shared" si="13"/>
        <v>0</v>
      </c>
      <c r="S87" s="68">
        <f t="shared" si="14"/>
        <v>46</v>
      </c>
      <c r="T87" s="68">
        <f t="shared" si="18"/>
        <v>46</v>
      </c>
      <c r="U87" s="265">
        <f t="shared" si="19"/>
        <v>3577.9</v>
      </c>
      <c r="V87" s="93">
        <f t="shared" si="20"/>
        <v>0</v>
      </c>
      <c r="W87" s="449" cm="1">
        <f t="array" ref="W87">+IF(U87&lt;0,error,0)</f>
        <v>0</v>
      </c>
    </row>
    <row r="88" spans="1:23" ht="36.75" customHeight="1" x14ac:dyDescent="0.2">
      <c r="A88" s="101" t="s">
        <v>1795</v>
      </c>
      <c r="B88" s="102"/>
      <c r="C88" s="64" t="s">
        <v>1796</v>
      </c>
      <c r="D88" s="65">
        <v>43385</v>
      </c>
      <c r="E88" s="66"/>
      <c r="F88" s="67"/>
      <c r="G88" s="67"/>
      <c r="H88" s="67">
        <v>16314</v>
      </c>
      <c r="I88" s="354">
        <v>15818</v>
      </c>
      <c r="J88" s="67">
        <v>0</v>
      </c>
      <c r="K88" s="68">
        <f t="shared" si="11"/>
        <v>0</v>
      </c>
      <c r="L88" s="68">
        <f t="shared" si="12"/>
        <v>0</v>
      </c>
      <c r="M88" s="69">
        <v>2.5</v>
      </c>
      <c r="N88" s="70" t="s">
        <v>17</v>
      </c>
      <c r="O88" s="68">
        <f t="shared" si="15"/>
        <v>0</v>
      </c>
      <c r="P88" s="68">
        <f t="shared" si="16"/>
        <v>0</v>
      </c>
      <c r="Q88" s="68">
        <f t="shared" si="17"/>
        <v>0</v>
      </c>
      <c r="R88" s="68">
        <f t="shared" si="13"/>
        <v>0</v>
      </c>
      <c r="S88" s="68">
        <f t="shared" si="14"/>
        <v>203</v>
      </c>
      <c r="T88" s="68">
        <f t="shared" si="18"/>
        <v>203</v>
      </c>
      <c r="U88" s="265">
        <f t="shared" si="19"/>
        <v>15615</v>
      </c>
      <c r="V88" s="93">
        <f t="shared" si="20"/>
        <v>0</v>
      </c>
      <c r="W88" s="449" cm="1">
        <f t="array" ref="W88">+IF(U88&lt;0,error,0)</f>
        <v>0</v>
      </c>
    </row>
    <row r="89" spans="1:23" ht="36.75" customHeight="1" x14ac:dyDescent="0.2">
      <c r="A89" s="101" t="s">
        <v>1797</v>
      </c>
      <c r="B89" s="102"/>
      <c r="C89" s="64" t="s">
        <v>1798</v>
      </c>
      <c r="D89" s="65">
        <v>43413</v>
      </c>
      <c r="E89" s="66"/>
      <c r="F89" s="67"/>
      <c r="G89" s="67"/>
      <c r="H89" s="67">
        <v>181818.18</v>
      </c>
      <c r="I89" s="354">
        <v>176621.18</v>
      </c>
      <c r="J89" s="67">
        <v>0</v>
      </c>
      <c r="K89" s="68">
        <f t="shared" si="11"/>
        <v>0</v>
      </c>
      <c r="L89" s="68">
        <f t="shared" si="12"/>
        <v>0</v>
      </c>
      <c r="M89" s="69">
        <v>2.5</v>
      </c>
      <c r="N89" s="70" t="s">
        <v>17</v>
      </c>
      <c r="O89" s="68">
        <f t="shared" si="15"/>
        <v>0</v>
      </c>
      <c r="P89" s="68">
        <f t="shared" si="16"/>
        <v>0</v>
      </c>
      <c r="Q89" s="68">
        <f t="shared" si="17"/>
        <v>0</v>
      </c>
      <c r="R89" s="68">
        <f t="shared" si="13"/>
        <v>0</v>
      </c>
      <c r="S89" s="68">
        <f t="shared" si="14"/>
        <v>2272</v>
      </c>
      <c r="T89" s="68">
        <f t="shared" si="18"/>
        <v>2272</v>
      </c>
      <c r="U89" s="265">
        <f t="shared" si="19"/>
        <v>174349.18</v>
      </c>
      <c r="V89" s="93">
        <f t="shared" si="20"/>
        <v>0</v>
      </c>
      <c r="W89" s="449" cm="1">
        <f t="array" ref="W89">+IF(U89&lt;0,error,0)</f>
        <v>0</v>
      </c>
    </row>
    <row r="90" spans="1:23" ht="36.75" customHeight="1" x14ac:dyDescent="0.2">
      <c r="A90" s="101" t="s">
        <v>1799</v>
      </c>
      <c r="B90" s="102"/>
      <c r="C90" s="64" t="s">
        <v>1800</v>
      </c>
      <c r="D90" s="65">
        <v>43374</v>
      </c>
      <c r="E90" s="66"/>
      <c r="F90" s="67"/>
      <c r="G90" s="67"/>
      <c r="H90" s="67">
        <v>10259.15</v>
      </c>
      <c r="I90" s="354">
        <v>9939.15</v>
      </c>
      <c r="J90" s="67">
        <v>0</v>
      </c>
      <c r="K90" s="68">
        <f t="shared" si="11"/>
        <v>0</v>
      </c>
      <c r="L90" s="68">
        <f t="shared" si="12"/>
        <v>0</v>
      </c>
      <c r="M90" s="69">
        <v>2.5</v>
      </c>
      <c r="N90" s="70" t="s">
        <v>17</v>
      </c>
      <c r="O90" s="68">
        <f t="shared" si="15"/>
        <v>0</v>
      </c>
      <c r="P90" s="68">
        <f t="shared" si="16"/>
        <v>0</v>
      </c>
      <c r="Q90" s="68">
        <f t="shared" si="17"/>
        <v>0</v>
      </c>
      <c r="R90" s="68">
        <f t="shared" si="13"/>
        <v>0</v>
      </c>
      <c r="S90" s="68">
        <f t="shared" si="14"/>
        <v>128</v>
      </c>
      <c r="T90" s="68">
        <f t="shared" si="18"/>
        <v>128</v>
      </c>
      <c r="U90" s="265">
        <f t="shared" si="19"/>
        <v>9811.15</v>
      </c>
      <c r="V90" s="93">
        <f t="shared" si="20"/>
        <v>0</v>
      </c>
      <c r="W90" s="449" cm="1">
        <f t="array" ref="W90">+IF(U90&lt;0,error,0)</f>
        <v>0</v>
      </c>
    </row>
    <row r="91" spans="1:23" ht="36.75" customHeight="1" x14ac:dyDescent="0.2">
      <c r="A91" s="101" t="s">
        <v>1801</v>
      </c>
      <c r="B91" s="102"/>
      <c r="C91" s="64" t="s">
        <v>1802</v>
      </c>
      <c r="D91" s="65">
        <v>43374</v>
      </c>
      <c r="E91" s="66"/>
      <c r="F91" s="67"/>
      <c r="G91" s="67"/>
      <c r="H91" s="67">
        <v>12387.5</v>
      </c>
      <c r="I91" s="354">
        <v>12001.5</v>
      </c>
      <c r="J91" s="67">
        <v>0</v>
      </c>
      <c r="K91" s="68">
        <f t="shared" si="11"/>
        <v>0</v>
      </c>
      <c r="L91" s="68">
        <f t="shared" si="12"/>
        <v>0</v>
      </c>
      <c r="M91" s="69">
        <v>2.5</v>
      </c>
      <c r="N91" s="70" t="s">
        <v>17</v>
      </c>
      <c r="O91" s="68">
        <f t="shared" si="15"/>
        <v>0</v>
      </c>
      <c r="P91" s="68">
        <f t="shared" si="16"/>
        <v>0</v>
      </c>
      <c r="Q91" s="68">
        <f t="shared" si="17"/>
        <v>0</v>
      </c>
      <c r="R91" s="68">
        <f t="shared" si="13"/>
        <v>0</v>
      </c>
      <c r="S91" s="68">
        <f t="shared" si="14"/>
        <v>154</v>
      </c>
      <c r="T91" s="68">
        <f t="shared" si="18"/>
        <v>154</v>
      </c>
      <c r="U91" s="265">
        <f t="shared" si="19"/>
        <v>11847.5</v>
      </c>
      <c r="V91" s="93">
        <f t="shared" si="20"/>
        <v>0</v>
      </c>
      <c r="W91" s="449" cm="1">
        <f t="array" ref="W91">+IF(U91&lt;0,error,0)</f>
        <v>0</v>
      </c>
    </row>
    <row r="92" spans="1:23" ht="36.75" customHeight="1" x14ac:dyDescent="0.2">
      <c r="A92" s="101" t="s">
        <v>1803</v>
      </c>
      <c r="B92" s="102"/>
      <c r="C92" s="64" t="s">
        <v>1804</v>
      </c>
      <c r="D92" s="65">
        <v>43412</v>
      </c>
      <c r="E92" s="66"/>
      <c r="F92" s="67"/>
      <c r="G92" s="67"/>
      <c r="H92" s="67">
        <v>22391.93</v>
      </c>
      <c r="I92" s="354">
        <v>21751.93</v>
      </c>
      <c r="J92" s="67">
        <v>0</v>
      </c>
      <c r="K92" s="68">
        <f t="shared" si="11"/>
        <v>0</v>
      </c>
      <c r="L92" s="68">
        <f t="shared" si="12"/>
        <v>0</v>
      </c>
      <c r="M92" s="69">
        <v>2.5</v>
      </c>
      <c r="N92" s="70" t="s">
        <v>17</v>
      </c>
      <c r="O92" s="68">
        <f t="shared" si="15"/>
        <v>0</v>
      </c>
      <c r="P92" s="68">
        <f t="shared" si="16"/>
        <v>0</v>
      </c>
      <c r="Q92" s="68">
        <f t="shared" si="17"/>
        <v>0</v>
      </c>
      <c r="R92" s="68">
        <f t="shared" si="13"/>
        <v>0</v>
      </c>
      <c r="S92" s="68">
        <f t="shared" si="14"/>
        <v>279</v>
      </c>
      <c r="T92" s="68">
        <f t="shared" si="18"/>
        <v>279</v>
      </c>
      <c r="U92" s="265">
        <f t="shared" si="19"/>
        <v>21472.93</v>
      </c>
      <c r="V92" s="93">
        <f t="shared" si="20"/>
        <v>0</v>
      </c>
      <c r="W92" s="449" cm="1">
        <f t="array" ref="W92">+IF(U92&lt;0,error,0)</f>
        <v>0</v>
      </c>
    </row>
    <row r="93" spans="1:23" ht="36.75" customHeight="1" x14ac:dyDescent="0.2">
      <c r="A93" s="101" t="s">
        <v>1805</v>
      </c>
      <c r="B93" s="102"/>
      <c r="C93" s="64" t="s">
        <v>1806</v>
      </c>
      <c r="D93" s="65">
        <v>43419</v>
      </c>
      <c r="E93" s="66"/>
      <c r="F93" s="67"/>
      <c r="G93" s="67"/>
      <c r="H93" s="67">
        <v>8732.85</v>
      </c>
      <c r="I93" s="354">
        <v>8486.85</v>
      </c>
      <c r="J93" s="67">
        <v>0</v>
      </c>
      <c r="K93" s="68">
        <f t="shared" si="11"/>
        <v>0</v>
      </c>
      <c r="L93" s="68">
        <f t="shared" si="12"/>
        <v>0</v>
      </c>
      <c r="M93" s="69">
        <v>2.5</v>
      </c>
      <c r="N93" s="70" t="s">
        <v>17</v>
      </c>
      <c r="O93" s="68">
        <f t="shared" si="15"/>
        <v>0</v>
      </c>
      <c r="P93" s="68">
        <f t="shared" si="16"/>
        <v>0</v>
      </c>
      <c r="Q93" s="68">
        <f t="shared" si="17"/>
        <v>0</v>
      </c>
      <c r="R93" s="68">
        <f t="shared" si="13"/>
        <v>0</v>
      </c>
      <c r="S93" s="68">
        <f t="shared" si="14"/>
        <v>109</v>
      </c>
      <c r="T93" s="68">
        <f t="shared" si="18"/>
        <v>109</v>
      </c>
      <c r="U93" s="265">
        <f t="shared" si="19"/>
        <v>8377.85</v>
      </c>
      <c r="V93" s="93">
        <f t="shared" si="20"/>
        <v>0</v>
      </c>
      <c r="W93" s="449" cm="1">
        <f t="array" ref="W93">+IF(U93&lt;0,error,0)</f>
        <v>0</v>
      </c>
    </row>
    <row r="94" spans="1:23" ht="36.75" customHeight="1" x14ac:dyDescent="0.2">
      <c r="A94" s="101" t="s">
        <v>1807</v>
      </c>
      <c r="B94" s="102"/>
      <c r="C94" s="64" t="s">
        <v>1808</v>
      </c>
      <c r="D94" s="65">
        <v>43425</v>
      </c>
      <c r="E94" s="66"/>
      <c r="F94" s="67"/>
      <c r="G94" s="67"/>
      <c r="H94" s="67">
        <v>972.6</v>
      </c>
      <c r="I94" s="354">
        <v>945.6</v>
      </c>
      <c r="J94" s="67">
        <v>0</v>
      </c>
      <c r="K94" s="68">
        <f t="shared" si="11"/>
        <v>0</v>
      </c>
      <c r="L94" s="68">
        <f t="shared" si="12"/>
        <v>0</v>
      </c>
      <c r="M94" s="69">
        <v>2.5</v>
      </c>
      <c r="N94" s="70" t="s">
        <v>17</v>
      </c>
      <c r="O94" s="68">
        <f t="shared" si="15"/>
        <v>0</v>
      </c>
      <c r="P94" s="68">
        <f t="shared" si="16"/>
        <v>0</v>
      </c>
      <c r="Q94" s="68">
        <f t="shared" si="17"/>
        <v>0</v>
      </c>
      <c r="R94" s="68">
        <f t="shared" si="13"/>
        <v>0</v>
      </c>
      <c r="S94" s="68">
        <f t="shared" si="14"/>
        <v>12</v>
      </c>
      <c r="T94" s="68">
        <f t="shared" si="18"/>
        <v>12</v>
      </c>
      <c r="U94" s="265">
        <f t="shared" si="19"/>
        <v>933.6</v>
      </c>
      <c r="V94" s="93">
        <f t="shared" si="20"/>
        <v>0</v>
      </c>
      <c r="W94" s="449" cm="1">
        <f t="array" ref="W94">+IF(U94&lt;0,error,0)</f>
        <v>0</v>
      </c>
    </row>
    <row r="95" spans="1:23" ht="36.75" customHeight="1" x14ac:dyDescent="0.2">
      <c r="A95" s="101" t="s">
        <v>1809</v>
      </c>
      <c r="B95" s="102"/>
      <c r="C95" s="64" t="s">
        <v>1810</v>
      </c>
      <c r="D95" s="65">
        <v>43430</v>
      </c>
      <c r="E95" s="66"/>
      <c r="F95" s="67"/>
      <c r="G95" s="67"/>
      <c r="H95" s="67">
        <v>1423</v>
      </c>
      <c r="I95" s="354">
        <v>1385</v>
      </c>
      <c r="J95" s="67">
        <v>0</v>
      </c>
      <c r="K95" s="68">
        <f t="shared" si="11"/>
        <v>0</v>
      </c>
      <c r="L95" s="68">
        <f t="shared" si="12"/>
        <v>0</v>
      </c>
      <c r="M95" s="69">
        <v>2.5</v>
      </c>
      <c r="N95" s="70" t="s">
        <v>17</v>
      </c>
      <c r="O95" s="68">
        <f t="shared" si="15"/>
        <v>0</v>
      </c>
      <c r="P95" s="68">
        <f t="shared" si="16"/>
        <v>0</v>
      </c>
      <c r="Q95" s="68">
        <f t="shared" si="17"/>
        <v>0</v>
      </c>
      <c r="R95" s="68">
        <f t="shared" si="13"/>
        <v>0</v>
      </c>
      <c r="S95" s="68">
        <f t="shared" si="14"/>
        <v>17</v>
      </c>
      <c r="T95" s="68">
        <f t="shared" si="18"/>
        <v>17</v>
      </c>
      <c r="U95" s="265">
        <f t="shared" si="19"/>
        <v>1368</v>
      </c>
      <c r="V95" s="93">
        <f t="shared" si="20"/>
        <v>0</v>
      </c>
      <c r="W95" s="449" cm="1">
        <f t="array" ref="W95">+IF(U95&lt;0,error,0)</f>
        <v>0</v>
      </c>
    </row>
    <row r="96" spans="1:23" ht="36.75" customHeight="1" x14ac:dyDescent="0.2">
      <c r="A96" s="101" t="s">
        <v>2091</v>
      </c>
      <c r="B96" s="102"/>
      <c r="C96" s="64" t="s">
        <v>2094</v>
      </c>
      <c r="D96" s="65">
        <v>43558</v>
      </c>
      <c r="E96" s="66"/>
      <c r="F96" s="67"/>
      <c r="G96" s="67"/>
      <c r="H96" s="67">
        <v>376794.89</v>
      </c>
      <c r="I96" s="354">
        <v>369814.89</v>
      </c>
      <c r="J96" s="67">
        <v>0</v>
      </c>
      <c r="K96" s="68">
        <f>INT(IF($E96&gt;0,IF(+F96-I96+Q96&lt;0,0,+F96-I96+Q96),0))</f>
        <v>0</v>
      </c>
      <c r="L96" s="68">
        <f>INT(IF($E96&gt;0,IF(K96=0,-F96+I96-Q96,0),0))</f>
        <v>0</v>
      </c>
      <c r="M96" s="69">
        <v>2.5</v>
      </c>
      <c r="N96" s="70" t="s">
        <v>17</v>
      </c>
      <c r="O96" s="68">
        <f>IF(E96&gt;0,INT(IF($N96="D",IF($D96&lt;$H$3,$I96*($M96/100)*((E96-$H$3)/365),$J96*($M96/100)*($J$3-$D96)/365),0)),0)</f>
        <v>0</v>
      </c>
      <c r="P96" s="68">
        <f>IF(E96&gt;0,INT(IF($N96="P",IF($D96&lt;$H$3,$H96*($M96/100)*(E96-$H$3)/365,$J96*($M96/100)*($J$3-$D96)/365),0)),0)</f>
        <v>0</v>
      </c>
      <c r="Q96" s="68">
        <f>+O96+P96</f>
        <v>0</v>
      </c>
      <c r="R96" s="68">
        <f t="shared" si="13"/>
        <v>0</v>
      </c>
      <c r="S96" s="68">
        <f t="shared" si="14"/>
        <v>4709</v>
      </c>
      <c r="T96" s="68">
        <f>+R96+S96+Q96</f>
        <v>4709</v>
      </c>
      <c r="U96" s="265">
        <f>+I96+J96-T96</f>
        <v>365105.89</v>
      </c>
      <c r="V96" s="93">
        <f>IF(E96&gt;0,+H96+J96,0)</f>
        <v>0</v>
      </c>
      <c r="W96" s="449" cm="1">
        <f t="array" ref="W96">+IF(U96&lt;0,error,0)</f>
        <v>0</v>
      </c>
    </row>
    <row r="97" spans="1:23" ht="36.75" customHeight="1" x14ac:dyDescent="0.2">
      <c r="A97" s="101" t="s">
        <v>2092</v>
      </c>
      <c r="B97" s="102"/>
      <c r="C97" s="64" t="s">
        <v>2095</v>
      </c>
      <c r="D97" s="65">
        <v>43558</v>
      </c>
      <c r="E97" s="66"/>
      <c r="F97" s="67"/>
      <c r="G97" s="67"/>
      <c r="H97" s="67">
        <v>131260.76</v>
      </c>
      <c r="I97" s="354">
        <v>128829.76000000001</v>
      </c>
      <c r="J97" s="67">
        <v>0</v>
      </c>
      <c r="K97" s="68">
        <f>INT(IF($E97&gt;0,IF(+F97-I97+Q97&lt;0,0,+F97-I97+Q97),0))</f>
        <v>0</v>
      </c>
      <c r="L97" s="68">
        <f>INT(IF($E97&gt;0,IF(K97=0,-F97+I97-Q97,0),0))</f>
        <v>0</v>
      </c>
      <c r="M97" s="69">
        <v>2.5</v>
      </c>
      <c r="N97" s="70" t="s">
        <v>17</v>
      </c>
      <c r="O97" s="68">
        <f>IF(E97&gt;0,INT(IF($N97="D",IF($D97&lt;$H$3,$I97*($M97/100)*((E97-$H$3)/365),$J97*($M97/100)*($J$3-$D97)/365),0)),0)</f>
        <v>0</v>
      </c>
      <c r="P97" s="68">
        <f>IF(E97&gt;0,INT(IF($N97="P",IF($D97&lt;$H$3,$H97*($M97/100)*(E97-$H$3)/365,$J97*($M97/100)*($J$3-$D97)/365),0)),0)</f>
        <v>0</v>
      </c>
      <c r="Q97" s="68">
        <f>+O97+P97</f>
        <v>0</v>
      </c>
      <c r="R97" s="68">
        <f t="shared" si="13"/>
        <v>0</v>
      </c>
      <c r="S97" s="68">
        <f t="shared" si="14"/>
        <v>1640</v>
      </c>
      <c r="T97" s="68">
        <f>+R97+S97+Q97</f>
        <v>1640</v>
      </c>
      <c r="U97" s="265">
        <f>+I97+J97-T97</f>
        <v>127189.76000000001</v>
      </c>
      <c r="V97" s="93">
        <f>IF(E97&gt;0,+H97+J97,0)</f>
        <v>0</v>
      </c>
      <c r="W97" s="449" cm="1">
        <f t="array" ref="W97">+IF(U97&lt;0,error,0)</f>
        <v>0</v>
      </c>
    </row>
    <row r="98" spans="1:23" ht="36.75" customHeight="1" x14ac:dyDescent="0.2">
      <c r="A98" s="101" t="s">
        <v>2093</v>
      </c>
      <c r="B98" s="102"/>
      <c r="C98" s="64" t="s">
        <v>2096</v>
      </c>
      <c r="D98" s="65">
        <v>43451</v>
      </c>
      <c r="E98" s="66"/>
      <c r="F98" s="67"/>
      <c r="G98" s="67"/>
      <c r="H98" s="67">
        <v>12814.55</v>
      </c>
      <c r="I98" s="354">
        <v>12483.55</v>
      </c>
      <c r="J98" s="67">
        <v>0</v>
      </c>
      <c r="K98" s="68">
        <f>INT(IF($E98&gt;0,IF(+F98-I98+Q98&lt;0,0,+F98-I98+Q98),0))</f>
        <v>0</v>
      </c>
      <c r="L98" s="68">
        <f>INT(IF($E98&gt;0,IF(K98=0,-F98+I98-Q98,0),0))</f>
        <v>0</v>
      </c>
      <c r="M98" s="69">
        <v>2.5</v>
      </c>
      <c r="N98" s="70" t="s">
        <v>17</v>
      </c>
      <c r="O98" s="68">
        <f>IF(E98&gt;0,INT(IF($N98="D",IF($D98&lt;$H$3,$I98*($M98/100)*((E98-$H$3)/365),$J98*($M98/100)*($J$3-$D98)/365),0)),0)</f>
        <v>0</v>
      </c>
      <c r="P98" s="68">
        <f>IF(E98&gt;0,INT(IF($N98="P",IF($D98&lt;$H$3,$H98*($M98/100)*(E98-$H$3)/365,$J98*($M98/100)*($J$3-$D98)/365),0)),0)</f>
        <v>0</v>
      </c>
      <c r="Q98" s="68">
        <f>+O98+P98</f>
        <v>0</v>
      </c>
      <c r="R98" s="68">
        <f t="shared" si="13"/>
        <v>0</v>
      </c>
      <c r="S98" s="68">
        <f t="shared" si="14"/>
        <v>160</v>
      </c>
      <c r="T98" s="68">
        <f>+R98+S98+Q98</f>
        <v>160</v>
      </c>
      <c r="U98" s="265">
        <f>+I98+J98-T98</f>
        <v>12323.55</v>
      </c>
      <c r="V98" s="93">
        <f>IF(E98&gt;0,+H98+J98,0)</f>
        <v>0</v>
      </c>
      <c r="W98" s="449" cm="1">
        <f t="array" ref="W98">+IF(U98&lt;0,error,0)</f>
        <v>0</v>
      </c>
    </row>
    <row r="99" spans="1:23" ht="36.75" customHeight="1" x14ac:dyDescent="0.2">
      <c r="A99" s="101" t="s">
        <v>2097</v>
      </c>
      <c r="B99" s="102"/>
      <c r="C99" s="64" t="s">
        <v>2107</v>
      </c>
      <c r="D99" s="65">
        <v>43646</v>
      </c>
      <c r="E99" s="66"/>
      <c r="F99" s="67"/>
      <c r="G99" s="67"/>
      <c r="H99" s="67">
        <f>19139.4+114836.4</f>
        <v>133975.79999999999</v>
      </c>
      <c r="I99" s="354">
        <v>132301.79999999999</v>
      </c>
      <c r="J99" s="67">
        <v>0</v>
      </c>
      <c r="K99" s="68">
        <f>INT(IF($E99&gt;0,IF(+F99-I99+Q99&lt;0,0,+F99-I99+Q99),0))</f>
        <v>0</v>
      </c>
      <c r="L99" s="68">
        <f>INT(IF($E99&gt;0,IF(K99=0,-F99+I99-Q99,0),0))</f>
        <v>0</v>
      </c>
      <c r="M99" s="69">
        <v>2.5</v>
      </c>
      <c r="N99" s="70" t="s">
        <v>17</v>
      </c>
      <c r="O99" s="68">
        <f>IF(E99&gt;0,INT(IF($N99="D",IF($D99&lt;$H$3,$I99*($M99/100)*((E99-$H$3)/365),$J99*($M99/100)*($J$3-$D99)/365),0)),0)</f>
        <v>0</v>
      </c>
      <c r="P99" s="68">
        <f>IF(E99&gt;0,INT(IF($N99="P",IF($D99&lt;$H$3,$H99*($M99/100)*(E99-$H$3)/365,$J99*($M99/100)*($J$3-$D99)/365),0)),0)</f>
        <v>0</v>
      </c>
      <c r="Q99" s="68">
        <f>+O99+P99</f>
        <v>0</v>
      </c>
      <c r="R99" s="68">
        <f t="shared" si="13"/>
        <v>0</v>
      </c>
      <c r="S99" s="68">
        <f t="shared" si="14"/>
        <v>1674</v>
      </c>
      <c r="T99" s="68">
        <f>+R99+S99+Q99</f>
        <v>1674</v>
      </c>
      <c r="U99" s="265">
        <f>+I99+J99-T99</f>
        <v>130627.79999999999</v>
      </c>
      <c r="V99" s="93">
        <f>IF(E99&gt;0,+H99+J99,0)</f>
        <v>0</v>
      </c>
      <c r="W99" s="449" cm="1">
        <f t="array" ref="W99">+IF(U99&lt;0,error,0)</f>
        <v>0</v>
      </c>
    </row>
    <row r="100" spans="1:23" ht="36.75" customHeight="1" x14ac:dyDescent="0.2">
      <c r="A100" s="101" t="s">
        <v>2157</v>
      </c>
      <c r="B100" s="102"/>
      <c r="C100" s="64" t="s">
        <v>2165</v>
      </c>
      <c r="D100" s="65">
        <v>43733</v>
      </c>
      <c r="E100" s="66"/>
      <c r="F100" s="67"/>
      <c r="G100" s="67"/>
      <c r="H100" s="67">
        <v>72418.2</v>
      </c>
      <c r="I100" s="354">
        <v>71937.2</v>
      </c>
      <c r="J100" s="67">
        <v>0</v>
      </c>
      <c r="K100" s="68">
        <f t="shared" ref="K100:K106" si="21">INT(IF($E100&gt;0,IF(+F100-I100+Q100&lt;0,0,+F100-I100+Q100),0))</f>
        <v>0</v>
      </c>
      <c r="L100" s="68">
        <f t="shared" ref="L100:L106" si="22">INT(IF($E100&gt;0,IF(K100=0,-F100+I100-Q100,0),0))</f>
        <v>0</v>
      </c>
      <c r="M100" s="69">
        <v>2.5</v>
      </c>
      <c r="N100" s="70" t="s">
        <v>17</v>
      </c>
      <c r="O100" s="68">
        <f>IF(E100&gt;0,INT(IF($N100="D",IF($D100&lt;$H$3,$I100*($M100/100)*((E100-$H$3)/365),$J100*($M100/100)*($J$3-$D100)/365),0)),0)</f>
        <v>0</v>
      </c>
      <c r="P100" s="68">
        <f>IF(E100&gt;0,INT(IF($N100="P",IF($D100&lt;$H$3,$H100*($M100/100)*(E100-$H$3)/365,$J100*($M100/100)*($J$3-$D100)/365),0)),0)</f>
        <v>0</v>
      </c>
      <c r="Q100" s="68">
        <f>+O100+P100</f>
        <v>0</v>
      </c>
      <c r="R100" s="68">
        <f t="shared" si="13"/>
        <v>0</v>
      </c>
      <c r="S100" s="68">
        <f t="shared" si="14"/>
        <v>905</v>
      </c>
      <c r="T100" s="68">
        <f>+R100+S100+Q100</f>
        <v>905</v>
      </c>
      <c r="U100" s="265">
        <f>+I100+J100-T100</f>
        <v>71032.2</v>
      </c>
      <c r="V100" s="93">
        <f>IF(E100&gt;0,+H100+J100,0)</f>
        <v>0</v>
      </c>
      <c r="W100" s="449" cm="1">
        <f t="array" ref="W100">+IF(U100&lt;0,error,0)</f>
        <v>0</v>
      </c>
    </row>
    <row r="101" spans="1:23" ht="36.75" customHeight="1" x14ac:dyDescent="0.2">
      <c r="A101" s="101" t="s">
        <v>2155</v>
      </c>
      <c r="B101" s="102"/>
      <c r="C101" s="64" t="s">
        <v>2162</v>
      </c>
      <c r="D101" s="65">
        <v>43717</v>
      </c>
      <c r="E101" s="66"/>
      <c r="F101" s="67"/>
      <c r="G101" s="67"/>
      <c r="H101" s="67">
        <v>24709.56</v>
      </c>
      <c r="I101" s="354">
        <v>24518.560000000001</v>
      </c>
      <c r="J101" s="67">
        <v>0</v>
      </c>
      <c r="K101" s="68">
        <f t="shared" si="21"/>
        <v>0</v>
      </c>
      <c r="L101" s="68">
        <f t="shared" si="22"/>
        <v>0</v>
      </c>
      <c r="M101" s="69">
        <v>2.5</v>
      </c>
      <c r="N101" s="70" t="s">
        <v>17</v>
      </c>
      <c r="O101" s="68">
        <f t="shared" ref="O101:O106" si="23">IF(E101&gt;0,INT(IF($N101="D",IF($D101&lt;$H$3,$I101*($M101/100)*((E101-$H$3)/365),$J101*($M101/100)*($J$3-$D101)/365),0)),0)</f>
        <v>0</v>
      </c>
      <c r="P101" s="68">
        <f t="shared" ref="P101:P106" si="24">IF(E101&gt;0,INT(IF($N101="P",IF($D101&lt;$H$3,$H101*($M101/100)*(E101-$H$3)/365,$J101*($M101/100)*($J$3-$D101)/365),0)),0)</f>
        <v>0</v>
      </c>
      <c r="Q101" s="68">
        <f t="shared" ref="Q101:Q106" si="25">+O101+P101</f>
        <v>0</v>
      </c>
      <c r="R101" s="68">
        <f t="shared" si="13"/>
        <v>0</v>
      </c>
      <c r="S101" s="68">
        <f t="shared" si="14"/>
        <v>308</v>
      </c>
      <c r="T101" s="68">
        <f t="shared" ref="T101:T106" si="26">+R101+S101+Q101</f>
        <v>308</v>
      </c>
      <c r="U101" s="265">
        <f t="shared" ref="U101:U106" si="27">+I101+J101-T101</f>
        <v>24210.560000000001</v>
      </c>
      <c r="V101" s="93">
        <f t="shared" ref="V101:V106" si="28">IF(E101&gt;0,+H101+J101,0)</f>
        <v>0</v>
      </c>
      <c r="W101" s="449" cm="1">
        <f t="array" ref="W101">+IF(U101&lt;0,error,0)</f>
        <v>0</v>
      </c>
    </row>
    <row r="102" spans="1:23" ht="36.75" customHeight="1" x14ac:dyDescent="0.2">
      <c r="A102" s="101" t="s">
        <v>2156</v>
      </c>
      <c r="B102" s="102"/>
      <c r="C102" s="64" t="s">
        <v>2163</v>
      </c>
      <c r="D102" s="65">
        <v>43732</v>
      </c>
      <c r="E102" s="66"/>
      <c r="F102" s="67"/>
      <c r="G102" s="67"/>
      <c r="H102" s="67">
        <v>30950</v>
      </c>
      <c r="I102" s="354">
        <v>30743</v>
      </c>
      <c r="J102" s="67">
        <v>0</v>
      </c>
      <c r="K102" s="68">
        <f t="shared" si="21"/>
        <v>0</v>
      </c>
      <c r="L102" s="68">
        <f t="shared" si="22"/>
        <v>0</v>
      </c>
      <c r="M102" s="69">
        <v>2.5</v>
      </c>
      <c r="N102" s="70" t="s">
        <v>17</v>
      </c>
      <c r="O102" s="68">
        <f t="shared" si="23"/>
        <v>0</v>
      </c>
      <c r="P102" s="68">
        <f t="shared" si="24"/>
        <v>0</v>
      </c>
      <c r="Q102" s="68">
        <f t="shared" si="25"/>
        <v>0</v>
      </c>
      <c r="R102" s="68">
        <f t="shared" si="13"/>
        <v>0</v>
      </c>
      <c r="S102" s="68">
        <f t="shared" si="14"/>
        <v>386</v>
      </c>
      <c r="T102" s="68">
        <f t="shared" si="26"/>
        <v>386</v>
      </c>
      <c r="U102" s="265">
        <f t="shared" si="27"/>
        <v>30357</v>
      </c>
      <c r="V102" s="93">
        <f t="shared" si="28"/>
        <v>0</v>
      </c>
      <c r="W102" s="449" cm="1">
        <f t="array" ref="W102">+IF(U102&lt;0,error,0)</f>
        <v>0</v>
      </c>
    </row>
    <row r="103" spans="1:23" ht="36.75" customHeight="1" x14ac:dyDescent="0.2">
      <c r="A103" s="101" t="s">
        <v>2158</v>
      </c>
      <c r="B103" s="102"/>
      <c r="C103" s="64" t="s">
        <v>2167</v>
      </c>
      <c r="D103" s="65">
        <v>43753</v>
      </c>
      <c r="E103" s="66"/>
      <c r="F103" s="67"/>
      <c r="G103" s="67"/>
      <c r="H103" s="67">
        <v>13863.64</v>
      </c>
      <c r="I103" s="354">
        <v>13790.64</v>
      </c>
      <c r="J103" s="67">
        <v>0</v>
      </c>
      <c r="K103" s="68">
        <f t="shared" si="21"/>
        <v>0</v>
      </c>
      <c r="L103" s="68">
        <f t="shared" si="22"/>
        <v>0</v>
      </c>
      <c r="M103" s="69">
        <v>2.5</v>
      </c>
      <c r="N103" s="70" t="s">
        <v>17</v>
      </c>
      <c r="O103" s="68">
        <f t="shared" si="23"/>
        <v>0</v>
      </c>
      <c r="P103" s="68">
        <f t="shared" si="24"/>
        <v>0</v>
      </c>
      <c r="Q103" s="68">
        <f t="shared" si="25"/>
        <v>0</v>
      </c>
      <c r="R103" s="68">
        <f t="shared" si="13"/>
        <v>0</v>
      </c>
      <c r="S103" s="68">
        <f t="shared" si="14"/>
        <v>173</v>
      </c>
      <c r="T103" s="68">
        <f t="shared" si="26"/>
        <v>173</v>
      </c>
      <c r="U103" s="265">
        <f t="shared" si="27"/>
        <v>13617.64</v>
      </c>
      <c r="V103" s="93">
        <f t="shared" si="28"/>
        <v>0</v>
      </c>
      <c r="W103" s="449" cm="1">
        <f t="array" ref="W103">+IF(U103&lt;0,error,0)</f>
        <v>0</v>
      </c>
    </row>
    <row r="104" spans="1:23" ht="36.75" customHeight="1" x14ac:dyDescent="0.2">
      <c r="A104" s="101" t="s">
        <v>2159</v>
      </c>
      <c r="B104" s="102"/>
      <c r="C104" s="64" t="s">
        <v>2164</v>
      </c>
      <c r="D104" s="65">
        <v>43753</v>
      </c>
      <c r="E104" s="66"/>
      <c r="F104" s="67"/>
      <c r="G104" s="67"/>
      <c r="H104" s="67">
        <v>4454.54</v>
      </c>
      <c r="I104" s="354">
        <v>4431.54</v>
      </c>
      <c r="J104" s="67">
        <v>0</v>
      </c>
      <c r="K104" s="68">
        <f t="shared" si="21"/>
        <v>0</v>
      </c>
      <c r="L104" s="68">
        <f t="shared" si="22"/>
        <v>0</v>
      </c>
      <c r="M104" s="69">
        <v>2.5</v>
      </c>
      <c r="N104" s="70" t="s">
        <v>17</v>
      </c>
      <c r="O104" s="68">
        <f t="shared" si="23"/>
        <v>0</v>
      </c>
      <c r="P104" s="68">
        <f t="shared" si="24"/>
        <v>0</v>
      </c>
      <c r="Q104" s="68">
        <f t="shared" si="25"/>
        <v>0</v>
      </c>
      <c r="R104" s="68">
        <f t="shared" si="13"/>
        <v>0</v>
      </c>
      <c r="S104" s="68">
        <f t="shared" si="14"/>
        <v>55</v>
      </c>
      <c r="T104" s="68">
        <f t="shared" si="26"/>
        <v>55</v>
      </c>
      <c r="U104" s="265">
        <f t="shared" si="27"/>
        <v>4376.54</v>
      </c>
      <c r="V104" s="93">
        <f t="shared" si="28"/>
        <v>0</v>
      </c>
      <c r="W104" s="449" cm="1">
        <f t="array" ref="W104">+IF(U104&lt;0,error,0)</f>
        <v>0</v>
      </c>
    </row>
    <row r="105" spans="1:23" ht="36.75" customHeight="1" x14ac:dyDescent="0.2">
      <c r="A105" s="101" t="s">
        <v>2160</v>
      </c>
      <c r="B105" s="102"/>
      <c r="C105" s="64" t="s">
        <v>2168</v>
      </c>
      <c r="D105" s="65">
        <v>43753</v>
      </c>
      <c r="E105" s="66"/>
      <c r="F105" s="67"/>
      <c r="G105" s="67"/>
      <c r="H105" s="67">
        <v>2363.64</v>
      </c>
      <c r="I105" s="354">
        <v>2351.64</v>
      </c>
      <c r="J105" s="67">
        <v>0</v>
      </c>
      <c r="K105" s="68">
        <f t="shared" si="21"/>
        <v>0</v>
      </c>
      <c r="L105" s="68">
        <f t="shared" si="22"/>
        <v>0</v>
      </c>
      <c r="M105" s="69">
        <v>2.5</v>
      </c>
      <c r="N105" s="70" t="s">
        <v>17</v>
      </c>
      <c r="O105" s="68">
        <f t="shared" si="23"/>
        <v>0</v>
      </c>
      <c r="P105" s="68">
        <f t="shared" si="24"/>
        <v>0</v>
      </c>
      <c r="Q105" s="68">
        <f t="shared" si="25"/>
        <v>0</v>
      </c>
      <c r="R105" s="68">
        <f t="shared" si="13"/>
        <v>0</v>
      </c>
      <c r="S105" s="68">
        <f t="shared" si="14"/>
        <v>29</v>
      </c>
      <c r="T105" s="68">
        <f t="shared" si="26"/>
        <v>29</v>
      </c>
      <c r="U105" s="265">
        <f t="shared" si="27"/>
        <v>2322.64</v>
      </c>
      <c r="V105" s="93">
        <f t="shared" si="28"/>
        <v>0</v>
      </c>
      <c r="W105" s="449" cm="1">
        <f t="array" ref="W105">+IF(U105&lt;0,error,0)</f>
        <v>0</v>
      </c>
    </row>
    <row r="106" spans="1:23" ht="36.75" customHeight="1" x14ac:dyDescent="0.2">
      <c r="A106" s="101" t="s">
        <v>2161</v>
      </c>
      <c r="B106" s="102"/>
      <c r="C106" s="64" t="s">
        <v>2166</v>
      </c>
      <c r="D106" s="65">
        <v>43788</v>
      </c>
      <c r="E106" s="66"/>
      <c r="F106" s="67"/>
      <c r="G106" s="67"/>
      <c r="H106" s="67">
        <v>25737.57</v>
      </c>
      <c r="I106" s="354">
        <v>25663.57</v>
      </c>
      <c r="J106" s="67">
        <v>0</v>
      </c>
      <c r="K106" s="68">
        <f t="shared" si="21"/>
        <v>0</v>
      </c>
      <c r="L106" s="68">
        <f t="shared" si="22"/>
        <v>0</v>
      </c>
      <c r="M106" s="69">
        <v>2.5</v>
      </c>
      <c r="N106" s="70" t="s">
        <v>17</v>
      </c>
      <c r="O106" s="68">
        <f t="shared" si="23"/>
        <v>0</v>
      </c>
      <c r="P106" s="68">
        <f t="shared" si="24"/>
        <v>0</v>
      </c>
      <c r="Q106" s="68">
        <f t="shared" si="25"/>
        <v>0</v>
      </c>
      <c r="R106" s="68">
        <f t="shared" si="13"/>
        <v>0</v>
      </c>
      <c r="S106" s="68">
        <f t="shared" si="14"/>
        <v>321</v>
      </c>
      <c r="T106" s="68">
        <f t="shared" si="26"/>
        <v>321</v>
      </c>
      <c r="U106" s="265">
        <f t="shared" si="27"/>
        <v>25342.57</v>
      </c>
      <c r="V106" s="93">
        <f t="shared" si="28"/>
        <v>0</v>
      </c>
      <c r="W106" s="449" cm="1">
        <f t="array" ref="W106">+IF(U106&lt;0,error,0)</f>
        <v>0</v>
      </c>
    </row>
    <row r="107" spans="1:23" ht="36.75" customHeight="1" x14ac:dyDescent="0.2">
      <c r="A107" s="101">
        <v>738094</v>
      </c>
      <c r="B107" s="102"/>
      <c r="C107" s="326" t="s">
        <v>2386</v>
      </c>
      <c r="D107" s="65">
        <v>43878</v>
      </c>
      <c r="E107" s="66"/>
      <c r="F107" s="67"/>
      <c r="G107" s="67"/>
      <c r="H107" s="67"/>
      <c r="I107" s="354"/>
      <c r="J107" s="67">
        <f>1861.7+8900</f>
        <v>10761.7</v>
      </c>
      <c r="K107" s="68">
        <f t="shared" ref="K107" si="29">INT(IF($E107&gt;0,IF(+F107-I107+Q107&lt;0,0,+F107-I107+Q107),0))</f>
        <v>0</v>
      </c>
      <c r="L107" s="68">
        <f t="shared" ref="L107" si="30">INT(IF($E107&gt;0,IF(K107=0,-F107+I107-Q107,0),0))</f>
        <v>0</v>
      </c>
      <c r="M107" s="69">
        <v>2.5</v>
      </c>
      <c r="N107" s="70" t="s">
        <v>17</v>
      </c>
      <c r="O107" s="68">
        <f t="shared" ref="O107" si="31">IF(E107&gt;0,INT(IF($N107="D",IF($D107&lt;$H$3,$I107*($M107/100)*((E107-$H$3)/365),$J107*($M107/100)*($J$3-$D107)/365),0)),0)</f>
        <v>0</v>
      </c>
      <c r="P107" s="68">
        <f t="shared" ref="P107" si="32">IF(E107&gt;0,INT(IF($N107="P",IF($D107&lt;$H$3,$H107*($M107/100)*(E107-$H$3)/365,$J107*($M107/100)*($J$3-$D107)/365),0)),0)</f>
        <v>0</v>
      </c>
      <c r="Q107" s="68">
        <f t="shared" ref="Q107" si="33">+O107+P107</f>
        <v>0</v>
      </c>
      <c r="R107" s="68">
        <f t="shared" si="13"/>
        <v>0</v>
      </c>
      <c r="S107" s="68">
        <f t="shared" si="14"/>
        <v>98</v>
      </c>
      <c r="T107" s="68">
        <f t="shared" ref="T107" si="34">+R107+S107+Q107</f>
        <v>98</v>
      </c>
      <c r="U107" s="265">
        <f t="shared" ref="U107" si="35">+I107+J107-T107</f>
        <v>10663.7</v>
      </c>
      <c r="V107" s="93">
        <f t="shared" ref="V107" si="36">IF(E107&gt;0,+H107+J107,0)</f>
        <v>0</v>
      </c>
      <c r="W107" s="449" cm="1">
        <f t="array" ref="W107">+IF(U107&lt;0,error,0)</f>
        <v>0</v>
      </c>
    </row>
    <row r="108" spans="1:23" ht="36.75" customHeight="1" x14ac:dyDescent="0.2">
      <c r="A108" s="101"/>
      <c r="B108" s="102"/>
      <c r="C108" s="64"/>
      <c r="D108" s="65"/>
      <c r="E108" s="66"/>
      <c r="F108" s="67"/>
      <c r="G108" s="67"/>
      <c r="H108" s="67"/>
      <c r="I108" s="354"/>
      <c r="J108" s="67"/>
      <c r="K108" s="68"/>
      <c r="L108" s="68"/>
      <c r="M108" s="69"/>
      <c r="N108" s="70"/>
      <c r="O108" s="68"/>
      <c r="P108" s="68"/>
      <c r="Q108" s="68"/>
      <c r="R108" s="68"/>
      <c r="S108" s="68"/>
      <c r="T108" s="68"/>
      <c r="U108" s="265"/>
      <c r="V108" s="93"/>
      <c r="W108" s="449" cm="1">
        <f t="array" ref="W108">+IF(U108&lt;0,error,0)</f>
        <v>0</v>
      </c>
    </row>
    <row r="109" spans="1:23" ht="36.75" customHeight="1" x14ac:dyDescent="0.2">
      <c r="A109" s="103"/>
      <c r="B109" s="104"/>
      <c r="C109" s="83" t="s">
        <v>2043</v>
      </c>
      <c r="D109" s="63"/>
      <c r="E109" s="66"/>
      <c r="F109" s="67"/>
      <c r="G109" s="67"/>
      <c r="H109" s="79">
        <f>+J110-V110</f>
        <v>10761.7</v>
      </c>
      <c r="I109" s="355"/>
      <c r="J109" s="75"/>
      <c r="K109" s="75"/>
      <c r="L109" s="75"/>
      <c r="M109" s="74"/>
      <c r="N109" s="70"/>
      <c r="O109" s="70"/>
      <c r="P109" s="75"/>
      <c r="Q109" s="75"/>
      <c r="R109" s="70"/>
      <c r="S109" s="75"/>
      <c r="T109" s="75"/>
      <c r="U109" s="266"/>
      <c r="V109" s="93"/>
      <c r="W109" s="449" cm="1">
        <f t="array" ref="W109">+IF(U109&lt;0,error,0)</f>
        <v>0</v>
      </c>
    </row>
    <row r="110" spans="1:23" s="14" customFormat="1" ht="36.75" customHeight="1" x14ac:dyDescent="0.2">
      <c r="A110" s="105"/>
      <c r="B110" s="106"/>
      <c r="C110" s="77" t="s">
        <v>1825</v>
      </c>
      <c r="D110" s="76"/>
      <c r="E110" s="78"/>
      <c r="F110" s="79">
        <f>SUM(F16:F108)</f>
        <v>0</v>
      </c>
      <c r="G110" s="79">
        <f>SUM(G16:G108)</f>
        <v>0</v>
      </c>
      <c r="H110" s="268">
        <f>SUM(H16:H109)</f>
        <v>2396169.9400000004</v>
      </c>
      <c r="I110" s="353">
        <f>SUM(I16:I108)</f>
        <v>2226149.2400000002</v>
      </c>
      <c r="J110" s="268">
        <f>SUM(J16:J108)</f>
        <v>10761.7</v>
      </c>
      <c r="K110" s="79">
        <f>SUM(K16:K108)</f>
        <v>0</v>
      </c>
      <c r="L110" s="79">
        <f>SUM(L16:L108)</f>
        <v>0</v>
      </c>
      <c r="M110" s="80"/>
      <c r="N110" s="81"/>
      <c r="O110" s="79">
        <f>SUM(O16:O99)</f>
        <v>0</v>
      </c>
      <c r="P110" s="79">
        <f>SUM(P16:P99)</f>
        <v>0</v>
      </c>
      <c r="Q110" s="79"/>
      <c r="R110" s="79">
        <f>SUM(R16:R99)</f>
        <v>7119</v>
      </c>
      <c r="S110" s="79">
        <f>SUM(S16:S99)</f>
        <v>27073</v>
      </c>
      <c r="T110" s="268">
        <f>SUM(T16:T108)</f>
        <v>34435</v>
      </c>
      <c r="U110" s="267">
        <f>SUM(U16:U108)</f>
        <v>2202475.9400000004</v>
      </c>
      <c r="V110" s="79">
        <f>SUM(V16:V99)</f>
        <v>0</v>
      </c>
      <c r="W110" s="449" cm="1">
        <f t="array" ref="W110">+IF(U110&lt;0,error,0)</f>
        <v>0</v>
      </c>
    </row>
    <row r="111" spans="1:23" s="14" customFormat="1" ht="36.75" customHeight="1" x14ac:dyDescent="0.2">
      <c r="A111" s="105"/>
      <c r="B111" s="106"/>
      <c r="C111" s="82"/>
      <c r="D111" s="83"/>
      <c r="E111" s="84"/>
      <c r="F111" s="79"/>
      <c r="G111" s="79"/>
      <c r="H111" s="85"/>
      <c r="I111" s="356"/>
      <c r="J111" s="79"/>
      <c r="K111" s="79"/>
      <c r="L111" s="85"/>
      <c r="M111" s="80"/>
      <c r="N111" s="81"/>
      <c r="O111" s="81"/>
      <c r="P111" s="79"/>
      <c r="Q111" s="79"/>
      <c r="R111" s="81"/>
      <c r="S111" s="79">
        <v>18420</v>
      </c>
      <c r="T111" s="79"/>
      <c r="U111" s="267"/>
      <c r="V111" s="93"/>
      <c r="W111" s="449" cm="1">
        <f t="array" ref="W111">+IF(U111&lt;0,error,0)</f>
        <v>0</v>
      </c>
    </row>
    <row r="112" spans="1:23" ht="36.75" customHeight="1" x14ac:dyDescent="0.2">
      <c r="A112" s="107">
        <v>740</v>
      </c>
      <c r="B112" s="108"/>
      <c r="C112" s="74"/>
      <c r="D112" s="82"/>
      <c r="E112" s="86"/>
      <c r="F112" s="87"/>
      <c r="G112" s="87"/>
      <c r="H112" s="87"/>
      <c r="I112" s="357"/>
      <c r="J112" s="87"/>
      <c r="K112" s="87"/>
      <c r="L112" s="87"/>
      <c r="M112" s="82"/>
      <c r="N112" s="88"/>
      <c r="O112" s="88"/>
      <c r="P112" s="87"/>
      <c r="Q112" s="87"/>
      <c r="R112" s="88"/>
      <c r="S112" s="87"/>
      <c r="T112" s="87"/>
      <c r="U112" s="266"/>
      <c r="V112" s="93"/>
      <c r="W112" s="449" cm="1">
        <f t="array" ref="W112">+IF(U112&lt;0,error,0)</f>
        <v>0</v>
      </c>
    </row>
    <row r="113" spans="1:23" ht="36.75" customHeight="1" x14ac:dyDescent="0.2">
      <c r="A113" s="109" t="s">
        <v>2388</v>
      </c>
      <c r="B113" s="104"/>
      <c r="C113" s="74"/>
      <c r="D113" s="74"/>
      <c r="E113" s="89"/>
      <c r="F113" s="75"/>
      <c r="G113" s="75"/>
      <c r="H113" s="75"/>
      <c r="I113" s="355"/>
      <c r="J113" s="75"/>
      <c r="K113" s="75"/>
      <c r="L113" s="75"/>
      <c r="M113" s="74"/>
      <c r="N113" s="70"/>
      <c r="O113" s="70"/>
      <c r="P113" s="75"/>
      <c r="Q113" s="75"/>
      <c r="R113" s="70"/>
      <c r="S113" s="75"/>
      <c r="T113" s="75"/>
      <c r="U113" s="266"/>
      <c r="V113" s="93"/>
      <c r="W113" s="449" cm="1">
        <f t="array" ref="W113">+IF(U113&lt;0,error,0)</f>
        <v>0</v>
      </c>
    </row>
    <row r="114" spans="1:23" ht="36.75" customHeight="1" x14ac:dyDescent="0.2">
      <c r="A114" s="101" t="s">
        <v>1811</v>
      </c>
      <c r="B114" s="102"/>
      <c r="C114" s="72" t="s">
        <v>1812</v>
      </c>
      <c r="D114" s="65">
        <v>41913</v>
      </c>
      <c r="E114" s="66"/>
      <c r="F114" s="67"/>
      <c r="G114" s="75"/>
      <c r="H114" s="67">
        <v>14536.36</v>
      </c>
      <c r="I114" s="354">
        <v>0.36000000000012733</v>
      </c>
      <c r="J114" s="67"/>
      <c r="K114" s="68">
        <f t="shared" ref="K114:K119" si="37">INT(IF($E114&gt;0,IF(+F114-I114+Q114&lt;0,0,+F114-I114+Q114),0))</f>
        <v>0</v>
      </c>
      <c r="L114" s="68">
        <f t="shared" ref="L114:L119" si="38">INT(IF($E114&gt;0,IF(K114=0,-F114+I114-Q114,0),0))</f>
        <v>0</v>
      </c>
      <c r="M114" s="69">
        <v>20</v>
      </c>
      <c r="N114" s="70" t="s">
        <v>17</v>
      </c>
      <c r="O114" s="68">
        <f t="shared" ref="O114:O119" si="39">IF(E114&gt;0,INT(IF($N114="D",IF($D114&lt;$H$3,$I114*($M114/100)*((E114-$H$3)/365),$J114*($M114/100)*($J$3-$D114)/365),0)),0)</f>
        <v>0</v>
      </c>
      <c r="P114" s="68">
        <f t="shared" ref="P114:P119" si="40">IF(E114&gt;0,INT(IF($N114="P",IF($D114&lt;$H$3,$H114*($M114/100)*(E114-$H$3)/365,$J114*($M114/100)*($J$3-$D114)/365),0)),0)</f>
        <v>0</v>
      </c>
      <c r="Q114" s="68">
        <f t="shared" ref="Q114:Q119" si="41">+O114+P114</f>
        <v>0</v>
      </c>
      <c r="R114" s="68">
        <f t="shared" ref="R114:R119" si="42">INT(IF($E114&gt;0,0,(IF($N114="D",IF($D114&lt;$H$3,$I114*($M114/100)*$U$3/12,$J114*($M114/100)*($J$3-$D114)/365),0))))</f>
        <v>0</v>
      </c>
      <c r="S114" s="68">
        <f t="shared" ref="S114:S119" si="43">INT(IF($E114&gt;0,0,(IF($N114="P",IF($D114&lt;$H$3,$H114*($M114/100)*$U$3/12,$J114*($M114/100)*($J$3-$D114)/365),0))))</f>
        <v>1453</v>
      </c>
      <c r="T114" s="68">
        <v>0</v>
      </c>
      <c r="U114" s="265">
        <f t="shared" ref="U114:U119" si="44">+I114+J114-T114</f>
        <v>0.36000000000012733</v>
      </c>
      <c r="V114" s="93">
        <f t="shared" si="20"/>
        <v>0</v>
      </c>
      <c r="W114" s="449" cm="1">
        <f t="array" ref="W114">+IF(U114&lt;0,error,0)</f>
        <v>0</v>
      </c>
    </row>
    <row r="115" spans="1:23" ht="36.75" customHeight="1" x14ac:dyDescent="0.2">
      <c r="A115" s="101" t="s">
        <v>1813</v>
      </c>
      <c r="B115" s="102"/>
      <c r="C115" s="64" t="s">
        <v>1814</v>
      </c>
      <c r="D115" s="65">
        <v>42664</v>
      </c>
      <c r="E115" s="66"/>
      <c r="F115" s="67"/>
      <c r="G115" s="67"/>
      <c r="H115" s="67">
        <v>7409.09</v>
      </c>
      <c r="I115" s="354">
        <v>3720.09</v>
      </c>
      <c r="J115" s="67"/>
      <c r="K115" s="68">
        <f t="shared" si="37"/>
        <v>0</v>
      </c>
      <c r="L115" s="68">
        <f t="shared" si="38"/>
        <v>0</v>
      </c>
      <c r="M115" s="69">
        <v>20</v>
      </c>
      <c r="N115" s="70" t="s">
        <v>289</v>
      </c>
      <c r="O115" s="68">
        <f t="shared" si="39"/>
        <v>0</v>
      </c>
      <c r="P115" s="68">
        <f t="shared" si="40"/>
        <v>0</v>
      </c>
      <c r="Q115" s="68">
        <f t="shared" si="41"/>
        <v>0</v>
      </c>
      <c r="R115" s="68">
        <f t="shared" si="42"/>
        <v>372</v>
      </c>
      <c r="S115" s="68">
        <f t="shared" si="43"/>
        <v>0</v>
      </c>
      <c r="T115" s="68">
        <f>+R115+S115+Q115</f>
        <v>372</v>
      </c>
      <c r="U115" s="265">
        <f t="shared" si="44"/>
        <v>3348.09</v>
      </c>
      <c r="V115" s="93">
        <f t="shared" si="20"/>
        <v>0</v>
      </c>
      <c r="W115" s="449" cm="1">
        <f t="array" ref="W115">+IF(U115&lt;0,error,0)</f>
        <v>0</v>
      </c>
    </row>
    <row r="116" spans="1:23" ht="36.75" customHeight="1" x14ac:dyDescent="0.2">
      <c r="A116" s="101" t="s">
        <v>1815</v>
      </c>
      <c r="B116" s="102"/>
      <c r="C116" s="64" t="s">
        <v>1816</v>
      </c>
      <c r="D116" s="65">
        <v>42664</v>
      </c>
      <c r="E116" s="66"/>
      <c r="F116" s="67"/>
      <c r="G116" s="67"/>
      <c r="H116" s="67">
        <v>1227.27</v>
      </c>
      <c r="I116" s="354">
        <v>617.27</v>
      </c>
      <c r="J116" s="67"/>
      <c r="K116" s="68">
        <f t="shared" si="37"/>
        <v>0</v>
      </c>
      <c r="L116" s="68">
        <f t="shared" si="38"/>
        <v>0</v>
      </c>
      <c r="M116" s="69">
        <v>20</v>
      </c>
      <c r="N116" s="70" t="s">
        <v>289</v>
      </c>
      <c r="O116" s="68">
        <f t="shared" si="39"/>
        <v>0</v>
      </c>
      <c r="P116" s="68">
        <f t="shared" si="40"/>
        <v>0</v>
      </c>
      <c r="Q116" s="68">
        <f t="shared" si="41"/>
        <v>0</v>
      </c>
      <c r="R116" s="68">
        <f t="shared" si="42"/>
        <v>61</v>
      </c>
      <c r="S116" s="68">
        <f t="shared" si="43"/>
        <v>0</v>
      </c>
      <c r="T116" s="68">
        <f>+R116+S116+Q116</f>
        <v>61</v>
      </c>
      <c r="U116" s="265">
        <f t="shared" si="44"/>
        <v>556.27</v>
      </c>
      <c r="V116" s="93">
        <f t="shared" si="20"/>
        <v>0</v>
      </c>
      <c r="W116" s="449" cm="1">
        <f t="array" ref="W116">+IF(U116&lt;0,error,0)</f>
        <v>0</v>
      </c>
    </row>
    <row r="117" spans="1:23" ht="36.75" customHeight="1" x14ac:dyDescent="0.2">
      <c r="A117" s="101" t="s">
        <v>1817</v>
      </c>
      <c r="B117" s="102"/>
      <c r="C117" s="64" t="s">
        <v>1818</v>
      </c>
      <c r="D117" s="65">
        <v>42990</v>
      </c>
      <c r="E117" s="66"/>
      <c r="F117" s="67"/>
      <c r="G117" s="67"/>
      <c r="H117" s="67">
        <v>1471.43</v>
      </c>
      <c r="I117" s="354">
        <v>900.43000000000006</v>
      </c>
      <c r="J117" s="67"/>
      <c r="K117" s="68">
        <f t="shared" si="37"/>
        <v>0</v>
      </c>
      <c r="L117" s="68">
        <f t="shared" si="38"/>
        <v>0</v>
      </c>
      <c r="M117" s="69">
        <v>20</v>
      </c>
      <c r="N117" s="70" t="s">
        <v>289</v>
      </c>
      <c r="O117" s="68">
        <f t="shared" si="39"/>
        <v>0</v>
      </c>
      <c r="P117" s="68">
        <f t="shared" si="40"/>
        <v>0</v>
      </c>
      <c r="Q117" s="68">
        <f t="shared" si="41"/>
        <v>0</v>
      </c>
      <c r="R117" s="68">
        <f t="shared" si="42"/>
        <v>90</v>
      </c>
      <c r="S117" s="68">
        <f t="shared" si="43"/>
        <v>0</v>
      </c>
      <c r="T117" s="68">
        <f>+R117+S117+Q117</f>
        <v>90</v>
      </c>
      <c r="U117" s="265">
        <f t="shared" si="44"/>
        <v>810.43000000000006</v>
      </c>
      <c r="V117" s="93">
        <f t="shared" si="20"/>
        <v>0</v>
      </c>
      <c r="W117" s="449" cm="1">
        <f t="array" ref="W117">+IF(U117&lt;0,error,0)</f>
        <v>0</v>
      </c>
    </row>
    <row r="118" spans="1:23" ht="36.75" customHeight="1" x14ac:dyDescent="0.2">
      <c r="A118" s="101" t="s">
        <v>1819</v>
      </c>
      <c r="B118" s="102"/>
      <c r="C118" s="64" t="s">
        <v>1820</v>
      </c>
      <c r="D118" s="65">
        <v>43139</v>
      </c>
      <c r="E118" s="66"/>
      <c r="F118" s="67"/>
      <c r="G118" s="67"/>
      <c r="H118" s="67">
        <v>2500</v>
      </c>
      <c r="I118" s="354">
        <v>1679</v>
      </c>
      <c r="J118" s="67"/>
      <c r="K118" s="68">
        <f t="shared" si="37"/>
        <v>0</v>
      </c>
      <c r="L118" s="68">
        <f t="shared" si="38"/>
        <v>0</v>
      </c>
      <c r="M118" s="69">
        <v>20</v>
      </c>
      <c r="N118" s="70" t="s">
        <v>289</v>
      </c>
      <c r="O118" s="68">
        <f t="shared" si="39"/>
        <v>0</v>
      </c>
      <c r="P118" s="68">
        <f t="shared" si="40"/>
        <v>0</v>
      </c>
      <c r="Q118" s="68">
        <f t="shared" si="41"/>
        <v>0</v>
      </c>
      <c r="R118" s="68">
        <f t="shared" si="42"/>
        <v>167</v>
      </c>
      <c r="S118" s="68">
        <f t="shared" si="43"/>
        <v>0</v>
      </c>
      <c r="T118" s="68">
        <f>+R118+S118+Q118</f>
        <v>167</v>
      </c>
      <c r="U118" s="265">
        <f t="shared" si="44"/>
        <v>1512</v>
      </c>
      <c r="V118" s="93">
        <f t="shared" si="20"/>
        <v>0</v>
      </c>
      <c r="W118" s="449" cm="1">
        <f t="array" ref="W118">+IF(U118&lt;0,error,0)</f>
        <v>0</v>
      </c>
    </row>
    <row r="119" spans="1:23" ht="36.75" customHeight="1" x14ac:dyDescent="0.2">
      <c r="A119" s="101">
        <v>740006</v>
      </c>
      <c r="B119" s="102"/>
      <c r="C119" s="326" t="s">
        <v>2389</v>
      </c>
      <c r="D119" s="65">
        <v>43873</v>
      </c>
      <c r="E119" s="66"/>
      <c r="F119" s="67"/>
      <c r="G119" s="67"/>
      <c r="H119" s="67"/>
      <c r="I119" s="354"/>
      <c r="J119" s="67">
        <v>4909.09</v>
      </c>
      <c r="K119" s="68">
        <f t="shared" si="37"/>
        <v>0</v>
      </c>
      <c r="L119" s="68">
        <f t="shared" si="38"/>
        <v>0</v>
      </c>
      <c r="M119" s="69">
        <v>20</v>
      </c>
      <c r="N119" s="70" t="s">
        <v>289</v>
      </c>
      <c r="O119" s="68">
        <f t="shared" si="39"/>
        <v>0</v>
      </c>
      <c r="P119" s="68">
        <f t="shared" si="40"/>
        <v>0</v>
      </c>
      <c r="Q119" s="68">
        <f t="shared" si="41"/>
        <v>0</v>
      </c>
      <c r="R119" s="68">
        <f t="shared" si="42"/>
        <v>373</v>
      </c>
      <c r="S119" s="68">
        <f t="shared" si="43"/>
        <v>0</v>
      </c>
      <c r="T119" s="68">
        <f>+R119+S119+Q119</f>
        <v>373</v>
      </c>
      <c r="U119" s="265">
        <f t="shared" si="44"/>
        <v>4536.09</v>
      </c>
      <c r="V119" s="93">
        <f t="shared" ref="V119" si="45">IF(E119&gt;0,+H119+J119,0)</f>
        <v>0</v>
      </c>
      <c r="W119" s="449" cm="1">
        <f t="array" ref="W119">+IF(U119&lt;0,error,0)</f>
        <v>0</v>
      </c>
    </row>
    <row r="120" spans="1:23" ht="36.75" customHeight="1" x14ac:dyDescent="0.2">
      <c r="A120" s="101"/>
      <c r="B120" s="102"/>
      <c r="C120" s="64"/>
      <c r="D120" s="65"/>
      <c r="E120" s="66"/>
      <c r="F120" s="67"/>
      <c r="G120" s="67"/>
      <c r="H120" s="67"/>
      <c r="I120" s="354"/>
      <c r="J120" s="67"/>
      <c r="K120" s="68"/>
      <c r="L120" s="68"/>
      <c r="M120" s="69"/>
      <c r="N120" s="70"/>
      <c r="O120" s="68"/>
      <c r="P120" s="68"/>
      <c r="Q120" s="68"/>
      <c r="R120" s="68"/>
      <c r="S120" s="68"/>
      <c r="T120" s="68"/>
      <c r="U120" s="265"/>
      <c r="V120" s="93"/>
      <c r="W120" s="449" cm="1">
        <f t="array" ref="W120">+IF(U120&lt;0,error,0)</f>
        <v>0</v>
      </c>
    </row>
    <row r="121" spans="1:23" ht="36.75" customHeight="1" x14ac:dyDescent="0.2">
      <c r="A121" s="103"/>
      <c r="B121" s="104"/>
      <c r="C121" s="63"/>
      <c r="D121" s="63"/>
      <c r="E121" s="66"/>
      <c r="F121" s="67"/>
      <c r="G121" s="67"/>
      <c r="H121" s="67"/>
      <c r="I121" s="355"/>
      <c r="J121" s="75"/>
      <c r="K121" s="75"/>
      <c r="L121" s="75"/>
      <c r="M121" s="74"/>
      <c r="N121" s="70"/>
      <c r="O121" s="70"/>
      <c r="P121" s="75"/>
      <c r="Q121" s="75"/>
      <c r="R121" s="70"/>
      <c r="S121" s="75"/>
      <c r="T121" s="75"/>
      <c r="U121" s="266"/>
      <c r="V121" s="93"/>
      <c r="W121" s="449" cm="1">
        <f t="array" ref="W121">+IF(U121&lt;0,error,0)</f>
        <v>0</v>
      </c>
    </row>
    <row r="122" spans="1:23" ht="36.75" customHeight="1" x14ac:dyDescent="0.2">
      <c r="A122" s="103"/>
      <c r="B122" s="104"/>
      <c r="C122" s="83" t="s">
        <v>2043</v>
      </c>
      <c r="D122" s="63"/>
      <c r="E122" s="66"/>
      <c r="F122" s="67"/>
      <c r="G122" s="67"/>
      <c r="H122" s="79">
        <f>+J123-V123</f>
        <v>4909.09</v>
      </c>
      <c r="I122" s="355"/>
      <c r="J122" s="75"/>
      <c r="K122" s="75"/>
      <c r="L122" s="75"/>
      <c r="M122" s="74"/>
      <c r="N122" s="70"/>
      <c r="O122" s="70"/>
      <c r="P122" s="75"/>
      <c r="Q122" s="75"/>
      <c r="R122" s="70"/>
      <c r="S122" s="75"/>
      <c r="T122" s="75"/>
      <c r="U122" s="266"/>
      <c r="V122" s="93"/>
      <c r="W122" s="449" cm="1">
        <f t="array" ref="W122">+IF(U122&lt;0,error,0)</f>
        <v>0</v>
      </c>
    </row>
    <row r="123" spans="1:23" s="14" customFormat="1" ht="36.75" customHeight="1" x14ac:dyDescent="0.2">
      <c r="A123" s="105"/>
      <c r="B123" s="106"/>
      <c r="C123" s="77" t="s">
        <v>1657</v>
      </c>
      <c r="D123" s="83"/>
      <c r="E123" s="84"/>
      <c r="F123" s="79">
        <f t="shared" ref="F123:L123" si="46">SUM(F114:F121)</f>
        <v>0</v>
      </c>
      <c r="G123" s="79">
        <f t="shared" si="46"/>
        <v>0</v>
      </c>
      <c r="H123" s="268">
        <f>SUM(H114:H122)</f>
        <v>32053.24</v>
      </c>
      <c r="I123" s="353">
        <f>SUM(I114:I121)</f>
        <v>6917.1500000000005</v>
      </c>
      <c r="J123" s="79">
        <f t="shared" si="46"/>
        <v>4909.09</v>
      </c>
      <c r="K123" s="79">
        <f t="shared" si="46"/>
        <v>0</v>
      </c>
      <c r="L123" s="79">
        <f t="shared" si="46"/>
        <v>0</v>
      </c>
      <c r="M123" s="83"/>
      <c r="N123" s="81"/>
      <c r="O123" s="79">
        <f t="shared" ref="O123:S123" si="47">SUM(O114:O118)</f>
        <v>0</v>
      </c>
      <c r="P123" s="79">
        <f t="shared" si="47"/>
        <v>0</v>
      </c>
      <c r="Q123" s="79">
        <f t="shared" si="47"/>
        <v>0</v>
      </c>
      <c r="R123" s="79">
        <f t="shared" si="47"/>
        <v>690</v>
      </c>
      <c r="S123" s="79">
        <f t="shared" si="47"/>
        <v>1453</v>
      </c>
      <c r="T123" s="268">
        <f>SUM(T114:T121)</f>
        <v>1063</v>
      </c>
      <c r="U123" s="267">
        <f>SUM(U114:U121)</f>
        <v>10763.240000000002</v>
      </c>
      <c r="V123" s="93">
        <f>SUM(V114:V122)</f>
        <v>0</v>
      </c>
      <c r="W123" s="449" cm="1">
        <f t="array" ref="W123">+IF(U123&lt;0,error,0)</f>
        <v>0</v>
      </c>
    </row>
    <row r="124" spans="1:23" ht="36.75" customHeight="1" x14ac:dyDescent="0.2">
      <c r="A124" s="101"/>
      <c r="B124" s="102"/>
      <c r="C124" s="63"/>
      <c r="D124" s="63"/>
      <c r="E124" s="66"/>
      <c r="F124" s="67"/>
      <c r="G124" s="67"/>
      <c r="H124" s="67"/>
      <c r="I124" s="354"/>
      <c r="J124" s="67"/>
      <c r="K124" s="67"/>
      <c r="L124" s="67"/>
      <c r="M124" s="63"/>
      <c r="N124" s="63"/>
      <c r="O124" s="63">
        <v>17647</v>
      </c>
      <c r="P124" s="67">
        <v>0</v>
      </c>
      <c r="Q124" s="67"/>
      <c r="R124" s="63">
        <v>131255</v>
      </c>
      <c r="S124" s="67">
        <v>337</v>
      </c>
      <c r="T124" s="67"/>
      <c r="U124" s="265"/>
      <c r="V124" s="93"/>
      <c r="W124" s="449" cm="1">
        <f t="array" ref="W124">+IF(U124&lt;0,error,0)</f>
        <v>0</v>
      </c>
    </row>
    <row r="125" spans="1:23" ht="36.75" customHeight="1" x14ac:dyDescent="0.2">
      <c r="A125" s="103"/>
      <c r="B125" s="104"/>
      <c r="C125" s="63"/>
      <c r="D125" s="63"/>
      <c r="E125" s="66"/>
      <c r="F125" s="67"/>
      <c r="G125" s="67"/>
      <c r="H125" s="67"/>
      <c r="I125" s="355"/>
      <c r="J125" s="75"/>
      <c r="K125" s="75"/>
      <c r="L125" s="75"/>
      <c r="M125" s="74"/>
      <c r="N125" s="70"/>
      <c r="O125" s="70"/>
      <c r="P125" s="75"/>
      <c r="Q125" s="75"/>
      <c r="R125" s="70"/>
      <c r="S125" s="75"/>
      <c r="T125" s="75"/>
      <c r="U125" s="266"/>
      <c r="V125" s="93"/>
      <c r="W125" s="449" cm="1">
        <f t="array" ref="W125">+IF(U125&lt;0,error,0)</f>
        <v>0</v>
      </c>
    </row>
    <row r="126" spans="1:23" ht="36.75" customHeight="1" x14ac:dyDescent="0.2">
      <c r="A126" s="103"/>
      <c r="B126" s="104"/>
      <c r="C126" s="63"/>
      <c r="D126" s="63"/>
      <c r="E126" s="66"/>
      <c r="F126" s="67"/>
      <c r="G126" s="67"/>
      <c r="H126" s="67"/>
      <c r="I126" s="355"/>
      <c r="J126" s="75"/>
      <c r="K126" s="75"/>
      <c r="L126" s="75"/>
      <c r="M126" s="74"/>
      <c r="N126" s="70"/>
      <c r="O126" s="70"/>
      <c r="P126" s="75"/>
      <c r="Q126" s="75"/>
      <c r="R126" s="70"/>
      <c r="S126" s="75"/>
      <c r="T126" s="75"/>
      <c r="U126" s="266"/>
      <c r="V126" s="93"/>
      <c r="W126" s="449" cm="1">
        <f t="array" ref="W126">+IF(U126&lt;0,error,0)</f>
        <v>0</v>
      </c>
    </row>
    <row r="127" spans="1:23" s="14" customFormat="1" ht="36.75" customHeight="1" x14ac:dyDescent="0.2">
      <c r="A127" s="112"/>
      <c r="B127" s="113"/>
      <c r="C127" s="97" t="s">
        <v>1658</v>
      </c>
      <c r="D127" s="97"/>
      <c r="E127" s="98"/>
      <c r="F127" s="99">
        <f t="shared" ref="F127:L127" si="48">+F110+F123+F13</f>
        <v>0</v>
      </c>
      <c r="G127" s="99">
        <f t="shared" si="48"/>
        <v>0</v>
      </c>
      <c r="H127" s="99">
        <f t="shared" si="48"/>
        <v>4353286.3900000006</v>
      </c>
      <c r="I127" s="358">
        <f t="shared" si="48"/>
        <v>4158129.6</v>
      </c>
      <c r="J127" s="99">
        <f t="shared" si="48"/>
        <v>15670.79</v>
      </c>
      <c r="K127" s="99">
        <f t="shared" si="48"/>
        <v>0</v>
      </c>
      <c r="L127" s="99">
        <f t="shared" si="48"/>
        <v>0</v>
      </c>
      <c r="M127" s="96"/>
      <c r="N127" s="100"/>
      <c r="O127" s="99" t="e">
        <f>+O110+O123+#REF!+#REF!+#REF!</f>
        <v>#REF!</v>
      </c>
      <c r="P127" s="99" t="e">
        <f>+P110+P123+#REF!+#REF!+#REF!</f>
        <v>#REF!</v>
      </c>
      <c r="Q127" s="99"/>
      <c r="R127" s="99" t="e">
        <f>+R110+R123+#REF!+#REF!+#REF!</f>
        <v>#REF!</v>
      </c>
      <c r="S127" s="99" t="e">
        <f>+S110+S123+#REF!+#REF!+#REF!</f>
        <v>#REF!</v>
      </c>
      <c r="T127" s="99">
        <f>+T110+T123+T13</f>
        <v>35498</v>
      </c>
      <c r="U127" s="322">
        <f>+U110+U123+U13</f>
        <v>4138302.3900000006</v>
      </c>
      <c r="V127" s="99">
        <f>+V110+V123+V13</f>
        <v>0</v>
      </c>
      <c r="W127" s="449" cm="1">
        <f t="array" ref="W127">+IF(U127&lt;0,error,0)</f>
        <v>0</v>
      </c>
    </row>
    <row r="128" spans="1:23" ht="18" customHeight="1" x14ac:dyDescent="0.2">
      <c r="A128" s="41"/>
      <c r="B128" s="41"/>
      <c r="C128" s="41" t="s">
        <v>1659</v>
      </c>
      <c r="D128" s="42"/>
      <c r="E128" s="43"/>
      <c r="F128" s="9"/>
      <c r="G128" s="9"/>
      <c r="H128" s="9"/>
      <c r="I128" s="359">
        <v>4158129.6</v>
      </c>
      <c r="J128" s="9"/>
      <c r="K128" s="9"/>
      <c r="L128" s="9"/>
      <c r="N128" s="46"/>
      <c r="O128" s="46"/>
      <c r="P128" s="9"/>
      <c r="Q128" s="9"/>
      <c r="R128" s="46"/>
      <c r="S128" s="9"/>
      <c r="T128" s="9"/>
      <c r="U128" s="259">
        <v>4138302.39</v>
      </c>
      <c r="V128" s="10">
        <f>+U127-U128</f>
        <v>0</v>
      </c>
    </row>
    <row r="129" spans="1:22" ht="18" hidden="1" customHeight="1" x14ac:dyDescent="0.2">
      <c r="C129" s="42"/>
      <c r="D129" s="42"/>
      <c r="E129" s="43"/>
      <c r="F129" s="9"/>
      <c r="G129" s="9"/>
      <c r="H129" s="9">
        <f>+H127-H128</f>
        <v>4353286.3900000006</v>
      </c>
      <c r="I129" s="360"/>
      <c r="J129" s="10">
        <f>+J127-J128</f>
        <v>15670.79</v>
      </c>
      <c r="K129" s="10"/>
      <c r="L129" s="10">
        <f>+K127-L127</f>
        <v>0</v>
      </c>
      <c r="P129" s="10"/>
      <c r="Q129" s="10"/>
      <c r="S129" s="10"/>
      <c r="T129" s="10"/>
      <c r="U129" s="257"/>
      <c r="V129" s="10"/>
    </row>
    <row r="130" spans="1:22" ht="18" customHeight="1" x14ac:dyDescent="0.2">
      <c r="A130" s="41"/>
      <c r="B130" s="41"/>
      <c r="C130" s="41"/>
      <c r="D130" s="41"/>
      <c r="E130" s="47"/>
      <c r="F130" s="48"/>
      <c r="G130" s="48"/>
      <c r="H130" s="48"/>
      <c r="I130" s="361" t="s">
        <v>1668</v>
      </c>
      <c r="J130" s="49"/>
      <c r="K130" s="10"/>
      <c r="L130" s="10">
        <f>+L128-L129</f>
        <v>0</v>
      </c>
      <c r="P130" s="10"/>
      <c r="Q130" s="10"/>
      <c r="S130" s="10"/>
      <c r="T130" s="10"/>
      <c r="U130" s="320" t="s">
        <v>1668</v>
      </c>
      <c r="V130" s="10">
        <f>+U127-U128</f>
        <v>0</v>
      </c>
    </row>
    <row r="131" spans="1:22" ht="18" customHeight="1" x14ac:dyDescent="0.2">
      <c r="C131" s="42"/>
      <c r="D131" s="42"/>
      <c r="E131" s="50"/>
      <c r="F131" s="51"/>
      <c r="G131" s="51"/>
      <c r="H131" s="42"/>
      <c r="I131" s="361" t="s">
        <v>1669</v>
      </c>
      <c r="P131" s="10"/>
      <c r="Q131" s="10"/>
      <c r="S131" s="10"/>
      <c r="T131" s="10"/>
      <c r="U131" s="320" t="s">
        <v>1669</v>
      </c>
      <c r="V131" s="10"/>
    </row>
    <row r="132" spans="1:22" ht="18" customHeight="1" x14ac:dyDescent="0.2">
      <c r="C132" s="15" t="s">
        <v>1663</v>
      </c>
      <c r="D132" s="42"/>
      <c r="E132" s="50"/>
      <c r="F132" s="51"/>
      <c r="G132" s="51"/>
      <c r="H132" s="42"/>
      <c r="I132" s="362">
        <v>43830</v>
      </c>
      <c r="P132" s="10"/>
      <c r="Q132" s="10"/>
      <c r="S132" s="10"/>
      <c r="T132" s="10"/>
      <c r="U132" s="53">
        <v>44012</v>
      </c>
      <c r="V132" s="10"/>
    </row>
    <row r="133" spans="1:22" ht="18" customHeight="1" x14ac:dyDescent="0.2">
      <c r="C133" s="42"/>
      <c r="D133" s="42"/>
      <c r="E133" s="50"/>
      <c r="F133" s="51"/>
      <c r="G133" s="51"/>
      <c r="H133" s="42"/>
      <c r="P133" s="10"/>
      <c r="Q133" s="10"/>
      <c r="S133" s="10"/>
      <c r="T133" s="10"/>
      <c r="U133" s="257"/>
      <c r="V133" s="10"/>
    </row>
    <row r="134" spans="1:22" x14ac:dyDescent="0.2">
      <c r="C134" s="42"/>
      <c r="D134" s="42"/>
      <c r="E134" s="50"/>
      <c r="F134" s="51"/>
      <c r="G134" s="51"/>
      <c r="H134" s="42"/>
      <c r="P134" s="10"/>
      <c r="Q134" s="10"/>
      <c r="S134" s="10"/>
      <c r="T134" s="10"/>
      <c r="U134" s="257"/>
      <c r="V134" s="10"/>
    </row>
    <row r="135" spans="1:22" x14ac:dyDescent="0.2">
      <c r="C135" s="42"/>
      <c r="D135" s="42"/>
      <c r="E135" s="50"/>
      <c r="F135" s="51"/>
      <c r="G135" s="51"/>
      <c r="H135" s="42"/>
      <c r="P135" s="10"/>
      <c r="Q135" s="10"/>
      <c r="S135" s="10"/>
      <c r="T135" s="10"/>
      <c r="U135" s="257"/>
      <c r="V135" s="10"/>
    </row>
    <row r="136" spans="1:22" x14ac:dyDescent="0.2">
      <c r="C136" s="42"/>
      <c r="D136" s="42"/>
      <c r="E136" s="50"/>
      <c r="F136" s="51"/>
      <c r="G136" s="51"/>
      <c r="H136" s="42"/>
      <c r="P136" s="10"/>
      <c r="Q136" s="10"/>
      <c r="S136" s="10"/>
      <c r="T136" s="10"/>
      <c r="U136" s="257"/>
      <c r="V136" s="10"/>
    </row>
    <row r="137" spans="1:22" x14ac:dyDescent="0.2">
      <c r="C137" s="42"/>
      <c r="D137" s="42"/>
      <c r="E137" s="50"/>
      <c r="F137" s="51"/>
      <c r="G137" s="51"/>
      <c r="H137" s="42"/>
      <c r="P137" s="10"/>
      <c r="Q137" s="10"/>
      <c r="S137" s="10"/>
      <c r="T137" s="10"/>
      <c r="U137" s="257"/>
      <c r="V137" s="10"/>
    </row>
    <row r="138" spans="1:22" x14ac:dyDescent="0.2">
      <c r="C138" s="42"/>
      <c r="D138" s="42"/>
      <c r="E138" s="50"/>
      <c r="F138" s="51"/>
      <c r="G138" s="51"/>
      <c r="H138" s="42"/>
      <c r="P138" s="10"/>
      <c r="Q138" s="10"/>
      <c r="S138" s="10"/>
      <c r="T138" s="10"/>
      <c r="U138" s="257"/>
      <c r="V138" s="10"/>
    </row>
    <row r="139" spans="1:22" x14ac:dyDescent="0.2">
      <c r="C139" s="42"/>
      <c r="D139" s="42"/>
      <c r="E139" s="50"/>
      <c r="F139" s="51"/>
      <c r="G139" s="51"/>
      <c r="H139" s="42"/>
      <c r="P139" s="10"/>
      <c r="Q139" s="10"/>
      <c r="S139" s="10"/>
      <c r="T139" s="10"/>
      <c r="U139" s="257"/>
      <c r="V139" s="10"/>
    </row>
    <row r="140" spans="1:22" x14ac:dyDescent="0.2">
      <c r="C140" s="42"/>
      <c r="D140" s="42"/>
      <c r="E140" s="50"/>
      <c r="F140" s="51"/>
      <c r="G140" s="51"/>
      <c r="H140" s="42"/>
      <c r="P140" s="10"/>
      <c r="Q140" s="10"/>
      <c r="S140" s="10"/>
      <c r="T140" s="10"/>
      <c r="U140" s="257"/>
      <c r="V140" s="10"/>
    </row>
    <row r="141" spans="1:22" x14ac:dyDescent="0.2">
      <c r="C141" s="42"/>
      <c r="D141" s="42"/>
      <c r="E141" s="50"/>
      <c r="F141" s="51"/>
      <c r="G141" s="51"/>
      <c r="H141" s="42"/>
      <c r="P141" s="10"/>
      <c r="Q141" s="10"/>
      <c r="S141" s="10"/>
      <c r="T141" s="10"/>
      <c r="U141" s="257"/>
      <c r="V141" s="10"/>
    </row>
    <row r="142" spans="1:22" x14ac:dyDescent="0.2">
      <c r="C142" s="42"/>
      <c r="D142" s="42"/>
      <c r="E142" s="50"/>
      <c r="F142" s="51"/>
      <c r="G142" s="51"/>
      <c r="H142" s="42"/>
      <c r="P142" s="10"/>
      <c r="Q142" s="10"/>
      <c r="S142" s="10"/>
      <c r="T142" s="10"/>
      <c r="U142" s="257"/>
      <c r="V142" s="10"/>
    </row>
    <row r="143" spans="1:22" x14ac:dyDescent="0.2">
      <c r="C143" s="42"/>
      <c r="D143" s="42"/>
      <c r="E143" s="50"/>
      <c r="F143" s="51"/>
      <c r="G143" s="51"/>
      <c r="H143" s="42"/>
      <c r="P143" s="10"/>
      <c r="Q143" s="10"/>
      <c r="S143" s="10"/>
      <c r="T143" s="10"/>
      <c r="U143" s="257"/>
      <c r="V143" s="10"/>
    </row>
    <row r="144" spans="1:22" x14ac:dyDescent="0.2">
      <c r="C144" s="42"/>
      <c r="D144" s="42"/>
      <c r="E144" s="50"/>
      <c r="F144" s="51"/>
      <c r="G144" s="51"/>
      <c r="H144" s="42"/>
      <c r="P144" s="10"/>
      <c r="Q144" s="10"/>
      <c r="S144" s="10"/>
      <c r="T144" s="10"/>
      <c r="U144" s="257"/>
      <c r="V144" s="10"/>
    </row>
    <row r="145" spans="3:22" x14ac:dyDescent="0.2">
      <c r="C145" s="42"/>
      <c r="D145" s="42"/>
      <c r="E145" s="50"/>
      <c r="F145" s="51"/>
      <c r="G145" s="51"/>
      <c r="H145" s="42"/>
      <c r="P145" s="10"/>
      <c r="Q145" s="10"/>
      <c r="S145" s="10"/>
      <c r="T145" s="10"/>
      <c r="U145" s="257"/>
      <c r="V145" s="10"/>
    </row>
    <row r="146" spans="3:22" x14ac:dyDescent="0.2">
      <c r="C146" s="42"/>
      <c r="D146" s="42"/>
      <c r="E146" s="50"/>
      <c r="F146" s="51"/>
      <c r="G146" s="51"/>
      <c r="H146" s="42"/>
      <c r="P146" s="10"/>
      <c r="Q146" s="10"/>
      <c r="S146" s="10"/>
      <c r="T146" s="10"/>
      <c r="U146" s="257"/>
      <c r="V146" s="10"/>
    </row>
    <row r="147" spans="3:22" x14ac:dyDescent="0.2">
      <c r="C147" s="42"/>
      <c r="D147" s="42"/>
      <c r="E147" s="50"/>
      <c r="F147" s="51"/>
      <c r="G147" s="51"/>
      <c r="P147" s="10"/>
      <c r="Q147" s="10"/>
      <c r="S147" s="10"/>
      <c r="T147" s="10"/>
      <c r="U147" s="257"/>
      <c r="V147" s="10"/>
    </row>
    <row r="148" spans="3:22" x14ac:dyDescent="0.2">
      <c r="C148" s="42"/>
      <c r="D148" s="42"/>
      <c r="E148" s="50"/>
      <c r="F148" s="51"/>
      <c r="G148" s="51"/>
      <c r="H148" s="42"/>
      <c r="P148" s="10"/>
      <c r="Q148" s="10"/>
      <c r="S148" s="10"/>
      <c r="T148" s="10"/>
      <c r="U148" s="257"/>
      <c r="V148" s="10"/>
    </row>
    <row r="149" spans="3:22" x14ac:dyDescent="0.2">
      <c r="P149" s="10"/>
      <c r="Q149" s="10"/>
      <c r="S149" s="10"/>
      <c r="T149" s="10"/>
      <c r="U149" s="257"/>
      <c r="V149" s="10"/>
    </row>
    <row r="150" spans="3:22" x14ac:dyDescent="0.2">
      <c r="P150" s="10"/>
      <c r="Q150" s="10"/>
      <c r="S150" s="10"/>
      <c r="T150" s="10"/>
      <c r="U150" s="257"/>
      <c r="V150" s="10"/>
    </row>
    <row r="151" spans="3:22" x14ac:dyDescent="0.2">
      <c r="F151" s="51"/>
      <c r="G151" s="51"/>
      <c r="H151" s="42"/>
      <c r="P151" s="10"/>
      <c r="Q151" s="10"/>
      <c r="S151" s="10"/>
      <c r="T151" s="10"/>
      <c r="U151" s="257"/>
      <c r="V151" s="10"/>
    </row>
    <row r="152" spans="3:22" x14ac:dyDescent="0.2">
      <c r="P152" s="10"/>
      <c r="Q152" s="10"/>
      <c r="S152" s="10"/>
      <c r="T152" s="10"/>
      <c r="U152" s="257"/>
      <c r="V152" s="10"/>
    </row>
    <row r="153" spans="3:22" x14ac:dyDescent="0.2">
      <c r="P153" s="10"/>
      <c r="Q153" s="10"/>
      <c r="S153" s="10"/>
      <c r="T153" s="10"/>
      <c r="U153" s="257"/>
      <c r="V153" s="10"/>
    </row>
    <row r="154" spans="3:22" x14ac:dyDescent="0.2">
      <c r="P154" s="10"/>
      <c r="Q154" s="10"/>
      <c r="S154" s="10"/>
      <c r="T154" s="10"/>
      <c r="U154" s="257"/>
      <c r="V154" s="10"/>
    </row>
    <row r="155" spans="3:22" x14ac:dyDescent="0.2">
      <c r="P155" s="10"/>
      <c r="Q155" s="10"/>
      <c r="S155" s="10"/>
      <c r="T155" s="10"/>
      <c r="U155" s="257"/>
      <c r="V155" s="10"/>
    </row>
    <row r="156" spans="3:22" x14ac:dyDescent="0.2">
      <c r="P156" s="10"/>
      <c r="Q156" s="10"/>
      <c r="S156" s="10"/>
      <c r="T156" s="10"/>
      <c r="U156" s="257"/>
      <c r="V156" s="10"/>
    </row>
    <row r="157" spans="3:22" x14ac:dyDescent="0.2">
      <c r="P157" s="10"/>
      <c r="Q157" s="10"/>
      <c r="S157" s="10"/>
      <c r="T157" s="10"/>
      <c r="U157" s="257"/>
      <c r="V157" s="10"/>
    </row>
    <row r="158" spans="3:22" x14ac:dyDescent="0.2">
      <c r="P158" s="10"/>
      <c r="Q158" s="10"/>
      <c r="S158" s="10"/>
      <c r="T158" s="10"/>
      <c r="U158" s="257"/>
      <c r="V158" s="10"/>
    </row>
    <row r="159" spans="3:22" x14ac:dyDescent="0.2">
      <c r="P159" s="10"/>
      <c r="Q159" s="10"/>
      <c r="S159" s="10"/>
      <c r="T159" s="10"/>
      <c r="U159" s="257"/>
      <c r="V159" s="10"/>
    </row>
    <row r="160" spans="3:22" x14ac:dyDescent="0.2">
      <c r="P160" s="10"/>
      <c r="Q160" s="10"/>
      <c r="S160" s="10"/>
      <c r="T160" s="10"/>
      <c r="U160" s="257"/>
      <c r="V160" s="10"/>
    </row>
    <row r="161" spans="16:22" x14ac:dyDescent="0.2">
      <c r="P161" s="10"/>
      <c r="Q161" s="10"/>
      <c r="S161" s="10"/>
      <c r="T161" s="10"/>
      <c r="U161" s="257"/>
      <c r="V161" s="10"/>
    </row>
    <row r="162" spans="16:22" x14ac:dyDescent="0.2">
      <c r="P162" s="10"/>
      <c r="Q162" s="10"/>
      <c r="S162" s="10"/>
      <c r="T162" s="10"/>
      <c r="U162" s="257"/>
      <c r="V162" s="10"/>
    </row>
    <row r="163" spans="16:22" x14ac:dyDescent="0.2">
      <c r="P163" s="10"/>
      <c r="Q163" s="10"/>
      <c r="S163" s="10"/>
      <c r="T163" s="10"/>
      <c r="U163" s="257"/>
      <c r="V163" s="10"/>
    </row>
    <row r="164" spans="16:22" x14ac:dyDescent="0.2">
      <c r="P164" s="10"/>
      <c r="Q164" s="10"/>
      <c r="S164" s="10"/>
      <c r="T164" s="10"/>
      <c r="U164" s="257"/>
      <c r="V164" s="10"/>
    </row>
    <row r="165" spans="16:22" x14ac:dyDescent="0.2">
      <c r="P165" s="10"/>
      <c r="Q165" s="10"/>
      <c r="S165" s="10"/>
      <c r="T165" s="10"/>
      <c r="U165" s="257"/>
      <c r="V165" s="10"/>
    </row>
    <row r="166" spans="16:22" x14ac:dyDescent="0.2">
      <c r="P166" s="10"/>
      <c r="Q166" s="10"/>
      <c r="S166" s="10"/>
      <c r="T166" s="10"/>
      <c r="U166" s="257"/>
      <c r="V166" s="10"/>
    </row>
    <row r="167" spans="16:22" x14ac:dyDescent="0.2">
      <c r="P167" s="10"/>
      <c r="Q167" s="10"/>
      <c r="S167" s="10"/>
      <c r="T167" s="10"/>
      <c r="U167" s="257"/>
      <c r="V167" s="10"/>
    </row>
    <row r="168" spans="16:22" x14ac:dyDescent="0.2">
      <c r="P168" s="10"/>
      <c r="Q168" s="10"/>
      <c r="S168" s="10"/>
      <c r="T168" s="10"/>
      <c r="U168" s="257"/>
      <c r="V168" s="10"/>
    </row>
    <row r="169" spans="16:22" x14ac:dyDescent="0.2">
      <c r="P169" s="10"/>
      <c r="Q169" s="10"/>
      <c r="S169" s="10"/>
      <c r="T169" s="10"/>
      <c r="U169" s="257"/>
      <c r="V169" s="10"/>
    </row>
    <row r="170" spans="16:22" x14ac:dyDescent="0.2">
      <c r="P170" s="10"/>
      <c r="Q170" s="10"/>
      <c r="S170" s="10"/>
      <c r="T170" s="10"/>
      <c r="U170" s="257"/>
      <c r="V170" s="10"/>
    </row>
    <row r="171" spans="16:22" x14ac:dyDescent="0.2">
      <c r="P171" s="10"/>
      <c r="Q171" s="10"/>
      <c r="S171" s="10"/>
      <c r="T171" s="10"/>
      <c r="U171" s="257"/>
      <c r="V171" s="10"/>
    </row>
    <row r="172" spans="16:22" x14ac:dyDescent="0.2">
      <c r="P172" s="10"/>
      <c r="Q172" s="10"/>
      <c r="S172" s="10"/>
      <c r="T172" s="10"/>
      <c r="U172" s="257"/>
      <c r="V172" s="10"/>
    </row>
    <row r="173" spans="16:22" x14ac:dyDescent="0.2">
      <c r="P173" s="10"/>
      <c r="Q173" s="10"/>
      <c r="S173" s="10"/>
      <c r="T173" s="10"/>
      <c r="U173" s="257"/>
      <c r="V173" s="10"/>
    </row>
    <row r="174" spans="16:22" x14ac:dyDescent="0.2">
      <c r="P174" s="10"/>
      <c r="Q174" s="10"/>
      <c r="S174" s="10"/>
      <c r="T174" s="10"/>
      <c r="U174" s="257"/>
    </row>
    <row r="175" spans="16:22" x14ac:dyDescent="0.2">
      <c r="P175" s="10"/>
      <c r="Q175" s="10"/>
      <c r="S175" s="10"/>
      <c r="T175" s="10"/>
      <c r="U175" s="257"/>
    </row>
    <row r="176" spans="16:22" x14ac:dyDescent="0.2">
      <c r="P176" s="10"/>
      <c r="Q176" s="10"/>
      <c r="S176" s="10"/>
      <c r="T176" s="10"/>
      <c r="U176" s="257"/>
    </row>
    <row r="177" spans="16:21" x14ac:dyDescent="0.2">
      <c r="P177" s="10"/>
      <c r="Q177" s="10"/>
      <c r="S177" s="10"/>
      <c r="T177" s="10"/>
      <c r="U177" s="257"/>
    </row>
    <row r="178" spans="16:21" x14ac:dyDescent="0.2">
      <c r="P178" s="10"/>
      <c r="Q178" s="10"/>
      <c r="S178" s="10"/>
      <c r="T178" s="10"/>
      <c r="U178" s="257"/>
    </row>
    <row r="179" spans="16:21" x14ac:dyDescent="0.2">
      <c r="P179" s="10"/>
      <c r="Q179" s="10"/>
      <c r="S179" s="10"/>
      <c r="T179" s="10"/>
      <c r="U179" s="257"/>
    </row>
    <row r="180" spans="16:21" x14ac:dyDescent="0.2">
      <c r="P180" s="10"/>
      <c r="Q180" s="10"/>
      <c r="S180" s="10"/>
      <c r="T180" s="10"/>
      <c r="U180" s="257"/>
    </row>
    <row r="181" spans="16:21" x14ac:dyDescent="0.2">
      <c r="P181" s="10"/>
      <c r="Q181" s="10"/>
      <c r="S181" s="10"/>
      <c r="T181" s="10"/>
      <c r="U181" s="257"/>
    </row>
  </sheetData>
  <mergeCells count="2">
    <mergeCell ref="D1:U1"/>
    <mergeCell ref="D2:U2"/>
  </mergeCells>
  <pageMargins left="0.23622047244094491" right="0.23622047244094491" top="0.74803149606299213" bottom="0.74803149606299213" header="0.31496062992125984" footer="0.31496062992125984"/>
  <pageSetup paperSize="9" scale="47" fitToHeight="3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3CF3A-6A8B-4BD3-BE16-525B42B4B46E}">
  <dimension ref="A1:P153"/>
  <sheetViews>
    <sheetView workbookViewId="0">
      <selection activeCell="E33" sqref="E33"/>
    </sheetView>
  </sheetViews>
  <sheetFormatPr defaultColWidth="9.140625" defaultRowHeight="12.75" x14ac:dyDescent="0.2"/>
  <cols>
    <col min="1" max="1" width="20.7109375" style="132" customWidth="1"/>
    <col min="2" max="2" width="9.140625" style="132"/>
    <col min="3" max="3" width="15.5703125" style="132" bestFit="1" customWidth="1"/>
    <col min="4" max="4" width="4" style="132" bestFit="1" customWidth="1"/>
    <col min="5" max="5" width="78.28515625" style="132" bestFit="1" customWidth="1"/>
    <col min="6" max="6" width="15.5703125" style="132" customWidth="1"/>
    <col min="7" max="7" width="15.28515625" style="132" customWidth="1"/>
    <col min="8" max="9" width="13.28515625" style="132" customWidth="1"/>
    <col min="10" max="10" width="12.7109375" style="134" bestFit="1" customWidth="1"/>
    <col min="11" max="11" width="13.140625" style="134" bestFit="1" customWidth="1"/>
    <col min="12" max="12" width="17.7109375" style="134" customWidth="1"/>
    <col min="13" max="13" width="12.42578125" style="132" bestFit="1" customWidth="1"/>
    <col min="14" max="14" width="10.5703125" style="132" bestFit="1" customWidth="1"/>
    <col min="15" max="15" width="11.28515625" style="132" bestFit="1" customWidth="1"/>
    <col min="16" max="16" width="11.5703125" style="132" bestFit="1" customWidth="1"/>
    <col min="17" max="16384" width="9.140625" style="132"/>
  </cols>
  <sheetData>
    <row r="1" spans="1:12" ht="15" x14ac:dyDescent="0.25">
      <c r="B1" s="294" t="s">
        <v>1826</v>
      </c>
    </row>
    <row r="2" spans="1:12" ht="15" x14ac:dyDescent="0.25">
      <c r="C2" s="135">
        <v>43831</v>
      </c>
      <c r="E2" s="133" t="s">
        <v>1827</v>
      </c>
      <c r="F2" s="133"/>
      <c r="G2" s="133"/>
      <c r="H2" s="133"/>
      <c r="I2" s="133"/>
      <c r="K2" s="136">
        <v>2148436.02</v>
      </c>
    </row>
    <row r="3" spans="1:12" ht="15" x14ac:dyDescent="0.25">
      <c r="C3" s="135"/>
      <c r="E3" s="137" t="s">
        <v>1828</v>
      </c>
      <c r="F3" s="137"/>
      <c r="G3" s="137"/>
      <c r="H3" s="137"/>
      <c r="I3" s="137"/>
    </row>
    <row r="4" spans="1:12" ht="15" x14ac:dyDescent="0.25">
      <c r="A4" s="132" t="s">
        <v>2280</v>
      </c>
      <c r="C4" s="135">
        <v>43867</v>
      </c>
      <c r="E4" s="138" t="s">
        <v>2281</v>
      </c>
      <c r="F4" s="138"/>
      <c r="G4" s="138"/>
      <c r="H4" s="138"/>
      <c r="I4" s="138"/>
      <c r="J4" s="295">
        <v>14020.58</v>
      </c>
      <c r="K4" s="132"/>
    </row>
    <row r="5" spans="1:12" ht="15" x14ac:dyDescent="0.25">
      <c r="C5" s="135"/>
      <c r="E5" s="138"/>
      <c r="F5" s="138"/>
      <c r="G5" s="138"/>
      <c r="H5" s="138"/>
      <c r="I5" s="138"/>
      <c r="J5" s="295"/>
      <c r="K5" s="132"/>
    </row>
    <row r="6" spans="1:12" ht="15" x14ac:dyDescent="0.25">
      <c r="C6" s="135"/>
      <c r="E6" s="138"/>
      <c r="F6" s="138"/>
      <c r="G6" s="138"/>
      <c r="H6" s="138"/>
      <c r="I6" s="138"/>
      <c r="J6" s="140"/>
      <c r="K6" s="134">
        <f>SUM(J4:J6)</f>
        <v>14020.58</v>
      </c>
      <c r="L6" s="132"/>
    </row>
    <row r="7" spans="1:12" ht="15" x14ac:dyDescent="0.25">
      <c r="C7" s="135"/>
      <c r="E7" s="137" t="s">
        <v>1852</v>
      </c>
      <c r="F7" s="137"/>
      <c r="G7" s="137"/>
      <c r="H7" s="137"/>
      <c r="I7" s="137"/>
    </row>
    <row r="8" spans="1:12" ht="15" x14ac:dyDescent="0.25">
      <c r="A8" s="132" t="s">
        <v>2282</v>
      </c>
      <c r="C8" s="135">
        <v>43836</v>
      </c>
      <c r="E8" s="138" t="s">
        <v>2283</v>
      </c>
      <c r="F8" s="138"/>
      <c r="G8" s="138"/>
      <c r="H8" s="138"/>
      <c r="I8" s="138"/>
      <c r="J8" s="295">
        <v>433.2</v>
      </c>
      <c r="K8" s="132"/>
      <c r="L8" s="132"/>
    </row>
    <row r="9" spans="1:12" ht="15" x14ac:dyDescent="0.25">
      <c r="A9" s="132" t="s">
        <v>1841</v>
      </c>
      <c r="C9" s="135">
        <v>43861</v>
      </c>
      <c r="E9" s="138" t="s">
        <v>2284</v>
      </c>
      <c r="F9" s="138"/>
      <c r="G9" s="138"/>
      <c r="H9" s="138"/>
      <c r="I9" s="138"/>
      <c r="J9" s="134">
        <v>2567.5</v>
      </c>
    </row>
    <row r="10" spans="1:12" ht="15" x14ac:dyDescent="0.25">
      <c r="A10" s="132" t="s">
        <v>1841</v>
      </c>
      <c r="C10" s="135">
        <v>43890</v>
      </c>
      <c r="E10" s="138" t="s">
        <v>2285</v>
      </c>
      <c r="F10" s="138"/>
      <c r="G10" s="138"/>
      <c r="H10" s="138"/>
      <c r="I10" s="138"/>
      <c r="J10" s="134">
        <v>2047.5</v>
      </c>
    </row>
    <row r="11" spans="1:12" ht="15" x14ac:dyDescent="0.25">
      <c r="A11" s="132" t="s">
        <v>1841</v>
      </c>
      <c r="C11" s="135">
        <v>43890</v>
      </c>
      <c r="E11" s="138" t="s">
        <v>2286</v>
      </c>
      <c r="F11" s="138"/>
      <c r="G11" s="138"/>
      <c r="H11" s="138"/>
      <c r="I11" s="138"/>
      <c r="J11" s="134">
        <v>2047.5</v>
      </c>
      <c r="K11" s="132"/>
    </row>
    <row r="12" spans="1:12" ht="15" x14ac:dyDescent="0.25">
      <c r="C12" s="135"/>
      <c r="E12" s="138"/>
      <c r="F12" s="138"/>
      <c r="G12" s="138"/>
      <c r="H12" s="138"/>
      <c r="I12" s="138"/>
      <c r="J12" s="140"/>
      <c r="K12" s="134">
        <f>SUM(J8:J12)</f>
        <v>7095.7</v>
      </c>
      <c r="L12" s="132"/>
    </row>
    <row r="13" spans="1:12" ht="15" x14ac:dyDescent="0.25">
      <c r="C13" s="135"/>
      <c r="E13" s="137" t="s">
        <v>53</v>
      </c>
      <c r="F13" s="137"/>
      <c r="G13" s="137"/>
      <c r="H13" s="137"/>
      <c r="I13" s="137"/>
    </row>
    <row r="14" spans="1:12" ht="15" x14ac:dyDescent="0.25">
      <c r="A14" s="132" t="s">
        <v>1841</v>
      </c>
      <c r="C14" s="135">
        <v>43861</v>
      </c>
      <c r="E14" s="138" t="s">
        <v>2186</v>
      </c>
      <c r="F14" s="138"/>
      <c r="G14" s="138"/>
      <c r="H14" s="138"/>
      <c r="I14" s="138"/>
      <c r="J14" s="141">
        <v>520</v>
      </c>
      <c r="K14" s="132"/>
      <c r="L14" s="132"/>
    </row>
    <row r="15" spans="1:12" ht="15" x14ac:dyDescent="0.25">
      <c r="A15" s="132" t="s">
        <v>1865</v>
      </c>
      <c r="C15" s="135">
        <v>43886</v>
      </c>
      <c r="E15" s="138" t="s">
        <v>2287</v>
      </c>
      <c r="F15" s="138"/>
      <c r="G15" s="138"/>
      <c r="H15" s="138"/>
      <c r="I15" s="138"/>
      <c r="J15" s="141">
        <v>1635.75</v>
      </c>
      <c r="K15" s="132"/>
      <c r="L15" s="132"/>
    </row>
    <row r="16" spans="1:12" ht="15" x14ac:dyDescent="0.25">
      <c r="C16" s="135"/>
      <c r="E16" s="138"/>
      <c r="F16" s="138"/>
      <c r="G16" s="138"/>
      <c r="H16" s="138"/>
      <c r="I16" s="138"/>
      <c r="J16" s="140"/>
      <c r="K16" s="134">
        <f>SUM(J14:J16)</f>
        <v>2155.75</v>
      </c>
      <c r="L16" s="132"/>
    </row>
    <row r="17" spans="1:14" ht="15" x14ac:dyDescent="0.25">
      <c r="C17" s="135"/>
      <c r="E17" s="138"/>
      <c r="F17" s="138"/>
      <c r="G17" s="138"/>
      <c r="H17" s="138"/>
      <c r="I17" s="138"/>
      <c r="J17" s="141"/>
      <c r="L17" s="132"/>
    </row>
    <row r="18" spans="1:14" ht="15" x14ac:dyDescent="0.25">
      <c r="C18" s="135">
        <v>44012</v>
      </c>
      <c r="D18" s="135"/>
      <c r="E18" s="133" t="s">
        <v>1887</v>
      </c>
      <c r="F18" s="133"/>
      <c r="G18" s="133"/>
      <c r="H18" s="133"/>
      <c r="I18" s="133"/>
      <c r="K18" s="327">
        <f>SUM(K2:K17)</f>
        <v>2171708.0500000003</v>
      </c>
      <c r="M18" s="134"/>
      <c r="N18" s="134"/>
    </row>
    <row r="19" spans="1:14" ht="15" x14ac:dyDescent="0.25">
      <c r="C19" s="135"/>
      <c r="E19" s="138"/>
      <c r="F19" s="138"/>
      <c r="G19" s="138"/>
      <c r="H19" s="138"/>
      <c r="I19" s="138"/>
      <c r="M19" s="134"/>
    </row>
    <row r="20" spans="1:14" ht="15" x14ac:dyDescent="0.25">
      <c r="C20" s="135"/>
      <c r="E20" s="138"/>
      <c r="F20" s="138"/>
      <c r="G20" s="138"/>
      <c r="H20" s="133"/>
      <c r="I20" s="297"/>
    </row>
    <row r="21" spans="1:14" ht="15" x14ac:dyDescent="0.25">
      <c r="B21" s="294" t="s">
        <v>1888</v>
      </c>
      <c r="G21" s="297"/>
      <c r="H21" s="133"/>
      <c r="I21" s="133"/>
      <c r="J21" s="133"/>
    </row>
    <row r="22" spans="1:14" ht="15" x14ac:dyDescent="0.25">
      <c r="C22" s="135">
        <v>43831</v>
      </c>
      <c r="E22" s="133" t="s">
        <v>1827</v>
      </c>
      <c r="F22" s="133"/>
      <c r="G22" s="297"/>
      <c r="H22" s="133"/>
      <c r="I22" s="133"/>
      <c r="J22" s="133"/>
      <c r="K22" s="136">
        <v>4716235.4000000004</v>
      </c>
    </row>
    <row r="23" spans="1:14" ht="15" x14ac:dyDescent="0.25">
      <c r="C23" s="135"/>
      <c r="E23" s="145" t="s">
        <v>1889</v>
      </c>
      <c r="F23" s="145"/>
      <c r="G23" s="145"/>
      <c r="H23" s="145"/>
      <c r="I23" s="145"/>
    </row>
    <row r="24" spans="1:14" ht="15" x14ac:dyDescent="0.25">
      <c r="A24" s="132" t="s">
        <v>2288</v>
      </c>
      <c r="C24" s="135">
        <v>43853</v>
      </c>
      <c r="E24" s="132" t="s">
        <v>2289</v>
      </c>
      <c r="F24" s="300">
        <v>-12000</v>
      </c>
      <c r="H24" s="142"/>
      <c r="I24" s="299">
        <f t="shared" ref="I24" si="0">+G24+H24</f>
        <v>0</v>
      </c>
      <c r="J24" s="132"/>
    </row>
    <row r="25" spans="1:14" ht="15" x14ac:dyDescent="0.25">
      <c r="C25" s="135"/>
      <c r="E25" s="138"/>
      <c r="F25" s="138"/>
      <c r="G25" s="138"/>
      <c r="H25" s="138"/>
      <c r="I25" s="138"/>
    </row>
    <row r="26" spans="1:14" ht="15" x14ac:dyDescent="0.25">
      <c r="C26" s="135"/>
      <c r="E26" s="138"/>
      <c r="F26" s="301">
        <f>SUM(F24:F25)</f>
        <v>-12000</v>
      </c>
      <c r="G26" s="301">
        <f>SUM(G24:G24)</f>
        <v>0</v>
      </c>
      <c r="H26" s="302">
        <f>SUM(H24:H25)</f>
        <v>0</v>
      </c>
      <c r="I26" s="302">
        <f>SUM(I24:I25)</f>
        <v>0</v>
      </c>
      <c r="J26" s="140"/>
      <c r="K26" s="134">
        <f>SUM(J24:J26)+F26</f>
        <v>-12000</v>
      </c>
    </row>
    <row r="27" spans="1:14" ht="15" x14ac:dyDescent="0.25">
      <c r="C27" s="135"/>
      <c r="E27" s="138"/>
      <c r="F27" s="138"/>
      <c r="G27" s="138"/>
      <c r="H27" s="138"/>
      <c r="I27" s="138"/>
      <c r="J27" s="141"/>
      <c r="K27" s="132"/>
      <c r="L27" s="132"/>
    </row>
    <row r="28" spans="1:14" ht="15" x14ac:dyDescent="0.25">
      <c r="C28" s="135"/>
      <c r="E28" s="303" t="s">
        <v>2228</v>
      </c>
      <c r="F28" s="303"/>
      <c r="G28" s="303"/>
      <c r="H28" s="303"/>
      <c r="I28" s="303"/>
      <c r="J28" s="141"/>
      <c r="L28" s="132"/>
    </row>
    <row r="29" spans="1:14" ht="15" x14ac:dyDescent="0.25">
      <c r="A29" s="132" t="s">
        <v>2290</v>
      </c>
      <c r="C29" s="135">
        <v>43861</v>
      </c>
      <c r="E29" s="138" t="s">
        <v>2291</v>
      </c>
      <c r="F29" s="138"/>
      <c r="G29" s="138"/>
      <c r="H29" s="138"/>
      <c r="I29" s="134">
        <v>17030</v>
      </c>
    </row>
    <row r="30" spans="1:14" ht="15" x14ac:dyDescent="0.25">
      <c r="A30" s="132" t="s">
        <v>2290</v>
      </c>
      <c r="C30" s="135">
        <v>43861</v>
      </c>
      <c r="E30" s="138" t="s">
        <v>2292</v>
      </c>
      <c r="F30" s="138"/>
      <c r="G30" s="138"/>
      <c r="H30" s="138"/>
      <c r="I30" s="134">
        <v>17650</v>
      </c>
    </row>
    <row r="31" spans="1:14" ht="15" x14ac:dyDescent="0.25">
      <c r="A31" s="132" t="s">
        <v>2290</v>
      </c>
      <c r="C31" s="135">
        <v>43861</v>
      </c>
      <c r="E31" s="138" t="s">
        <v>2293</v>
      </c>
      <c r="F31" s="138"/>
      <c r="G31" s="138"/>
      <c r="H31" s="138"/>
      <c r="I31" s="134">
        <v>34963</v>
      </c>
    </row>
    <row r="32" spans="1:14" ht="15" x14ac:dyDescent="0.25">
      <c r="C32" s="135"/>
      <c r="E32" s="138"/>
      <c r="F32" s="138"/>
      <c r="G32" s="138"/>
      <c r="H32" s="138"/>
      <c r="I32" s="134"/>
    </row>
    <row r="33" spans="1:13" ht="15" x14ac:dyDescent="0.25">
      <c r="C33" s="135"/>
      <c r="E33" s="138"/>
      <c r="F33" s="138"/>
      <c r="G33" s="138"/>
      <c r="H33" s="138"/>
      <c r="I33" s="140"/>
      <c r="J33" s="132"/>
      <c r="K33" s="134">
        <f>SUM(I29:I33)</f>
        <v>69643</v>
      </c>
      <c r="L33" s="132"/>
    </row>
    <row r="34" spans="1:13" ht="15" x14ac:dyDescent="0.25">
      <c r="C34" s="135"/>
      <c r="E34" s="137"/>
      <c r="F34" s="137"/>
      <c r="G34" s="137"/>
      <c r="H34" s="137"/>
      <c r="I34" s="137"/>
    </row>
    <row r="35" spans="1:13" ht="15" x14ac:dyDescent="0.25">
      <c r="C35" s="135"/>
      <c r="E35" s="138"/>
      <c r="F35" s="138"/>
      <c r="G35" s="138"/>
      <c r="H35" s="138"/>
      <c r="I35" s="138"/>
    </row>
    <row r="36" spans="1:13" ht="15" x14ac:dyDescent="0.25">
      <c r="C36" s="135"/>
      <c r="E36" s="138"/>
      <c r="F36" s="138"/>
      <c r="G36" s="138"/>
      <c r="H36" s="138"/>
      <c r="I36" s="138"/>
      <c r="J36" s="140"/>
      <c r="L36" s="132"/>
    </row>
    <row r="37" spans="1:13" ht="15" x14ac:dyDescent="0.25">
      <c r="C37" s="135"/>
      <c r="E37" s="137" t="s">
        <v>2294</v>
      </c>
      <c r="F37" s="137"/>
      <c r="G37" s="137"/>
      <c r="H37" s="137"/>
      <c r="I37" s="137"/>
    </row>
    <row r="38" spans="1:13" ht="15" x14ac:dyDescent="0.25">
      <c r="A38" s="132" t="s">
        <v>2190</v>
      </c>
      <c r="C38" s="135">
        <v>43846</v>
      </c>
      <c r="E38" s="138" t="s">
        <v>2295</v>
      </c>
      <c r="F38" s="138"/>
      <c r="G38" s="138"/>
      <c r="H38" s="138"/>
      <c r="I38" s="138"/>
      <c r="J38" s="134">
        <v>2219</v>
      </c>
    </row>
    <row r="39" spans="1:13" ht="15" x14ac:dyDescent="0.25">
      <c r="A39" s="132" t="s">
        <v>1841</v>
      </c>
      <c r="C39" s="135">
        <v>43861</v>
      </c>
      <c r="E39" s="138" t="s">
        <v>2296</v>
      </c>
      <c r="F39" s="138"/>
      <c r="G39" s="138"/>
      <c r="H39" s="138"/>
      <c r="I39" s="138"/>
      <c r="J39" s="134">
        <v>4517.5</v>
      </c>
    </row>
    <row r="40" spans="1:13" ht="15" x14ac:dyDescent="0.25">
      <c r="C40" s="135"/>
      <c r="E40" s="138"/>
      <c r="F40" s="138"/>
      <c r="G40" s="138"/>
      <c r="H40" s="138"/>
      <c r="I40" s="138"/>
    </row>
    <row r="41" spans="1:13" ht="15" x14ac:dyDescent="0.25">
      <c r="C41" s="135"/>
      <c r="E41" s="138"/>
      <c r="F41" s="138"/>
      <c r="G41" s="138"/>
      <c r="H41" s="138"/>
      <c r="I41" s="138"/>
      <c r="J41" s="140"/>
      <c r="K41" s="134">
        <f>SUM(J38:J41)</f>
        <v>6736.5</v>
      </c>
      <c r="L41" s="132"/>
    </row>
    <row r="42" spans="1:13" x14ac:dyDescent="0.2">
      <c r="C42" s="135"/>
      <c r="J42" s="132"/>
      <c r="K42" s="141"/>
      <c r="L42" s="132"/>
    </row>
    <row r="43" spans="1:13" ht="15" x14ac:dyDescent="0.25">
      <c r="A43" s="132" t="s">
        <v>2204</v>
      </c>
      <c r="C43" s="135">
        <v>43843</v>
      </c>
      <c r="E43" s="138" t="s">
        <v>2297</v>
      </c>
      <c r="F43" s="138"/>
      <c r="G43" s="146"/>
      <c r="H43" s="142"/>
      <c r="I43" s="299"/>
      <c r="J43" s="299"/>
      <c r="K43" s="304">
        <v>1983.22</v>
      </c>
    </row>
    <row r="44" spans="1:13" ht="15" x14ac:dyDescent="0.25">
      <c r="A44" s="132" t="s">
        <v>2298</v>
      </c>
      <c r="C44" s="135">
        <v>43843</v>
      </c>
      <c r="E44" s="138" t="s">
        <v>2299</v>
      </c>
      <c r="F44" s="138"/>
      <c r="G44" s="134"/>
      <c r="H44" s="142"/>
      <c r="I44" s="299"/>
      <c r="J44" s="299"/>
      <c r="K44" s="139">
        <v>1061</v>
      </c>
    </row>
    <row r="45" spans="1:13" x14ac:dyDescent="0.2">
      <c r="A45" s="132" t="s">
        <v>1841</v>
      </c>
      <c r="C45" s="135">
        <v>43861</v>
      </c>
      <c r="E45" s="132" t="s">
        <v>2300</v>
      </c>
      <c r="J45" s="132"/>
      <c r="K45" s="295">
        <v>780</v>
      </c>
      <c r="L45" s="132"/>
    </row>
    <row r="46" spans="1:13" x14ac:dyDescent="0.2">
      <c r="A46" s="132" t="s">
        <v>1945</v>
      </c>
      <c r="C46" s="135">
        <v>43867</v>
      </c>
      <c r="E46" s="132" t="s">
        <v>2301</v>
      </c>
      <c r="J46" s="132"/>
      <c r="K46" s="295">
        <v>12150</v>
      </c>
      <c r="L46" s="132"/>
    </row>
    <row r="47" spans="1:13" x14ac:dyDescent="0.2">
      <c r="A47" s="132" t="s">
        <v>2302</v>
      </c>
      <c r="C47" s="135">
        <v>43878</v>
      </c>
      <c r="E47" s="132" t="s">
        <v>2303</v>
      </c>
      <c r="J47" s="132"/>
      <c r="K47" s="295">
        <v>4300</v>
      </c>
      <c r="L47" s="132"/>
      <c r="M47" s="134"/>
    </row>
    <row r="48" spans="1:13" x14ac:dyDescent="0.2">
      <c r="C48" s="135"/>
      <c r="J48" s="132"/>
      <c r="K48" s="132"/>
      <c r="L48" s="132"/>
    </row>
    <row r="49" spans="2:15" x14ac:dyDescent="0.2">
      <c r="C49" s="135"/>
      <c r="J49" s="132"/>
      <c r="K49" s="141"/>
      <c r="L49" s="132"/>
    </row>
    <row r="50" spans="2:15" ht="15" x14ac:dyDescent="0.25">
      <c r="C50" s="135">
        <v>44012</v>
      </c>
      <c r="D50" s="135"/>
      <c r="E50" s="133" t="s">
        <v>1949</v>
      </c>
      <c r="F50" s="133"/>
      <c r="G50" s="133"/>
      <c r="H50" s="133"/>
      <c r="I50" s="133"/>
      <c r="K50" s="136">
        <f>SUM(K22:K49)</f>
        <v>4800889.12</v>
      </c>
      <c r="M50" s="134"/>
      <c r="N50" s="134"/>
      <c r="O50" s="134"/>
    </row>
    <row r="51" spans="2:15" x14ac:dyDescent="0.2">
      <c r="C51" s="135"/>
    </row>
    <row r="52" spans="2:15" x14ac:dyDescent="0.2">
      <c r="C52" s="135"/>
      <c r="M52" s="134"/>
    </row>
    <row r="53" spans="2:15" ht="15" x14ac:dyDescent="0.25">
      <c r="B53" s="294" t="s">
        <v>1119</v>
      </c>
      <c r="C53" s="135"/>
      <c r="M53" s="134"/>
    </row>
    <row r="54" spans="2:15" ht="15" x14ac:dyDescent="0.25">
      <c r="C54" s="135">
        <v>43831</v>
      </c>
      <c r="E54" s="133" t="s">
        <v>1827</v>
      </c>
      <c r="F54" s="133"/>
      <c r="G54" s="133"/>
      <c r="H54" s="133"/>
      <c r="I54" s="133"/>
      <c r="K54" s="136">
        <v>409151.13</v>
      </c>
      <c r="M54" s="134"/>
    </row>
    <row r="55" spans="2:15" ht="15" x14ac:dyDescent="0.25">
      <c r="C55" s="135">
        <v>43831</v>
      </c>
      <c r="E55" s="132" t="s">
        <v>2309</v>
      </c>
      <c r="F55" s="133"/>
      <c r="G55" s="133"/>
      <c r="H55" s="133"/>
      <c r="I55" s="133"/>
      <c r="K55" s="134">
        <v>-31818.18</v>
      </c>
      <c r="M55" s="134"/>
    </row>
    <row r="56" spans="2:15" ht="15" x14ac:dyDescent="0.25">
      <c r="C56" s="135">
        <v>43867</v>
      </c>
      <c r="E56" s="132" t="s">
        <v>2273</v>
      </c>
      <c r="F56" s="133"/>
      <c r="G56" s="133"/>
      <c r="H56" s="133"/>
      <c r="I56" s="133"/>
      <c r="K56" s="134">
        <v>154545.45000000001</v>
      </c>
      <c r="M56" s="134"/>
    </row>
    <row r="57" spans="2:15" ht="15" x14ac:dyDescent="0.25">
      <c r="C57" s="147"/>
      <c r="J57" s="132"/>
      <c r="K57" s="132"/>
      <c r="L57" s="132"/>
    </row>
    <row r="58" spans="2:15" x14ac:dyDescent="0.2">
      <c r="C58" s="135"/>
      <c r="J58" s="132"/>
      <c r="K58" s="141"/>
      <c r="L58" s="132"/>
    </row>
    <row r="59" spans="2:15" ht="15" x14ac:dyDescent="0.25">
      <c r="C59" s="135">
        <v>44012</v>
      </c>
      <c r="E59" s="133" t="s">
        <v>1949</v>
      </c>
      <c r="F59" s="133"/>
      <c r="G59" s="133"/>
      <c r="H59" s="133"/>
      <c r="I59" s="133"/>
      <c r="K59" s="136">
        <f>SUM(K54:K58)</f>
        <v>531878.40000000002</v>
      </c>
      <c r="M59" s="134"/>
    </row>
    <row r="60" spans="2:15" x14ac:dyDescent="0.2">
      <c r="C60" s="135"/>
      <c r="M60" s="134"/>
    </row>
    <row r="61" spans="2:15" x14ac:dyDescent="0.2">
      <c r="C61" s="135"/>
      <c r="M61" s="134"/>
    </row>
    <row r="62" spans="2:15" ht="15" x14ac:dyDescent="0.25">
      <c r="B62" s="294" t="s">
        <v>1952</v>
      </c>
    </row>
    <row r="63" spans="2:15" ht="15" x14ac:dyDescent="0.25">
      <c r="C63" s="135">
        <v>43831</v>
      </c>
      <c r="E63" s="133" t="s">
        <v>1827</v>
      </c>
      <c r="F63" s="133"/>
      <c r="G63" s="133"/>
      <c r="H63" s="133"/>
      <c r="I63" s="133"/>
      <c r="K63" s="136">
        <v>1657893.04</v>
      </c>
    </row>
    <row r="64" spans="2:15" ht="15" x14ac:dyDescent="0.25">
      <c r="C64" s="135"/>
      <c r="E64" s="137" t="s">
        <v>1953</v>
      </c>
      <c r="F64" s="137"/>
      <c r="G64" s="137"/>
      <c r="H64" s="137"/>
      <c r="I64" s="137"/>
      <c r="M64" s="134" t="s">
        <v>1954</v>
      </c>
    </row>
    <row r="65" spans="1:13" ht="15" x14ac:dyDescent="0.25">
      <c r="A65" s="132" t="s">
        <v>2310</v>
      </c>
      <c r="C65" s="135">
        <v>43844</v>
      </c>
      <c r="D65" s="132">
        <v>2</v>
      </c>
      <c r="E65" s="138" t="s">
        <v>2251</v>
      </c>
      <c r="F65" s="138"/>
      <c r="G65" s="138"/>
      <c r="H65" s="138"/>
      <c r="I65" s="138"/>
      <c r="J65" s="132"/>
      <c r="K65" s="134">
        <v>-45.46</v>
      </c>
      <c r="M65" s="134">
        <f t="shared" ref="M65:M72" si="1">K65/D65</f>
        <v>-22.73</v>
      </c>
    </row>
    <row r="66" spans="1:13" ht="15" x14ac:dyDescent="0.25">
      <c r="A66" s="132" t="s">
        <v>2250</v>
      </c>
      <c r="C66" s="135">
        <v>43864</v>
      </c>
      <c r="D66" s="132">
        <v>24</v>
      </c>
      <c r="E66" s="138" t="s">
        <v>2311</v>
      </c>
      <c r="F66" s="138"/>
      <c r="G66" s="138"/>
      <c r="H66" s="138"/>
      <c r="I66" s="138"/>
      <c r="J66" s="132"/>
      <c r="K66" s="134">
        <v>-1440</v>
      </c>
      <c r="M66" s="134">
        <f t="shared" si="1"/>
        <v>-60</v>
      </c>
    </row>
    <row r="67" spans="1:13" ht="15" x14ac:dyDescent="0.25">
      <c r="A67" s="132" t="s">
        <v>2312</v>
      </c>
      <c r="C67" s="135">
        <v>43871</v>
      </c>
      <c r="D67" s="132">
        <v>45</v>
      </c>
      <c r="E67" s="138" t="s">
        <v>2251</v>
      </c>
      <c r="F67" s="138"/>
      <c r="G67" s="138"/>
      <c r="H67" s="138"/>
      <c r="I67" s="138"/>
      <c r="J67" s="132"/>
      <c r="K67" s="134">
        <v>-1431.82</v>
      </c>
      <c r="M67" s="134">
        <f t="shared" si="1"/>
        <v>-31.818222222222222</v>
      </c>
    </row>
    <row r="68" spans="1:13" ht="15" x14ac:dyDescent="0.25">
      <c r="A68" s="132" t="s">
        <v>2250</v>
      </c>
      <c r="C68" s="135">
        <v>43880</v>
      </c>
      <c r="D68" s="132">
        <v>96</v>
      </c>
      <c r="E68" s="138" t="s">
        <v>2251</v>
      </c>
      <c r="F68" s="138"/>
      <c r="G68" s="138"/>
      <c r="H68" s="138"/>
      <c r="I68" s="138"/>
      <c r="J68" s="132"/>
      <c r="K68" s="134">
        <v>-2400</v>
      </c>
      <c r="L68" s="132"/>
      <c r="M68" s="134">
        <f t="shared" si="1"/>
        <v>-25</v>
      </c>
    </row>
    <row r="69" spans="1:13" ht="15" x14ac:dyDescent="0.25">
      <c r="A69" s="132" t="s">
        <v>2250</v>
      </c>
      <c r="C69" s="135">
        <v>43887</v>
      </c>
      <c r="D69" s="132">
        <v>48</v>
      </c>
      <c r="E69" s="138" t="s">
        <v>2251</v>
      </c>
      <c r="F69" s="138"/>
      <c r="G69" s="138"/>
      <c r="H69" s="138"/>
      <c r="I69" s="138"/>
      <c r="J69" s="132"/>
      <c r="K69" s="134">
        <v>-1200</v>
      </c>
      <c r="L69" s="132"/>
      <c r="M69" s="134">
        <f t="shared" si="1"/>
        <v>-25</v>
      </c>
    </row>
    <row r="70" spans="1:13" ht="15" x14ac:dyDescent="0.25">
      <c r="A70" s="132" t="s">
        <v>2312</v>
      </c>
      <c r="C70" s="135">
        <v>43896</v>
      </c>
      <c r="D70" s="132">
        <v>20</v>
      </c>
      <c r="E70" s="138" t="s">
        <v>2251</v>
      </c>
      <c r="F70" s="138"/>
      <c r="G70" s="138"/>
      <c r="H70" s="138"/>
      <c r="I70" s="138"/>
      <c r="J70" s="132"/>
      <c r="K70" s="134">
        <v>-636.36</v>
      </c>
      <c r="L70" s="132"/>
      <c r="M70" s="134">
        <f t="shared" si="1"/>
        <v>-31.818000000000001</v>
      </c>
    </row>
    <row r="71" spans="1:13" ht="15" x14ac:dyDescent="0.25">
      <c r="A71" s="132" t="s">
        <v>2250</v>
      </c>
      <c r="C71" s="135">
        <v>43908</v>
      </c>
      <c r="D71" s="132">
        <v>48</v>
      </c>
      <c r="E71" s="138" t="s">
        <v>2251</v>
      </c>
      <c r="F71" s="138"/>
      <c r="G71" s="138"/>
      <c r="H71" s="138"/>
      <c r="I71" s="138"/>
      <c r="J71" s="132"/>
      <c r="K71" s="134">
        <v>-1200</v>
      </c>
      <c r="L71" s="132"/>
      <c r="M71" s="134">
        <f t="shared" si="1"/>
        <v>-25</v>
      </c>
    </row>
    <row r="72" spans="1:13" ht="15" x14ac:dyDescent="0.25">
      <c r="A72" s="132" t="s">
        <v>2313</v>
      </c>
      <c r="C72" s="135">
        <v>43929</v>
      </c>
      <c r="D72" s="132">
        <v>17</v>
      </c>
      <c r="E72" s="138" t="s">
        <v>2251</v>
      </c>
      <c r="F72" s="138"/>
      <c r="G72" s="138"/>
      <c r="H72" s="138"/>
      <c r="I72" s="138"/>
      <c r="J72" s="132"/>
      <c r="K72" s="134">
        <v>-772.73</v>
      </c>
      <c r="L72" s="132"/>
      <c r="M72" s="134">
        <f t="shared" si="1"/>
        <v>-45.45470588235294</v>
      </c>
    </row>
    <row r="73" spans="1:13" ht="15" x14ac:dyDescent="0.25">
      <c r="C73" s="135"/>
      <c r="E73" s="138"/>
      <c r="F73" s="138"/>
      <c r="G73" s="138"/>
      <c r="H73" s="138"/>
      <c r="I73" s="138"/>
      <c r="L73" s="132"/>
      <c r="M73" s="134"/>
    </row>
    <row r="74" spans="1:13" ht="15" x14ac:dyDescent="0.25">
      <c r="C74" s="135"/>
      <c r="D74" s="132">
        <f>SUM(D65:D73)</f>
        <v>300</v>
      </c>
      <c r="E74" s="137" t="s">
        <v>1957</v>
      </c>
      <c r="F74" s="137"/>
      <c r="G74" s="137"/>
      <c r="H74" s="137"/>
      <c r="I74" s="137"/>
      <c r="L74" s="132"/>
      <c r="M74" s="134"/>
    </row>
    <row r="75" spans="1:13" ht="15" x14ac:dyDescent="0.25">
      <c r="C75" s="135"/>
      <c r="E75" s="137"/>
      <c r="F75" s="137"/>
      <c r="G75" s="137"/>
      <c r="H75" s="137"/>
      <c r="I75" s="137"/>
      <c r="L75" s="132"/>
      <c r="M75" s="134"/>
    </row>
    <row r="76" spans="1:13" ht="15" x14ac:dyDescent="0.25">
      <c r="A76" s="132" t="s">
        <v>1958</v>
      </c>
      <c r="C76" s="135">
        <v>43893</v>
      </c>
      <c r="D76" s="132">
        <v>4</v>
      </c>
      <c r="E76" s="138" t="s">
        <v>2314</v>
      </c>
      <c r="F76" s="137"/>
      <c r="G76" s="137"/>
      <c r="H76" s="137"/>
      <c r="I76" s="137"/>
      <c r="J76" s="134">
        <f>7925-1585</f>
        <v>6340</v>
      </c>
      <c r="L76" s="132"/>
      <c r="M76" s="134">
        <f t="shared" ref="M76:M81" si="2">J76/D76</f>
        <v>1585</v>
      </c>
    </row>
    <row r="77" spans="1:13" ht="15" x14ac:dyDescent="0.25">
      <c r="A77" s="132" t="s">
        <v>1958</v>
      </c>
      <c r="C77" s="135">
        <v>43893</v>
      </c>
      <c r="D77" s="132">
        <v>4</v>
      </c>
      <c r="E77" s="138" t="s">
        <v>2315</v>
      </c>
      <c r="F77" s="138"/>
      <c r="G77" s="138"/>
      <c r="H77" s="138"/>
      <c r="I77" s="138"/>
      <c r="J77" s="134">
        <f>8245-1649</f>
        <v>6596</v>
      </c>
      <c r="L77" s="132"/>
      <c r="M77" s="134">
        <f t="shared" si="2"/>
        <v>1649</v>
      </c>
    </row>
    <row r="78" spans="1:13" ht="15" x14ac:dyDescent="0.25">
      <c r="A78" s="132" t="s">
        <v>1962</v>
      </c>
      <c r="C78" s="135">
        <v>43920</v>
      </c>
      <c r="D78" s="132">
        <v>4</v>
      </c>
      <c r="E78" s="138" t="s">
        <v>2316</v>
      </c>
      <c r="F78" s="138"/>
      <c r="G78" s="138"/>
      <c r="H78" s="138"/>
      <c r="I78" s="138"/>
      <c r="J78" s="134">
        <f>6587.83+155.03</f>
        <v>6742.86</v>
      </c>
      <c r="L78" s="132"/>
      <c r="M78" s="134">
        <f t="shared" si="2"/>
        <v>1685.7149999999999</v>
      </c>
    </row>
    <row r="79" spans="1:13" ht="15" x14ac:dyDescent="0.25">
      <c r="A79" s="132" t="s">
        <v>1962</v>
      </c>
      <c r="C79" s="135">
        <v>43920</v>
      </c>
      <c r="D79" s="132">
        <v>1</v>
      </c>
      <c r="E79" s="138" t="s">
        <v>2317</v>
      </c>
      <c r="F79" s="138"/>
      <c r="G79" s="138"/>
      <c r="H79" s="138"/>
      <c r="I79" s="138"/>
      <c r="J79" s="134">
        <f>5299.28+116.27-3533.52</f>
        <v>1882.0300000000002</v>
      </c>
      <c r="L79" s="132"/>
      <c r="M79" s="134">
        <f t="shared" si="2"/>
        <v>1882.0300000000002</v>
      </c>
    </row>
    <row r="80" spans="1:13" ht="15" x14ac:dyDescent="0.25">
      <c r="A80" s="132" t="s">
        <v>1962</v>
      </c>
      <c r="C80" s="135">
        <v>43920</v>
      </c>
      <c r="D80" s="132">
        <v>4</v>
      </c>
      <c r="E80" s="138" t="s">
        <v>2318</v>
      </c>
      <c r="F80" s="138"/>
      <c r="G80" s="138"/>
      <c r="H80" s="138"/>
      <c r="I80" s="138"/>
      <c r="J80" s="134">
        <f>7475.31+155.02</f>
        <v>7630.3300000000008</v>
      </c>
      <c r="L80" s="132"/>
      <c r="M80" s="134">
        <f t="shared" si="2"/>
        <v>1907.5825000000002</v>
      </c>
    </row>
    <row r="81" spans="1:13" ht="15" x14ac:dyDescent="0.25">
      <c r="A81" s="132" t="s">
        <v>2319</v>
      </c>
      <c r="C81" s="135">
        <v>43936</v>
      </c>
      <c r="D81" s="132">
        <v>2</v>
      </c>
      <c r="E81" s="138" t="s">
        <v>2320</v>
      </c>
      <c r="F81" s="138"/>
      <c r="G81" s="138"/>
      <c r="H81" s="138"/>
      <c r="I81" s="138"/>
      <c r="J81" s="148">
        <v>3460.71</v>
      </c>
      <c r="K81" s="134">
        <f>SUM(J76:J81)</f>
        <v>32651.93</v>
      </c>
      <c r="L81" s="132"/>
      <c r="M81" s="134">
        <f t="shared" si="2"/>
        <v>1730.355</v>
      </c>
    </row>
    <row r="82" spans="1:13" ht="15" x14ac:dyDescent="0.25">
      <c r="C82" s="135"/>
      <c r="E82" s="138"/>
      <c r="F82" s="138"/>
      <c r="G82" s="138"/>
      <c r="H82" s="138"/>
      <c r="I82" s="138"/>
      <c r="L82" s="132"/>
      <c r="M82" s="134"/>
    </row>
    <row r="83" spans="1:13" ht="15" x14ac:dyDescent="0.25">
      <c r="C83" s="135"/>
      <c r="E83" s="137" t="s">
        <v>1969</v>
      </c>
      <c r="F83" s="137"/>
      <c r="G83" s="137"/>
      <c r="H83" s="137"/>
      <c r="I83" s="137"/>
      <c r="L83" s="132"/>
      <c r="M83" s="134"/>
    </row>
    <row r="84" spans="1:13" ht="15" x14ac:dyDescent="0.25">
      <c r="A84" s="132" t="s">
        <v>1973</v>
      </c>
      <c r="C84" s="135">
        <v>43861</v>
      </c>
      <c r="D84" s="132">
        <v>10</v>
      </c>
      <c r="E84" s="138" t="s">
        <v>2321</v>
      </c>
      <c r="F84" s="138"/>
      <c r="G84" s="138"/>
      <c r="H84" s="138"/>
      <c r="I84" s="138"/>
      <c r="J84" s="134">
        <f>5109+6812+5109</f>
        <v>17030</v>
      </c>
      <c r="L84" s="132"/>
      <c r="M84" s="134">
        <f>J84/D84</f>
        <v>1703</v>
      </c>
    </row>
    <row r="85" spans="1:13" ht="15" x14ac:dyDescent="0.25">
      <c r="A85" s="132" t="s">
        <v>1973</v>
      </c>
      <c r="C85" s="135">
        <v>43861</v>
      </c>
      <c r="D85" s="132">
        <v>2</v>
      </c>
      <c r="E85" s="138" t="s">
        <v>2322</v>
      </c>
      <c r="F85" s="138"/>
      <c r="G85" s="138"/>
      <c r="H85" s="138"/>
      <c r="I85" s="138"/>
      <c r="J85" s="134">
        <v>3668</v>
      </c>
      <c r="L85" s="132"/>
      <c r="M85" s="134">
        <f>J85/D85</f>
        <v>1834</v>
      </c>
    </row>
    <row r="86" spans="1:13" ht="15" x14ac:dyDescent="0.25">
      <c r="A86" s="132" t="s">
        <v>2323</v>
      </c>
      <c r="C86" s="135">
        <v>43871</v>
      </c>
      <c r="D86" s="132">
        <v>4</v>
      </c>
      <c r="E86" s="138" t="s">
        <v>2324</v>
      </c>
      <c r="F86" s="138"/>
      <c r="G86" s="138"/>
      <c r="H86" s="138"/>
      <c r="I86" s="138"/>
      <c r="J86" s="134">
        <v>6704.32</v>
      </c>
      <c r="L86" s="132"/>
      <c r="M86" s="134">
        <f t="shared" ref="M86:M100" si="3">J86/D86</f>
        <v>1676.08</v>
      </c>
    </row>
    <row r="87" spans="1:13" ht="15" x14ac:dyDescent="0.25">
      <c r="A87" s="132" t="s">
        <v>2325</v>
      </c>
      <c r="C87" s="135">
        <v>43887</v>
      </c>
      <c r="D87" s="132">
        <v>2</v>
      </c>
      <c r="E87" s="138" t="s">
        <v>2326</v>
      </c>
      <c r="F87" s="138"/>
      <c r="G87" s="138"/>
      <c r="H87" s="138"/>
      <c r="I87" s="138"/>
      <c r="J87" s="134">
        <v>3497.8</v>
      </c>
      <c r="L87" s="132"/>
      <c r="M87" s="134">
        <f t="shared" si="3"/>
        <v>1748.9</v>
      </c>
    </row>
    <row r="88" spans="1:13" ht="15" x14ac:dyDescent="0.25">
      <c r="A88" s="132" t="s">
        <v>1958</v>
      </c>
      <c r="C88" s="135">
        <v>43893</v>
      </c>
      <c r="D88" s="132">
        <v>7</v>
      </c>
      <c r="E88" s="138" t="s">
        <v>2314</v>
      </c>
      <c r="F88" s="138"/>
      <c r="G88" s="138"/>
      <c r="H88" s="138"/>
      <c r="I88" s="138"/>
      <c r="J88" s="134">
        <f>14896-1862</f>
        <v>13034</v>
      </c>
      <c r="L88" s="132"/>
      <c r="M88" s="134">
        <f t="shared" si="3"/>
        <v>1862</v>
      </c>
    </row>
    <row r="89" spans="1:13" ht="15" x14ac:dyDescent="0.25">
      <c r="A89" s="132" t="s">
        <v>1958</v>
      </c>
      <c r="C89" s="135">
        <v>43893</v>
      </c>
      <c r="D89" s="132">
        <v>16</v>
      </c>
      <c r="E89" s="138" t="s">
        <v>2327</v>
      </c>
      <c r="F89" s="138"/>
      <c r="G89" s="138"/>
      <c r="H89" s="138"/>
      <c r="I89" s="138"/>
      <c r="J89" s="134">
        <f>17334+19260-3852-1926</f>
        <v>30816</v>
      </c>
      <c r="L89" s="132"/>
      <c r="M89" s="134">
        <f t="shared" si="3"/>
        <v>1926</v>
      </c>
    </row>
    <row r="90" spans="1:13" ht="15" x14ac:dyDescent="0.25">
      <c r="A90" s="132" t="s">
        <v>2328</v>
      </c>
      <c r="C90" s="135">
        <v>43900</v>
      </c>
      <c r="D90" s="132">
        <v>2</v>
      </c>
      <c r="E90" s="138" t="s">
        <v>2329</v>
      </c>
      <c r="F90" s="138"/>
      <c r="G90" s="138"/>
      <c r="H90" s="138"/>
      <c r="I90" s="138"/>
      <c r="J90" s="134">
        <v>3321.22</v>
      </c>
      <c r="L90" s="132"/>
      <c r="M90" s="134">
        <f t="shared" si="3"/>
        <v>1660.61</v>
      </c>
    </row>
    <row r="91" spans="1:13" ht="15" x14ac:dyDescent="0.25">
      <c r="A91" s="132" t="s">
        <v>2330</v>
      </c>
      <c r="C91" s="135">
        <v>43914</v>
      </c>
      <c r="D91" s="132">
        <v>17</v>
      </c>
      <c r="E91" s="138" t="s">
        <v>2331</v>
      </c>
      <c r="F91" s="138"/>
      <c r="G91" s="138"/>
      <c r="H91" s="138"/>
      <c r="I91" s="138"/>
      <c r="J91" s="134">
        <f>32458.84+634.72-1708.4-1708.36</f>
        <v>29676.799999999996</v>
      </c>
      <c r="L91" s="132"/>
      <c r="M91" s="134">
        <f t="shared" si="3"/>
        <v>1745.6941176470586</v>
      </c>
    </row>
    <row r="92" spans="1:13" ht="15" x14ac:dyDescent="0.25">
      <c r="A92" s="132" t="s">
        <v>2330</v>
      </c>
      <c r="C92" s="135">
        <v>43914</v>
      </c>
      <c r="D92" s="132">
        <v>4</v>
      </c>
      <c r="E92" s="138" t="s">
        <v>2332</v>
      </c>
      <c r="F92" s="138"/>
      <c r="G92" s="138"/>
      <c r="H92" s="138"/>
      <c r="I92" s="138"/>
      <c r="J92" s="134">
        <f>5959+133.63</f>
        <v>6092.63</v>
      </c>
      <c r="L92" s="132"/>
      <c r="M92" s="134">
        <f t="shared" si="3"/>
        <v>1523.1575</v>
      </c>
    </row>
    <row r="93" spans="1:13" ht="15" x14ac:dyDescent="0.25">
      <c r="A93" s="132" t="s">
        <v>1962</v>
      </c>
      <c r="C93" s="135">
        <v>43920</v>
      </c>
      <c r="D93" s="132">
        <v>3</v>
      </c>
      <c r="E93" s="138" t="s">
        <v>2333</v>
      </c>
      <c r="F93" s="138"/>
      <c r="G93" s="138"/>
      <c r="H93" s="138"/>
      <c r="I93" s="138"/>
      <c r="J93" s="134">
        <f>5504.08+116.27</f>
        <v>5620.35</v>
      </c>
      <c r="L93" s="132"/>
      <c r="M93" s="134">
        <f t="shared" si="3"/>
        <v>1873.45</v>
      </c>
    </row>
    <row r="94" spans="1:13" ht="15" x14ac:dyDescent="0.25">
      <c r="A94" s="132" t="s">
        <v>1962</v>
      </c>
      <c r="C94" s="135">
        <v>43920</v>
      </c>
      <c r="D94" s="132">
        <v>5</v>
      </c>
      <c r="E94" s="138" t="s">
        <v>2334</v>
      </c>
      <c r="F94" s="138"/>
      <c r="G94" s="138"/>
      <c r="H94" s="138"/>
      <c r="I94" s="138"/>
      <c r="J94" s="134">
        <f>9173.47+193.78</f>
        <v>9367.25</v>
      </c>
      <c r="L94" s="132"/>
      <c r="M94" s="134">
        <f t="shared" si="3"/>
        <v>1873.45</v>
      </c>
    </row>
    <row r="95" spans="1:13" ht="15" x14ac:dyDescent="0.25">
      <c r="A95" s="132" t="s">
        <v>1962</v>
      </c>
      <c r="C95" s="135">
        <v>43920</v>
      </c>
      <c r="D95" s="132">
        <v>5</v>
      </c>
      <c r="E95" s="138" t="s">
        <v>2335</v>
      </c>
      <c r="F95" s="138"/>
      <c r="G95" s="138"/>
      <c r="H95" s="138"/>
      <c r="I95" s="138"/>
      <c r="J95" s="134">
        <f>9770.81+193.78</f>
        <v>9964.59</v>
      </c>
      <c r="L95" s="132"/>
      <c r="M95" s="134">
        <f t="shared" si="3"/>
        <v>1992.9180000000001</v>
      </c>
    </row>
    <row r="96" spans="1:13" ht="15" x14ac:dyDescent="0.25">
      <c r="A96" s="132" t="s">
        <v>1983</v>
      </c>
      <c r="C96" s="135">
        <v>43922</v>
      </c>
      <c r="D96" s="132">
        <v>48</v>
      </c>
      <c r="E96" s="138" t="s">
        <v>2336</v>
      </c>
      <c r="F96" s="138"/>
      <c r="G96" s="138"/>
      <c r="H96" s="138"/>
      <c r="I96" s="138"/>
      <c r="J96" s="134">
        <f>108020-15783.04-1972.88-403.04</f>
        <v>89861.04</v>
      </c>
      <c r="L96" s="132"/>
      <c r="M96" s="134">
        <f t="shared" si="3"/>
        <v>1872.1049999999998</v>
      </c>
    </row>
    <row r="97" spans="1:16" ht="15" x14ac:dyDescent="0.25">
      <c r="A97" s="132" t="s">
        <v>1983</v>
      </c>
      <c r="C97" s="135">
        <v>43922</v>
      </c>
      <c r="D97" s="132">
        <v>7</v>
      </c>
      <c r="E97" s="138" t="s">
        <v>2337</v>
      </c>
      <c r="F97" s="138"/>
      <c r="G97" s="138"/>
      <c r="H97" s="138"/>
      <c r="I97" s="138"/>
      <c r="J97" s="134">
        <v>11594</v>
      </c>
      <c r="L97" s="132"/>
      <c r="M97" s="134">
        <f t="shared" si="3"/>
        <v>1656.2857142857142</v>
      </c>
    </row>
    <row r="98" spans="1:16" ht="15" x14ac:dyDescent="0.25">
      <c r="A98" s="132" t="s">
        <v>2338</v>
      </c>
      <c r="C98" s="135">
        <v>43936</v>
      </c>
      <c r="D98" s="132">
        <v>4</v>
      </c>
      <c r="E98" s="138" t="s">
        <v>2339</v>
      </c>
      <c r="F98" s="138"/>
      <c r="G98" s="138"/>
      <c r="H98" s="138"/>
      <c r="I98" s="138"/>
      <c r="J98" s="134">
        <v>8528.57</v>
      </c>
      <c r="L98" s="132"/>
      <c r="M98" s="134">
        <f t="shared" si="3"/>
        <v>2132.1424999999999</v>
      </c>
    </row>
    <row r="99" spans="1:16" ht="15" x14ac:dyDescent="0.25">
      <c r="A99" s="132" t="s">
        <v>2340</v>
      </c>
      <c r="C99" s="135">
        <v>43939</v>
      </c>
      <c r="D99" s="132">
        <v>3</v>
      </c>
      <c r="E99" s="138" t="s">
        <v>2341</v>
      </c>
      <c r="F99" s="138"/>
      <c r="G99" s="138"/>
      <c r="H99" s="138"/>
      <c r="I99" s="138"/>
      <c r="J99" s="134">
        <v>5835</v>
      </c>
      <c r="L99" s="132"/>
      <c r="M99" s="134">
        <f t="shared" si="3"/>
        <v>1945</v>
      </c>
    </row>
    <row r="100" spans="1:16" ht="15" x14ac:dyDescent="0.25">
      <c r="A100" s="132" t="s">
        <v>2340</v>
      </c>
      <c r="C100" s="135">
        <v>43939</v>
      </c>
      <c r="D100" s="132">
        <v>8</v>
      </c>
      <c r="E100" s="138" t="s">
        <v>2342</v>
      </c>
      <c r="F100" s="138"/>
      <c r="G100" s="138"/>
      <c r="H100" s="138"/>
      <c r="I100" s="138"/>
      <c r="J100" s="148">
        <v>14000</v>
      </c>
      <c r="K100" s="134">
        <f>SUM(J84:J100)</f>
        <v>268611.57</v>
      </c>
      <c r="L100" s="132"/>
      <c r="M100" s="134">
        <f t="shared" si="3"/>
        <v>1750</v>
      </c>
      <c r="P100" s="134"/>
    </row>
    <row r="101" spans="1:16" ht="15" x14ac:dyDescent="0.25">
      <c r="C101" s="135"/>
      <c r="E101" s="138"/>
      <c r="F101" s="138"/>
      <c r="G101" s="138"/>
      <c r="H101" s="138"/>
      <c r="I101" s="138"/>
      <c r="L101" s="132"/>
      <c r="M101" s="134"/>
    </row>
    <row r="102" spans="1:16" ht="15" x14ac:dyDescent="0.25">
      <c r="C102" s="135"/>
      <c r="E102" s="137" t="s">
        <v>1986</v>
      </c>
      <c r="F102" s="137"/>
      <c r="G102" s="137"/>
      <c r="H102" s="137"/>
      <c r="I102" s="137"/>
      <c r="J102" s="132"/>
      <c r="K102" s="141"/>
      <c r="L102" s="295"/>
    </row>
    <row r="103" spans="1:16" ht="15" x14ac:dyDescent="0.25">
      <c r="C103" s="135"/>
      <c r="E103" s="138"/>
      <c r="F103" s="138"/>
      <c r="G103" s="138"/>
      <c r="H103" s="138"/>
      <c r="I103" s="138"/>
      <c r="L103" s="132"/>
      <c r="M103" s="134"/>
    </row>
    <row r="104" spans="1:16" ht="15" x14ac:dyDescent="0.25">
      <c r="C104" s="135"/>
      <c r="E104" s="138"/>
      <c r="F104" s="138"/>
      <c r="G104" s="138"/>
      <c r="H104" s="138"/>
      <c r="I104" s="138"/>
      <c r="J104" s="148"/>
      <c r="L104" s="132"/>
      <c r="M104" s="134"/>
    </row>
    <row r="105" spans="1:16" ht="15" x14ac:dyDescent="0.25">
      <c r="C105" s="135"/>
      <c r="E105" s="138"/>
      <c r="F105" s="138"/>
      <c r="G105" s="138"/>
      <c r="H105" s="138"/>
      <c r="I105" s="138"/>
      <c r="L105" s="132"/>
      <c r="M105" s="134"/>
    </row>
    <row r="106" spans="1:16" x14ac:dyDescent="0.2">
      <c r="C106" s="135"/>
      <c r="J106" s="132"/>
      <c r="K106" s="141"/>
      <c r="L106" s="132"/>
    </row>
    <row r="107" spans="1:16" ht="15" x14ac:dyDescent="0.25">
      <c r="C107" s="135">
        <v>44012</v>
      </c>
      <c r="D107" s="135"/>
      <c r="E107" s="133" t="s">
        <v>1949</v>
      </c>
      <c r="F107" s="133"/>
      <c r="G107" s="133"/>
      <c r="H107" s="133"/>
      <c r="I107" s="133"/>
      <c r="K107" s="136">
        <f>SUM(K63:K106)</f>
        <v>1950030.17</v>
      </c>
      <c r="M107" s="134"/>
    </row>
    <row r="108" spans="1:16" x14ac:dyDescent="0.2">
      <c r="M108" s="134"/>
    </row>
    <row r="110" spans="1:16" ht="15" x14ac:dyDescent="0.25">
      <c r="B110" s="294" t="s">
        <v>1577</v>
      </c>
    </row>
    <row r="111" spans="1:16" ht="15" x14ac:dyDescent="0.25">
      <c r="C111" s="135">
        <v>43831</v>
      </c>
      <c r="E111" s="133" t="s">
        <v>1827</v>
      </c>
      <c r="F111" s="133"/>
      <c r="G111" s="133"/>
      <c r="H111" s="133"/>
      <c r="I111" s="133"/>
      <c r="K111" s="136">
        <v>55819.06</v>
      </c>
    </row>
    <row r="112" spans="1:16" ht="15" x14ac:dyDescent="0.25">
      <c r="C112" s="135"/>
      <c r="E112" s="133"/>
      <c r="F112" s="133"/>
      <c r="G112" s="133"/>
      <c r="H112" s="133"/>
      <c r="I112" s="133"/>
      <c r="K112" s="136"/>
    </row>
    <row r="113" spans="1:13" ht="15" x14ac:dyDescent="0.25">
      <c r="A113" s="132" t="s">
        <v>2343</v>
      </c>
      <c r="C113" s="135">
        <v>44011</v>
      </c>
      <c r="E113" s="133" t="s">
        <v>2344</v>
      </c>
      <c r="F113" s="133"/>
      <c r="G113" s="133"/>
      <c r="H113" s="133"/>
      <c r="I113" s="133"/>
      <c r="J113" s="134">
        <f>1359/(1.1)</f>
        <v>1235.4545454545453</v>
      </c>
      <c r="K113" s="136"/>
    </row>
    <row r="114" spans="1:13" x14ac:dyDescent="0.2">
      <c r="C114" s="135"/>
      <c r="J114" s="132"/>
      <c r="K114" s="141"/>
      <c r="L114" s="141"/>
    </row>
    <row r="115" spans="1:13" ht="15" x14ac:dyDescent="0.25">
      <c r="C115" s="135">
        <v>44012</v>
      </c>
      <c r="D115" s="135"/>
      <c r="E115" s="133" t="s">
        <v>1949</v>
      </c>
      <c r="F115" s="133"/>
      <c r="G115" s="133"/>
      <c r="H115" s="133"/>
      <c r="I115" s="133"/>
      <c r="K115" s="136">
        <f>+K111+J113</f>
        <v>57054.514545454542</v>
      </c>
    </row>
    <row r="118" spans="1:13" ht="15" x14ac:dyDescent="0.25">
      <c r="B118" s="294" t="s">
        <v>1997</v>
      </c>
    </row>
    <row r="119" spans="1:13" ht="15" x14ac:dyDescent="0.25">
      <c r="C119" s="135">
        <v>43831</v>
      </c>
      <c r="E119" s="133" t="s">
        <v>1827</v>
      </c>
      <c r="F119" s="133"/>
      <c r="G119" s="133"/>
      <c r="H119" s="133"/>
      <c r="I119" s="133"/>
      <c r="K119" s="136">
        <v>19488.169999999998</v>
      </c>
      <c r="M119" s="132" t="s">
        <v>2345</v>
      </c>
    </row>
    <row r="120" spans="1:13" x14ac:dyDescent="0.2">
      <c r="A120" s="132" t="s">
        <v>2346</v>
      </c>
      <c r="C120" s="135">
        <v>43833</v>
      </c>
      <c r="D120" s="132">
        <v>3</v>
      </c>
      <c r="E120" s="132" t="s">
        <v>2347</v>
      </c>
      <c r="J120" s="132"/>
      <c r="K120" s="141">
        <v>3780</v>
      </c>
      <c r="L120" s="132"/>
      <c r="M120" s="141">
        <f>K120/D120</f>
        <v>1260</v>
      </c>
    </row>
    <row r="121" spans="1:13" x14ac:dyDescent="0.2">
      <c r="A121" s="132" t="s">
        <v>2346</v>
      </c>
      <c r="C121" s="135">
        <v>43833</v>
      </c>
      <c r="D121" s="132">
        <v>6</v>
      </c>
      <c r="E121" s="132" t="s">
        <v>2348</v>
      </c>
      <c r="J121" s="132"/>
      <c r="K121" s="141">
        <v>3960</v>
      </c>
      <c r="L121" s="132"/>
      <c r="M121" s="141">
        <f>K121/D121</f>
        <v>660</v>
      </c>
    </row>
    <row r="122" spans="1:13" x14ac:dyDescent="0.2">
      <c r="A122" s="132" t="s">
        <v>2304</v>
      </c>
      <c r="C122" s="135">
        <v>43963</v>
      </c>
      <c r="E122" s="132" t="s">
        <v>2305</v>
      </c>
      <c r="J122" s="132"/>
      <c r="K122" s="295">
        <v>140</v>
      </c>
      <c r="L122" s="132"/>
    </row>
    <row r="123" spans="1:13" x14ac:dyDescent="0.2">
      <c r="A123" s="132" t="s">
        <v>2304</v>
      </c>
      <c r="C123" s="135">
        <v>43963</v>
      </c>
      <c r="E123" s="132" t="s">
        <v>2306</v>
      </c>
      <c r="J123" s="132"/>
      <c r="K123" s="295">
        <v>783</v>
      </c>
      <c r="L123" s="132"/>
    </row>
    <row r="124" spans="1:13" x14ac:dyDescent="0.2">
      <c r="A124" s="132" t="s">
        <v>2304</v>
      </c>
      <c r="C124" s="135">
        <v>43963</v>
      </c>
      <c r="E124" s="132" t="s">
        <v>2307</v>
      </c>
      <c r="J124" s="132"/>
      <c r="K124" s="295">
        <v>240</v>
      </c>
      <c r="L124" s="132"/>
    </row>
    <row r="125" spans="1:13" ht="15" x14ac:dyDescent="0.25">
      <c r="A125" s="132" t="s">
        <v>2304</v>
      </c>
      <c r="C125" s="135">
        <v>43963</v>
      </c>
      <c r="E125" s="132" t="s">
        <v>2308</v>
      </c>
      <c r="J125" s="132"/>
      <c r="K125" s="323">
        <v>510</v>
      </c>
      <c r="L125" s="132"/>
      <c r="M125" s="141">
        <f>SUM(K120:K125)</f>
        <v>9413</v>
      </c>
    </row>
    <row r="126" spans="1:13" x14ac:dyDescent="0.2">
      <c r="C126" s="135"/>
      <c r="J126" s="132"/>
      <c r="K126" s="141"/>
      <c r="L126" s="132"/>
    </row>
    <row r="127" spans="1:13" x14ac:dyDescent="0.2">
      <c r="C127" s="135"/>
      <c r="J127" s="132"/>
      <c r="K127" s="141"/>
      <c r="L127" s="132"/>
    </row>
    <row r="128" spans="1:13" x14ac:dyDescent="0.2">
      <c r="C128" s="135"/>
      <c r="J128" s="132"/>
      <c r="K128" s="141"/>
      <c r="L128" s="132"/>
    </row>
    <row r="129" spans="1:12" x14ac:dyDescent="0.2">
      <c r="C129" s="135"/>
      <c r="J129" s="132"/>
      <c r="K129" s="141"/>
      <c r="L129" s="132"/>
    </row>
    <row r="130" spans="1:12" x14ac:dyDescent="0.2">
      <c r="C130" s="135"/>
      <c r="E130" s="132" t="s">
        <v>2010</v>
      </c>
      <c r="J130" s="132"/>
      <c r="K130" s="141">
        <f>-2208-552</f>
        <v>-2760</v>
      </c>
      <c r="L130" s="132"/>
    </row>
    <row r="131" spans="1:12" ht="15" x14ac:dyDescent="0.25">
      <c r="C131" s="135">
        <v>44012</v>
      </c>
      <c r="E131" s="133" t="s">
        <v>1949</v>
      </c>
      <c r="F131" s="133"/>
      <c r="G131" s="133"/>
      <c r="H131" s="133"/>
      <c r="I131" s="133"/>
      <c r="K131" s="136">
        <f>SUM(K119:K130)</f>
        <v>26141.17</v>
      </c>
    </row>
    <row r="132" spans="1:12" ht="15" x14ac:dyDescent="0.25">
      <c r="C132" s="135"/>
      <c r="E132" s="133"/>
      <c r="F132" s="133"/>
      <c r="G132" s="133"/>
      <c r="H132" s="133"/>
      <c r="I132" s="133"/>
      <c r="K132" s="136"/>
    </row>
    <row r="133" spans="1:12" ht="15" x14ac:dyDescent="0.25">
      <c r="A133" s="137" t="s">
        <v>2261</v>
      </c>
      <c r="C133" s="135"/>
      <c r="E133" s="133"/>
      <c r="F133" s="133"/>
      <c r="G133" s="133"/>
      <c r="H133" s="133"/>
      <c r="I133" s="133"/>
      <c r="K133" s="136"/>
    </row>
    <row r="134" spans="1:12" ht="15" x14ac:dyDescent="0.25">
      <c r="C134" s="135"/>
      <c r="E134" s="133"/>
      <c r="F134" s="133"/>
      <c r="G134" s="133"/>
      <c r="H134" s="133"/>
      <c r="I134" s="133"/>
      <c r="K134" s="136"/>
    </row>
    <row r="135" spans="1:12" ht="15" x14ac:dyDescent="0.25">
      <c r="C135" s="135"/>
      <c r="E135" s="133"/>
      <c r="F135" s="133"/>
      <c r="G135" s="133"/>
      <c r="H135" s="133"/>
      <c r="I135" s="133"/>
      <c r="K135" s="136"/>
    </row>
    <row r="136" spans="1:12" ht="15" x14ac:dyDescent="0.25">
      <c r="C136" s="135"/>
      <c r="E136" s="133"/>
      <c r="F136" s="133"/>
      <c r="G136" s="133"/>
      <c r="H136" s="133"/>
      <c r="I136" s="133"/>
      <c r="K136" s="136"/>
    </row>
    <row r="137" spans="1:12" ht="15" x14ac:dyDescent="0.25">
      <c r="C137" s="135"/>
      <c r="E137" s="133"/>
      <c r="F137" s="133"/>
      <c r="G137" s="133"/>
      <c r="H137" s="133"/>
      <c r="I137" s="133"/>
      <c r="K137" s="136"/>
    </row>
    <row r="138" spans="1:12" ht="15" x14ac:dyDescent="0.25">
      <c r="C138" s="135"/>
      <c r="E138" s="133"/>
      <c r="F138" s="133"/>
      <c r="G138" s="133"/>
      <c r="H138" s="133"/>
      <c r="I138" s="133"/>
      <c r="K138" s="136"/>
    </row>
    <row r="139" spans="1:12" ht="15" x14ac:dyDescent="0.25">
      <c r="C139" s="135"/>
      <c r="E139" s="133"/>
      <c r="F139" s="133"/>
      <c r="G139" s="133"/>
      <c r="H139" s="133"/>
      <c r="I139" s="133"/>
      <c r="K139" s="136"/>
    </row>
    <row r="142" spans="1:12" ht="15.75" x14ac:dyDescent="0.25">
      <c r="A142" s="149" t="s">
        <v>2011</v>
      </c>
    </row>
    <row r="144" spans="1:12" ht="15" x14ac:dyDescent="0.25">
      <c r="B144" s="294" t="s">
        <v>1674</v>
      </c>
    </row>
    <row r="145" spans="1:11" ht="15" x14ac:dyDescent="0.25">
      <c r="C145" s="135">
        <v>43647</v>
      </c>
      <c r="E145" s="133" t="s">
        <v>1827</v>
      </c>
      <c r="F145" s="133"/>
      <c r="G145" s="133"/>
      <c r="H145" s="133"/>
      <c r="I145" s="133"/>
      <c r="K145" s="136">
        <v>2385408.2400000002</v>
      </c>
    </row>
    <row r="146" spans="1:11" ht="15" x14ac:dyDescent="0.25">
      <c r="E146" s="137"/>
      <c r="F146" s="137"/>
      <c r="G146" s="137"/>
      <c r="H146" s="137"/>
      <c r="I146" s="137"/>
    </row>
    <row r="147" spans="1:11" ht="15" x14ac:dyDescent="0.25">
      <c r="A147" s="132" t="s">
        <v>2262</v>
      </c>
      <c r="C147" s="135">
        <v>43878</v>
      </c>
      <c r="E147" s="138" t="s">
        <v>2349</v>
      </c>
      <c r="F147" s="138"/>
      <c r="G147" s="138"/>
      <c r="H147" s="138"/>
      <c r="I147" s="138"/>
      <c r="K147" s="134">
        <v>1861.7</v>
      </c>
    </row>
    <row r="148" spans="1:11" ht="15" x14ac:dyDescent="0.25">
      <c r="A148" s="132" t="s">
        <v>2262</v>
      </c>
      <c r="C148" s="135">
        <v>43878</v>
      </c>
      <c r="E148" s="138" t="s">
        <v>2350</v>
      </c>
      <c r="F148" s="138"/>
      <c r="G148" s="138"/>
      <c r="H148" s="138"/>
      <c r="I148" s="138"/>
      <c r="K148" s="134">
        <v>8900</v>
      </c>
    </row>
    <row r="149" spans="1:11" x14ac:dyDescent="0.2">
      <c r="C149" s="135"/>
      <c r="J149" s="132"/>
    </row>
    <row r="150" spans="1:11" x14ac:dyDescent="0.2">
      <c r="C150" s="135"/>
      <c r="J150" s="132"/>
    </row>
    <row r="151" spans="1:11" x14ac:dyDescent="0.2">
      <c r="C151" s="135"/>
      <c r="J151" s="132"/>
    </row>
    <row r="153" spans="1:11" ht="15" x14ac:dyDescent="0.25">
      <c r="C153" s="135">
        <v>44012</v>
      </c>
      <c r="E153" s="133" t="s">
        <v>2035</v>
      </c>
      <c r="F153" s="133"/>
      <c r="G153" s="133"/>
      <c r="H153" s="133"/>
      <c r="I153" s="133"/>
      <c r="K153" s="136">
        <f>+SUM(K145:K151)</f>
        <v>2396169.9400000004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17D0B-37B8-4C54-B3B9-0FBA72ABDCB3}">
  <sheetPr>
    <pageSetUpPr fitToPage="1"/>
  </sheetPr>
  <dimension ref="A1:AC881"/>
  <sheetViews>
    <sheetView workbookViewId="0">
      <pane ySplit="1770" topLeftCell="A802" activePane="bottomLeft"/>
      <selection sqref="A1:XFD1048576"/>
      <selection pane="bottomLeft" activeCell="A814" sqref="A814:XFD814"/>
    </sheetView>
  </sheetViews>
  <sheetFormatPr defaultColWidth="6.85546875" defaultRowHeight="12.75" x14ac:dyDescent="0.2"/>
  <cols>
    <col min="1" max="2" width="6.85546875" style="11"/>
    <col min="3" max="3" width="59.7109375" style="11" bestFit="1" customWidth="1"/>
    <col min="4" max="4" width="10.28515625" style="11" bestFit="1" customWidth="1"/>
    <col min="5" max="5" width="10.140625" style="18" bestFit="1" customWidth="1"/>
    <col min="6" max="6" width="10.28515625" style="19" bestFit="1" customWidth="1"/>
    <col min="7" max="7" width="8.42578125" style="19" bestFit="1" customWidth="1"/>
    <col min="8" max="10" width="12.85546875" style="11" bestFit="1" customWidth="1"/>
    <col min="11" max="11" width="10.28515625" style="11" bestFit="1" customWidth="1"/>
    <col min="12" max="12" width="8.28515625" style="11" bestFit="1" customWidth="1"/>
    <col min="13" max="13" width="7" style="11" bestFit="1" customWidth="1"/>
    <col min="14" max="14" width="6.85546875" style="44"/>
    <col min="15" max="15" width="8.7109375" style="44" hidden="1" customWidth="1"/>
    <col min="16" max="16" width="8.7109375" style="11" hidden="1" customWidth="1"/>
    <col min="17" max="17" width="9.85546875" style="11" hidden="1" customWidth="1"/>
    <col min="18" max="18" width="8.7109375" style="44" hidden="1" customWidth="1"/>
    <col min="19" max="19" width="8.7109375" style="11" hidden="1" customWidth="1"/>
    <col min="20" max="20" width="11.28515625" style="11" bestFit="1" customWidth="1"/>
    <col min="21" max="21" width="12.85546875" style="319" bestFit="1" customWidth="1"/>
    <col min="22" max="22" width="12.85546875" style="11" bestFit="1" customWidth="1"/>
    <col min="23" max="23" width="6.85546875" style="11"/>
    <col min="24" max="24" width="12.85546875" style="11" bestFit="1" customWidth="1"/>
    <col min="25" max="28" width="6.85546875" style="11"/>
    <col min="29" max="29" width="10.28515625" style="11" bestFit="1" customWidth="1"/>
    <col min="30" max="16384" width="6.85546875" style="11"/>
  </cols>
  <sheetData>
    <row r="1" spans="1:22" ht="13.5" customHeight="1" x14ac:dyDescent="0.2">
      <c r="A1" s="164"/>
      <c r="B1" s="165"/>
      <c r="C1" s="165"/>
      <c r="D1" s="521" t="s">
        <v>0</v>
      </c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161"/>
    </row>
    <row r="2" spans="1:22" ht="15.75" customHeight="1" x14ac:dyDescent="0.2">
      <c r="A2" s="164"/>
      <c r="B2" s="166"/>
      <c r="C2" s="166"/>
      <c r="D2" s="522" t="s">
        <v>1</v>
      </c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161"/>
    </row>
    <row r="3" spans="1:22" ht="13.5" customHeight="1" x14ac:dyDescent="0.2">
      <c r="A3" s="164"/>
      <c r="B3" s="167"/>
      <c r="C3" s="167"/>
      <c r="D3" s="167"/>
      <c r="E3" s="168"/>
      <c r="F3" s="161"/>
      <c r="G3" s="161"/>
      <c r="H3" s="169">
        <v>43647</v>
      </c>
      <c r="I3" s="170"/>
      <c r="J3" s="169">
        <v>43830</v>
      </c>
      <c r="K3" s="167"/>
      <c r="L3" s="167"/>
      <c r="M3" s="167"/>
      <c r="N3" s="171"/>
      <c r="O3" s="171"/>
      <c r="P3" s="167"/>
      <c r="Q3" s="167"/>
      <c r="R3" s="171"/>
      <c r="S3" s="167"/>
      <c r="T3" s="167" t="s">
        <v>1639</v>
      </c>
      <c r="U3" s="307">
        <f>ROUND((+J3-H3)/365*12,0)</f>
        <v>6</v>
      </c>
      <c r="V3" s="172"/>
    </row>
    <row r="4" spans="1:22" ht="3" customHeight="1" x14ac:dyDescent="0.2">
      <c r="A4" s="164"/>
      <c r="B4" s="164"/>
      <c r="C4" s="164"/>
      <c r="D4" s="164"/>
      <c r="E4" s="173"/>
      <c r="F4" s="172"/>
      <c r="G4" s="172"/>
      <c r="H4" s="164"/>
      <c r="I4" s="164"/>
      <c r="J4" s="164"/>
      <c r="K4" s="164"/>
      <c r="L4" s="164"/>
      <c r="M4" s="164"/>
      <c r="N4" s="289"/>
      <c r="O4" s="289"/>
      <c r="P4" s="164"/>
      <c r="Q4" s="164"/>
      <c r="R4" s="289"/>
      <c r="S4" s="164"/>
      <c r="T4" s="164"/>
      <c r="U4" s="308"/>
      <c r="V4" s="164"/>
    </row>
    <row r="5" spans="1:22" ht="15" customHeight="1" x14ac:dyDescent="0.2">
      <c r="A5" s="175"/>
      <c r="B5" s="176"/>
      <c r="C5" s="176"/>
      <c r="D5" s="177" t="s">
        <v>4</v>
      </c>
      <c r="E5" s="178" t="s">
        <v>1641</v>
      </c>
      <c r="F5" s="179"/>
      <c r="G5" s="180"/>
      <c r="H5" s="181" t="s">
        <v>1643</v>
      </c>
      <c r="I5" s="182" t="s">
        <v>1646</v>
      </c>
      <c r="J5" s="183" t="s">
        <v>1647</v>
      </c>
      <c r="K5" s="182" t="s">
        <v>1649</v>
      </c>
      <c r="L5" s="182" t="s">
        <v>1650</v>
      </c>
      <c r="M5" s="182" t="s">
        <v>1634</v>
      </c>
      <c r="N5" s="184" t="s">
        <v>1634</v>
      </c>
      <c r="O5" s="184" t="s">
        <v>1664</v>
      </c>
      <c r="P5" s="182" t="s">
        <v>1665</v>
      </c>
      <c r="Q5" s="182" t="s">
        <v>1666</v>
      </c>
      <c r="R5" s="184" t="s">
        <v>1661</v>
      </c>
      <c r="S5" s="182" t="s">
        <v>1660</v>
      </c>
      <c r="T5" s="182" t="s">
        <v>1662</v>
      </c>
      <c r="U5" s="309" t="s">
        <v>1653</v>
      </c>
      <c r="V5" s="184" t="s">
        <v>2086</v>
      </c>
    </row>
    <row r="6" spans="1:22" ht="15" customHeight="1" x14ac:dyDescent="0.2">
      <c r="A6" s="185" t="s">
        <v>1636</v>
      </c>
      <c r="B6" s="186"/>
      <c r="C6" s="186" t="s">
        <v>12</v>
      </c>
      <c r="D6" s="187" t="s">
        <v>1640</v>
      </c>
      <c r="E6" s="188" t="s">
        <v>1640</v>
      </c>
      <c r="F6" s="189" t="s">
        <v>1642</v>
      </c>
      <c r="G6" s="190" t="s">
        <v>1644</v>
      </c>
      <c r="H6" s="191" t="s">
        <v>1644</v>
      </c>
      <c r="I6" s="192" t="s">
        <v>1645</v>
      </c>
      <c r="J6" s="187"/>
      <c r="K6" s="187"/>
      <c r="L6" s="187"/>
      <c r="M6" s="192" t="s">
        <v>1651</v>
      </c>
      <c r="N6" s="193" t="s">
        <v>1633</v>
      </c>
      <c r="O6" s="193" t="s">
        <v>1634</v>
      </c>
      <c r="P6" s="193" t="s">
        <v>1634</v>
      </c>
      <c r="Q6" s="193" t="s">
        <v>1667</v>
      </c>
      <c r="R6" s="193" t="s">
        <v>1634</v>
      </c>
      <c r="S6" s="193" t="s">
        <v>1634</v>
      </c>
      <c r="T6" s="193" t="s">
        <v>1634</v>
      </c>
      <c r="U6" s="310" t="s">
        <v>1652</v>
      </c>
      <c r="V6" s="193" t="s">
        <v>2087</v>
      </c>
    </row>
    <row r="7" spans="1:22" ht="15.75" customHeight="1" x14ac:dyDescent="0.2">
      <c r="A7" s="194" t="s">
        <v>14</v>
      </c>
      <c r="B7" s="195"/>
      <c r="C7" s="195"/>
      <c r="D7" s="196"/>
      <c r="E7" s="197"/>
      <c r="F7" s="198"/>
      <c r="G7" s="198"/>
      <c r="H7" s="198"/>
      <c r="I7" s="198"/>
      <c r="J7" s="198"/>
      <c r="K7" s="198"/>
      <c r="L7" s="198"/>
      <c r="M7" s="196"/>
      <c r="N7" s="199"/>
      <c r="O7" s="199"/>
      <c r="P7" s="196"/>
      <c r="Q7" s="196"/>
      <c r="R7" s="199"/>
      <c r="S7" s="196"/>
      <c r="T7" s="196"/>
      <c r="U7" s="311"/>
      <c r="V7" s="200"/>
    </row>
    <row r="8" spans="1:22" ht="15.75" customHeight="1" x14ac:dyDescent="0.2">
      <c r="A8" s="110" t="s">
        <v>15</v>
      </c>
      <c r="B8" s="111"/>
      <c r="C8" s="201" t="s">
        <v>16</v>
      </c>
      <c r="D8" s="91">
        <v>41878</v>
      </c>
      <c r="E8" s="92"/>
      <c r="F8" s="93"/>
      <c r="G8" s="93"/>
      <c r="H8" s="93">
        <v>1000</v>
      </c>
      <c r="I8" s="93">
        <v>880</v>
      </c>
      <c r="J8" s="93">
        <v>0</v>
      </c>
      <c r="K8" s="93">
        <f t="shared" ref="K8:K71" si="0">INT(IF($E8&gt;0,IF(+F8-I8+Q8&lt;0,0,+F8-I8+Q8),0))</f>
        <v>0</v>
      </c>
      <c r="L8" s="93">
        <f t="shared" ref="L8:L71" si="1">INT(IF($E8&gt;0,IF(K8=0,-F8+I8-Q8,0),0))</f>
        <v>0</v>
      </c>
      <c r="M8" s="94">
        <v>2.5</v>
      </c>
      <c r="N8" s="95" t="s">
        <v>17</v>
      </c>
      <c r="O8" s="93">
        <f>IF(E8&gt;0,INT(IF($N8="D",IF($D8&lt;$H$3,$I8*($M8/100)*((E8-$H$3)/365),$J8*($M8/100)*($J$3-$D8)/365),0)),0)</f>
        <v>0</v>
      </c>
      <c r="P8" s="93">
        <f>IF(E8&gt;0,INT(IF($N8="P",IF($D8&lt;$H$3,$H8*($M8/100)*(E8-$H$3)/365,$J8*($M8/100)*($J$3-$D8)/365),0)),0)</f>
        <v>0</v>
      </c>
      <c r="Q8" s="93">
        <f>+O8+P8</f>
        <v>0</v>
      </c>
      <c r="R8" s="93">
        <f t="shared" ref="R8:R71" si="2">INT(IF($E8&gt;0,0,(IF($N8="D",IF($D8&lt;$H$3,$I8*($M8/100)*$U$3/12,$J8*($M8/100)*($J$3-$D8)/365),0))))</f>
        <v>0</v>
      </c>
      <c r="S8" s="93">
        <f t="shared" ref="S8:S71" si="3">INT(IF($E8&gt;0,0,(IF($N8="P",IF($D8&lt;$H$3,$H8*($M8/100)*$U$3/12,$J8*($M8/100)*($J$3-$D8)/365),0))))</f>
        <v>12</v>
      </c>
      <c r="T8" s="93">
        <f>+R8+S8+Q8</f>
        <v>12</v>
      </c>
      <c r="U8" s="312">
        <f t="shared" ref="U8:U71" si="4">+I8+J8-T8-F8+K8-L8</f>
        <v>868</v>
      </c>
      <c r="V8" s="93">
        <f>IF(E8&gt;0,+H8+J8,0)</f>
        <v>0</v>
      </c>
    </row>
    <row r="9" spans="1:22" ht="18" customHeight="1" x14ac:dyDescent="0.2">
      <c r="A9" s="110" t="s">
        <v>18</v>
      </c>
      <c r="B9" s="111"/>
      <c r="C9" s="202" t="s">
        <v>19</v>
      </c>
      <c r="D9" s="91">
        <v>41831</v>
      </c>
      <c r="E9" s="92"/>
      <c r="F9" s="93"/>
      <c r="G9" s="93"/>
      <c r="H9" s="93">
        <v>2660</v>
      </c>
      <c r="I9" s="93">
        <v>2328</v>
      </c>
      <c r="J9" s="93">
        <v>0</v>
      </c>
      <c r="K9" s="93">
        <f t="shared" si="0"/>
        <v>0</v>
      </c>
      <c r="L9" s="93">
        <f t="shared" si="1"/>
        <v>0</v>
      </c>
      <c r="M9" s="94">
        <v>2.5</v>
      </c>
      <c r="N9" s="95" t="s">
        <v>17</v>
      </c>
      <c r="O9" s="93">
        <f t="shared" ref="O9:O72" si="5">IF(E9&gt;0,INT(IF($N9="D",IF($D9&lt;$H$3,$I9*($M9/100)*((E9-$H$3)/365),$J9*($M9/100)*($J$3-$D9)/365),0)),0)</f>
        <v>0</v>
      </c>
      <c r="P9" s="93">
        <f t="shared" ref="P9:P72" si="6">IF(E9&gt;0,INT(IF($N9="P",IF($D9&lt;$H$3,$H9*($M9/100)*(E9-$H$3)/365,$J9*($M9/100)*($J$3-$D9)/365),0)),0)</f>
        <v>0</v>
      </c>
      <c r="Q9" s="93">
        <f t="shared" ref="Q9:Q72" si="7">+O9+P9</f>
        <v>0</v>
      </c>
      <c r="R9" s="93">
        <f t="shared" si="2"/>
        <v>0</v>
      </c>
      <c r="S9" s="93">
        <f t="shared" si="3"/>
        <v>33</v>
      </c>
      <c r="T9" s="93">
        <f t="shared" ref="T9:T72" si="8">+R9+S9+Q9</f>
        <v>33</v>
      </c>
      <c r="U9" s="312">
        <f t="shared" si="4"/>
        <v>2295</v>
      </c>
      <c r="V9" s="93">
        <f t="shared" ref="V9:V72" si="9">IF(E9&gt;0,+H9+J9,0)</f>
        <v>0</v>
      </c>
    </row>
    <row r="10" spans="1:22" ht="18" customHeight="1" x14ac:dyDescent="0.2">
      <c r="A10" s="110" t="s">
        <v>20</v>
      </c>
      <c r="B10" s="111"/>
      <c r="C10" s="202" t="s">
        <v>21</v>
      </c>
      <c r="D10" s="91">
        <v>41850</v>
      </c>
      <c r="E10" s="92"/>
      <c r="F10" s="93"/>
      <c r="G10" s="93"/>
      <c r="H10" s="93">
        <v>2584</v>
      </c>
      <c r="I10" s="93">
        <v>2266</v>
      </c>
      <c r="J10" s="93">
        <v>0</v>
      </c>
      <c r="K10" s="93">
        <f t="shared" si="0"/>
        <v>0</v>
      </c>
      <c r="L10" s="93">
        <f t="shared" si="1"/>
        <v>0</v>
      </c>
      <c r="M10" s="94">
        <v>2.5</v>
      </c>
      <c r="N10" s="95" t="s">
        <v>17</v>
      </c>
      <c r="O10" s="93">
        <f t="shared" si="5"/>
        <v>0</v>
      </c>
      <c r="P10" s="93">
        <f t="shared" si="6"/>
        <v>0</v>
      </c>
      <c r="Q10" s="93">
        <f t="shared" si="7"/>
        <v>0</v>
      </c>
      <c r="R10" s="93">
        <f t="shared" si="2"/>
        <v>0</v>
      </c>
      <c r="S10" s="93">
        <f t="shared" si="3"/>
        <v>32</v>
      </c>
      <c r="T10" s="93">
        <f t="shared" si="8"/>
        <v>32</v>
      </c>
      <c r="U10" s="312">
        <f t="shared" si="4"/>
        <v>2234</v>
      </c>
      <c r="V10" s="93">
        <f t="shared" si="9"/>
        <v>0</v>
      </c>
    </row>
    <row r="11" spans="1:22" ht="18" customHeight="1" x14ac:dyDescent="0.2">
      <c r="A11" s="110" t="s">
        <v>22</v>
      </c>
      <c r="B11" s="111"/>
      <c r="C11" s="202" t="s">
        <v>23</v>
      </c>
      <c r="D11" s="91">
        <v>42033</v>
      </c>
      <c r="E11" s="92"/>
      <c r="F11" s="93"/>
      <c r="G11" s="93"/>
      <c r="H11" s="93">
        <v>3332</v>
      </c>
      <c r="I11" s="93">
        <v>2964</v>
      </c>
      <c r="J11" s="93">
        <v>0</v>
      </c>
      <c r="K11" s="93">
        <f t="shared" si="0"/>
        <v>0</v>
      </c>
      <c r="L11" s="93">
        <f t="shared" si="1"/>
        <v>0</v>
      </c>
      <c r="M11" s="94">
        <v>2.5</v>
      </c>
      <c r="N11" s="95" t="s">
        <v>17</v>
      </c>
      <c r="O11" s="93">
        <f t="shared" si="5"/>
        <v>0</v>
      </c>
      <c r="P11" s="93">
        <f t="shared" si="6"/>
        <v>0</v>
      </c>
      <c r="Q11" s="93">
        <f t="shared" si="7"/>
        <v>0</v>
      </c>
      <c r="R11" s="93">
        <f t="shared" si="2"/>
        <v>0</v>
      </c>
      <c r="S11" s="93">
        <f t="shared" si="3"/>
        <v>41</v>
      </c>
      <c r="T11" s="93">
        <f t="shared" si="8"/>
        <v>41</v>
      </c>
      <c r="U11" s="312">
        <f t="shared" si="4"/>
        <v>2923</v>
      </c>
      <c r="V11" s="93">
        <f t="shared" si="9"/>
        <v>0</v>
      </c>
    </row>
    <row r="12" spans="1:22" ht="18" customHeight="1" x14ac:dyDescent="0.2">
      <c r="A12" s="110" t="s">
        <v>24</v>
      </c>
      <c r="B12" s="111"/>
      <c r="C12" s="202" t="s">
        <v>25</v>
      </c>
      <c r="D12" s="91">
        <v>42067</v>
      </c>
      <c r="E12" s="92"/>
      <c r="F12" s="93"/>
      <c r="G12" s="93"/>
      <c r="H12" s="93">
        <v>3036</v>
      </c>
      <c r="I12" s="93">
        <v>2707</v>
      </c>
      <c r="J12" s="93">
        <v>0</v>
      </c>
      <c r="K12" s="93">
        <f t="shared" si="0"/>
        <v>0</v>
      </c>
      <c r="L12" s="93">
        <f t="shared" si="1"/>
        <v>0</v>
      </c>
      <c r="M12" s="94">
        <v>2.5</v>
      </c>
      <c r="N12" s="95" t="s">
        <v>17</v>
      </c>
      <c r="O12" s="93">
        <f t="shared" si="5"/>
        <v>0</v>
      </c>
      <c r="P12" s="93">
        <f t="shared" si="6"/>
        <v>0</v>
      </c>
      <c r="Q12" s="93">
        <f t="shared" si="7"/>
        <v>0</v>
      </c>
      <c r="R12" s="93">
        <f t="shared" si="2"/>
        <v>0</v>
      </c>
      <c r="S12" s="93">
        <f t="shared" si="3"/>
        <v>37</v>
      </c>
      <c r="T12" s="93">
        <f t="shared" si="8"/>
        <v>37</v>
      </c>
      <c r="U12" s="312">
        <f t="shared" si="4"/>
        <v>2670</v>
      </c>
      <c r="V12" s="93">
        <f t="shared" si="9"/>
        <v>0</v>
      </c>
    </row>
    <row r="13" spans="1:22" ht="18" customHeight="1" x14ac:dyDescent="0.2">
      <c r="A13" s="110" t="s">
        <v>26</v>
      </c>
      <c r="B13" s="111"/>
      <c r="C13" s="203" t="s">
        <v>27</v>
      </c>
      <c r="D13" s="91">
        <v>42475</v>
      </c>
      <c r="E13" s="92"/>
      <c r="F13" s="93"/>
      <c r="G13" s="93"/>
      <c r="H13" s="93">
        <v>67371.570000000007</v>
      </c>
      <c r="I13" s="93">
        <v>61960.57</v>
      </c>
      <c r="J13" s="93">
        <v>0</v>
      </c>
      <c r="K13" s="93">
        <f t="shared" si="0"/>
        <v>0</v>
      </c>
      <c r="L13" s="93">
        <f t="shared" si="1"/>
        <v>0</v>
      </c>
      <c r="M13" s="94">
        <v>2.5</v>
      </c>
      <c r="N13" s="95" t="s">
        <v>17</v>
      </c>
      <c r="O13" s="93">
        <f t="shared" si="5"/>
        <v>0</v>
      </c>
      <c r="P13" s="93">
        <f t="shared" si="6"/>
        <v>0</v>
      </c>
      <c r="Q13" s="93">
        <f t="shared" si="7"/>
        <v>0</v>
      </c>
      <c r="R13" s="93">
        <f t="shared" si="2"/>
        <v>0</v>
      </c>
      <c r="S13" s="93">
        <f t="shared" si="3"/>
        <v>842</v>
      </c>
      <c r="T13" s="93">
        <f t="shared" si="8"/>
        <v>842</v>
      </c>
      <c r="U13" s="312">
        <f t="shared" si="4"/>
        <v>61118.57</v>
      </c>
      <c r="V13" s="93">
        <f t="shared" si="9"/>
        <v>0</v>
      </c>
    </row>
    <row r="14" spans="1:22" ht="18" customHeight="1" x14ac:dyDescent="0.2">
      <c r="A14" s="110" t="s">
        <v>28</v>
      </c>
      <c r="B14" s="111"/>
      <c r="C14" s="201" t="s">
        <v>29</v>
      </c>
      <c r="D14" s="91">
        <v>42429</v>
      </c>
      <c r="E14" s="92"/>
      <c r="F14" s="93"/>
      <c r="G14" s="93"/>
      <c r="H14" s="93">
        <v>4933.6400000000003</v>
      </c>
      <c r="I14" s="93">
        <v>4522.6400000000003</v>
      </c>
      <c r="J14" s="93">
        <v>0</v>
      </c>
      <c r="K14" s="93">
        <f t="shared" si="0"/>
        <v>0</v>
      </c>
      <c r="L14" s="93">
        <f t="shared" si="1"/>
        <v>0</v>
      </c>
      <c r="M14" s="94">
        <v>2.5</v>
      </c>
      <c r="N14" s="95" t="s">
        <v>17</v>
      </c>
      <c r="O14" s="93">
        <f t="shared" si="5"/>
        <v>0</v>
      </c>
      <c r="P14" s="93">
        <f t="shared" si="6"/>
        <v>0</v>
      </c>
      <c r="Q14" s="93">
        <f t="shared" si="7"/>
        <v>0</v>
      </c>
      <c r="R14" s="93">
        <f t="shared" si="2"/>
        <v>0</v>
      </c>
      <c r="S14" s="93">
        <f t="shared" si="3"/>
        <v>61</v>
      </c>
      <c r="T14" s="93">
        <f t="shared" si="8"/>
        <v>61</v>
      </c>
      <c r="U14" s="312">
        <f t="shared" si="4"/>
        <v>4461.6400000000003</v>
      </c>
      <c r="V14" s="93">
        <f t="shared" si="9"/>
        <v>0</v>
      </c>
    </row>
    <row r="15" spans="1:22" ht="18" customHeight="1" x14ac:dyDescent="0.2">
      <c r="A15" s="110" t="s">
        <v>30</v>
      </c>
      <c r="B15" s="111"/>
      <c r="C15" s="201" t="s">
        <v>31</v>
      </c>
      <c r="D15" s="91">
        <v>42551</v>
      </c>
      <c r="E15" s="92"/>
      <c r="F15" s="93"/>
      <c r="G15" s="93"/>
      <c r="H15" s="93">
        <v>96714.930000000008</v>
      </c>
      <c r="I15" s="93">
        <v>89447.930000000008</v>
      </c>
      <c r="J15" s="93">
        <v>0</v>
      </c>
      <c r="K15" s="93">
        <f t="shared" si="0"/>
        <v>0</v>
      </c>
      <c r="L15" s="93">
        <f t="shared" si="1"/>
        <v>0</v>
      </c>
      <c r="M15" s="94">
        <v>2.5</v>
      </c>
      <c r="N15" s="95" t="s">
        <v>17</v>
      </c>
      <c r="O15" s="93">
        <f t="shared" si="5"/>
        <v>0</v>
      </c>
      <c r="P15" s="93">
        <f t="shared" si="6"/>
        <v>0</v>
      </c>
      <c r="Q15" s="93">
        <f t="shared" si="7"/>
        <v>0</v>
      </c>
      <c r="R15" s="93">
        <f t="shared" si="2"/>
        <v>0</v>
      </c>
      <c r="S15" s="93">
        <f t="shared" si="3"/>
        <v>1208</v>
      </c>
      <c r="T15" s="93">
        <f t="shared" si="8"/>
        <v>1208</v>
      </c>
      <c r="U15" s="312">
        <f t="shared" si="4"/>
        <v>88239.930000000008</v>
      </c>
      <c r="V15" s="93">
        <f t="shared" si="9"/>
        <v>0</v>
      </c>
    </row>
    <row r="16" spans="1:22" ht="18" customHeight="1" x14ac:dyDescent="0.2">
      <c r="A16" s="110" t="s">
        <v>32</v>
      </c>
      <c r="B16" s="111"/>
      <c r="C16" s="202" t="s">
        <v>33</v>
      </c>
      <c r="D16" s="91">
        <v>42377</v>
      </c>
      <c r="E16" s="92"/>
      <c r="F16" s="93"/>
      <c r="G16" s="93"/>
      <c r="H16" s="93">
        <v>2975</v>
      </c>
      <c r="I16" s="93">
        <v>2717</v>
      </c>
      <c r="J16" s="93">
        <v>0</v>
      </c>
      <c r="K16" s="93">
        <f t="shared" si="0"/>
        <v>0</v>
      </c>
      <c r="L16" s="93">
        <f t="shared" si="1"/>
        <v>0</v>
      </c>
      <c r="M16" s="94">
        <v>2.5</v>
      </c>
      <c r="N16" s="95" t="s">
        <v>17</v>
      </c>
      <c r="O16" s="93">
        <f t="shared" si="5"/>
        <v>0</v>
      </c>
      <c r="P16" s="93">
        <f t="shared" si="6"/>
        <v>0</v>
      </c>
      <c r="Q16" s="93">
        <f t="shared" si="7"/>
        <v>0</v>
      </c>
      <c r="R16" s="93">
        <f t="shared" si="2"/>
        <v>0</v>
      </c>
      <c r="S16" s="93">
        <f t="shared" si="3"/>
        <v>37</v>
      </c>
      <c r="T16" s="93">
        <f t="shared" si="8"/>
        <v>37</v>
      </c>
      <c r="U16" s="312">
        <f t="shared" si="4"/>
        <v>2680</v>
      </c>
      <c r="V16" s="93">
        <f t="shared" si="9"/>
        <v>0</v>
      </c>
    </row>
    <row r="17" spans="1:22" ht="18" customHeight="1" x14ac:dyDescent="0.2">
      <c r="A17" s="110" t="s">
        <v>34</v>
      </c>
      <c r="B17" s="111"/>
      <c r="C17" s="203" t="s">
        <v>35</v>
      </c>
      <c r="D17" s="91">
        <v>42385</v>
      </c>
      <c r="E17" s="92"/>
      <c r="F17" s="93"/>
      <c r="G17" s="93"/>
      <c r="H17" s="93">
        <v>51063.4</v>
      </c>
      <c r="I17" s="93">
        <v>46646.400000000001</v>
      </c>
      <c r="J17" s="93">
        <v>0</v>
      </c>
      <c r="K17" s="93">
        <f t="shared" si="0"/>
        <v>0</v>
      </c>
      <c r="L17" s="93">
        <f t="shared" si="1"/>
        <v>0</v>
      </c>
      <c r="M17" s="94">
        <v>2.5</v>
      </c>
      <c r="N17" s="95" t="s">
        <v>17</v>
      </c>
      <c r="O17" s="93">
        <f t="shared" si="5"/>
        <v>0</v>
      </c>
      <c r="P17" s="93">
        <f t="shared" si="6"/>
        <v>0</v>
      </c>
      <c r="Q17" s="93">
        <f t="shared" si="7"/>
        <v>0</v>
      </c>
      <c r="R17" s="93">
        <f t="shared" si="2"/>
        <v>0</v>
      </c>
      <c r="S17" s="93">
        <f t="shared" si="3"/>
        <v>638</v>
      </c>
      <c r="T17" s="93">
        <f t="shared" si="8"/>
        <v>638</v>
      </c>
      <c r="U17" s="312">
        <f t="shared" si="4"/>
        <v>46008.4</v>
      </c>
      <c r="V17" s="93">
        <f t="shared" si="9"/>
        <v>0</v>
      </c>
    </row>
    <row r="18" spans="1:22" ht="18" customHeight="1" x14ac:dyDescent="0.2">
      <c r="A18" s="110" t="s">
        <v>36</v>
      </c>
      <c r="B18" s="111"/>
      <c r="C18" s="202" t="s">
        <v>37</v>
      </c>
      <c r="D18" s="91">
        <v>42428</v>
      </c>
      <c r="E18" s="92"/>
      <c r="F18" s="93"/>
      <c r="G18" s="93"/>
      <c r="H18" s="93">
        <v>25219.350000000002</v>
      </c>
      <c r="I18" s="93">
        <v>23114.350000000002</v>
      </c>
      <c r="J18" s="93">
        <v>0</v>
      </c>
      <c r="K18" s="93">
        <f t="shared" si="0"/>
        <v>0</v>
      </c>
      <c r="L18" s="93">
        <f t="shared" si="1"/>
        <v>0</v>
      </c>
      <c r="M18" s="94">
        <v>2.5</v>
      </c>
      <c r="N18" s="95" t="s">
        <v>17</v>
      </c>
      <c r="O18" s="93">
        <f t="shared" si="5"/>
        <v>0</v>
      </c>
      <c r="P18" s="93">
        <f t="shared" si="6"/>
        <v>0</v>
      </c>
      <c r="Q18" s="93">
        <f t="shared" si="7"/>
        <v>0</v>
      </c>
      <c r="R18" s="93">
        <f t="shared" si="2"/>
        <v>0</v>
      </c>
      <c r="S18" s="93">
        <f t="shared" si="3"/>
        <v>315</v>
      </c>
      <c r="T18" s="93">
        <f t="shared" si="8"/>
        <v>315</v>
      </c>
      <c r="U18" s="312">
        <f t="shared" si="4"/>
        <v>22799.350000000002</v>
      </c>
      <c r="V18" s="93">
        <f t="shared" si="9"/>
        <v>0</v>
      </c>
    </row>
    <row r="19" spans="1:22" ht="18" customHeight="1" x14ac:dyDescent="0.2">
      <c r="A19" s="110" t="s">
        <v>38</v>
      </c>
      <c r="B19" s="111"/>
      <c r="C19" s="202" t="s">
        <v>39</v>
      </c>
      <c r="D19" s="91">
        <v>42428</v>
      </c>
      <c r="E19" s="92"/>
      <c r="F19" s="93"/>
      <c r="G19" s="93"/>
      <c r="H19" s="93">
        <v>499182.86</v>
      </c>
      <c r="I19" s="93">
        <v>457472.86</v>
      </c>
      <c r="J19" s="93">
        <v>0</v>
      </c>
      <c r="K19" s="93">
        <f t="shared" si="0"/>
        <v>0</v>
      </c>
      <c r="L19" s="93">
        <f t="shared" si="1"/>
        <v>0</v>
      </c>
      <c r="M19" s="94">
        <v>2.5</v>
      </c>
      <c r="N19" s="95" t="s">
        <v>17</v>
      </c>
      <c r="O19" s="93">
        <f t="shared" si="5"/>
        <v>0</v>
      </c>
      <c r="P19" s="93">
        <f t="shared" si="6"/>
        <v>0</v>
      </c>
      <c r="Q19" s="93">
        <f t="shared" si="7"/>
        <v>0</v>
      </c>
      <c r="R19" s="93">
        <f t="shared" si="2"/>
        <v>0</v>
      </c>
      <c r="S19" s="93">
        <f t="shared" si="3"/>
        <v>6239</v>
      </c>
      <c r="T19" s="93">
        <f t="shared" si="8"/>
        <v>6239</v>
      </c>
      <c r="U19" s="312">
        <f t="shared" si="4"/>
        <v>451233.86</v>
      </c>
      <c r="V19" s="93">
        <f t="shared" si="9"/>
        <v>0</v>
      </c>
    </row>
    <row r="20" spans="1:22" ht="18" customHeight="1" x14ac:dyDescent="0.2">
      <c r="A20" s="110" t="s">
        <v>40</v>
      </c>
      <c r="B20" s="111"/>
      <c r="C20" s="90" t="s">
        <v>41</v>
      </c>
      <c r="D20" s="91">
        <v>42274</v>
      </c>
      <c r="E20" s="92"/>
      <c r="F20" s="93"/>
      <c r="G20" s="93"/>
      <c r="H20" s="93">
        <v>76772.05</v>
      </c>
      <c r="I20" s="93">
        <v>69548.05</v>
      </c>
      <c r="J20" s="93">
        <v>0</v>
      </c>
      <c r="K20" s="93">
        <f t="shared" si="0"/>
        <v>0</v>
      </c>
      <c r="L20" s="93">
        <f t="shared" si="1"/>
        <v>0</v>
      </c>
      <c r="M20" s="94">
        <v>2.5</v>
      </c>
      <c r="N20" s="95" t="s">
        <v>17</v>
      </c>
      <c r="O20" s="93">
        <f t="shared" si="5"/>
        <v>0</v>
      </c>
      <c r="P20" s="93">
        <f t="shared" si="6"/>
        <v>0</v>
      </c>
      <c r="Q20" s="93">
        <f t="shared" si="7"/>
        <v>0</v>
      </c>
      <c r="R20" s="93">
        <f t="shared" si="2"/>
        <v>0</v>
      </c>
      <c r="S20" s="93">
        <f t="shared" si="3"/>
        <v>959</v>
      </c>
      <c r="T20" s="93">
        <f t="shared" si="8"/>
        <v>959</v>
      </c>
      <c r="U20" s="312">
        <f t="shared" si="4"/>
        <v>68589.05</v>
      </c>
      <c r="V20" s="93">
        <f t="shared" si="9"/>
        <v>0</v>
      </c>
    </row>
    <row r="21" spans="1:22" ht="18" customHeight="1" x14ac:dyDescent="0.2">
      <c r="A21" s="110" t="s">
        <v>42</v>
      </c>
      <c r="B21" s="111"/>
      <c r="C21" s="203" t="s">
        <v>43</v>
      </c>
      <c r="D21" s="91">
        <v>42415</v>
      </c>
      <c r="E21" s="92"/>
      <c r="F21" s="93"/>
      <c r="G21" s="93"/>
      <c r="H21" s="93">
        <v>3300</v>
      </c>
      <c r="I21" s="93">
        <v>3020</v>
      </c>
      <c r="J21" s="93">
        <v>0</v>
      </c>
      <c r="K21" s="93">
        <f t="shared" si="0"/>
        <v>0</v>
      </c>
      <c r="L21" s="93">
        <f t="shared" si="1"/>
        <v>0</v>
      </c>
      <c r="M21" s="94">
        <v>2.5</v>
      </c>
      <c r="N21" s="95" t="s">
        <v>17</v>
      </c>
      <c r="O21" s="93">
        <f t="shared" si="5"/>
        <v>0</v>
      </c>
      <c r="P21" s="93">
        <f t="shared" si="6"/>
        <v>0</v>
      </c>
      <c r="Q21" s="93">
        <f t="shared" si="7"/>
        <v>0</v>
      </c>
      <c r="R21" s="93">
        <f t="shared" si="2"/>
        <v>0</v>
      </c>
      <c r="S21" s="93">
        <f t="shared" si="3"/>
        <v>41</v>
      </c>
      <c r="T21" s="93">
        <f t="shared" si="8"/>
        <v>41</v>
      </c>
      <c r="U21" s="312">
        <f t="shared" si="4"/>
        <v>2979</v>
      </c>
      <c r="V21" s="93">
        <f t="shared" si="9"/>
        <v>0</v>
      </c>
    </row>
    <row r="22" spans="1:22" ht="18" customHeight="1" x14ac:dyDescent="0.2">
      <c r="A22" s="110" t="s">
        <v>44</v>
      </c>
      <c r="B22" s="111"/>
      <c r="C22" s="90" t="s">
        <v>45</v>
      </c>
      <c r="D22" s="91">
        <v>42319</v>
      </c>
      <c r="E22" s="92"/>
      <c r="F22" s="93"/>
      <c r="G22" s="93"/>
      <c r="H22" s="93">
        <v>80345.240000000005</v>
      </c>
      <c r="I22" s="93">
        <v>73032.240000000005</v>
      </c>
      <c r="J22" s="93">
        <v>0</v>
      </c>
      <c r="K22" s="93">
        <f t="shared" si="0"/>
        <v>0</v>
      </c>
      <c r="L22" s="93">
        <f t="shared" si="1"/>
        <v>0</v>
      </c>
      <c r="M22" s="94">
        <v>2.5</v>
      </c>
      <c r="N22" s="95" t="s">
        <v>17</v>
      </c>
      <c r="O22" s="93">
        <f t="shared" si="5"/>
        <v>0</v>
      </c>
      <c r="P22" s="93">
        <f t="shared" si="6"/>
        <v>0</v>
      </c>
      <c r="Q22" s="93">
        <f t="shared" si="7"/>
        <v>0</v>
      </c>
      <c r="R22" s="93">
        <f t="shared" si="2"/>
        <v>0</v>
      </c>
      <c r="S22" s="93">
        <f t="shared" si="3"/>
        <v>1004</v>
      </c>
      <c r="T22" s="93">
        <f t="shared" si="8"/>
        <v>1004</v>
      </c>
      <c r="U22" s="312">
        <f t="shared" si="4"/>
        <v>72028.240000000005</v>
      </c>
      <c r="V22" s="93">
        <f t="shared" si="9"/>
        <v>0</v>
      </c>
    </row>
    <row r="23" spans="1:22" ht="18" customHeight="1" x14ac:dyDescent="0.2">
      <c r="A23" s="110" t="s">
        <v>46</v>
      </c>
      <c r="B23" s="111"/>
      <c r="C23" s="203" t="s">
        <v>47</v>
      </c>
      <c r="D23" s="91">
        <v>42556</v>
      </c>
      <c r="E23" s="92"/>
      <c r="F23" s="93"/>
      <c r="G23" s="93"/>
      <c r="H23" s="93">
        <v>876.25</v>
      </c>
      <c r="I23" s="93">
        <v>811.25</v>
      </c>
      <c r="J23" s="93">
        <v>0</v>
      </c>
      <c r="K23" s="93">
        <f t="shared" si="0"/>
        <v>0</v>
      </c>
      <c r="L23" s="93">
        <f t="shared" si="1"/>
        <v>0</v>
      </c>
      <c r="M23" s="94">
        <v>2.5</v>
      </c>
      <c r="N23" s="95" t="s">
        <v>17</v>
      </c>
      <c r="O23" s="93">
        <f t="shared" si="5"/>
        <v>0</v>
      </c>
      <c r="P23" s="93">
        <f t="shared" si="6"/>
        <v>0</v>
      </c>
      <c r="Q23" s="93">
        <f t="shared" si="7"/>
        <v>0</v>
      </c>
      <c r="R23" s="93">
        <f t="shared" si="2"/>
        <v>0</v>
      </c>
      <c r="S23" s="93">
        <f t="shared" si="3"/>
        <v>10</v>
      </c>
      <c r="T23" s="93">
        <f t="shared" si="8"/>
        <v>10</v>
      </c>
      <c r="U23" s="312">
        <f t="shared" si="4"/>
        <v>801.25</v>
      </c>
      <c r="V23" s="93">
        <f t="shared" si="9"/>
        <v>0</v>
      </c>
    </row>
    <row r="24" spans="1:22" ht="18" customHeight="1" x14ac:dyDescent="0.2">
      <c r="A24" s="110" t="s">
        <v>48</v>
      </c>
      <c r="B24" s="111"/>
      <c r="C24" s="201" t="s">
        <v>49</v>
      </c>
      <c r="D24" s="91">
        <v>42704</v>
      </c>
      <c r="E24" s="92"/>
      <c r="F24" s="93"/>
      <c r="G24" s="93"/>
      <c r="H24" s="93">
        <v>1950</v>
      </c>
      <c r="I24" s="93">
        <v>1825</v>
      </c>
      <c r="J24" s="93">
        <v>0</v>
      </c>
      <c r="K24" s="93">
        <f t="shared" si="0"/>
        <v>0</v>
      </c>
      <c r="L24" s="93">
        <f t="shared" si="1"/>
        <v>0</v>
      </c>
      <c r="M24" s="94">
        <v>2.5</v>
      </c>
      <c r="N24" s="95" t="s">
        <v>17</v>
      </c>
      <c r="O24" s="93">
        <f t="shared" si="5"/>
        <v>0</v>
      </c>
      <c r="P24" s="93">
        <f t="shared" si="6"/>
        <v>0</v>
      </c>
      <c r="Q24" s="93">
        <f t="shared" si="7"/>
        <v>0</v>
      </c>
      <c r="R24" s="93">
        <f t="shared" si="2"/>
        <v>0</v>
      </c>
      <c r="S24" s="93">
        <f t="shared" si="3"/>
        <v>24</v>
      </c>
      <c r="T24" s="93">
        <f t="shared" si="8"/>
        <v>24</v>
      </c>
      <c r="U24" s="312">
        <f t="shared" si="4"/>
        <v>1801</v>
      </c>
      <c r="V24" s="93">
        <f t="shared" si="9"/>
        <v>0</v>
      </c>
    </row>
    <row r="25" spans="1:22" ht="18" customHeight="1" x14ac:dyDescent="0.2">
      <c r="A25" s="110" t="s">
        <v>50</v>
      </c>
      <c r="B25" s="111"/>
      <c r="C25" s="201" t="s">
        <v>51</v>
      </c>
      <c r="D25" s="91">
        <v>42821</v>
      </c>
      <c r="E25" s="92"/>
      <c r="F25" s="93"/>
      <c r="G25" s="93"/>
      <c r="H25" s="93">
        <v>62109</v>
      </c>
      <c r="I25" s="93">
        <v>58592</v>
      </c>
      <c r="J25" s="93">
        <v>0</v>
      </c>
      <c r="K25" s="93">
        <f t="shared" si="0"/>
        <v>0</v>
      </c>
      <c r="L25" s="93">
        <f t="shared" si="1"/>
        <v>0</v>
      </c>
      <c r="M25" s="94">
        <v>2.5</v>
      </c>
      <c r="N25" s="95" t="s">
        <v>17</v>
      </c>
      <c r="O25" s="93">
        <f t="shared" si="5"/>
        <v>0</v>
      </c>
      <c r="P25" s="93">
        <f t="shared" si="6"/>
        <v>0</v>
      </c>
      <c r="Q25" s="93">
        <f t="shared" si="7"/>
        <v>0</v>
      </c>
      <c r="R25" s="93">
        <f t="shared" si="2"/>
        <v>0</v>
      </c>
      <c r="S25" s="93">
        <f t="shared" si="3"/>
        <v>776</v>
      </c>
      <c r="T25" s="93">
        <f t="shared" si="8"/>
        <v>776</v>
      </c>
      <c r="U25" s="312">
        <f t="shared" si="4"/>
        <v>57816</v>
      </c>
      <c r="V25" s="93">
        <f t="shared" si="9"/>
        <v>0</v>
      </c>
    </row>
    <row r="26" spans="1:22" ht="18" customHeight="1" x14ac:dyDescent="0.2">
      <c r="A26" s="110" t="s">
        <v>52</v>
      </c>
      <c r="B26" s="111"/>
      <c r="C26" s="201" t="s">
        <v>53</v>
      </c>
      <c r="D26" s="91">
        <v>42916</v>
      </c>
      <c r="E26" s="92"/>
      <c r="F26" s="93"/>
      <c r="G26" s="93"/>
      <c r="H26" s="93">
        <v>69675.72</v>
      </c>
      <c r="I26" s="93">
        <v>66182.720000000001</v>
      </c>
      <c r="J26" s="93">
        <v>0</v>
      </c>
      <c r="K26" s="93">
        <f t="shared" si="0"/>
        <v>0</v>
      </c>
      <c r="L26" s="93">
        <f t="shared" si="1"/>
        <v>0</v>
      </c>
      <c r="M26" s="94">
        <v>2.5</v>
      </c>
      <c r="N26" s="95" t="s">
        <v>17</v>
      </c>
      <c r="O26" s="93">
        <f t="shared" si="5"/>
        <v>0</v>
      </c>
      <c r="P26" s="93">
        <f t="shared" si="6"/>
        <v>0</v>
      </c>
      <c r="Q26" s="93">
        <f t="shared" si="7"/>
        <v>0</v>
      </c>
      <c r="R26" s="93">
        <f t="shared" si="2"/>
        <v>0</v>
      </c>
      <c r="S26" s="93">
        <f t="shared" si="3"/>
        <v>870</v>
      </c>
      <c r="T26" s="93">
        <f t="shared" si="8"/>
        <v>870</v>
      </c>
      <c r="U26" s="312">
        <f t="shared" si="4"/>
        <v>65312.72</v>
      </c>
      <c r="V26" s="93">
        <f t="shared" si="9"/>
        <v>0</v>
      </c>
    </row>
    <row r="27" spans="1:22" ht="18" customHeight="1" x14ac:dyDescent="0.2">
      <c r="A27" s="110" t="s">
        <v>54</v>
      </c>
      <c r="B27" s="111"/>
      <c r="C27" s="201" t="s">
        <v>55</v>
      </c>
      <c r="D27" s="91">
        <v>42664</v>
      </c>
      <c r="E27" s="92"/>
      <c r="F27" s="93"/>
      <c r="G27" s="93"/>
      <c r="H27" s="93">
        <v>28247.11</v>
      </c>
      <c r="I27" s="93">
        <v>26345.11</v>
      </c>
      <c r="J27" s="93">
        <v>0</v>
      </c>
      <c r="K27" s="93">
        <f t="shared" si="0"/>
        <v>0</v>
      </c>
      <c r="L27" s="93">
        <f t="shared" si="1"/>
        <v>0</v>
      </c>
      <c r="M27" s="94">
        <v>2.5</v>
      </c>
      <c r="N27" s="95" t="s">
        <v>17</v>
      </c>
      <c r="O27" s="93">
        <f t="shared" si="5"/>
        <v>0</v>
      </c>
      <c r="P27" s="93">
        <f t="shared" si="6"/>
        <v>0</v>
      </c>
      <c r="Q27" s="93">
        <f t="shared" si="7"/>
        <v>0</v>
      </c>
      <c r="R27" s="93">
        <f t="shared" si="2"/>
        <v>0</v>
      </c>
      <c r="S27" s="93">
        <f t="shared" si="3"/>
        <v>353</v>
      </c>
      <c r="T27" s="93">
        <f t="shared" si="8"/>
        <v>353</v>
      </c>
      <c r="U27" s="312">
        <f t="shared" si="4"/>
        <v>25992.11</v>
      </c>
      <c r="V27" s="93">
        <f t="shared" si="9"/>
        <v>0</v>
      </c>
    </row>
    <row r="28" spans="1:22" ht="18" customHeight="1" x14ac:dyDescent="0.2">
      <c r="A28" s="110" t="s">
        <v>56</v>
      </c>
      <c r="B28" s="111"/>
      <c r="C28" s="201" t="s">
        <v>57</v>
      </c>
      <c r="D28" s="91">
        <v>42916</v>
      </c>
      <c r="E28" s="92"/>
      <c r="F28" s="93"/>
      <c r="G28" s="93"/>
      <c r="H28" s="93">
        <v>37437.360000000001</v>
      </c>
      <c r="I28" s="93">
        <v>35561.360000000001</v>
      </c>
      <c r="J28" s="93">
        <v>0</v>
      </c>
      <c r="K28" s="93">
        <f t="shared" si="0"/>
        <v>0</v>
      </c>
      <c r="L28" s="93">
        <f t="shared" si="1"/>
        <v>0</v>
      </c>
      <c r="M28" s="94">
        <v>2.5</v>
      </c>
      <c r="N28" s="95" t="s">
        <v>17</v>
      </c>
      <c r="O28" s="93">
        <f t="shared" si="5"/>
        <v>0</v>
      </c>
      <c r="P28" s="93">
        <f t="shared" si="6"/>
        <v>0</v>
      </c>
      <c r="Q28" s="93">
        <f t="shared" si="7"/>
        <v>0</v>
      </c>
      <c r="R28" s="93">
        <f t="shared" si="2"/>
        <v>0</v>
      </c>
      <c r="S28" s="93">
        <f t="shared" si="3"/>
        <v>467</v>
      </c>
      <c r="T28" s="93">
        <f t="shared" si="8"/>
        <v>467</v>
      </c>
      <c r="U28" s="312">
        <f t="shared" si="4"/>
        <v>35094.36</v>
      </c>
      <c r="V28" s="93">
        <f t="shared" si="9"/>
        <v>0</v>
      </c>
    </row>
    <row r="29" spans="1:22" ht="18" customHeight="1" x14ac:dyDescent="0.2">
      <c r="A29" s="110" t="s">
        <v>58</v>
      </c>
      <c r="B29" s="111"/>
      <c r="C29" s="201" t="s">
        <v>59</v>
      </c>
      <c r="D29" s="91">
        <v>42759</v>
      </c>
      <c r="E29" s="92"/>
      <c r="F29" s="93"/>
      <c r="G29" s="93"/>
      <c r="H29" s="93">
        <v>1391</v>
      </c>
      <c r="I29" s="93">
        <v>1306</v>
      </c>
      <c r="J29" s="93">
        <v>0</v>
      </c>
      <c r="K29" s="93">
        <f t="shared" si="0"/>
        <v>0</v>
      </c>
      <c r="L29" s="93">
        <f t="shared" si="1"/>
        <v>0</v>
      </c>
      <c r="M29" s="94">
        <v>2.5</v>
      </c>
      <c r="N29" s="95" t="s">
        <v>17</v>
      </c>
      <c r="O29" s="93">
        <f t="shared" si="5"/>
        <v>0</v>
      </c>
      <c r="P29" s="93">
        <f t="shared" si="6"/>
        <v>0</v>
      </c>
      <c r="Q29" s="93">
        <f t="shared" si="7"/>
        <v>0</v>
      </c>
      <c r="R29" s="93">
        <f t="shared" si="2"/>
        <v>0</v>
      </c>
      <c r="S29" s="93">
        <f t="shared" si="3"/>
        <v>17</v>
      </c>
      <c r="T29" s="93">
        <f t="shared" si="8"/>
        <v>17</v>
      </c>
      <c r="U29" s="312">
        <f t="shared" si="4"/>
        <v>1289</v>
      </c>
      <c r="V29" s="93">
        <f t="shared" si="9"/>
        <v>0</v>
      </c>
    </row>
    <row r="30" spans="1:22" ht="18" customHeight="1" x14ac:dyDescent="0.2">
      <c r="A30" s="110" t="s">
        <v>60</v>
      </c>
      <c r="B30" s="111"/>
      <c r="C30" s="201" t="s">
        <v>61</v>
      </c>
      <c r="D30" s="91">
        <v>42916</v>
      </c>
      <c r="E30" s="92"/>
      <c r="F30" s="93"/>
      <c r="G30" s="93"/>
      <c r="H30" s="93">
        <v>4441.5</v>
      </c>
      <c r="I30" s="93">
        <v>4218.5</v>
      </c>
      <c r="J30" s="93">
        <v>0</v>
      </c>
      <c r="K30" s="93">
        <f t="shared" si="0"/>
        <v>0</v>
      </c>
      <c r="L30" s="93">
        <f t="shared" si="1"/>
        <v>0</v>
      </c>
      <c r="M30" s="94">
        <v>2.5</v>
      </c>
      <c r="N30" s="95" t="s">
        <v>17</v>
      </c>
      <c r="O30" s="93">
        <f t="shared" si="5"/>
        <v>0</v>
      </c>
      <c r="P30" s="93">
        <f t="shared" si="6"/>
        <v>0</v>
      </c>
      <c r="Q30" s="93">
        <f t="shared" si="7"/>
        <v>0</v>
      </c>
      <c r="R30" s="93">
        <f t="shared" si="2"/>
        <v>0</v>
      </c>
      <c r="S30" s="93">
        <f t="shared" si="3"/>
        <v>55</v>
      </c>
      <c r="T30" s="93">
        <f t="shared" si="8"/>
        <v>55</v>
      </c>
      <c r="U30" s="312">
        <f t="shared" si="4"/>
        <v>4163.5</v>
      </c>
      <c r="V30" s="93">
        <f t="shared" si="9"/>
        <v>0</v>
      </c>
    </row>
    <row r="31" spans="1:22" ht="18" customHeight="1" x14ac:dyDescent="0.2">
      <c r="A31" s="110" t="s">
        <v>62</v>
      </c>
      <c r="B31" s="111"/>
      <c r="C31" s="90" t="s">
        <v>63</v>
      </c>
      <c r="D31" s="91">
        <v>42552</v>
      </c>
      <c r="E31" s="92"/>
      <c r="F31" s="93"/>
      <c r="G31" s="93"/>
      <c r="H31" s="93">
        <v>1728.33</v>
      </c>
      <c r="I31" s="93">
        <v>1599.33</v>
      </c>
      <c r="J31" s="93">
        <v>0</v>
      </c>
      <c r="K31" s="93">
        <f t="shared" si="0"/>
        <v>0</v>
      </c>
      <c r="L31" s="93">
        <f t="shared" si="1"/>
        <v>0</v>
      </c>
      <c r="M31" s="94">
        <v>2.5</v>
      </c>
      <c r="N31" s="95" t="s">
        <v>17</v>
      </c>
      <c r="O31" s="93">
        <f t="shared" si="5"/>
        <v>0</v>
      </c>
      <c r="P31" s="93">
        <f t="shared" si="6"/>
        <v>0</v>
      </c>
      <c r="Q31" s="93">
        <f t="shared" si="7"/>
        <v>0</v>
      </c>
      <c r="R31" s="93">
        <f t="shared" si="2"/>
        <v>0</v>
      </c>
      <c r="S31" s="93">
        <f t="shared" si="3"/>
        <v>21</v>
      </c>
      <c r="T31" s="93">
        <f t="shared" si="8"/>
        <v>21</v>
      </c>
      <c r="U31" s="312">
        <f t="shared" si="4"/>
        <v>1578.33</v>
      </c>
      <c r="V31" s="93">
        <f t="shared" si="9"/>
        <v>0</v>
      </c>
    </row>
    <row r="32" spans="1:22" ht="18" customHeight="1" x14ac:dyDescent="0.2">
      <c r="A32" s="110" t="s">
        <v>64</v>
      </c>
      <c r="B32" s="111"/>
      <c r="C32" s="203" t="s">
        <v>65</v>
      </c>
      <c r="D32" s="91">
        <v>42552</v>
      </c>
      <c r="E32" s="92"/>
      <c r="F32" s="93"/>
      <c r="G32" s="93"/>
      <c r="H32" s="93">
        <v>1939.3700000000001</v>
      </c>
      <c r="I32" s="93">
        <v>1795.3700000000001</v>
      </c>
      <c r="J32" s="93">
        <v>0</v>
      </c>
      <c r="K32" s="93">
        <f t="shared" si="0"/>
        <v>0</v>
      </c>
      <c r="L32" s="93">
        <f t="shared" si="1"/>
        <v>0</v>
      </c>
      <c r="M32" s="94">
        <v>2.5</v>
      </c>
      <c r="N32" s="95" t="s">
        <v>17</v>
      </c>
      <c r="O32" s="93">
        <f t="shared" si="5"/>
        <v>0</v>
      </c>
      <c r="P32" s="93">
        <f t="shared" si="6"/>
        <v>0</v>
      </c>
      <c r="Q32" s="93">
        <f t="shared" si="7"/>
        <v>0</v>
      </c>
      <c r="R32" s="93">
        <f t="shared" si="2"/>
        <v>0</v>
      </c>
      <c r="S32" s="93">
        <f t="shared" si="3"/>
        <v>24</v>
      </c>
      <c r="T32" s="93">
        <f t="shared" si="8"/>
        <v>24</v>
      </c>
      <c r="U32" s="312">
        <f t="shared" si="4"/>
        <v>1771.3700000000001</v>
      </c>
      <c r="V32" s="93">
        <f t="shared" si="9"/>
        <v>0</v>
      </c>
    </row>
    <row r="33" spans="1:22" ht="18" customHeight="1" x14ac:dyDescent="0.2">
      <c r="A33" s="110" t="s">
        <v>66</v>
      </c>
      <c r="B33" s="111"/>
      <c r="C33" s="90" t="s">
        <v>67</v>
      </c>
      <c r="D33" s="91">
        <v>42552</v>
      </c>
      <c r="E33" s="92"/>
      <c r="F33" s="93"/>
      <c r="G33" s="93"/>
      <c r="H33" s="93">
        <v>4654.43</v>
      </c>
      <c r="I33" s="93">
        <v>4306.43</v>
      </c>
      <c r="J33" s="93">
        <v>0</v>
      </c>
      <c r="K33" s="93">
        <f t="shared" si="0"/>
        <v>0</v>
      </c>
      <c r="L33" s="93">
        <f t="shared" si="1"/>
        <v>0</v>
      </c>
      <c r="M33" s="94">
        <v>2.5</v>
      </c>
      <c r="N33" s="95" t="s">
        <v>17</v>
      </c>
      <c r="O33" s="93">
        <f t="shared" si="5"/>
        <v>0</v>
      </c>
      <c r="P33" s="93">
        <f t="shared" si="6"/>
        <v>0</v>
      </c>
      <c r="Q33" s="93">
        <f t="shared" si="7"/>
        <v>0</v>
      </c>
      <c r="R33" s="93">
        <f t="shared" si="2"/>
        <v>0</v>
      </c>
      <c r="S33" s="93">
        <f t="shared" si="3"/>
        <v>58</v>
      </c>
      <c r="T33" s="93">
        <f t="shared" si="8"/>
        <v>58</v>
      </c>
      <c r="U33" s="312">
        <f t="shared" si="4"/>
        <v>4248.43</v>
      </c>
      <c r="V33" s="93">
        <f t="shared" si="9"/>
        <v>0</v>
      </c>
    </row>
    <row r="34" spans="1:22" ht="18" customHeight="1" x14ac:dyDescent="0.2">
      <c r="A34" s="110" t="s">
        <v>68</v>
      </c>
      <c r="B34" s="111"/>
      <c r="C34" s="90" t="s">
        <v>69</v>
      </c>
      <c r="D34" s="91">
        <v>42552</v>
      </c>
      <c r="E34" s="92"/>
      <c r="F34" s="93"/>
      <c r="G34" s="93"/>
      <c r="H34" s="93">
        <v>8058.1</v>
      </c>
      <c r="I34" s="93">
        <v>7455.1</v>
      </c>
      <c r="J34" s="93">
        <v>0</v>
      </c>
      <c r="K34" s="93">
        <f t="shared" si="0"/>
        <v>0</v>
      </c>
      <c r="L34" s="93">
        <f t="shared" si="1"/>
        <v>0</v>
      </c>
      <c r="M34" s="94">
        <v>2.5</v>
      </c>
      <c r="N34" s="95" t="s">
        <v>17</v>
      </c>
      <c r="O34" s="93">
        <f t="shared" si="5"/>
        <v>0</v>
      </c>
      <c r="P34" s="93">
        <f t="shared" si="6"/>
        <v>0</v>
      </c>
      <c r="Q34" s="93">
        <f t="shared" si="7"/>
        <v>0</v>
      </c>
      <c r="R34" s="93">
        <f t="shared" si="2"/>
        <v>0</v>
      </c>
      <c r="S34" s="93">
        <f t="shared" si="3"/>
        <v>100</v>
      </c>
      <c r="T34" s="93">
        <f t="shared" si="8"/>
        <v>100</v>
      </c>
      <c r="U34" s="312">
        <f t="shared" si="4"/>
        <v>7355.1</v>
      </c>
      <c r="V34" s="93">
        <f t="shared" si="9"/>
        <v>0</v>
      </c>
    </row>
    <row r="35" spans="1:22" ht="18" customHeight="1" x14ac:dyDescent="0.2">
      <c r="A35" s="110" t="s">
        <v>70</v>
      </c>
      <c r="B35" s="111"/>
      <c r="C35" s="203" t="s">
        <v>71</v>
      </c>
      <c r="D35" s="91">
        <v>42821</v>
      </c>
      <c r="E35" s="92"/>
      <c r="F35" s="93"/>
      <c r="G35" s="93"/>
      <c r="H35" s="93">
        <v>17489.650000000001</v>
      </c>
      <c r="I35" s="93">
        <v>16499.650000000001</v>
      </c>
      <c r="J35" s="93">
        <v>0</v>
      </c>
      <c r="K35" s="93">
        <f t="shared" si="0"/>
        <v>0</v>
      </c>
      <c r="L35" s="93">
        <f t="shared" si="1"/>
        <v>0</v>
      </c>
      <c r="M35" s="94">
        <v>2.5</v>
      </c>
      <c r="N35" s="95" t="s">
        <v>17</v>
      </c>
      <c r="O35" s="93">
        <f t="shared" si="5"/>
        <v>0</v>
      </c>
      <c r="P35" s="93">
        <f t="shared" si="6"/>
        <v>0</v>
      </c>
      <c r="Q35" s="93">
        <f t="shared" si="7"/>
        <v>0</v>
      </c>
      <c r="R35" s="93">
        <f t="shared" si="2"/>
        <v>0</v>
      </c>
      <c r="S35" s="93">
        <f t="shared" si="3"/>
        <v>218</v>
      </c>
      <c r="T35" s="93">
        <f t="shared" si="8"/>
        <v>218</v>
      </c>
      <c r="U35" s="312">
        <f t="shared" si="4"/>
        <v>16281.650000000001</v>
      </c>
      <c r="V35" s="93">
        <f t="shared" si="9"/>
        <v>0</v>
      </c>
    </row>
    <row r="36" spans="1:22" ht="18" customHeight="1" x14ac:dyDescent="0.2">
      <c r="A36" s="110" t="s">
        <v>72</v>
      </c>
      <c r="B36" s="111"/>
      <c r="C36" s="90" t="s">
        <v>73</v>
      </c>
      <c r="D36" s="91">
        <v>42821</v>
      </c>
      <c r="E36" s="92"/>
      <c r="F36" s="93"/>
      <c r="G36" s="93"/>
      <c r="H36" s="93">
        <v>5347.05</v>
      </c>
      <c r="I36" s="93">
        <v>5045.05</v>
      </c>
      <c r="J36" s="93">
        <v>0</v>
      </c>
      <c r="K36" s="93">
        <f t="shared" si="0"/>
        <v>0</v>
      </c>
      <c r="L36" s="93">
        <f t="shared" si="1"/>
        <v>0</v>
      </c>
      <c r="M36" s="94">
        <v>2.5</v>
      </c>
      <c r="N36" s="95" t="s">
        <v>17</v>
      </c>
      <c r="O36" s="93">
        <f t="shared" si="5"/>
        <v>0</v>
      </c>
      <c r="P36" s="93">
        <f t="shared" si="6"/>
        <v>0</v>
      </c>
      <c r="Q36" s="93">
        <f t="shared" si="7"/>
        <v>0</v>
      </c>
      <c r="R36" s="93">
        <f t="shared" si="2"/>
        <v>0</v>
      </c>
      <c r="S36" s="93">
        <f t="shared" si="3"/>
        <v>66</v>
      </c>
      <c r="T36" s="93">
        <f t="shared" si="8"/>
        <v>66</v>
      </c>
      <c r="U36" s="312">
        <f t="shared" si="4"/>
        <v>4979.05</v>
      </c>
      <c r="V36" s="93">
        <f t="shared" si="9"/>
        <v>0</v>
      </c>
    </row>
    <row r="37" spans="1:22" ht="18" customHeight="1" x14ac:dyDescent="0.2">
      <c r="A37" s="110" t="s">
        <v>74</v>
      </c>
      <c r="B37" s="111"/>
      <c r="C37" s="90" t="s">
        <v>75</v>
      </c>
      <c r="D37" s="91">
        <v>42822</v>
      </c>
      <c r="E37" s="92"/>
      <c r="F37" s="93"/>
      <c r="G37" s="93"/>
      <c r="H37" s="93">
        <v>2312.66</v>
      </c>
      <c r="I37" s="93">
        <v>2182.66</v>
      </c>
      <c r="J37" s="93">
        <v>0</v>
      </c>
      <c r="K37" s="93">
        <f t="shared" si="0"/>
        <v>0</v>
      </c>
      <c r="L37" s="93">
        <f t="shared" si="1"/>
        <v>0</v>
      </c>
      <c r="M37" s="94">
        <v>2.5</v>
      </c>
      <c r="N37" s="95" t="s">
        <v>17</v>
      </c>
      <c r="O37" s="93">
        <f t="shared" si="5"/>
        <v>0</v>
      </c>
      <c r="P37" s="93">
        <f t="shared" si="6"/>
        <v>0</v>
      </c>
      <c r="Q37" s="93">
        <f t="shared" si="7"/>
        <v>0</v>
      </c>
      <c r="R37" s="93">
        <f t="shared" si="2"/>
        <v>0</v>
      </c>
      <c r="S37" s="93">
        <f t="shared" si="3"/>
        <v>28</v>
      </c>
      <c r="T37" s="93">
        <f t="shared" si="8"/>
        <v>28</v>
      </c>
      <c r="U37" s="312">
        <f t="shared" si="4"/>
        <v>2154.66</v>
      </c>
      <c r="V37" s="93">
        <f t="shared" si="9"/>
        <v>0</v>
      </c>
    </row>
    <row r="38" spans="1:22" ht="18" customHeight="1" x14ac:dyDescent="0.2">
      <c r="A38" s="110" t="s">
        <v>76</v>
      </c>
      <c r="B38" s="111"/>
      <c r="C38" s="90" t="s">
        <v>77</v>
      </c>
      <c r="D38" s="91">
        <v>42618</v>
      </c>
      <c r="E38" s="92"/>
      <c r="F38" s="93"/>
      <c r="G38" s="93"/>
      <c r="H38" s="93">
        <v>1354.5</v>
      </c>
      <c r="I38" s="93">
        <v>1259.5</v>
      </c>
      <c r="J38" s="93">
        <v>0</v>
      </c>
      <c r="K38" s="93">
        <f t="shared" si="0"/>
        <v>0</v>
      </c>
      <c r="L38" s="93">
        <f t="shared" si="1"/>
        <v>0</v>
      </c>
      <c r="M38" s="94">
        <v>2.5</v>
      </c>
      <c r="N38" s="95" t="s">
        <v>17</v>
      </c>
      <c r="O38" s="93">
        <f t="shared" si="5"/>
        <v>0</v>
      </c>
      <c r="P38" s="93">
        <f t="shared" si="6"/>
        <v>0</v>
      </c>
      <c r="Q38" s="93">
        <f t="shared" si="7"/>
        <v>0</v>
      </c>
      <c r="R38" s="93">
        <f t="shared" si="2"/>
        <v>0</v>
      </c>
      <c r="S38" s="93">
        <f t="shared" si="3"/>
        <v>16</v>
      </c>
      <c r="T38" s="93">
        <f t="shared" si="8"/>
        <v>16</v>
      </c>
      <c r="U38" s="312">
        <f t="shared" si="4"/>
        <v>1243.5</v>
      </c>
      <c r="V38" s="93">
        <f t="shared" si="9"/>
        <v>0</v>
      </c>
    </row>
    <row r="39" spans="1:22" ht="18" customHeight="1" x14ac:dyDescent="0.2">
      <c r="A39" s="110" t="s">
        <v>78</v>
      </c>
      <c r="B39" s="111"/>
      <c r="C39" s="203" t="s">
        <v>79</v>
      </c>
      <c r="D39" s="91">
        <v>42715</v>
      </c>
      <c r="E39" s="92"/>
      <c r="F39" s="93"/>
      <c r="G39" s="93"/>
      <c r="H39" s="93">
        <v>708</v>
      </c>
      <c r="I39" s="93">
        <v>663</v>
      </c>
      <c r="J39" s="93">
        <v>0</v>
      </c>
      <c r="K39" s="93">
        <f t="shared" si="0"/>
        <v>0</v>
      </c>
      <c r="L39" s="93">
        <f t="shared" si="1"/>
        <v>0</v>
      </c>
      <c r="M39" s="94">
        <v>2.5</v>
      </c>
      <c r="N39" s="95" t="s">
        <v>17</v>
      </c>
      <c r="O39" s="93">
        <f t="shared" si="5"/>
        <v>0</v>
      </c>
      <c r="P39" s="93">
        <f t="shared" si="6"/>
        <v>0</v>
      </c>
      <c r="Q39" s="93">
        <f t="shared" si="7"/>
        <v>0</v>
      </c>
      <c r="R39" s="93">
        <f t="shared" si="2"/>
        <v>0</v>
      </c>
      <c r="S39" s="93">
        <f t="shared" si="3"/>
        <v>8</v>
      </c>
      <c r="T39" s="93">
        <f t="shared" si="8"/>
        <v>8</v>
      </c>
      <c r="U39" s="312">
        <f t="shared" si="4"/>
        <v>655</v>
      </c>
      <c r="V39" s="93">
        <f t="shared" si="9"/>
        <v>0</v>
      </c>
    </row>
    <row r="40" spans="1:22" ht="18" customHeight="1" x14ac:dyDescent="0.2">
      <c r="A40" s="110" t="s">
        <v>80</v>
      </c>
      <c r="B40" s="111"/>
      <c r="C40" s="201" t="s">
        <v>81</v>
      </c>
      <c r="D40" s="91">
        <v>42715</v>
      </c>
      <c r="E40" s="92"/>
      <c r="F40" s="93"/>
      <c r="G40" s="93"/>
      <c r="H40" s="93">
        <v>1638</v>
      </c>
      <c r="I40" s="93">
        <v>1534</v>
      </c>
      <c r="J40" s="93">
        <v>0</v>
      </c>
      <c r="K40" s="93">
        <f t="shared" si="0"/>
        <v>0</v>
      </c>
      <c r="L40" s="93">
        <f t="shared" si="1"/>
        <v>0</v>
      </c>
      <c r="M40" s="94">
        <v>2.5</v>
      </c>
      <c r="N40" s="95" t="s">
        <v>17</v>
      </c>
      <c r="O40" s="93">
        <f t="shared" si="5"/>
        <v>0</v>
      </c>
      <c r="P40" s="93">
        <f t="shared" si="6"/>
        <v>0</v>
      </c>
      <c r="Q40" s="93">
        <f t="shared" si="7"/>
        <v>0</v>
      </c>
      <c r="R40" s="93">
        <f t="shared" si="2"/>
        <v>0</v>
      </c>
      <c r="S40" s="93">
        <f t="shared" si="3"/>
        <v>20</v>
      </c>
      <c r="T40" s="93">
        <f t="shared" si="8"/>
        <v>20</v>
      </c>
      <c r="U40" s="312">
        <f t="shared" si="4"/>
        <v>1514</v>
      </c>
      <c r="V40" s="93">
        <f t="shared" si="9"/>
        <v>0</v>
      </c>
    </row>
    <row r="41" spans="1:22" ht="18" customHeight="1" x14ac:dyDescent="0.2">
      <c r="A41" s="110" t="s">
        <v>82</v>
      </c>
      <c r="B41" s="111"/>
      <c r="C41" s="201" t="s">
        <v>83</v>
      </c>
      <c r="D41" s="91">
        <v>42978</v>
      </c>
      <c r="E41" s="92"/>
      <c r="F41" s="93"/>
      <c r="G41" s="93"/>
      <c r="H41" s="93">
        <v>1606.5</v>
      </c>
      <c r="I41" s="93">
        <v>1533.5</v>
      </c>
      <c r="J41" s="93">
        <v>0</v>
      </c>
      <c r="K41" s="93">
        <f t="shared" si="0"/>
        <v>0</v>
      </c>
      <c r="L41" s="93">
        <f t="shared" si="1"/>
        <v>0</v>
      </c>
      <c r="M41" s="94">
        <v>2.5</v>
      </c>
      <c r="N41" s="95" t="s">
        <v>17</v>
      </c>
      <c r="O41" s="93">
        <f t="shared" si="5"/>
        <v>0</v>
      </c>
      <c r="P41" s="93">
        <f t="shared" si="6"/>
        <v>0</v>
      </c>
      <c r="Q41" s="93">
        <f t="shared" si="7"/>
        <v>0</v>
      </c>
      <c r="R41" s="93">
        <f t="shared" si="2"/>
        <v>0</v>
      </c>
      <c r="S41" s="93">
        <f t="shared" si="3"/>
        <v>20</v>
      </c>
      <c r="T41" s="93">
        <f t="shared" si="8"/>
        <v>20</v>
      </c>
      <c r="U41" s="312">
        <f t="shared" si="4"/>
        <v>1513.5</v>
      </c>
      <c r="V41" s="93">
        <f t="shared" si="9"/>
        <v>0</v>
      </c>
    </row>
    <row r="42" spans="1:22" ht="18" customHeight="1" x14ac:dyDescent="0.2">
      <c r="A42" s="110" t="s">
        <v>84</v>
      </c>
      <c r="B42" s="111"/>
      <c r="C42" s="201" t="s">
        <v>85</v>
      </c>
      <c r="D42" s="91">
        <v>43052</v>
      </c>
      <c r="E42" s="92"/>
      <c r="F42" s="93"/>
      <c r="G42" s="93"/>
      <c r="H42" s="93">
        <v>4693.5</v>
      </c>
      <c r="I42" s="93">
        <v>4502.5</v>
      </c>
      <c r="J42" s="93">
        <v>0</v>
      </c>
      <c r="K42" s="93">
        <f t="shared" si="0"/>
        <v>0</v>
      </c>
      <c r="L42" s="93">
        <f t="shared" si="1"/>
        <v>0</v>
      </c>
      <c r="M42" s="94">
        <v>2.5</v>
      </c>
      <c r="N42" s="95" t="s">
        <v>17</v>
      </c>
      <c r="O42" s="93">
        <f t="shared" si="5"/>
        <v>0</v>
      </c>
      <c r="P42" s="93">
        <f t="shared" si="6"/>
        <v>0</v>
      </c>
      <c r="Q42" s="93">
        <f t="shared" si="7"/>
        <v>0</v>
      </c>
      <c r="R42" s="93">
        <f t="shared" si="2"/>
        <v>0</v>
      </c>
      <c r="S42" s="93">
        <f t="shared" si="3"/>
        <v>58</v>
      </c>
      <c r="T42" s="93">
        <f t="shared" si="8"/>
        <v>58</v>
      </c>
      <c r="U42" s="312">
        <f t="shared" si="4"/>
        <v>4444.5</v>
      </c>
      <c r="V42" s="93">
        <f t="shared" si="9"/>
        <v>0</v>
      </c>
    </row>
    <row r="43" spans="1:22" ht="18" customHeight="1" x14ac:dyDescent="0.2">
      <c r="A43" s="110" t="s">
        <v>86</v>
      </c>
      <c r="B43" s="111"/>
      <c r="C43" s="201" t="s">
        <v>87</v>
      </c>
      <c r="D43" s="91">
        <v>43221</v>
      </c>
      <c r="E43" s="92"/>
      <c r="F43" s="93"/>
      <c r="G43" s="93"/>
      <c r="H43" s="93">
        <v>5525</v>
      </c>
      <c r="I43" s="93">
        <v>5364</v>
      </c>
      <c r="J43" s="93">
        <v>0</v>
      </c>
      <c r="K43" s="93">
        <f t="shared" si="0"/>
        <v>0</v>
      </c>
      <c r="L43" s="93">
        <f t="shared" si="1"/>
        <v>0</v>
      </c>
      <c r="M43" s="94">
        <v>2.5</v>
      </c>
      <c r="N43" s="95" t="s">
        <v>17</v>
      </c>
      <c r="O43" s="93">
        <f t="shared" si="5"/>
        <v>0</v>
      </c>
      <c r="P43" s="93">
        <f t="shared" si="6"/>
        <v>0</v>
      </c>
      <c r="Q43" s="93">
        <f t="shared" si="7"/>
        <v>0</v>
      </c>
      <c r="R43" s="93">
        <f t="shared" si="2"/>
        <v>0</v>
      </c>
      <c r="S43" s="93">
        <f t="shared" si="3"/>
        <v>69</v>
      </c>
      <c r="T43" s="93">
        <f t="shared" si="8"/>
        <v>69</v>
      </c>
      <c r="U43" s="312">
        <f t="shared" si="4"/>
        <v>5295</v>
      </c>
      <c r="V43" s="93">
        <f t="shared" si="9"/>
        <v>0</v>
      </c>
    </row>
    <row r="44" spans="1:22" ht="18" customHeight="1" x14ac:dyDescent="0.2">
      <c r="A44" s="110" t="s">
        <v>88</v>
      </c>
      <c r="B44" s="111"/>
      <c r="C44" s="201" t="s">
        <v>89</v>
      </c>
      <c r="D44" s="91">
        <v>43281</v>
      </c>
      <c r="E44" s="92"/>
      <c r="F44" s="93"/>
      <c r="G44" s="93"/>
      <c r="H44" s="93">
        <v>1798</v>
      </c>
      <c r="I44" s="93">
        <v>1752</v>
      </c>
      <c r="J44" s="93">
        <v>0</v>
      </c>
      <c r="K44" s="93">
        <f t="shared" si="0"/>
        <v>0</v>
      </c>
      <c r="L44" s="93">
        <f t="shared" si="1"/>
        <v>0</v>
      </c>
      <c r="M44" s="94">
        <v>2.5</v>
      </c>
      <c r="N44" s="95" t="s">
        <v>17</v>
      </c>
      <c r="O44" s="93">
        <f t="shared" si="5"/>
        <v>0</v>
      </c>
      <c r="P44" s="93">
        <f t="shared" si="6"/>
        <v>0</v>
      </c>
      <c r="Q44" s="93">
        <f t="shared" si="7"/>
        <v>0</v>
      </c>
      <c r="R44" s="93">
        <f t="shared" si="2"/>
        <v>0</v>
      </c>
      <c r="S44" s="93">
        <f t="shared" si="3"/>
        <v>22</v>
      </c>
      <c r="T44" s="93">
        <f t="shared" si="8"/>
        <v>22</v>
      </c>
      <c r="U44" s="312">
        <f t="shared" si="4"/>
        <v>1730</v>
      </c>
      <c r="V44" s="93">
        <f t="shared" si="9"/>
        <v>0</v>
      </c>
    </row>
    <row r="45" spans="1:22" ht="18" customHeight="1" x14ac:dyDescent="0.2">
      <c r="A45" s="110" t="s">
        <v>90</v>
      </c>
      <c r="B45" s="111"/>
      <c r="C45" s="201" t="s">
        <v>91</v>
      </c>
      <c r="D45" s="91">
        <v>43248</v>
      </c>
      <c r="E45" s="92"/>
      <c r="F45" s="93"/>
      <c r="G45" s="93"/>
      <c r="H45" s="93">
        <v>1153.18</v>
      </c>
      <c r="I45" s="93">
        <v>1122.18</v>
      </c>
      <c r="J45" s="93">
        <v>0</v>
      </c>
      <c r="K45" s="93">
        <f t="shared" si="0"/>
        <v>0</v>
      </c>
      <c r="L45" s="93">
        <f t="shared" si="1"/>
        <v>0</v>
      </c>
      <c r="M45" s="94">
        <v>2.5</v>
      </c>
      <c r="N45" s="95" t="s">
        <v>17</v>
      </c>
      <c r="O45" s="93">
        <f t="shared" si="5"/>
        <v>0</v>
      </c>
      <c r="P45" s="93">
        <f t="shared" si="6"/>
        <v>0</v>
      </c>
      <c r="Q45" s="93">
        <f t="shared" si="7"/>
        <v>0</v>
      </c>
      <c r="R45" s="93">
        <f t="shared" si="2"/>
        <v>0</v>
      </c>
      <c r="S45" s="93">
        <f t="shared" si="3"/>
        <v>14</v>
      </c>
      <c r="T45" s="93">
        <f t="shared" si="8"/>
        <v>14</v>
      </c>
      <c r="U45" s="312">
        <f t="shared" si="4"/>
        <v>1108.18</v>
      </c>
      <c r="V45" s="93">
        <f t="shared" si="9"/>
        <v>0</v>
      </c>
    </row>
    <row r="46" spans="1:22" ht="18" customHeight="1" x14ac:dyDescent="0.2">
      <c r="A46" s="110" t="s">
        <v>92</v>
      </c>
      <c r="B46" s="111"/>
      <c r="C46" s="201" t="s">
        <v>93</v>
      </c>
      <c r="D46" s="91">
        <v>43236</v>
      </c>
      <c r="E46" s="92"/>
      <c r="F46" s="93"/>
      <c r="G46" s="93"/>
      <c r="H46" s="93">
        <v>1855</v>
      </c>
      <c r="I46" s="93">
        <v>1803</v>
      </c>
      <c r="J46" s="93">
        <v>0</v>
      </c>
      <c r="K46" s="93">
        <f t="shared" si="0"/>
        <v>0</v>
      </c>
      <c r="L46" s="93">
        <f t="shared" si="1"/>
        <v>0</v>
      </c>
      <c r="M46" s="94">
        <v>2.5</v>
      </c>
      <c r="N46" s="95" t="s">
        <v>17</v>
      </c>
      <c r="O46" s="93">
        <f t="shared" si="5"/>
        <v>0</v>
      </c>
      <c r="P46" s="93">
        <f t="shared" si="6"/>
        <v>0</v>
      </c>
      <c r="Q46" s="93">
        <f t="shared" si="7"/>
        <v>0</v>
      </c>
      <c r="R46" s="93">
        <f t="shared" si="2"/>
        <v>0</v>
      </c>
      <c r="S46" s="93">
        <f t="shared" si="3"/>
        <v>23</v>
      </c>
      <c r="T46" s="93">
        <f t="shared" si="8"/>
        <v>23</v>
      </c>
      <c r="U46" s="312">
        <f t="shared" si="4"/>
        <v>1780</v>
      </c>
      <c r="V46" s="93">
        <f t="shared" si="9"/>
        <v>0</v>
      </c>
    </row>
    <row r="47" spans="1:22" ht="18" customHeight="1" x14ac:dyDescent="0.2">
      <c r="A47" s="110" t="s">
        <v>94</v>
      </c>
      <c r="B47" s="111"/>
      <c r="C47" s="90" t="s">
        <v>95</v>
      </c>
      <c r="D47" s="91">
        <v>42978</v>
      </c>
      <c r="E47" s="92"/>
      <c r="F47" s="93"/>
      <c r="G47" s="93"/>
      <c r="H47" s="93">
        <v>6331.5</v>
      </c>
      <c r="I47" s="93">
        <v>6041.5</v>
      </c>
      <c r="J47" s="93">
        <v>0</v>
      </c>
      <c r="K47" s="93">
        <f t="shared" si="0"/>
        <v>0</v>
      </c>
      <c r="L47" s="93">
        <f t="shared" si="1"/>
        <v>0</v>
      </c>
      <c r="M47" s="94">
        <v>2.5</v>
      </c>
      <c r="N47" s="95" t="s">
        <v>17</v>
      </c>
      <c r="O47" s="93">
        <f t="shared" si="5"/>
        <v>0</v>
      </c>
      <c r="P47" s="93">
        <f t="shared" si="6"/>
        <v>0</v>
      </c>
      <c r="Q47" s="93">
        <f t="shared" si="7"/>
        <v>0</v>
      </c>
      <c r="R47" s="93">
        <f t="shared" si="2"/>
        <v>0</v>
      </c>
      <c r="S47" s="93">
        <f t="shared" si="3"/>
        <v>79</v>
      </c>
      <c r="T47" s="93">
        <f t="shared" si="8"/>
        <v>79</v>
      </c>
      <c r="U47" s="312">
        <f t="shared" si="4"/>
        <v>5962.5</v>
      </c>
      <c r="V47" s="93">
        <f t="shared" si="9"/>
        <v>0</v>
      </c>
    </row>
    <row r="48" spans="1:22" ht="18" customHeight="1" x14ac:dyDescent="0.2">
      <c r="A48" s="110" t="s">
        <v>96</v>
      </c>
      <c r="B48" s="111"/>
      <c r="C48" s="201" t="s">
        <v>97</v>
      </c>
      <c r="D48" s="91">
        <v>42999</v>
      </c>
      <c r="E48" s="92"/>
      <c r="F48" s="93"/>
      <c r="G48" s="93"/>
      <c r="H48" s="93">
        <v>2335.2000000000003</v>
      </c>
      <c r="I48" s="93">
        <v>2232.2000000000003</v>
      </c>
      <c r="J48" s="93">
        <v>0</v>
      </c>
      <c r="K48" s="93">
        <f t="shared" si="0"/>
        <v>0</v>
      </c>
      <c r="L48" s="93">
        <f t="shared" si="1"/>
        <v>0</v>
      </c>
      <c r="M48" s="94">
        <v>2.5</v>
      </c>
      <c r="N48" s="95" t="s">
        <v>17</v>
      </c>
      <c r="O48" s="93">
        <f t="shared" si="5"/>
        <v>0</v>
      </c>
      <c r="P48" s="93">
        <f t="shared" si="6"/>
        <v>0</v>
      </c>
      <c r="Q48" s="93">
        <f t="shared" si="7"/>
        <v>0</v>
      </c>
      <c r="R48" s="93">
        <f t="shared" si="2"/>
        <v>0</v>
      </c>
      <c r="S48" s="93">
        <f t="shared" si="3"/>
        <v>29</v>
      </c>
      <c r="T48" s="93">
        <f t="shared" si="8"/>
        <v>29</v>
      </c>
      <c r="U48" s="312">
        <f t="shared" si="4"/>
        <v>2203.2000000000003</v>
      </c>
      <c r="V48" s="93">
        <f t="shared" si="9"/>
        <v>0</v>
      </c>
    </row>
    <row r="49" spans="1:22" ht="18" customHeight="1" x14ac:dyDescent="0.2">
      <c r="A49" s="110" t="s">
        <v>98</v>
      </c>
      <c r="B49" s="111"/>
      <c r="C49" s="201" t="s">
        <v>99</v>
      </c>
      <c r="D49" s="91">
        <v>43008</v>
      </c>
      <c r="E49" s="92"/>
      <c r="F49" s="93"/>
      <c r="G49" s="93"/>
      <c r="H49" s="93">
        <v>5544</v>
      </c>
      <c r="I49" s="93">
        <v>5302</v>
      </c>
      <c r="J49" s="93">
        <v>0</v>
      </c>
      <c r="K49" s="93">
        <f t="shared" si="0"/>
        <v>0</v>
      </c>
      <c r="L49" s="93">
        <f t="shared" si="1"/>
        <v>0</v>
      </c>
      <c r="M49" s="94">
        <v>2.5</v>
      </c>
      <c r="N49" s="95" t="s">
        <v>17</v>
      </c>
      <c r="O49" s="93">
        <f t="shared" si="5"/>
        <v>0</v>
      </c>
      <c r="P49" s="93">
        <f t="shared" si="6"/>
        <v>0</v>
      </c>
      <c r="Q49" s="93">
        <f t="shared" si="7"/>
        <v>0</v>
      </c>
      <c r="R49" s="93">
        <f t="shared" si="2"/>
        <v>0</v>
      </c>
      <c r="S49" s="93">
        <f t="shared" si="3"/>
        <v>69</v>
      </c>
      <c r="T49" s="93">
        <f t="shared" si="8"/>
        <v>69</v>
      </c>
      <c r="U49" s="312">
        <f t="shared" si="4"/>
        <v>5233</v>
      </c>
      <c r="V49" s="93">
        <f t="shared" si="9"/>
        <v>0</v>
      </c>
    </row>
    <row r="50" spans="1:22" ht="18" customHeight="1" x14ac:dyDescent="0.2">
      <c r="A50" s="110" t="s">
        <v>100</v>
      </c>
      <c r="B50" s="111"/>
      <c r="C50" s="201" t="s">
        <v>101</v>
      </c>
      <c r="D50" s="91">
        <v>43013</v>
      </c>
      <c r="E50" s="92"/>
      <c r="F50" s="93"/>
      <c r="G50" s="93"/>
      <c r="H50" s="93">
        <v>2712.9700000000003</v>
      </c>
      <c r="I50" s="93">
        <v>2595.9700000000003</v>
      </c>
      <c r="J50" s="93">
        <v>0</v>
      </c>
      <c r="K50" s="93">
        <f t="shared" si="0"/>
        <v>0</v>
      </c>
      <c r="L50" s="93">
        <f t="shared" si="1"/>
        <v>0</v>
      </c>
      <c r="M50" s="94">
        <v>2.5</v>
      </c>
      <c r="N50" s="95" t="s">
        <v>17</v>
      </c>
      <c r="O50" s="93">
        <f t="shared" si="5"/>
        <v>0</v>
      </c>
      <c r="P50" s="93">
        <f t="shared" si="6"/>
        <v>0</v>
      </c>
      <c r="Q50" s="93">
        <f t="shared" si="7"/>
        <v>0</v>
      </c>
      <c r="R50" s="93">
        <f t="shared" si="2"/>
        <v>0</v>
      </c>
      <c r="S50" s="93">
        <f t="shared" si="3"/>
        <v>33</v>
      </c>
      <c r="T50" s="93">
        <f t="shared" si="8"/>
        <v>33</v>
      </c>
      <c r="U50" s="312">
        <f t="shared" si="4"/>
        <v>2562.9700000000003</v>
      </c>
      <c r="V50" s="93">
        <f t="shared" si="9"/>
        <v>0</v>
      </c>
    </row>
    <row r="51" spans="1:22" ht="18" customHeight="1" x14ac:dyDescent="0.2">
      <c r="A51" s="110" t="s">
        <v>102</v>
      </c>
      <c r="B51" s="111"/>
      <c r="C51" s="201" t="s">
        <v>103</v>
      </c>
      <c r="D51" s="91">
        <v>43122</v>
      </c>
      <c r="E51" s="92"/>
      <c r="F51" s="93"/>
      <c r="G51" s="93"/>
      <c r="H51" s="93">
        <v>1562.96</v>
      </c>
      <c r="I51" s="93">
        <v>1507.96</v>
      </c>
      <c r="J51" s="93">
        <v>0</v>
      </c>
      <c r="K51" s="93">
        <f t="shared" si="0"/>
        <v>0</v>
      </c>
      <c r="L51" s="93">
        <f t="shared" si="1"/>
        <v>0</v>
      </c>
      <c r="M51" s="94">
        <v>2.5</v>
      </c>
      <c r="N51" s="95" t="s">
        <v>17</v>
      </c>
      <c r="O51" s="93">
        <f t="shared" si="5"/>
        <v>0</v>
      </c>
      <c r="P51" s="93">
        <f t="shared" si="6"/>
        <v>0</v>
      </c>
      <c r="Q51" s="93">
        <f t="shared" si="7"/>
        <v>0</v>
      </c>
      <c r="R51" s="93">
        <f t="shared" si="2"/>
        <v>0</v>
      </c>
      <c r="S51" s="93">
        <f t="shared" si="3"/>
        <v>19</v>
      </c>
      <c r="T51" s="93">
        <f t="shared" si="8"/>
        <v>19</v>
      </c>
      <c r="U51" s="312">
        <f t="shared" si="4"/>
        <v>1488.96</v>
      </c>
      <c r="V51" s="93">
        <f t="shared" si="9"/>
        <v>0</v>
      </c>
    </row>
    <row r="52" spans="1:22" ht="18" customHeight="1" x14ac:dyDescent="0.2">
      <c r="A52" s="110" t="s">
        <v>104</v>
      </c>
      <c r="B52" s="111"/>
      <c r="C52" s="201" t="s">
        <v>105</v>
      </c>
      <c r="D52" s="91">
        <v>43122</v>
      </c>
      <c r="E52" s="92"/>
      <c r="F52" s="93"/>
      <c r="G52" s="93"/>
      <c r="H52" s="93">
        <v>2460</v>
      </c>
      <c r="I52" s="93">
        <v>2372</v>
      </c>
      <c r="J52" s="93">
        <v>0</v>
      </c>
      <c r="K52" s="93">
        <f t="shared" si="0"/>
        <v>0</v>
      </c>
      <c r="L52" s="93">
        <f t="shared" si="1"/>
        <v>0</v>
      </c>
      <c r="M52" s="94">
        <v>2.5</v>
      </c>
      <c r="N52" s="95" t="s">
        <v>17</v>
      </c>
      <c r="O52" s="93">
        <f t="shared" si="5"/>
        <v>0</v>
      </c>
      <c r="P52" s="93">
        <f t="shared" si="6"/>
        <v>0</v>
      </c>
      <c r="Q52" s="93">
        <f t="shared" si="7"/>
        <v>0</v>
      </c>
      <c r="R52" s="93">
        <f t="shared" si="2"/>
        <v>0</v>
      </c>
      <c r="S52" s="93">
        <f t="shared" si="3"/>
        <v>30</v>
      </c>
      <c r="T52" s="93">
        <f t="shared" si="8"/>
        <v>30</v>
      </c>
      <c r="U52" s="312">
        <f t="shared" si="4"/>
        <v>2342</v>
      </c>
      <c r="V52" s="93">
        <f t="shared" si="9"/>
        <v>0</v>
      </c>
    </row>
    <row r="53" spans="1:22" ht="18" customHeight="1" x14ac:dyDescent="0.2">
      <c r="A53" s="110" t="s">
        <v>106</v>
      </c>
      <c r="B53" s="111"/>
      <c r="C53" s="201" t="s">
        <v>107</v>
      </c>
      <c r="D53" s="91">
        <v>43131</v>
      </c>
      <c r="E53" s="92"/>
      <c r="F53" s="93"/>
      <c r="G53" s="93"/>
      <c r="H53" s="93">
        <v>3969</v>
      </c>
      <c r="I53" s="93">
        <v>3829</v>
      </c>
      <c r="J53" s="93">
        <v>0</v>
      </c>
      <c r="K53" s="93">
        <f t="shared" si="0"/>
        <v>0</v>
      </c>
      <c r="L53" s="93">
        <f t="shared" si="1"/>
        <v>0</v>
      </c>
      <c r="M53" s="94">
        <v>2.5</v>
      </c>
      <c r="N53" s="95" t="s">
        <v>17</v>
      </c>
      <c r="O53" s="93">
        <f t="shared" si="5"/>
        <v>0</v>
      </c>
      <c r="P53" s="93">
        <f t="shared" si="6"/>
        <v>0</v>
      </c>
      <c r="Q53" s="93">
        <f t="shared" si="7"/>
        <v>0</v>
      </c>
      <c r="R53" s="93">
        <f t="shared" si="2"/>
        <v>0</v>
      </c>
      <c r="S53" s="93">
        <f t="shared" si="3"/>
        <v>49</v>
      </c>
      <c r="T53" s="93">
        <f t="shared" si="8"/>
        <v>49</v>
      </c>
      <c r="U53" s="312">
        <f t="shared" si="4"/>
        <v>3780</v>
      </c>
      <c r="V53" s="93">
        <f t="shared" si="9"/>
        <v>0</v>
      </c>
    </row>
    <row r="54" spans="1:22" ht="18" customHeight="1" x14ac:dyDescent="0.2">
      <c r="A54" s="110" t="s">
        <v>108</v>
      </c>
      <c r="B54" s="111"/>
      <c r="C54" s="201" t="s">
        <v>109</v>
      </c>
      <c r="D54" s="91">
        <v>43159</v>
      </c>
      <c r="E54" s="92"/>
      <c r="F54" s="93"/>
      <c r="G54" s="93"/>
      <c r="H54" s="93">
        <v>3720</v>
      </c>
      <c r="I54" s="93">
        <v>3596</v>
      </c>
      <c r="J54" s="93">
        <v>0</v>
      </c>
      <c r="K54" s="93">
        <f t="shared" si="0"/>
        <v>0</v>
      </c>
      <c r="L54" s="93">
        <f t="shared" si="1"/>
        <v>0</v>
      </c>
      <c r="M54" s="94">
        <v>2.5</v>
      </c>
      <c r="N54" s="95" t="s">
        <v>17</v>
      </c>
      <c r="O54" s="93">
        <f t="shared" si="5"/>
        <v>0</v>
      </c>
      <c r="P54" s="93">
        <f t="shared" si="6"/>
        <v>0</v>
      </c>
      <c r="Q54" s="93">
        <f t="shared" si="7"/>
        <v>0</v>
      </c>
      <c r="R54" s="93">
        <f t="shared" si="2"/>
        <v>0</v>
      </c>
      <c r="S54" s="93">
        <f t="shared" si="3"/>
        <v>46</v>
      </c>
      <c r="T54" s="93">
        <f t="shared" si="8"/>
        <v>46</v>
      </c>
      <c r="U54" s="312">
        <f t="shared" si="4"/>
        <v>3550</v>
      </c>
      <c r="V54" s="93">
        <f t="shared" si="9"/>
        <v>0</v>
      </c>
    </row>
    <row r="55" spans="1:22" ht="18" customHeight="1" x14ac:dyDescent="0.2">
      <c r="A55" s="110" t="s">
        <v>110</v>
      </c>
      <c r="B55" s="111"/>
      <c r="C55" s="201" t="s">
        <v>111</v>
      </c>
      <c r="D55" s="91">
        <v>43009</v>
      </c>
      <c r="E55" s="92"/>
      <c r="F55" s="93"/>
      <c r="G55" s="93"/>
      <c r="H55" s="93">
        <v>6250</v>
      </c>
      <c r="I55" s="93">
        <v>5977</v>
      </c>
      <c r="J55" s="93">
        <v>0</v>
      </c>
      <c r="K55" s="93">
        <f t="shared" si="0"/>
        <v>0</v>
      </c>
      <c r="L55" s="93">
        <f t="shared" si="1"/>
        <v>0</v>
      </c>
      <c r="M55" s="94">
        <v>2.5</v>
      </c>
      <c r="N55" s="95" t="s">
        <v>17</v>
      </c>
      <c r="O55" s="93">
        <f t="shared" si="5"/>
        <v>0</v>
      </c>
      <c r="P55" s="93">
        <f t="shared" si="6"/>
        <v>0</v>
      </c>
      <c r="Q55" s="93">
        <f t="shared" si="7"/>
        <v>0</v>
      </c>
      <c r="R55" s="93">
        <f t="shared" si="2"/>
        <v>0</v>
      </c>
      <c r="S55" s="93">
        <f t="shared" si="3"/>
        <v>78</v>
      </c>
      <c r="T55" s="93">
        <f t="shared" si="8"/>
        <v>78</v>
      </c>
      <c r="U55" s="312">
        <f t="shared" si="4"/>
        <v>5899</v>
      </c>
      <c r="V55" s="93">
        <f t="shared" si="9"/>
        <v>0</v>
      </c>
    </row>
    <row r="56" spans="1:22" ht="18" customHeight="1" x14ac:dyDescent="0.2">
      <c r="A56" s="110" t="s">
        <v>112</v>
      </c>
      <c r="B56" s="111"/>
      <c r="C56" s="201" t="s">
        <v>113</v>
      </c>
      <c r="D56" s="91">
        <v>43009</v>
      </c>
      <c r="E56" s="92"/>
      <c r="F56" s="93"/>
      <c r="G56" s="93"/>
      <c r="H56" s="93">
        <v>1702.31</v>
      </c>
      <c r="I56" s="93">
        <v>1628.31</v>
      </c>
      <c r="J56" s="93">
        <v>0</v>
      </c>
      <c r="K56" s="93">
        <f t="shared" si="0"/>
        <v>0</v>
      </c>
      <c r="L56" s="93">
        <f t="shared" si="1"/>
        <v>0</v>
      </c>
      <c r="M56" s="94">
        <v>2.5</v>
      </c>
      <c r="N56" s="95" t="s">
        <v>17</v>
      </c>
      <c r="O56" s="93">
        <f t="shared" si="5"/>
        <v>0</v>
      </c>
      <c r="P56" s="93">
        <f t="shared" si="6"/>
        <v>0</v>
      </c>
      <c r="Q56" s="93">
        <f t="shared" si="7"/>
        <v>0</v>
      </c>
      <c r="R56" s="93">
        <f t="shared" si="2"/>
        <v>0</v>
      </c>
      <c r="S56" s="93">
        <f t="shared" si="3"/>
        <v>21</v>
      </c>
      <c r="T56" s="93">
        <f t="shared" si="8"/>
        <v>21</v>
      </c>
      <c r="U56" s="312">
        <f t="shared" si="4"/>
        <v>1607.31</v>
      </c>
      <c r="V56" s="93">
        <f t="shared" si="9"/>
        <v>0</v>
      </c>
    </row>
    <row r="57" spans="1:22" ht="18" customHeight="1" x14ac:dyDescent="0.2">
      <c r="A57" s="110" t="s">
        <v>114</v>
      </c>
      <c r="B57" s="111"/>
      <c r="C57" s="201" t="s">
        <v>115</v>
      </c>
      <c r="D57" s="91">
        <v>43109</v>
      </c>
      <c r="E57" s="92"/>
      <c r="F57" s="93"/>
      <c r="G57" s="93"/>
      <c r="H57" s="93">
        <v>1108</v>
      </c>
      <c r="I57" s="93">
        <v>1067</v>
      </c>
      <c r="J57" s="93">
        <v>0</v>
      </c>
      <c r="K57" s="93">
        <f t="shared" si="0"/>
        <v>0</v>
      </c>
      <c r="L57" s="93">
        <f t="shared" si="1"/>
        <v>0</v>
      </c>
      <c r="M57" s="94">
        <v>2.5</v>
      </c>
      <c r="N57" s="95" t="s">
        <v>17</v>
      </c>
      <c r="O57" s="93">
        <f t="shared" si="5"/>
        <v>0</v>
      </c>
      <c r="P57" s="93">
        <f t="shared" si="6"/>
        <v>0</v>
      </c>
      <c r="Q57" s="93">
        <f t="shared" si="7"/>
        <v>0</v>
      </c>
      <c r="R57" s="93">
        <f t="shared" si="2"/>
        <v>0</v>
      </c>
      <c r="S57" s="93">
        <f t="shared" si="3"/>
        <v>13</v>
      </c>
      <c r="T57" s="93">
        <f t="shared" si="8"/>
        <v>13</v>
      </c>
      <c r="U57" s="312">
        <f t="shared" si="4"/>
        <v>1054</v>
      </c>
      <c r="V57" s="93">
        <f t="shared" si="9"/>
        <v>0</v>
      </c>
    </row>
    <row r="58" spans="1:22" ht="18" customHeight="1" x14ac:dyDescent="0.2">
      <c r="A58" s="110" t="s">
        <v>116</v>
      </c>
      <c r="B58" s="111"/>
      <c r="C58" s="201" t="s">
        <v>117</v>
      </c>
      <c r="D58" s="91">
        <v>43112</v>
      </c>
      <c r="E58" s="92"/>
      <c r="F58" s="93"/>
      <c r="G58" s="93"/>
      <c r="H58" s="93">
        <v>2399.88</v>
      </c>
      <c r="I58" s="93">
        <v>2312.88</v>
      </c>
      <c r="J58" s="93">
        <v>0</v>
      </c>
      <c r="K58" s="93">
        <f t="shared" si="0"/>
        <v>0</v>
      </c>
      <c r="L58" s="93">
        <f t="shared" si="1"/>
        <v>0</v>
      </c>
      <c r="M58" s="94">
        <v>2.5</v>
      </c>
      <c r="N58" s="95" t="s">
        <v>17</v>
      </c>
      <c r="O58" s="93">
        <f t="shared" si="5"/>
        <v>0</v>
      </c>
      <c r="P58" s="93">
        <f t="shared" si="6"/>
        <v>0</v>
      </c>
      <c r="Q58" s="93">
        <f t="shared" si="7"/>
        <v>0</v>
      </c>
      <c r="R58" s="93">
        <f t="shared" si="2"/>
        <v>0</v>
      </c>
      <c r="S58" s="93">
        <f t="shared" si="3"/>
        <v>29</v>
      </c>
      <c r="T58" s="93">
        <f t="shared" si="8"/>
        <v>29</v>
      </c>
      <c r="U58" s="312">
        <f t="shared" si="4"/>
        <v>2283.88</v>
      </c>
      <c r="V58" s="93">
        <f t="shared" si="9"/>
        <v>0</v>
      </c>
    </row>
    <row r="59" spans="1:22" ht="18" customHeight="1" x14ac:dyDescent="0.2">
      <c r="A59" s="110" t="s">
        <v>118</v>
      </c>
      <c r="B59" s="111"/>
      <c r="C59" s="201" t="s">
        <v>119</v>
      </c>
      <c r="D59" s="91">
        <v>43116</v>
      </c>
      <c r="E59" s="92"/>
      <c r="F59" s="93"/>
      <c r="G59" s="93"/>
      <c r="H59" s="93">
        <v>15330</v>
      </c>
      <c r="I59" s="93">
        <v>14772</v>
      </c>
      <c r="J59" s="93">
        <v>0</v>
      </c>
      <c r="K59" s="93">
        <f t="shared" si="0"/>
        <v>0</v>
      </c>
      <c r="L59" s="93">
        <f t="shared" si="1"/>
        <v>0</v>
      </c>
      <c r="M59" s="94">
        <v>2.5</v>
      </c>
      <c r="N59" s="95" t="s">
        <v>17</v>
      </c>
      <c r="O59" s="93">
        <f t="shared" si="5"/>
        <v>0</v>
      </c>
      <c r="P59" s="93">
        <f t="shared" si="6"/>
        <v>0</v>
      </c>
      <c r="Q59" s="93">
        <f t="shared" si="7"/>
        <v>0</v>
      </c>
      <c r="R59" s="93">
        <f t="shared" si="2"/>
        <v>0</v>
      </c>
      <c r="S59" s="93">
        <f t="shared" si="3"/>
        <v>191</v>
      </c>
      <c r="T59" s="93">
        <f t="shared" si="8"/>
        <v>191</v>
      </c>
      <c r="U59" s="312">
        <f t="shared" si="4"/>
        <v>14581</v>
      </c>
      <c r="V59" s="93">
        <f t="shared" si="9"/>
        <v>0</v>
      </c>
    </row>
    <row r="60" spans="1:22" ht="18" customHeight="1" x14ac:dyDescent="0.2">
      <c r="A60" s="110" t="s">
        <v>120</v>
      </c>
      <c r="B60" s="111"/>
      <c r="C60" s="90" t="s">
        <v>121</v>
      </c>
      <c r="D60" s="91">
        <v>43117</v>
      </c>
      <c r="E60" s="92"/>
      <c r="F60" s="93"/>
      <c r="G60" s="93"/>
      <c r="H60" s="93">
        <v>45454.55</v>
      </c>
      <c r="I60" s="93">
        <v>43802.55</v>
      </c>
      <c r="J60" s="93">
        <v>0</v>
      </c>
      <c r="K60" s="93">
        <f t="shared" si="0"/>
        <v>0</v>
      </c>
      <c r="L60" s="93">
        <f t="shared" si="1"/>
        <v>0</v>
      </c>
      <c r="M60" s="94">
        <v>2.5</v>
      </c>
      <c r="N60" s="95" t="s">
        <v>17</v>
      </c>
      <c r="O60" s="93">
        <f t="shared" si="5"/>
        <v>0</v>
      </c>
      <c r="P60" s="93">
        <f t="shared" si="6"/>
        <v>0</v>
      </c>
      <c r="Q60" s="93">
        <f t="shared" si="7"/>
        <v>0</v>
      </c>
      <c r="R60" s="93">
        <f t="shared" si="2"/>
        <v>0</v>
      </c>
      <c r="S60" s="93">
        <f t="shared" si="3"/>
        <v>568</v>
      </c>
      <c r="T60" s="93">
        <f t="shared" si="8"/>
        <v>568</v>
      </c>
      <c r="U60" s="312">
        <f t="shared" si="4"/>
        <v>43234.55</v>
      </c>
      <c r="V60" s="93">
        <f t="shared" si="9"/>
        <v>0</v>
      </c>
    </row>
    <row r="61" spans="1:22" ht="18" customHeight="1" x14ac:dyDescent="0.2">
      <c r="A61" s="110" t="s">
        <v>122</v>
      </c>
      <c r="B61" s="111"/>
      <c r="C61" s="203" t="s">
        <v>123</v>
      </c>
      <c r="D61" s="91">
        <v>43131</v>
      </c>
      <c r="E61" s="92"/>
      <c r="F61" s="93"/>
      <c r="G61" s="93"/>
      <c r="H61" s="93">
        <v>1953</v>
      </c>
      <c r="I61" s="93">
        <v>1885</v>
      </c>
      <c r="J61" s="93">
        <v>0</v>
      </c>
      <c r="K61" s="93">
        <f t="shared" si="0"/>
        <v>0</v>
      </c>
      <c r="L61" s="93">
        <f t="shared" si="1"/>
        <v>0</v>
      </c>
      <c r="M61" s="94">
        <v>2.5</v>
      </c>
      <c r="N61" s="95" t="s">
        <v>17</v>
      </c>
      <c r="O61" s="93">
        <f t="shared" si="5"/>
        <v>0</v>
      </c>
      <c r="P61" s="93">
        <f t="shared" si="6"/>
        <v>0</v>
      </c>
      <c r="Q61" s="93">
        <f t="shared" si="7"/>
        <v>0</v>
      </c>
      <c r="R61" s="93">
        <f t="shared" si="2"/>
        <v>0</v>
      </c>
      <c r="S61" s="93">
        <f t="shared" si="3"/>
        <v>24</v>
      </c>
      <c r="T61" s="93">
        <f t="shared" si="8"/>
        <v>24</v>
      </c>
      <c r="U61" s="312">
        <f t="shared" si="4"/>
        <v>1861</v>
      </c>
      <c r="V61" s="93">
        <f t="shared" si="9"/>
        <v>0</v>
      </c>
    </row>
    <row r="62" spans="1:22" ht="18" customHeight="1" x14ac:dyDescent="0.2">
      <c r="A62" s="110" t="s">
        <v>124</v>
      </c>
      <c r="B62" s="111"/>
      <c r="C62" s="90" t="s">
        <v>125</v>
      </c>
      <c r="D62" s="91">
        <v>42917</v>
      </c>
      <c r="E62" s="92"/>
      <c r="F62" s="93"/>
      <c r="G62" s="93"/>
      <c r="H62" s="93">
        <v>16448.25</v>
      </c>
      <c r="I62" s="93">
        <v>15626.25</v>
      </c>
      <c r="J62" s="93">
        <v>0</v>
      </c>
      <c r="K62" s="93">
        <f t="shared" si="0"/>
        <v>0</v>
      </c>
      <c r="L62" s="93">
        <f t="shared" si="1"/>
        <v>0</v>
      </c>
      <c r="M62" s="94">
        <v>2.5</v>
      </c>
      <c r="N62" s="95" t="s">
        <v>17</v>
      </c>
      <c r="O62" s="93">
        <f t="shared" si="5"/>
        <v>0</v>
      </c>
      <c r="P62" s="93">
        <f t="shared" si="6"/>
        <v>0</v>
      </c>
      <c r="Q62" s="93">
        <f t="shared" si="7"/>
        <v>0</v>
      </c>
      <c r="R62" s="93">
        <f t="shared" si="2"/>
        <v>0</v>
      </c>
      <c r="S62" s="93">
        <f t="shared" si="3"/>
        <v>205</v>
      </c>
      <c r="T62" s="93">
        <f t="shared" si="8"/>
        <v>205</v>
      </c>
      <c r="U62" s="312">
        <f t="shared" si="4"/>
        <v>15421.25</v>
      </c>
      <c r="V62" s="93">
        <f t="shared" si="9"/>
        <v>0</v>
      </c>
    </row>
    <row r="63" spans="1:22" ht="18" customHeight="1" x14ac:dyDescent="0.2">
      <c r="A63" s="110" t="s">
        <v>126</v>
      </c>
      <c r="B63" s="111"/>
      <c r="C63" s="203" t="s">
        <v>127</v>
      </c>
      <c r="D63" s="91">
        <v>43153</v>
      </c>
      <c r="E63" s="92"/>
      <c r="F63" s="93"/>
      <c r="G63" s="93"/>
      <c r="H63" s="93">
        <v>1829.8400000000001</v>
      </c>
      <c r="I63" s="93">
        <v>1768.8400000000001</v>
      </c>
      <c r="J63" s="93">
        <v>0</v>
      </c>
      <c r="K63" s="93">
        <f t="shared" si="0"/>
        <v>0</v>
      </c>
      <c r="L63" s="93">
        <f t="shared" si="1"/>
        <v>0</v>
      </c>
      <c r="M63" s="94">
        <v>2.5</v>
      </c>
      <c r="N63" s="95" t="s">
        <v>17</v>
      </c>
      <c r="O63" s="93">
        <f t="shared" si="5"/>
        <v>0</v>
      </c>
      <c r="P63" s="93">
        <f t="shared" si="6"/>
        <v>0</v>
      </c>
      <c r="Q63" s="93">
        <f t="shared" si="7"/>
        <v>0</v>
      </c>
      <c r="R63" s="93">
        <f t="shared" si="2"/>
        <v>0</v>
      </c>
      <c r="S63" s="93">
        <f t="shared" si="3"/>
        <v>22</v>
      </c>
      <c r="T63" s="93">
        <f t="shared" si="8"/>
        <v>22</v>
      </c>
      <c r="U63" s="312">
        <f t="shared" si="4"/>
        <v>1746.8400000000001</v>
      </c>
      <c r="V63" s="93">
        <f t="shared" si="9"/>
        <v>0</v>
      </c>
    </row>
    <row r="64" spans="1:22" ht="18" customHeight="1" x14ac:dyDescent="0.2">
      <c r="A64" s="110" t="s">
        <v>128</v>
      </c>
      <c r="B64" s="111"/>
      <c r="C64" s="201" t="s">
        <v>129</v>
      </c>
      <c r="D64" s="91">
        <v>43165</v>
      </c>
      <c r="E64" s="92"/>
      <c r="F64" s="93"/>
      <c r="G64" s="93"/>
      <c r="H64" s="93">
        <v>104545.45</v>
      </c>
      <c r="I64" s="93">
        <v>101087.45</v>
      </c>
      <c r="J64" s="93">
        <v>0</v>
      </c>
      <c r="K64" s="93">
        <f t="shared" si="0"/>
        <v>0</v>
      </c>
      <c r="L64" s="93">
        <f t="shared" si="1"/>
        <v>0</v>
      </c>
      <c r="M64" s="94">
        <v>2.5</v>
      </c>
      <c r="N64" s="95" t="s">
        <v>17</v>
      </c>
      <c r="O64" s="93">
        <f t="shared" si="5"/>
        <v>0</v>
      </c>
      <c r="P64" s="93">
        <f t="shared" si="6"/>
        <v>0</v>
      </c>
      <c r="Q64" s="93">
        <f t="shared" si="7"/>
        <v>0</v>
      </c>
      <c r="R64" s="93">
        <f t="shared" si="2"/>
        <v>0</v>
      </c>
      <c r="S64" s="93">
        <f t="shared" si="3"/>
        <v>1306</v>
      </c>
      <c r="T64" s="93">
        <f t="shared" si="8"/>
        <v>1306</v>
      </c>
      <c r="U64" s="312">
        <f t="shared" si="4"/>
        <v>99781.45</v>
      </c>
      <c r="V64" s="93">
        <f t="shared" si="9"/>
        <v>0</v>
      </c>
    </row>
    <row r="65" spans="1:22" ht="18" customHeight="1" x14ac:dyDescent="0.2">
      <c r="A65" s="110" t="s">
        <v>130</v>
      </c>
      <c r="B65" s="111"/>
      <c r="C65" s="201" t="s">
        <v>131</v>
      </c>
      <c r="D65" s="91">
        <v>42975</v>
      </c>
      <c r="E65" s="92"/>
      <c r="F65" s="93"/>
      <c r="G65" s="93"/>
      <c r="H65" s="93">
        <v>4404.3</v>
      </c>
      <c r="I65" s="93">
        <v>4201.3</v>
      </c>
      <c r="J65" s="93">
        <v>0</v>
      </c>
      <c r="K65" s="93">
        <f t="shared" si="0"/>
        <v>0</v>
      </c>
      <c r="L65" s="93">
        <f t="shared" si="1"/>
        <v>0</v>
      </c>
      <c r="M65" s="94">
        <v>2.5</v>
      </c>
      <c r="N65" s="95" t="s">
        <v>17</v>
      </c>
      <c r="O65" s="93">
        <f t="shared" si="5"/>
        <v>0</v>
      </c>
      <c r="P65" s="93">
        <f t="shared" si="6"/>
        <v>0</v>
      </c>
      <c r="Q65" s="93">
        <f t="shared" si="7"/>
        <v>0</v>
      </c>
      <c r="R65" s="93">
        <f t="shared" si="2"/>
        <v>0</v>
      </c>
      <c r="S65" s="93">
        <f t="shared" si="3"/>
        <v>55</v>
      </c>
      <c r="T65" s="93">
        <f t="shared" si="8"/>
        <v>55</v>
      </c>
      <c r="U65" s="312">
        <f t="shared" si="4"/>
        <v>4146.3</v>
      </c>
      <c r="V65" s="93">
        <f t="shared" si="9"/>
        <v>0</v>
      </c>
    </row>
    <row r="66" spans="1:22" ht="18" customHeight="1" x14ac:dyDescent="0.2">
      <c r="A66" s="110" t="s">
        <v>132</v>
      </c>
      <c r="B66" s="111"/>
      <c r="C66" s="201" t="s">
        <v>133</v>
      </c>
      <c r="D66" s="91">
        <v>43007</v>
      </c>
      <c r="E66" s="92"/>
      <c r="F66" s="93"/>
      <c r="G66" s="93"/>
      <c r="H66" s="93">
        <v>3528.4</v>
      </c>
      <c r="I66" s="93">
        <v>3374.4</v>
      </c>
      <c r="J66" s="93">
        <v>0</v>
      </c>
      <c r="K66" s="93">
        <f t="shared" si="0"/>
        <v>0</v>
      </c>
      <c r="L66" s="93">
        <f t="shared" si="1"/>
        <v>0</v>
      </c>
      <c r="M66" s="94">
        <v>2.5</v>
      </c>
      <c r="N66" s="95" t="s">
        <v>17</v>
      </c>
      <c r="O66" s="93">
        <f t="shared" si="5"/>
        <v>0</v>
      </c>
      <c r="P66" s="93">
        <f t="shared" si="6"/>
        <v>0</v>
      </c>
      <c r="Q66" s="93">
        <f t="shared" si="7"/>
        <v>0</v>
      </c>
      <c r="R66" s="93">
        <f t="shared" si="2"/>
        <v>0</v>
      </c>
      <c r="S66" s="93">
        <f t="shared" si="3"/>
        <v>44</v>
      </c>
      <c r="T66" s="93">
        <f t="shared" si="8"/>
        <v>44</v>
      </c>
      <c r="U66" s="312">
        <f t="shared" si="4"/>
        <v>3330.4</v>
      </c>
      <c r="V66" s="93">
        <f t="shared" si="9"/>
        <v>0</v>
      </c>
    </row>
    <row r="67" spans="1:22" ht="18" customHeight="1" x14ac:dyDescent="0.2">
      <c r="A67" s="110" t="s">
        <v>134</v>
      </c>
      <c r="B67" s="111"/>
      <c r="C67" s="201" t="s">
        <v>135</v>
      </c>
      <c r="D67" s="91">
        <v>43008</v>
      </c>
      <c r="E67" s="92"/>
      <c r="F67" s="93"/>
      <c r="G67" s="93"/>
      <c r="H67" s="93">
        <v>1260</v>
      </c>
      <c r="I67" s="93">
        <v>1205</v>
      </c>
      <c r="J67" s="93">
        <v>0</v>
      </c>
      <c r="K67" s="93">
        <f t="shared" si="0"/>
        <v>0</v>
      </c>
      <c r="L67" s="93">
        <f t="shared" si="1"/>
        <v>0</v>
      </c>
      <c r="M67" s="94">
        <v>2.5</v>
      </c>
      <c r="N67" s="95" t="s">
        <v>17</v>
      </c>
      <c r="O67" s="93">
        <f t="shared" si="5"/>
        <v>0</v>
      </c>
      <c r="P67" s="93">
        <f t="shared" si="6"/>
        <v>0</v>
      </c>
      <c r="Q67" s="93">
        <f t="shared" si="7"/>
        <v>0</v>
      </c>
      <c r="R67" s="93">
        <f t="shared" si="2"/>
        <v>0</v>
      </c>
      <c r="S67" s="93">
        <f t="shared" si="3"/>
        <v>15</v>
      </c>
      <c r="T67" s="93">
        <f t="shared" si="8"/>
        <v>15</v>
      </c>
      <c r="U67" s="312">
        <f t="shared" si="4"/>
        <v>1190</v>
      </c>
      <c r="V67" s="93">
        <f t="shared" si="9"/>
        <v>0</v>
      </c>
    </row>
    <row r="68" spans="1:22" ht="18" customHeight="1" x14ac:dyDescent="0.2">
      <c r="A68" s="110" t="s">
        <v>136</v>
      </c>
      <c r="B68" s="111"/>
      <c r="C68" s="201" t="s">
        <v>137</v>
      </c>
      <c r="D68" s="91">
        <v>43013</v>
      </c>
      <c r="E68" s="92"/>
      <c r="F68" s="93"/>
      <c r="G68" s="93"/>
      <c r="H68" s="93">
        <v>3521.9900000000002</v>
      </c>
      <c r="I68" s="93">
        <v>3368.9900000000002</v>
      </c>
      <c r="J68" s="93">
        <v>0</v>
      </c>
      <c r="K68" s="93">
        <f t="shared" si="0"/>
        <v>0</v>
      </c>
      <c r="L68" s="93">
        <f t="shared" si="1"/>
        <v>0</v>
      </c>
      <c r="M68" s="94">
        <v>2.5</v>
      </c>
      <c r="N68" s="95" t="s">
        <v>17</v>
      </c>
      <c r="O68" s="93">
        <f t="shared" si="5"/>
        <v>0</v>
      </c>
      <c r="P68" s="93">
        <f t="shared" si="6"/>
        <v>0</v>
      </c>
      <c r="Q68" s="93">
        <f t="shared" si="7"/>
        <v>0</v>
      </c>
      <c r="R68" s="93">
        <f t="shared" si="2"/>
        <v>0</v>
      </c>
      <c r="S68" s="93">
        <f t="shared" si="3"/>
        <v>44</v>
      </c>
      <c r="T68" s="93">
        <f t="shared" si="8"/>
        <v>44</v>
      </c>
      <c r="U68" s="312">
        <f t="shared" si="4"/>
        <v>3324.9900000000002</v>
      </c>
      <c r="V68" s="93">
        <f t="shared" si="9"/>
        <v>0</v>
      </c>
    </row>
    <row r="69" spans="1:22" ht="18" customHeight="1" x14ac:dyDescent="0.2">
      <c r="A69" s="110" t="s">
        <v>138</v>
      </c>
      <c r="B69" s="111"/>
      <c r="C69" s="201" t="s">
        <v>133</v>
      </c>
      <c r="D69" s="91">
        <v>43059</v>
      </c>
      <c r="E69" s="92"/>
      <c r="F69" s="93"/>
      <c r="G69" s="93"/>
      <c r="H69" s="93">
        <v>3019.37</v>
      </c>
      <c r="I69" s="93">
        <v>2897.37</v>
      </c>
      <c r="J69" s="93">
        <v>0</v>
      </c>
      <c r="K69" s="93">
        <f t="shared" si="0"/>
        <v>0</v>
      </c>
      <c r="L69" s="93">
        <f t="shared" si="1"/>
        <v>0</v>
      </c>
      <c r="M69" s="94">
        <v>2.5</v>
      </c>
      <c r="N69" s="95" t="s">
        <v>17</v>
      </c>
      <c r="O69" s="93">
        <f t="shared" si="5"/>
        <v>0</v>
      </c>
      <c r="P69" s="93">
        <f t="shared" si="6"/>
        <v>0</v>
      </c>
      <c r="Q69" s="93">
        <f t="shared" si="7"/>
        <v>0</v>
      </c>
      <c r="R69" s="93">
        <f t="shared" si="2"/>
        <v>0</v>
      </c>
      <c r="S69" s="93">
        <f t="shared" si="3"/>
        <v>37</v>
      </c>
      <c r="T69" s="93">
        <f t="shared" si="8"/>
        <v>37</v>
      </c>
      <c r="U69" s="312">
        <f t="shared" si="4"/>
        <v>2860.37</v>
      </c>
      <c r="V69" s="93">
        <f t="shared" si="9"/>
        <v>0</v>
      </c>
    </row>
    <row r="70" spans="1:22" ht="18" customHeight="1" x14ac:dyDescent="0.2">
      <c r="A70" s="110" t="s">
        <v>139</v>
      </c>
      <c r="B70" s="111"/>
      <c r="C70" s="201" t="s">
        <v>133</v>
      </c>
      <c r="D70" s="91">
        <v>43059</v>
      </c>
      <c r="E70" s="92"/>
      <c r="F70" s="93"/>
      <c r="G70" s="93"/>
      <c r="H70" s="93">
        <v>5210.82</v>
      </c>
      <c r="I70" s="93">
        <v>5000.82</v>
      </c>
      <c r="J70" s="93">
        <v>0</v>
      </c>
      <c r="K70" s="93">
        <f t="shared" si="0"/>
        <v>0</v>
      </c>
      <c r="L70" s="93">
        <f t="shared" si="1"/>
        <v>0</v>
      </c>
      <c r="M70" s="94">
        <v>2.5</v>
      </c>
      <c r="N70" s="95" t="s">
        <v>17</v>
      </c>
      <c r="O70" s="93">
        <f t="shared" si="5"/>
        <v>0</v>
      </c>
      <c r="P70" s="93">
        <f t="shared" si="6"/>
        <v>0</v>
      </c>
      <c r="Q70" s="93">
        <f t="shared" si="7"/>
        <v>0</v>
      </c>
      <c r="R70" s="93">
        <f t="shared" si="2"/>
        <v>0</v>
      </c>
      <c r="S70" s="93">
        <f t="shared" si="3"/>
        <v>65</v>
      </c>
      <c r="T70" s="93">
        <f t="shared" si="8"/>
        <v>65</v>
      </c>
      <c r="U70" s="312">
        <f t="shared" si="4"/>
        <v>4935.82</v>
      </c>
      <c r="V70" s="93">
        <f t="shared" si="9"/>
        <v>0</v>
      </c>
    </row>
    <row r="71" spans="1:22" ht="18" customHeight="1" x14ac:dyDescent="0.2">
      <c r="A71" s="110" t="s">
        <v>140</v>
      </c>
      <c r="B71" s="111"/>
      <c r="C71" s="90" t="s">
        <v>141</v>
      </c>
      <c r="D71" s="91">
        <v>43069</v>
      </c>
      <c r="E71" s="92"/>
      <c r="F71" s="93"/>
      <c r="G71" s="93"/>
      <c r="H71" s="93">
        <v>2679.5</v>
      </c>
      <c r="I71" s="93">
        <v>2573.5</v>
      </c>
      <c r="J71" s="93">
        <v>0</v>
      </c>
      <c r="K71" s="93">
        <f t="shared" si="0"/>
        <v>0</v>
      </c>
      <c r="L71" s="93">
        <f t="shared" si="1"/>
        <v>0</v>
      </c>
      <c r="M71" s="94">
        <v>2.5</v>
      </c>
      <c r="N71" s="95" t="s">
        <v>17</v>
      </c>
      <c r="O71" s="93">
        <f t="shared" si="5"/>
        <v>0</v>
      </c>
      <c r="P71" s="93">
        <f t="shared" si="6"/>
        <v>0</v>
      </c>
      <c r="Q71" s="93">
        <f t="shared" si="7"/>
        <v>0</v>
      </c>
      <c r="R71" s="93">
        <f t="shared" si="2"/>
        <v>0</v>
      </c>
      <c r="S71" s="93">
        <f t="shared" si="3"/>
        <v>33</v>
      </c>
      <c r="T71" s="93">
        <f t="shared" si="8"/>
        <v>33</v>
      </c>
      <c r="U71" s="312">
        <f t="shared" si="4"/>
        <v>2540.5</v>
      </c>
      <c r="V71" s="93">
        <f t="shared" si="9"/>
        <v>0</v>
      </c>
    </row>
    <row r="72" spans="1:22" ht="18" customHeight="1" x14ac:dyDescent="0.2">
      <c r="A72" s="110" t="s">
        <v>142</v>
      </c>
      <c r="B72" s="111"/>
      <c r="C72" s="203" t="s">
        <v>143</v>
      </c>
      <c r="D72" s="91">
        <v>43100</v>
      </c>
      <c r="E72" s="92"/>
      <c r="F72" s="93"/>
      <c r="G72" s="93"/>
      <c r="H72" s="93">
        <v>4158</v>
      </c>
      <c r="I72" s="93">
        <v>4002</v>
      </c>
      <c r="J72" s="93">
        <v>0</v>
      </c>
      <c r="K72" s="93">
        <f t="shared" ref="K72:K135" si="10">INT(IF($E72&gt;0,IF(+F72-I72+Q72&lt;0,0,+F72-I72+Q72),0))</f>
        <v>0</v>
      </c>
      <c r="L72" s="93">
        <f t="shared" ref="L72:L135" si="11">INT(IF($E72&gt;0,IF(K72=0,-F72+I72-Q72,0),0))</f>
        <v>0</v>
      </c>
      <c r="M72" s="94">
        <v>2.5</v>
      </c>
      <c r="N72" s="95" t="s">
        <v>17</v>
      </c>
      <c r="O72" s="93">
        <f t="shared" si="5"/>
        <v>0</v>
      </c>
      <c r="P72" s="93">
        <f t="shared" si="6"/>
        <v>0</v>
      </c>
      <c r="Q72" s="93">
        <f t="shared" si="7"/>
        <v>0</v>
      </c>
      <c r="R72" s="93">
        <f t="shared" ref="R72:R135" si="12">INT(IF($E72&gt;0,0,(IF($N72="D",IF($D72&lt;$H$3,$I72*($M72/100)*$U$3/12,$J72*($M72/100)*($J$3-$D72)/365),0))))</f>
        <v>0</v>
      </c>
      <c r="S72" s="93">
        <f t="shared" ref="S72:S135" si="13">INT(IF($E72&gt;0,0,(IF($N72="P",IF($D72&lt;$H$3,$H72*($M72/100)*$U$3/12,$J72*($M72/100)*($J$3-$D72)/365),0))))</f>
        <v>51</v>
      </c>
      <c r="T72" s="93">
        <f t="shared" si="8"/>
        <v>51</v>
      </c>
      <c r="U72" s="312">
        <f t="shared" ref="U72:U135" si="14">+I72+J72-T72-F72+K72-L72</f>
        <v>3951</v>
      </c>
      <c r="V72" s="93">
        <f t="shared" si="9"/>
        <v>0</v>
      </c>
    </row>
    <row r="73" spans="1:22" ht="18" customHeight="1" x14ac:dyDescent="0.2">
      <c r="A73" s="110" t="s">
        <v>144</v>
      </c>
      <c r="B73" s="111"/>
      <c r="C73" s="201" t="s">
        <v>145</v>
      </c>
      <c r="D73" s="91">
        <v>43146</v>
      </c>
      <c r="E73" s="92"/>
      <c r="F73" s="93"/>
      <c r="G73" s="93"/>
      <c r="H73" s="93">
        <v>1217.99</v>
      </c>
      <c r="I73" s="93">
        <v>1176.99</v>
      </c>
      <c r="J73" s="93">
        <v>0</v>
      </c>
      <c r="K73" s="93">
        <f t="shared" si="10"/>
        <v>0</v>
      </c>
      <c r="L73" s="93">
        <f t="shared" si="11"/>
        <v>0</v>
      </c>
      <c r="M73" s="94">
        <v>2.5</v>
      </c>
      <c r="N73" s="95" t="s">
        <v>17</v>
      </c>
      <c r="O73" s="93">
        <f t="shared" ref="O73:O136" si="15">IF(E73&gt;0,INT(IF($N73="D",IF($D73&lt;$H$3,$I73*($M73/100)*((E73-$H$3)/365),$J73*($M73/100)*($J$3-$D73)/365),0)),0)</f>
        <v>0</v>
      </c>
      <c r="P73" s="93">
        <f t="shared" ref="P73:P136" si="16">IF(E73&gt;0,INT(IF($N73="P",IF($D73&lt;$H$3,$H73*($M73/100)*(E73-$H$3)/365,$J73*($M73/100)*($J$3-$D73)/365),0)),0)</f>
        <v>0</v>
      </c>
      <c r="Q73" s="93">
        <f t="shared" ref="Q73:Q136" si="17">+O73+P73</f>
        <v>0</v>
      </c>
      <c r="R73" s="93">
        <f t="shared" si="12"/>
        <v>0</v>
      </c>
      <c r="S73" s="93">
        <f t="shared" si="13"/>
        <v>15</v>
      </c>
      <c r="T73" s="93">
        <f t="shared" ref="T73:T136" si="18">+R73+S73+Q73</f>
        <v>15</v>
      </c>
      <c r="U73" s="312">
        <f t="shared" si="14"/>
        <v>1161.99</v>
      </c>
      <c r="V73" s="93">
        <f t="shared" ref="V73:V136" si="19">IF(E73&gt;0,+H73+J73,0)</f>
        <v>0</v>
      </c>
    </row>
    <row r="74" spans="1:22" ht="18" customHeight="1" x14ac:dyDescent="0.2">
      <c r="A74" s="110" t="s">
        <v>146</v>
      </c>
      <c r="B74" s="111"/>
      <c r="C74" s="201" t="s">
        <v>147</v>
      </c>
      <c r="D74" s="91">
        <v>42917</v>
      </c>
      <c r="E74" s="92"/>
      <c r="F74" s="93"/>
      <c r="G74" s="93"/>
      <c r="H74" s="93">
        <v>4836</v>
      </c>
      <c r="I74" s="93">
        <v>4594</v>
      </c>
      <c r="J74" s="93">
        <v>0</v>
      </c>
      <c r="K74" s="93">
        <f t="shared" si="10"/>
        <v>0</v>
      </c>
      <c r="L74" s="93">
        <f t="shared" si="11"/>
        <v>0</v>
      </c>
      <c r="M74" s="94">
        <v>2.5</v>
      </c>
      <c r="N74" s="95" t="s">
        <v>17</v>
      </c>
      <c r="O74" s="93">
        <f t="shared" si="15"/>
        <v>0</v>
      </c>
      <c r="P74" s="93">
        <f t="shared" si="16"/>
        <v>0</v>
      </c>
      <c r="Q74" s="93">
        <f t="shared" si="17"/>
        <v>0</v>
      </c>
      <c r="R74" s="93">
        <f t="shared" si="12"/>
        <v>0</v>
      </c>
      <c r="S74" s="93">
        <f t="shared" si="13"/>
        <v>60</v>
      </c>
      <c r="T74" s="93">
        <f t="shared" si="18"/>
        <v>60</v>
      </c>
      <c r="U74" s="312">
        <f t="shared" si="14"/>
        <v>4534</v>
      </c>
      <c r="V74" s="93">
        <f t="shared" si="19"/>
        <v>0</v>
      </c>
    </row>
    <row r="75" spans="1:22" ht="18" customHeight="1" x14ac:dyDescent="0.2">
      <c r="A75" s="110" t="s">
        <v>148</v>
      </c>
      <c r="B75" s="111"/>
      <c r="C75" s="90" t="s">
        <v>149</v>
      </c>
      <c r="D75" s="91">
        <v>43220</v>
      </c>
      <c r="E75" s="92"/>
      <c r="F75" s="93"/>
      <c r="G75" s="93"/>
      <c r="H75" s="93">
        <v>2542</v>
      </c>
      <c r="I75" s="93">
        <v>2467</v>
      </c>
      <c r="J75" s="93">
        <v>0</v>
      </c>
      <c r="K75" s="93">
        <f t="shared" si="10"/>
        <v>0</v>
      </c>
      <c r="L75" s="93">
        <f t="shared" si="11"/>
        <v>0</v>
      </c>
      <c r="M75" s="94">
        <v>2.5</v>
      </c>
      <c r="N75" s="95" t="s">
        <v>17</v>
      </c>
      <c r="O75" s="93">
        <f t="shared" si="15"/>
        <v>0</v>
      </c>
      <c r="P75" s="93">
        <f t="shared" si="16"/>
        <v>0</v>
      </c>
      <c r="Q75" s="93">
        <f t="shared" si="17"/>
        <v>0</v>
      </c>
      <c r="R75" s="93">
        <f t="shared" si="12"/>
        <v>0</v>
      </c>
      <c r="S75" s="93">
        <f t="shared" si="13"/>
        <v>31</v>
      </c>
      <c r="T75" s="93">
        <f t="shared" si="18"/>
        <v>31</v>
      </c>
      <c r="U75" s="312">
        <f t="shared" si="14"/>
        <v>2436</v>
      </c>
      <c r="V75" s="93">
        <f t="shared" si="19"/>
        <v>0</v>
      </c>
    </row>
    <row r="76" spans="1:22" ht="18" customHeight="1" x14ac:dyDescent="0.2">
      <c r="A76" s="110" t="s">
        <v>150</v>
      </c>
      <c r="B76" s="111"/>
      <c r="C76" s="203" t="s">
        <v>151</v>
      </c>
      <c r="D76" s="91">
        <v>43220</v>
      </c>
      <c r="E76" s="92"/>
      <c r="F76" s="93"/>
      <c r="G76" s="93"/>
      <c r="H76" s="93">
        <v>1848</v>
      </c>
      <c r="I76" s="93">
        <v>1795</v>
      </c>
      <c r="J76" s="93">
        <v>0</v>
      </c>
      <c r="K76" s="93">
        <f t="shared" si="10"/>
        <v>0</v>
      </c>
      <c r="L76" s="93">
        <f t="shared" si="11"/>
        <v>0</v>
      </c>
      <c r="M76" s="94">
        <v>2.5</v>
      </c>
      <c r="N76" s="95" t="s">
        <v>17</v>
      </c>
      <c r="O76" s="93">
        <f t="shared" si="15"/>
        <v>0</v>
      </c>
      <c r="P76" s="93">
        <f t="shared" si="16"/>
        <v>0</v>
      </c>
      <c r="Q76" s="93">
        <f t="shared" si="17"/>
        <v>0</v>
      </c>
      <c r="R76" s="93">
        <f t="shared" si="12"/>
        <v>0</v>
      </c>
      <c r="S76" s="93">
        <f t="shared" si="13"/>
        <v>23</v>
      </c>
      <c r="T76" s="93">
        <f t="shared" si="18"/>
        <v>23</v>
      </c>
      <c r="U76" s="312">
        <f t="shared" si="14"/>
        <v>1772</v>
      </c>
      <c r="V76" s="93">
        <f t="shared" si="19"/>
        <v>0</v>
      </c>
    </row>
    <row r="77" spans="1:22" ht="18" customHeight="1" x14ac:dyDescent="0.2">
      <c r="A77" s="110" t="s">
        <v>152</v>
      </c>
      <c r="B77" s="111"/>
      <c r="C77" s="201" t="s">
        <v>153</v>
      </c>
      <c r="D77" s="91">
        <v>43220</v>
      </c>
      <c r="E77" s="92"/>
      <c r="F77" s="93"/>
      <c r="G77" s="93"/>
      <c r="H77" s="93">
        <v>3342.07</v>
      </c>
      <c r="I77" s="93">
        <v>3245.07</v>
      </c>
      <c r="J77" s="93">
        <v>0</v>
      </c>
      <c r="K77" s="93">
        <f t="shared" si="10"/>
        <v>0</v>
      </c>
      <c r="L77" s="93">
        <f t="shared" si="11"/>
        <v>0</v>
      </c>
      <c r="M77" s="94">
        <v>2.5</v>
      </c>
      <c r="N77" s="95" t="s">
        <v>17</v>
      </c>
      <c r="O77" s="93">
        <f t="shared" si="15"/>
        <v>0</v>
      </c>
      <c r="P77" s="93">
        <f t="shared" si="16"/>
        <v>0</v>
      </c>
      <c r="Q77" s="93">
        <f t="shared" si="17"/>
        <v>0</v>
      </c>
      <c r="R77" s="93">
        <f t="shared" si="12"/>
        <v>0</v>
      </c>
      <c r="S77" s="93">
        <f t="shared" si="13"/>
        <v>41</v>
      </c>
      <c r="T77" s="93">
        <f t="shared" si="18"/>
        <v>41</v>
      </c>
      <c r="U77" s="312">
        <f t="shared" si="14"/>
        <v>3204.07</v>
      </c>
      <c r="V77" s="93">
        <f t="shared" si="19"/>
        <v>0</v>
      </c>
    </row>
    <row r="78" spans="1:22" ht="18" customHeight="1" x14ac:dyDescent="0.2">
      <c r="A78" s="110" t="s">
        <v>154</v>
      </c>
      <c r="B78" s="111"/>
      <c r="C78" s="201" t="s">
        <v>155</v>
      </c>
      <c r="D78" s="91">
        <v>43251</v>
      </c>
      <c r="E78" s="92"/>
      <c r="F78" s="93"/>
      <c r="G78" s="93"/>
      <c r="H78" s="93">
        <v>2883</v>
      </c>
      <c r="I78" s="93">
        <v>2805</v>
      </c>
      <c r="J78" s="93">
        <v>0</v>
      </c>
      <c r="K78" s="93">
        <f t="shared" si="10"/>
        <v>0</v>
      </c>
      <c r="L78" s="93">
        <f t="shared" si="11"/>
        <v>0</v>
      </c>
      <c r="M78" s="94">
        <v>2.5</v>
      </c>
      <c r="N78" s="95" t="s">
        <v>17</v>
      </c>
      <c r="O78" s="93">
        <f t="shared" si="15"/>
        <v>0</v>
      </c>
      <c r="P78" s="93">
        <f t="shared" si="16"/>
        <v>0</v>
      </c>
      <c r="Q78" s="93">
        <f t="shared" si="17"/>
        <v>0</v>
      </c>
      <c r="R78" s="93">
        <f t="shared" si="12"/>
        <v>0</v>
      </c>
      <c r="S78" s="93">
        <f t="shared" si="13"/>
        <v>36</v>
      </c>
      <c r="T78" s="93">
        <f t="shared" si="18"/>
        <v>36</v>
      </c>
      <c r="U78" s="312">
        <f t="shared" si="14"/>
        <v>2769</v>
      </c>
      <c r="V78" s="93">
        <f t="shared" si="19"/>
        <v>0</v>
      </c>
    </row>
    <row r="79" spans="1:22" ht="18" customHeight="1" x14ac:dyDescent="0.2">
      <c r="A79" s="110" t="s">
        <v>156</v>
      </c>
      <c r="B79" s="111"/>
      <c r="C79" s="201" t="s">
        <v>157</v>
      </c>
      <c r="D79" s="91">
        <v>43251</v>
      </c>
      <c r="E79" s="92"/>
      <c r="F79" s="93"/>
      <c r="G79" s="93"/>
      <c r="H79" s="93">
        <v>2108</v>
      </c>
      <c r="I79" s="93">
        <v>2052</v>
      </c>
      <c r="J79" s="93">
        <v>0</v>
      </c>
      <c r="K79" s="93">
        <f t="shared" si="10"/>
        <v>0</v>
      </c>
      <c r="L79" s="93">
        <f t="shared" si="11"/>
        <v>0</v>
      </c>
      <c r="M79" s="94">
        <v>2.5</v>
      </c>
      <c r="N79" s="95" t="s">
        <v>17</v>
      </c>
      <c r="O79" s="93">
        <f t="shared" si="15"/>
        <v>0</v>
      </c>
      <c r="P79" s="93">
        <f t="shared" si="16"/>
        <v>0</v>
      </c>
      <c r="Q79" s="93">
        <f t="shared" si="17"/>
        <v>0</v>
      </c>
      <c r="R79" s="93">
        <f t="shared" si="12"/>
        <v>0</v>
      </c>
      <c r="S79" s="93">
        <f t="shared" si="13"/>
        <v>26</v>
      </c>
      <c r="T79" s="93">
        <f t="shared" si="18"/>
        <v>26</v>
      </c>
      <c r="U79" s="312">
        <f t="shared" si="14"/>
        <v>2026</v>
      </c>
      <c r="V79" s="93">
        <f t="shared" si="19"/>
        <v>0</v>
      </c>
    </row>
    <row r="80" spans="1:22" ht="18" customHeight="1" x14ac:dyDescent="0.2">
      <c r="A80" s="110" t="s">
        <v>158</v>
      </c>
      <c r="B80" s="111"/>
      <c r="C80" s="201" t="s">
        <v>53</v>
      </c>
      <c r="D80" s="91">
        <v>43281</v>
      </c>
      <c r="E80" s="92"/>
      <c r="F80" s="93"/>
      <c r="G80" s="93"/>
      <c r="H80" s="93">
        <v>2604</v>
      </c>
      <c r="I80" s="93">
        <v>2539</v>
      </c>
      <c r="J80" s="93">
        <v>0</v>
      </c>
      <c r="K80" s="93">
        <f t="shared" si="10"/>
        <v>0</v>
      </c>
      <c r="L80" s="93">
        <f t="shared" si="11"/>
        <v>0</v>
      </c>
      <c r="M80" s="94">
        <v>2.5</v>
      </c>
      <c r="N80" s="95" t="s">
        <v>17</v>
      </c>
      <c r="O80" s="93">
        <f t="shared" si="15"/>
        <v>0</v>
      </c>
      <c r="P80" s="93">
        <f t="shared" si="16"/>
        <v>0</v>
      </c>
      <c r="Q80" s="93">
        <f t="shared" si="17"/>
        <v>0</v>
      </c>
      <c r="R80" s="93">
        <f t="shared" si="12"/>
        <v>0</v>
      </c>
      <c r="S80" s="93">
        <f t="shared" si="13"/>
        <v>32</v>
      </c>
      <c r="T80" s="93">
        <f t="shared" si="18"/>
        <v>32</v>
      </c>
      <c r="U80" s="312">
        <f t="shared" si="14"/>
        <v>2507</v>
      </c>
      <c r="V80" s="93">
        <f t="shared" si="19"/>
        <v>0</v>
      </c>
    </row>
    <row r="81" spans="1:22" ht="18" customHeight="1" x14ac:dyDescent="0.2">
      <c r="A81" s="110" t="s">
        <v>159</v>
      </c>
      <c r="B81" s="111"/>
      <c r="C81" s="201" t="s">
        <v>160</v>
      </c>
      <c r="D81" s="91">
        <v>43165</v>
      </c>
      <c r="E81" s="92"/>
      <c r="F81" s="93"/>
      <c r="G81" s="93"/>
      <c r="H81" s="93">
        <v>2315.2400000000002</v>
      </c>
      <c r="I81" s="93">
        <v>2239.2400000000002</v>
      </c>
      <c r="J81" s="93">
        <v>0</v>
      </c>
      <c r="K81" s="93">
        <f t="shared" si="10"/>
        <v>0</v>
      </c>
      <c r="L81" s="93">
        <f t="shared" si="11"/>
        <v>0</v>
      </c>
      <c r="M81" s="94">
        <v>2.5</v>
      </c>
      <c r="N81" s="95" t="s">
        <v>17</v>
      </c>
      <c r="O81" s="93">
        <f t="shared" si="15"/>
        <v>0</v>
      </c>
      <c r="P81" s="93">
        <f t="shared" si="16"/>
        <v>0</v>
      </c>
      <c r="Q81" s="93">
        <f t="shared" si="17"/>
        <v>0</v>
      </c>
      <c r="R81" s="93">
        <f t="shared" si="12"/>
        <v>0</v>
      </c>
      <c r="S81" s="93">
        <f t="shared" si="13"/>
        <v>28</v>
      </c>
      <c r="T81" s="93">
        <f t="shared" si="18"/>
        <v>28</v>
      </c>
      <c r="U81" s="312">
        <f t="shared" si="14"/>
        <v>2211.2400000000002</v>
      </c>
      <c r="V81" s="93">
        <f t="shared" si="19"/>
        <v>0</v>
      </c>
    </row>
    <row r="82" spans="1:22" ht="18" customHeight="1" x14ac:dyDescent="0.2">
      <c r="A82" s="110" t="s">
        <v>161</v>
      </c>
      <c r="B82" s="111"/>
      <c r="C82" s="201" t="s">
        <v>162</v>
      </c>
      <c r="D82" s="91">
        <v>43186</v>
      </c>
      <c r="E82" s="92"/>
      <c r="F82" s="93"/>
      <c r="G82" s="93"/>
      <c r="H82" s="93">
        <v>6455.62</v>
      </c>
      <c r="I82" s="93">
        <v>6251.62</v>
      </c>
      <c r="J82" s="93">
        <v>0</v>
      </c>
      <c r="K82" s="93">
        <f t="shared" si="10"/>
        <v>0</v>
      </c>
      <c r="L82" s="93">
        <f t="shared" si="11"/>
        <v>0</v>
      </c>
      <c r="M82" s="94">
        <v>2.5</v>
      </c>
      <c r="N82" s="95" t="s">
        <v>17</v>
      </c>
      <c r="O82" s="93">
        <f t="shared" si="15"/>
        <v>0</v>
      </c>
      <c r="P82" s="93">
        <f t="shared" si="16"/>
        <v>0</v>
      </c>
      <c r="Q82" s="93">
        <f t="shared" si="17"/>
        <v>0</v>
      </c>
      <c r="R82" s="93">
        <f t="shared" si="12"/>
        <v>0</v>
      </c>
      <c r="S82" s="93">
        <f t="shared" si="13"/>
        <v>80</v>
      </c>
      <c r="T82" s="93">
        <f t="shared" si="18"/>
        <v>80</v>
      </c>
      <c r="U82" s="312">
        <f t="shared" si="14"/>
        <v>6171.62</v>
      </c>
      <c r="V82" s="93">
        <f t="shared" si="19"/>
        <v>0</v>
      </c>
    </row>
    <row r="83" spans="1:22" ht="18" customHeight="1" x14ac:dyDescent="0.2">
      <c r="A83" s="110" t="s">
        <v>163</v>
      </c>
      <c r="B83" s="111"/>
      <c r="C83" s="201" t="s">
        <v>164</v>
      </c>
      <c r="D83" s="91">
        <v>43263</v>
      </c>
      <c r="E83" s="92"/>
      <c r="F83" s="93"/>
      <c r="G83" s="93"/>
      <c r="H83" s="93">
        <v>68376.94</v>
      </c>
      <c r="I83" s="93">
        <v>66573.94</v>
      </c>
      <c r="J83" s="93">
        <v>0</v>
      </c>
      <c r="K83" s="93">
        <f t="shared" si="10"/>
        <v>0</v>
      </c>
      <c r="L83" s="93">
        <f t="shared" si="11"/>
        <v>0</v>
      </c>
      <c r="M83" s="94">
        <v>2.5</v>
      </c>
      <c r="N83" s="95" t="s">
        <v>17</v>
      </c>
      <c r="O83" s="93">
        <f t="shared" si="15"/>
        <v>0</v>
      </c>
      <c r="P83" s="93">
        <f t="shared" si="16"/>
        <v>0</v>
      </c>
      <c r="Q83" s="93">
        <f t="shared" si="17"/>
        <v>0</v>
      </c>
      <c r="R83" s="93">
        <f t="shared" si="12"/>
        <v>0</v>
      </c>
      <c r="S83" s="93">
        <f t="shared" si="13"/>
        <v>854</v>
      </c>
      <c r="T83" s="93">
        <f t="shared" si="18"/>
        <v>854</v>
      </c>
      <c r="U83" s="312">
        <f t="shared" si="14"/>
        <v>65719.94</v>
      </c>
      <c r="V83" s="93">
        <f t="shared" si="19"/>
        <v>0</v>
      </c>
    </row>
    <row r="84" spans="1:22" ht="18" customHeight="1" x14ac:dyDescent="0.2">
      <c r="A84" s="110" t="s">
        <v>165</v>
      </c>
      <c r="B84" s="111"/>
      <c r="C84" s="201" t="s">
        <v>166</v>
      </c>
      <c r="D84" s="91">
        <v>42989</v>
      </c>
      <c r="E84" s="92"/>
      <c r="F84" s="93"/>
      <c r="G84" s="93"/>
      <c r="H84" s="93">
        <v>805.6</v>
      </c>
      <c r="I84" s="93">
        <v>770.6</v>
      </c>
      <c r="J84" s="93">
        <v>0</v>
      </c>
      <c r="K84" s="93">
        <f t="shared" si="10"/>
        <v>0</v>
      </c>
      <c r="L84" s="93">
        <f t="shared" si="11"/>
        <v>0</v>
      </c>
      <c r="M84" s="94">
        <v>2.5</v>
      </c>
      <c r="N84" s="95" t="s">
        <v>17</v>
      </c>
      <c r="O84" s="93">
        <f t="shared" si="15"/>
        <v>0</v>
      </c>
      <c r="P84" s="93">
        <f t="shared" si="16"/>
        <v>0</v>
      </c>
      <c r="Q84" s="93">
        <f t="shared" si="17"/>
        <v>0</v>
      </c>
      <c r="R84" s="93">
        <f t="shared" si="12"/>
        <v>0</v>
      </c>
      <c r="S84" s="93">
        <f t="shared" si="13"/>
        <v>10</v>
      </c>
      <c r="T84" s="93">
        <f t="shared" si="18"/>
        <v>10</v>
      </c>
      <c r="U84" s="312">
        <f t="shared" si="14"/>
        <v>760.6</v>
      </c>
      <c r="V84" s="93">
        <f t="shared" si="19"/>
        <v>0</v>
      </c>
    </row>
    <row r="85" spans="1:22" ht="18" customHeight="1" x14ac:dyDescent="0.2">
      <c r="A85" s="110" t="s">
        <v>167</v>
      </c>
      <c r="B85" s="111"/>
      <c r="C85" s="201" t="s">
        <v>168</v>
      </c>
      <c r="D85" s="91">
        <v>43019</v>
      </c>
      <c r="E85" s="92"/>
      <c r="F85" s="93"/>
      <c r="G85" s="93"/>
      <c r="H85" s="93">
        <v>636</v>
      </c>
      <c r="I85" s="93">
        <v>609</v>
      </c>
      <c r="J85" s="93">
        <v>0</v>
      </c>
      <c r="K85" s="93">
        <f t="shared" si="10"/>
        <v>0</v>
      </c>
      <c r="L85" s="93">
        <f t="shared" si="11"/>
        <v>0</v>
      </c>
      <c r="M85" s="94">
        <v>2.5</v>
      </c>
      <c r="N85" s="95" t="s">
        <v>17</v>
      </c>
      <c r="O85" s="93">
        <f t="shared" si="15"/>
        <v>0</v>
      </c>
      <c r="P85" s="93">
        <f t="shared" si="16"/>
        <v>0</v>
      </c>
      <c r="Q85" s="93">
        <f t="shared" si="17"/>
        <v>0</v>
      </c>
      <c r="R85" s="93">
        <f t="shared" si="12"/>
        <v>0</v>
      </c>
      <c r="S85" s="93">
        <f t="shared" si="13"/>
        <v>7</v>
      </c>
      <c r="T85" s="93">
        <f t="shared" si="18"/>
        <v>7</v>
      </c>
      <c r="U85" s="312">
        <f t="shared" si="14"/>
        <v>602</v>
      </c>
      <c r="V85" s="93">
        <f t="shared" si="19"/>
        <v>0</v>
      </c>
    </row>
    <row r="86" spans="1:22" ht="18" customHeight="1" x14ac:dyDescent="0.2">
      <c r="A86" s="110" t="s">
        <v>169</v>
      </c>
      <c r="B86" s="111"/>
      <c r="C86" s="201" t="s">
        <v>170</v>
      </c>
      <c r="D86" s="91">
        <v>43069</v>
      </c>
      <c r="E86" s="92"/>
      <c r="F86" s="93"/>
      <c r="G86" s="93"/>
      <c r="H86" s="93">
        <v>472.5</v>
      </c>
      <c r="I86" s="93">
        <v>454.5</v>
      </c>
      <c r="J86" s="93">
        <v>0</v>
      </c>
      <c r="K86" s="93">
        <f t="shared" si="10"/>
        <v>0</v>
      </c>
      <c r="L86" s="93">
        <f t="shared" si="11"/>
        <v>0</v>
      </c>
      <c r="M86" s="94">
        <v>2.5</v>
      </c>
      <c r="N86" s="95" t="s">
        <v>17</v>
      </c>
      <c r="O86" s="93">
        <f t="shared" si="15"/>
        <v>0</v>
      </c>
      <c r="P86" s="93">
        <f t="shared" si="16"/>
        <v>0</v>
      </c>
      <c r="Q86" s="93">
        <f t="shared" si="17"/>
        <v>0</v>
      </c>
      <c r="R86" s="93">
        <f t="shared" si="12"/>
        <v>0</v>
      </c>
      <c r="S86" s="93">
        <f t="shared" si="13"/>
        <v>5</v>
      </c>
      <c r="T86" s="93">
        <f t="shared" si="18"/>
        <v>5</v>
      </c>
      <c r="U86" s="312">
        <f t="shared" si="14"/>
        <v>449.5</v>
      </c>
      <c r="V86" s="93">
        <f t="shared" si="19"/>
        <v>0</v>
      </c>
    </row>
    <row r="87" spans="1:22" ht="18" customHeight="1" x14ac:dyDescent="0.2">
      <c r="A87" s="110" t="s">
        <v>171</v>
      </c>
      <c r="B87" s="111"/>
      <c r="C87" s="201" t="s">
        <v>172</v>
      </c>
      <c r="D87" s="91">
        <v>43008</v>
      </c>
      <c r="E87" s="92"/>
      <c r="F87" s="93"/>
      <c r="G87" s="93"/>
      <c r="H87" s="93">
        <v>945</v>
      </c>
      <c r="I87" s="93">
        <v>904</v>
      </c>
      <c r="J87" s="93">
        <v>0</v>
      </c>
      <c r="K87" s="93">
        <f t="shared" si="10"/>
        <v>0</v>
      </c>
      <c r="L87" s="93">
        <f t="shared" si="11"/>
        <v>0</v>
      </c>
      <c r="M87" s="94">
        <v>2.5</v>
      </c>
      <c r="N87" s="95" t="s">
        <v>17</v>
      </c>
      <c r="O87" s="93">
        <f t="shared" si="15"/>
        <v>0</v>
      </c>
      <c r="P87" s="93">
        <f t="shared" si="16"/>
        <v>0</v>
      </c>
      <c r="Q87" s="93">
        <f t="shared" si="17"/>
        <v>0</v>
      </c>
      <c r="R87" s="93">
        <f t="shared" si="12"/>
        <v>0</v>
      </c>
      <c r="S87" s="93">
        <f t="shared" si="13"/>
        <v>11</v>
      </c>
      <c r="T87" s="93">
        <f t="shared" si="18"/>
        <v>11</v>
      </c>
      <c r="U87" s="312">
        <f t="shared" si="14"/>
        <v>893</v>
      </c>
      <c r="V87" s="93">
        <f t="shared" si="19"/>
        <v>0</v>
      </c>
    </row>
    <row r="88" spans="1:22" ht="18" customHeight="1" x14ac:dyDescent="0.2">
      <c r="A88" s="110" t="s">
        <v>173</v>
      </c>
      <c r="B88" s="111"/>
      <c r="C88" s="201" t="s">
        <v>174</v>
      </c>
      <c r="D88" s="91">
        <v>43077</v>
      </c>
      <c r="E88" s="92"/>
      <c r="F88" s="93"/>
      <c r="G88" s="93"/>
      <c r="H88" s="93">
        <v>650</v>
      </c>
      <c r="I88" s="93">
        <v>625</v>
      </c>
      <c r="J88" s="93">
        <v>0</v>
      </c>
      <c r="K88" s="93">
        <f t="shared" si="10"/>
        <v>0</v>
      </c>
      <c r="L88" s="93">
        <f t="shared" si="11"/>
        <v>0</v>
      </c>
      <c r="M88" s="94">
        <v>2.5</v>
      </c>
      <c r="N88" s="95" t="s">
        <v>17</v>
      </c>
      <c r="O88" s="93">
        <f t="shared" si="15"/>
        <v>0</v>
      </c>
      <c r="P88" s="93">
        <f t="shared" si="16"/>
        <v>0</v>
      </c>
      <c r="Q88" s="93">
        <f t="shared" si="17"/>
        <v>0</v>
      </c>
      <c r="R88" s="93">
        <f t="shared" si="12"/>
        <v>0</v>
      </c>
      <c r="S88" s="93">
        <f t="shared" si="13"/>
        <v>8</v>
      </c>
      <c r="T88" s="93">
        <f t="shared" si="18"/>
        <v>8</v>
      </c>
      <c r="U88" s="312">
        <f t="shared" si="14"/>
        <v>617</v>
      </c>
      <c r="V88" s="93">
        <f t="shared" si="19"/>
        <v>0</v>
      </c>
    </row>
    <row r="89" spans="1:22" ht="18" customHeight="1" x14ac:dyDescent="0.2">
      <c r="A89" s="110" t="s">
        <v>175</v>
      </c>
      <c r="B89" s="111"/>
      <c r="C89" s="90" t="s">
        <v>176</v>
      </c>
      <c r="D89" s="91">
        <v>43116</v>
      </c>
      <c r="E89" s="92"/>
      <c r="F89" s="93"/>
      <c r="G89" s="93"/>
      <c r="H89" s="93">
        <v>420</v>
      </c>
      <c r="I89" s="93">
        <v>405</v>
      </c>
      <c r="J89" s="93">
        <v>0</v>
      </c>
      <c r="K89" s="93">
        <f t="shared" si="10"/>
        <v>0</v>
      </c>
      <c r="L89" s="93">
        <f t="shared" si="11"/>
        <v>0</v>
      </c>
      <c r="M89" s="94">
        <v>2.5</v>
      </c>
      <c r="N89" s="95" t="s">
        <v>17</v>
      </c>
      <c r="O89" s="93">
        <f t="shared" si="15"/>
        <v>0</v>
      </c>
      <c r="P89" s="93">
        <f t="shared" si="16"/>
        <v>0</v>
      </c>
      <c r="Q89" s="93">
        <f t="shared" si="17"/>
        <v>0</v>
      </c>
      <c r="R89" s="93">
        <f t="shared" si="12"/>
        <v>0</v>
      </c>
      <c r="S89" s="93">
        <f t="shared" si="13"/>
        <v>5</v>
      </c>
      <c r="T89" s="93">
        <f t="shared" si="18"/>
        <v>5</v>
      </c>
      <c r="U89" s="312">
        <f t="shared" si="14"/>
        <v>400</v>
      </c>
      <c r="V89" s="93">
        <f t="shared" si="19"/>
        <v>0</v>
      </c>
    </row>
    <row r="90" spans="1:22" ht="18" customHeight="1" x14ac:dyDescent="0.2">
      <c r="A90" s="110" t="s">
        <v>177</v>
      </c>
      <c r="B90" s="111"/>
      <c r="C90" s="203" t="s">
        <v>178</v>
      </c>
      <c r="D90" s="91">
        <v>43182</v>
      </c>
      <c r="E90" s="92"/>
      <c r="F90" s="93"/>
      <c r="G90" s="93"/>
      <c r="H90" s="93">
        <v>740</v>
      </c>
      <c r="I90" s="93">
        <v>717</v>
      </c>
      <c r="J90" s="93">
        <v>0</v>
      </c>
      <c r="K90" s="93">
        <f t="shared" si="10"/>
        <v>0</v>
      </c>
      <c r="L90" s="93">
        <f t="shared" si="11"/>
        <v>0</v>
      </c>
      <c r="M90" s="94">
        <v>2.5</v>
      </c>
      <c r="N90" s="95" t="s">
        <v>17</v>
      </c>
      <c r="O90" s="93">
        <f t="shared" si="15"/>
        <v>0</v>
      </c>
      <c r="P90" s="93">
        <f t="shared" si="16"/>
        <v>0</v>
      </c>
      <c r="Q90" s="93">
        <f t="shared" si="17"/>
        <v>0</v>
      </c>
      <c r="R90" s="93">
        <f t="shared" si="12"/>
        <v>0</v>
      </c>
      <c r="S90" s="93">
        <f t="shared" si="13"/>
        <v>9</v>
      </c>
      <c r="T90" s="93">
        <f t="shared" si="18"/>
        <v>9</v>
      </c>
      <c r="U90" s="312">
        <f t="shared" si="14"/>
        <v>708</v>
      </c>
      <c r="V90" s="93">
        <f t="shared" si="19"/>
        <v>0</v>
      </c>
    </row>
    <row r="91" spans="1:22" ht="18" customHeight="1" x14ac:dyDescent="0.2">
      <c r="A91" s="110" t="s">
        <v>179</v>
      </c>
      <c r="B91" s="111"/>
      <c r="C91" s="90" t="s">
        <v>180</v>
      </c>
      <c r="D91" s="91">
        <v>43034</v>
      </c>
      <c r="E91" s="92"/>
      <c r="F91" s="93"/>
      <c r="G91" s="93"/>
      <c r="H91" s="93">
        <v>910</v>
      </c>
      <c r="I91" s="93">
        <v>872</v>
      </c>
      <c r="J91" s="93">
        <v>0</v>
      </c>
      <c r="K91" s="93">
        <f t="shared" si="10"/>
        <v>0</v>
      </c>
      <c r="L91" s="93">
        <f t="shared" si="11"/>
        <v>0</v>
      </c>
      <c r="M91" s="94">
        <v>2.5</v>
      </c>
      <c r="N91" s="95" t="s">
        <v>17</v>
      </c>
      <c r="O91" s="93">
        <f t="shared" si="15"/>
        <v>0</v>
      </c>
      <c r="P91" s="93">
        <f t="shared" si="16"/>
        <v>0</v>
      </c>
      <c r="Q91" s="93">
        <f t="shared" si="17"/>
        <v>0</v>
      </c>
      <c r="R91" s="93">
        <f t="shared" si="12"/>
        <v>0</v>
      </c>
      <c r="S91" s="93">
        <f t="shared" si="13"/>
        <v>11</v>
      </c>
      <c r="T91" s="93">
        <f t="shared" si="18"/>
        <v>11</v>
      </c>
      <c r="U91" s="312">
        <f t="shared" si="14"/>
        <v>861</v>
      </c>
      <c r="V91" s="93">
        <f t="shared" si="19"/>
        <v>0</v>
      </c>
    </row>
    <row r="92" spans="1:22" ht="18" customHeight="1" x14ac:dyDescent="0.2">
      <c r="A92" s="110" t="s">
        <v>181</v>
      </c>
      <c r="B92" s="111"/>
      <c r="C92" s="203" t="s">
        <v>145</v>
      </c>
      <c r="D92" s="91">
        <v>43068</v>
      </c>
      <c r="E92" s="92"/>
      <c r="F92" s="93"/>
      <c r="G92" s="93"/>
      <c r="H92" s="93">
        <v>499.40000000000003</v>
      </c>
      <c r="I92" s="93">
        <v>480.40000000000003</v>
      </c>
      <c r="J92" s="93">
        <v>0</v>
      </c>
      <c r="K92" s="93">
        <f t="shared" si="10"/>
        <v>0</v>
      </c>
      <c r="L92" s="93">
        <f t="shared" si="11"/>
        <v>0</v>
      </c>
      <c r="M92" s="94">
        <v>2.5</v>
      </c>
      <c r="N92" s="95" t="s">
        <v>17</v>
      </c>
      <c r="O92" s="93">
        <f t="shared" si="15"/>
        <v>0</v>
      </c>
      <c r="P92" s="93">
        <f t="shared" si="16"/>
        <v>0</v>
      </c>
      <c r="Q92" s="93">
        <f t="shared" si="17"/>
        <v>0</v>
      </c>
      <c r="R92" s="93">
        <f t="shared" si="12"/>
        <v>0</v>
      </c>
      <c r="S92" s="93">
        <f t="shared" si="13"/>
        <v>6</v>
      </c>
      <c r="T92" s="93">
        <f t="shared" si="18"/>
        <v>6</v>
      </c>
      <c r="U92" s="312">
        <f t="shared" si="14"/>
        <v>474.40000000000003</v>
      </c>
      <c r="V92" s="93">
        <f t="shared" si="19"/>
        <v>0</v>
      </c>
    </row>
    <row r="93" spans="1:22" ht="18" customHeight="1" x14ac:dyDescent="0.2">
      <c r="A93" s="110" t="s">
        <v>182</v>
      </c>
      <c r="B93" s="111"/>
      <c r="C93" s="201" t="s">
        <v>183</v>
      </c>
      <c r="D93" s="91">
        <v>43152</v>
      </c>
      <c r="E93" s="92"/>
      <c r="F93" s="93"/>
      <c r="G93" s="93"/>
      <c r="H93" s="93">
        <v>810</v>
      </c>
      <c r="I93" s="93">
        <v>784</v>
      </c>
      <c r="J93" s="93">
        <v>0</v>
      </c>
      <c r="K93" s="93">
        <f t="shared" si="10"/>
        <v>0</v>
      </c>
      <c r="L93" s="93">
        <f t="shared" si="11"/>
        <v>0</v>
      </c>
      <c r="M93" s="94">
        <v>2.5</v>
      </c>
      <c r="N93" s="95" t="s">
        <v>17</v>
      </c>
      <c r="O93" s="93">
        <f t="shared" si="15"/>
        <v>0</v>
      </c>
      <c r="P93" s="93">
        <f t="shared" si="16"/>
        <v>0</v>
      </c>
      <c r="Q93" s="93">
        <f t="shared" si="17"/>
        <v>0</v>
      </c>
      <c r="R93" s="93">
        <f t="shared" si="12"/>
        <v>0</v>
      </c>
      <c r="S93" s="93">
        <f t="shared" si="13"/>
        <v>10</v>
      </c>
      <c r="T93" s="93">
        <f t="shared" si="18"/>
        <v>10</v>
      </c>
      <c r="U93" s="312">
        <f t="shared" si="14"/>
        <v>774</v>
      </c>
      <c r="V93" s="93">
        <f t="shared" si="19"/>
        <v>0</v>
      </c>
    </row>
    <row r="94" spans="1:22" ht="18" customHeight="1" x14ac:dyDescent="0.2">
      <c r="A94" s="110" t="s">
        <v>184</v>
      </c>
      <c r="B94" s="111"/>
      <c r="C94" s="201" t="s">
        <v>185</v>
      </c>
      <c r="D94" s="91">
        <v>43249</v>
      </c>
      <c r="E94" s="92"/>
      <c r="F94" s="93"/>
      <c r="G94" s="93"/>
      <c r="H94" s="93">
        <v>722.39</v>
      </c>
      <c r="I94" s="93">
        <v>702.39</v>
      </c>
      <c r="J94" s="93">
        <v>0</v>
      </c>
      <c r="K94" s="93">
        <f t="shared" si="10"/>
        <v>0</v>
      </c>
      <c r="L94" s="93">
        <f t="shared" si="11"/>
        <v>0</v>
      </c>
      <c r="M94" s="94">
        <v>2.5</v>
      </c>
      <c r="N94" s="95" t="s">
        <v>17</v>
      </c>
      <c r="O94" s="93">
        <f t="shared" si="15"/>
        <v>0</v>
      </c>
      <c r="P94" s="93">
        <f t="shared" si="16"/>
        <v>0</v>
      </c>
      <c r="Q94" s="93">
        <f t="shared" si="17"/>
        <v>0</v>
      </c>
      <c r="R94" s="93">
        <f t="shared" si="12"/>
        <v>0</v>
      </c>
      <c r="S94" s="93">
        <f t="shared" si="13"/>
        <v>9</v>
      </c>
      <c r="T94" s="93">
        <f t="shared" si="18"/>
        <v>9</v>
      </c>
      <c r="U94" s="312">
        <f t="shared" si="14"/>
        <v>693.39</v>
      </c>
      <c r="V94" s="93">
        <f t="shared" si="19"/>
        <v>0</v>
      </c>
    </row>
    <row r="95" spans="1:22" ht="18" customHeight="1" x14ac:dyDescent="0.2">
      <c r="A95" s="110" t="s">
        <v>186</v>
      </c>
      <c r="B95" s="111"/>
      <c r="C95" s="201" t="s">
        <v>187</v>
      </c>
      <c r="D95" s="91">
        <v>43264</v>
      </c>
      <c r="E95" s="92"/>
      <c r="F95" s="93"/>
      <c r="G95" s="93"/>
      <c r="H95" s="93">
        <v>310</v>
      </c>
      <c r="I95" s="93">
        <v>302</v>
      </c>
      <c r="J95" s="93">
        <v>0</v>
      </c>
      <c r="K95" s="93">
        <f t="shared" si="10"/>
        <v>0</v>
      </c>
      <c r="L95" s="93">
        <f t="shared" si="11"/>
        <v>0</v>
      </c>
      <c r="M95" s="94">
        <v>2.5</v>
      </c>
      <c r="N95" s="95" t="s">
        <v>17</v>
      </c>
      <c r="O95" s="93">
        <f t="shared" si="15"/>
        <v>0</v>
      </c>
      <c r="P95" s="93">
        <f t="shared" si="16"/>
        <v>0</v>
      </c>
      <c r="Q95" s="93">
        <f t="shared" si="17"/>
        <v>0</v>
      </c>
      <c r="R95" s="93">
        <f t="shared" si="12"/>
        <v>0</v>
      </c>
      <c r="S95" s="93">
        <f t="shared" si="13"/>
        <v>3</v>
      </c>
      <c r="T95" s="93">
        <f t="shared" si="18"/>
        <v>3</v>
      </c>
      <c r="U95" s="312">
        <f t="shared" si="14"/>
        <v>299</v>
      </c>
      <c r="V95" s="93">
        <f t="shared" si="19"/>
        <v>0</v>
      </c>
    </row>
    <row r="96" spans="1:22" ht="18" customHeight="1" x14ac:dyDescent="0.2">
      <c r="A96" s="110" t="s">
        <v>188</v>
      </c>
      <c r="B96" s="111"/>
      <c r="C96" s="201" t="s">
        <v>189</v>
      </c>
      <c r="D96" s="91">
        <v>43281</v>
      </c>
      <c r="E96" s="92"/>
      <c r="F96" s="93"/>
      <c r="G96" s="93"/>
      <c r="H96" s="93">
        <v>434</v>
      </c>
      <c r="I96" s="93">
        <v>422</v>
      </c>
      <c r="J96" s="93">
        <v>0</v>
      </c>
      <c r="K96" s="93">
        <f t="shared" si="10"/>
        <v>0</v>
      </c>
      <c r="L96" s="93">
        <f t="shared" si="11"/>
        <v>0</v>
      </c>
      <c r="M96" s="94">
        <v>2.5</v>
      </c>
      <c r="N96" s="95" t="s">
        <v>17</v>
      </c>
      <c r="O96" s="93">
        <f t="shared" si="15"/>
        <v>0</v>
      </c>
      <c r="P96" s="93">
        <f t="shared" si="16"/>
        <v>0</v>
      </c>
      <c r="Q96" s="93">
        <f t="shared" si="17"/>
        <v>0</v>
      </c>
      <c r="R96" s="93">
        <f t="shared" si="12"/>
        <v>0</v>
      </c>
      <c r="S96" s="93">
        <f t="shared" si="13"/>
        <v>5</v>
      </c>
      <c r="T96" s="93">
        <f t="shared" si="18"/>
        <v>5</v>
      </c>
      <c r="U96" s="312">
        <f t="shared" si="14"/>
        <v>417</v>
      </c>
      <c r="V96" s="93">
        <f t="shared" si="19"/>
        <v>0</v>
      </c>
    </row>
    <row r="97" spans="1:22" ht="18" customHeight="1" x14ac:dyDescent="0.2">
      <c r="A97" s="110" t="s">
        <v>190</v>
      </c>
      <c r="B97" s="111"/>
      <c r="C97" s="90" t="s">
        <v>191</v>
      </c>
      <c r="D97" s="91">
        <v>42989</v>
      </c>
      <c r="E97" s="92"/>
      <c r="F97" s="93"/>
      <c r="G97" s="93"/>
      <c r="H97" s="93">
        <v>190</v>
      </c>
      <c r="I97" s="93">
        <v>182</v>
      </c>
      <c r="J97" s="93">
        <v>0</v>
      </c>
      <c r="K97" s="93">
        <f t="shared" si="10"/>
        <v>0</v>
      </c>
      <c r="L97" s="93">
        <f t="shared" si="11"/>
        <v>0</v>
      </c>
      <c r="M97" s="94">
        <v>2.5</v>
      </c>
      <c r="N97" s="95" t="s">
        <v>17</v>
      </c>
      <c r="O97" s="93">
        <f t="shared" si="15"/>
        <v>0</v>
      </c>
      <c r="P97" s="93">
        <f t="shared" si="16"/>
        <v>0</v>
      </c>
      <c r="Q97" s="93">
        <f t="shared" si="17"/>
        <v>0</v>
      </c>
      <c r="R97" s="93">
        <f t="shared" si="12"/>
        <v>0</v>
      </c>
      <c r="S97" s="93">
        <f t="shared" si="13"/>
        <v>2</v>
      </c>
      <c r="T97" s="93">
        <f t="shared" si="18"/>
        <v>2</v>
      </c>
      <c r="U97" s="312">
        <f t="shared" si="14"/>
        <v>180</v>
      </c>
      <c r="V97" s="93">
        <f t="shared" si="19"/>
        <v>0</v>
      </c>
    </row>
    <row r="98" spans="1:22" ht="18" customHeight="1" x14ac:dyDescent="0.2">
      <c r="A98" s="110" t="s">
        <v>192</v>
      </c>
      <c r="B98" s="111"/>
      <c r="C98" s="90" t="s">
        <v>193</v>
      </c>
      <c r="D98" s="91">
        <v>42992</v>
      </c>
      <c r="E98" s="92"/>
      <c r="F98" s="93"/>
      <c r="G98" s="93"/>
      <c r="H98" s="93">
        <v>42.4</v>
      </c>
      <c r="I98" s="93">
        <v>40.4</v>
      </c>
      <c r="J98" s="93">
        <v>0</v>
      </c>
      <c r="K98" s="93">
        <f t="shared" si="10"/>
        <v>0</v>
      </c>
      <c r="L98" s="93">
        <f t="shared" si="11"/>
        <v>0</v>
      </c>
      <c r="M98" s="94">
        <v>2.5</v>
      </c>
      <c r="N98" s="95" t="s">
        <v>17</v>
      </c>
      <c r="O98" s="93">
        <f t="shared" si="15"/>
        <v>0</v>
      </c>
      <c r="P98" s="93">
        <f t="shared" si="16"/>
        <v>0</v>
      </c>
      <c r="Q98" s="93">
        <f t="shared" si="17"/>
        <v>0</v>
      </c>
      <c r="R98" s="93">
        <f t="shared" si="12"/>
        <v>0</v>
      </c>
      <c r="S98" s="93">
        <f t="shared" si="13"/>
        <v>0</v>
      </c>
      <c r="T98" s="93">
        <f t="shared" si="18"/>
        <v>0</v>
      </c>
      <c r="U98" s="312">
        <f t="shared" si="14"/>
        <v>40.4</v>
      </c>
      <c r="V98" s="93">
        <f t="shared" si="19"/>
        <v>0</v>
      </c>
    </row>
    <row r="99" spans="1:22" ht="18" customHeight="1" x14ac:dyDescent="0.2">
      <c r="A99" s="110" t="s">
        <v>194</v>
      </c>
      <c r="B99" s="111"/>
      <c r="C99" s="90" t="s">
        <v>195</v>
      </c>
      <c r="D99" s="91">
        <v>42998</v>
      </c>
      <c r="E99" s="92"/>
      <c r="F99" s="93"/>
      <c r="G99" s="93"/>
      <c r="H99" s="93">
        <v>242</v>
      </c>
      <c r="I99" s="93">
        <v>231</v>
      </c>
      <c r="J99" s="93">
        <v>0</v>
      </c>
      <c r="K99" s="93">
        <f t="shared" si="10"/>
        <v>0</v>
      </c>
      <c r="L99" s="93">
        <f t="shared" si="11"/>
        <v>0</v>
      </c>
      <c r="M99" s="94">
        <v>2.5</v>
      </c>
      <c r="N99" s="95" t="s">
        <v>17</v>
      </c>
      <c r="O99" s="93">
        <f t="shared" si="15"/>
        <v>0</v>
      </c>
      <c r="P99" s="93">
        <f t="shared" si="16"/>
        <v>0</v>
      </c>
      <c r="Q99" s="93">
        <f t="shared" si="17"/>
        <v>0</v>
      </c>
      <c r="R99" s="93">
        <f t="shared" si="12"/>
        <v>0</v>
      </c>
      <c r="S99" s="93">
        <f t="shared" si="13"/>
        <v>3</v>
      </c>
      <c r="T99" s="93">
        <f t="shared" si="18"/>
        <v>3</v>
      </c>
      <c r="U99" s="312">
        <f t="shared" si="14"/>
        <v>228</v>
      </c>
      <c r="V99" s="93">
        <f t="shared" si="19"/>
        <v>0</v>
      </c>
    </row>
    <row r="100" spans="1:22" ht="18" customHeight="1" x14ac:dyDescent="0.2">
      <c r="A100" s="110" t="s">
        <v>196</v>
      </c>
      <c r="B100" s="111"/>
      <c r="C100" s="90" t="s">
        <v>197</v>
      </c>
      <c r="D100" s="91">
        <v>43257</v>
      </c>
      <c r="E100" s="92"/>
      <c r="F100" s="93"/>
      <c r="G100" s="93"/>
      <c r="H100" s="93">
        <v>259.2</v>
      </c>
      <c r="I100" s="93">
        <v>252.2</v>
      </c>
      <c r="J100" s="93">
        <v>0</v>
      </c>
      <c r="K100" s="93">
        <f t="shared" si="10"/>
        <v>0</v>
      </c>
      <c r="L100" s="93">
        <f t="shared" si="11"/>
        <v>0</v>
      </c>
      <c r="M100" s="94">
        <v>2.5</v>
      </c>
      <c r="N100" s="95" t="s">
        <v>17</v>
      </c>
      <c r="O100" s="93">
        <f t="shared" si="15"/>
        <v>0</v>
      </c>
      <c r="P100" s="93">
        <f t="shared" si="16"/>
        <v>0</v>
      </c>
      <c r="Q100" s="93">
        <f t="shared" si="17"/>
        <v>0</v>
      </c>
      <c r="R100" s="93">
        <f t="shared" si="12"/>
        <v>0</v>
      </c>
      <c r="S100" s="93">
        <f t="shared" si="13"/>
        <v>3</v>
      </c>
      <c r="T100" s="93">
        <f t="shared" si="18"/>
        <v>3</v>
      </c>
      <c r="U100" s="312">
        <f t="shared" si="14"/>
        <v>249.2</v>
      </c>
      <c r="V100" s="93">
        <f t="shared" si="19"/>
        <v>0</v>
      </c>
    </row>
    <row r="101" spans="1:22" ht="18" customHeight="1" x14ac:dyDescent="0.2">
      <c r="A101" s="110" t="s">
        <v>198</v>
      </c>
      <c r="B101" s="111"/>
      <c r="C101" s="203" t="s">
        <v>199</v>
      </c>
      <c r="D101" s="91">
        <v>43020</v>
      </c>
      <c r="E101" s="92"/>
      <c r="F101" s="93"/>
      <c r="G101" s="93"/>
      <c r="H101" s="93">
        <v>160</v>
      </c>
      <c r="I101" s="93">
        <v>153</v>
      </c>
      <c r="J101" s="93">
        <v>0</v>
      </c>
      <c r="K101" s="93">
        <f t="shared" si="10"/>
        <v>0</v>
      </c>
      <c r="L101" s="93">
        <f t="shared" si="11"/>
        <v>0</v>
      </c>
      <c r="M101" s="94">
        <v>2.5</v>
      </c>
      <c r="N101" s="95" t="s">
        <v>17</v>
      </c>
      <c r="O101" s="93">
        <f t="shared" si="15"/>
        <v>0</v>
      </c>
      <c r="P101" s="93">
        <f t="shared" si="16"/>
        <v>0</v>
      </c>
      <c r="Q101" s="93">
        <f t="shared" si="17"/>
        <v>0</v>
      </c>
      <c r="R101" s="93">
        <f t="shared" si="12"/>
        <v>0</v>
      </c>
      <c r="S101" s="93">
        <f t="shared" si="13"/>
        <v>2</v>
      </c>
      <c r="T101" s="93">
        <f t="shared" si="18"/>
        <v>2</v>
      </c>
      <c r="U101" s="312">
        <f t="shared" si="14"/>
        <v>151</v>
      </c>
      <c r="V101" s="93">
        <f t="shared" si="19"/>
        <v>0</v>
      </c>
    </row>
    <row r="102" spans="1:22" ht="18" customHeight="1" x14ac:dyDescent="0.2">
      <c r="A102" s="110" t="s">
        <v>200</v>
      </c>
      <c r="B102" s="111"/>
      <c r="C102" s="201" t="s">
        <v>201</v>
      </c>
      <c r="D102" s="91">
        <v>43045</v>
      </c>
      <c r="E102" s="92"/>
      <c r="F102" s="93"/>
      <c r="G102" s="93"/>
      <c r="H102" s="93">
        <v>72.11</v>
      </c>
      <c r="I102" s="93">
        <v>69.11</v>
      </c>
      <c r="J102" s="93">
        <v>0</v>
      </c>
      <c r="K102" s="93">
        <f t="shared" si="10"/>
        <v>0</v>
      </c>
      <c r="L102" s="93">
        <f t="shared" si="11"/>
        <v>0</v>
      </c>
      <c r="M102" s="94">
        <v>2.5</v>
      </c>
      <c r="N102" s="95" t="s">
        <v>17</v>
      </c>
      <c r="O102" s="93">
        <f t="shared" si="15"/>
        <v>0</v>
      </c>
      <c r="P102" s="93">
        <f t="shared" si="16"/>
        <v>0</v>
      </c>
      <c r="Q102" s="93">
        <f t="shared" si="17"/>
        <v>0</v>
      </c>
      <c r="R102" s="93">
        <f t="shared" si="12"/>
        <v>0</v>
      </c>
      <c r="S102" s="93">
        <f t="shared" si="13"/>
        <v>0</v>
      </c>
      <c r="T102" s="93">
        <f t="shared" si="18"/>
        <v>0</v>
      </c>
      <c r="U102" s="312">
        <f t="shared" si="14"/>
        <v>69.11</v>
      </c>
      <c r="V102" s="93">
        <f t="shared" si="19"/>
        <v>0</v>
      </c>
    </row>
    <row r="103" spans="1:22" ht="18" customHeight="1" x14ac:dyDescent="0.2">
      <c r="A103" s="110" t="s">
        <v>202</v>
      </c>
      <c r="B103" s="111"/>
      <c r="C103" s="90" t="s">
        <v>203</v>
      </c>
      <c r="D103" s="91">
        <v>43045</v>
      </c>
      <c r="E103" s="92"/>
      <c r="F103" s="93"/>
      <c r="G103" s="93"/>
      <c r="H103" s="93">
        <v>4.84</v>
      </c>
      <c r="I103" s="93">
        <v>2.84</v>
      </c>
      <c r="J103" s="93">
        <v>0</v>
      </c>
      <c r="K103" s="93">
        <f t="shared" si="10"/>
        <v>0</v>
      </c>
      <c r="L103" s="93">
        <f t="shared" si="11"/>
        <v>0</v>
      </c>
      <c r="M103" s="94">
        <v>2.5</v>
      </c>
      <c r="N103" s="95" t="s">
        <v>17</v>
      </c>
      <c r="O103" s="93">
        <f t="shared" si="15"/>
        <v>0</v>
      </c>
      <c r="P103" s="93">
        <f t="shared" si="16"/>
        <v>0</v>
      </c>
      <c r="Q103" s="93">
        <f t="shared" si="17"/>
        <v>0</v>
      </c>
      <c r="R103" s="93">
        <f t="shared" si="12"/>
        <v>0</v>
      </c>
      <c r="S103" s="93">
        <f t="shared" si="13"/>
        <v>0</v>
      </c>
      <c r="T103" s="93">
        <f t="shared" si="18"/>
        <v>0</v>
      </c>
      <c r="U103" s="312">
        <f t="shared" si="14"/>
        <v>2.84</v>
      </c>
      <c r="V103" s="93">
        <f t="shared" si="19"/>
        <v>0</v>
      </c>
    </row>
    <row r="104" spans="1:22" ht="18" customHeight="1" x14ac:dyDescent="0.2">
      <c r="A104" s="110" t="s">
        <v>204</v>
      </c>
      <c r="B104" s="111"/>
      <c r="C104" s="203" t="s">
        <v>205</v>
      </c>
      <c r="D104" s="91">
        <v>43077</v>
      </c>
      <c r="E104" s="92"/>
      <c r="F104" s="93"/>
      <c r="G104" s="93"/>
      <c r="H104" s="93">
        <v>255.3</v>
      </c>
      <c r="I104" s="93">
        <v>245.3</v>
      </c>
      <c r="J104" s="93">
        <v>0</v>
      </c>
      <c r="K104" s="93">
        <f t="shared" si="10"/>
        <v>0</v>
      </c>
      <c r="L104" s="93">
        <f t="shared" si="11"/>
        <v>0</v>
      </c>
      <c r="M104" s="94">
        <v>2.5</v>
      </c>
      <c r="N104" s="95" t="s">
        <v>17</v>
      </c>
      <c r="O104" s="93">
        <f t="shared" si="15"/>
        <v>0</v>
      </c>
      <c r="P104" s="93">
        <f t="shared" si="16"/>
        <v>0</v>
      </c>
      <c r="Q104" s="93">
        <f t="shared" si="17"/>
        <v>0</v>
      </c>
      <c r="R104" s="93">
        <f t="shared" si="12"/>
        <v>0</v>
      </c>
      <c r="S104" s="93">
        <f t="shared" si="13"/>
        <v>3</v>
      </c>
      <c r="T104" s="93">
        <f t="shared" si="18"/>
        <v>3</v>
      </c>
      <c r="U104" s="312">
        <f t="shared" si="14"/>
        <v>242.3</v>
      </c>
      <c r="V104" s="93">
        <f t="shared" si="19"/>
        <v>0</v>
      </c>
    </row>
    <row r="105" spans="1:22" ht="18" customHeight="1" x14ac:dyDescent="0.2">
      <c r="A105" s="110" t="s">
        <v>206</v>
      </c>
      <c r="B105" s="111"/>
      <c r="C105" s="201" t="s">
        <v>207</v>
      </c>
      <c r="D105" s="91">
        <v>43271</v>
      </c>
      <c r="E105" s="92"/>
      <c r="F105" s="93"/>
      <c r="G105" s="93"/>
      <c r="H105" s="93">
        <v>109.18</v>
      </c>
      <c r="I105" s="93">
        <v>106.18</v>
      </c>
      <c r="J105" s="93">
        <v>0</v>
      </c>
      <c r="K105" s="93">
        <f t="shared" si="10"/>
        <v>0</v>
      </c>
      <c r="L105" s="93">
        <f t="shared" si="11"/>
        <v>0</v>
      </c>
      <c r="M105" s="94">
        <v>2.5</v>
      </c>
      <c r="N105" s="95" t="s">
        <v>17</v>
      </c>
      <c r="O105" s="93">
        <f t="shared" si="15"/>
        <v>0</v>
      </c>
      <c r="P105" s="93">
        <f t="shared" si="16"/>
        <v>0</v>
      </c>
      <c r="Q105" s="93">
        <f t="shared" si="17"/>
        <v>0</v>
      </c>
      <c r="R105" s="93">
        <f t="shared" si="12"/>
        <v>0</v>
      </c>
      <c r="S105" s="93">
        <f t="shared" si="13"/>
        <v>1</v>
      </c>
      <c r="T105" s="93">
        <f t="shared" si="18"/>
        <v>1</v>
      </c>
      <c r="U105" s="312">
        <f t="shared" si="14"/>
        <v>105.18</v>
      </c>
      <c r="V105" s="93">
        <f t="shared" si="19"/>
        <v>0</v>
      </c>
    </row>
    <row r="106" spans="1:22" ht="18" customHeight="1" x14ac:dyDescent="0.2">
      <c r="A106" s="110" t="s">
        <v>208</v>
      </c>
      <c r="B106" s="111"/>
      <c r="C106" s="201" t="s">
        <v>209</v>
      </c>
      <c r="D106" s="91">
        <v>43269</v>
      </c>
      <c r="E106" s="92"/>
      <c r="F106" s="93"/>
      <c r="G106" s="93"/>
      <c r="H106" s="93">
        <v>163.05000000000001</v>
      </c>
      <c r="I106" s="93">
        <v>158.05000000000001</v>
      </c>
      <c r="J106" s="93">
        <v>0</v>
      </c>
      <c r="K106" s="93">
        <f t="shared" si="10"/>
        <v>0</v>
      </c>
      <c r="L106" s="93">
        <f t="shared" si="11"/>
        <v>0</v>
      </c>
      <c r="M106" s="94">
        <v>2.5</v>
      </c>
      <c r="N106" s="95" t="s">
        <v>17</v>
      </c>
      <c r="O106" s="93">
        <f t="shared" si="15"/>
        <v>0</v>
      </c>
      <c r="P106" s="93">
        <f t="shared" si="16"/>
        <v>0</v>
      </c>
      <c r="Q106" s="93">
        <f t="shared" si="17"/>
        <v>0</v>
      </c>
      <c r="R106" s="93">
        <f t="shared" si="12"/>
        <v>0</v>
      </c>
      <c r="S106" s="93">
        <f t="shared" si="13"/>
        <v>2</v>
      </c>
      <c r="T106" s="93">
        <f t="shared" si="18"/>
        <v>2</v>
      </c>
      <c r="U106" s="312">
        <f t="shared" si="14"/>
        <v>156.05000000000001</v>
      </c>
      <c r="V106" s="93">
        <f t="shared" si="19"/>
        <v>0</v>
      </c>
    </row>
    <row r="107" spans="1:22" ht="18" customHeight="1" x14ac:dyDescent="0.2">
      <c r="A107" s="110" t="s">
        <v>210</v>
      </c>
      <c r="B107" s="111"/>
      <c r="C107" s="201" t="s">
        <v>211</v>
      </c>
      <c r="D107" s="91">
        <v>43312</v>
      </c>
      <c r="E107" s="92"/>
      <c r="F107" s="93"/>
      <c r="G107" s="93"/>
      <c r="H107" s="93">
        <v>868</v>
      </c>
      <c r="I107" s="93">
        <v>849</v>
      </c>
      <c r="J107" s="93"/>
      <c r="K107" s="93">
        <f t="shared" si="10"/>
        <v>0</v>
      </c>
      <c r="L107" s="93">
        <f t="shared" si="11"/>
        <v>0</v>
      </c>
      <c r="M107" s="94">
        <v>2.5</v>
      </c>
      <c r="N107" s="95" t="s">
        <v>17</v>
      </c>
      <c r="O107" s="93">
        <f t="shared" si="15"/>
        <v>0</v>
      </c>
      <c r="P107" s="93">
        <f t="shared" si="16"/>
        <v>0</v>
      </c>
      <c r="Q107" s="93">
        <f t="shared" si="17"/>
        <v>0</v>
      </c>
      <c r="R107" s="93">
        <f t="shared" si="12"/>
        <v>0</v>
      </c>
      <c r="S107" s="93">
        <f t="shared" si="13"/>
        <v>10</v>
      </c>
      <c r="T107" s="93">
        <f t="shared" si="18"/>
        <v>10</v>
      </c>
      <c r="U107" s="312">
        <f t="shared" si="14"/>
        <v>839</v>
      </c>
      <c r="V107" s="93">
        <f t="shared" si="19"/>
        <v>0</v>
      </c>
    </row>
    <row r="108" spans="1:22" ht="18" customHeight="1" x14ac:dyDescent="0.2">
      <c r="A108" s="110" t="s">
        <v>212</v>
      </c>
      <c r="B108" s="111"/>
      <c r="C108" s="201" t="s">
        <v>213</v>
      </c>
      <c r="D108" s="91">
        <v>43365</v>
      </c>
      <c r="E108" s="92"/>
      <c r="F108" s="93"/>
      <c r="G108" s="93"/>
      <c r="H108" s="93">
        <v>10874.57</v>
      </c>
      <c r="I108" s="93">
        <v>10664.57</v>
      </c>
      <c r="J108" s="93"/>
      <c r="K108" s="93">
        <f t="shared" si="10"/>
        <v>0</v>
      </c>
      <c r="L108" s="93">
        <f t="shared" si="11"/>
        <v>0</v>
      </c>
      <c r="M108" s="94">
        <v>2.5</v>
      </c>
      <c r="N108" s="95" t="s">
        <v>17</v>
      </c>
      <c r="O108" s="93">
        <f t="shared" si="15"/>
        <v>0</v>
      </c>
      <c r="P108" s="93">
        <f t="shared" si="16"/>
        <v>0</v>
      </c>
      <c r="Q108" s="93">
        <f t="shared" si="17"/>
        <v>0</v>
      </c>
      <c r="R108" s="93">
        <f t="shared" si="12"/>
        <v>0</v>
      </c>
      <c r="S108" s="93">
        <f t="shared" si="13"/>
        <v>135</v>
      </c>
      <c r="T108" s="93">
        <f t="shared" si="18"/>
        <v>135</v>
      </c>
      <c r="U108" s="312">
        <f t="shared" si="14"/>
        <v>10529.57</v>
      </c>
      <c r="V108" s="93">
        <f t="shared" si="19"/>
        <v>0</v>
      </c>
    </row>
    <row r="109" spans="1:22" ht="18" customHeight="1" x14ac:dyDescent="0.2">
      <c r="A109" s="110" t="s">
        <v>214</v>
      </c>
      <c r="B109" s="111"/>
      <c r="C109" s="201" t="s">
        <v>213</v>
      </c>
      <c r="D109" s="91">
        <v>43370</v>
      </c>
      <c r="E109" s="92"/>
      <c r="F109" s="93"/>
      <c r="G109" s="93"/>
      <c r="H109" s="93">
        <v>3681.65</v>
      </c>
      <c r="I109" s="93">
        <v>3612.65</v>
      </c>
      <c r="J109" s="93"/>
      <c r="K109" s="93">
        <f t="shared" si="10"/>
        <v>0</v>
      </c>
      <c r="L109" s="93">
        <f t="shared" si="11"/>
        <v>0</v>
      </c>
      <c r="M109" s="94">
        <v>2.5</v>
      </c>
      <c r="N109" s="95" t="s">
        <v>17</v>
      </c>
      <c r="O109" s="93">
        <f t="shared" si="15"/>
        <v>0</v>
      </c>
      <c r="P109" s="93">
        <f t="shared" si="16"/>
        <v>0</v>
      </c>
      <c r="Q109" s="93">
        <f t="shared" si="17"/>
        <v>0</v>
      </c>
      <c r="R109" s="93">
        <f t="shared" si="12"/>
        <v>0</v>
      </c>
      <c r="S109" s="93">
        <f t="shared" si="13"/>
        <v>46</v>
      </c>
      <c r="T109" s="93">
        <f t="shared" si="18"/>
        <v>46</v>
      </c>
      <c r="U109" s="312">
        <f t="shared" si="14"/>
        <v>3566.65</v>
      </c>
      <c r="V109" s="93">
        <f t="shared" si="19"/>
        <v>0</v>
      </c>
    </row>
    <row r="110" spans="1:22" ht="18" customHeight="1" x14ac:dyDescent="0.2">
      <c r="A110" s="110" t="s">
        <v>215</v>
      </c>
      <c r="B110" s="111"/>
      <c r="C110" s="201" t="s">
        <v>83</v>
      </c>
      <c r="D110" s="91">
        <v>43375</v>
      </c>
      <c r="E110" s="92"/>
      <c r="F110" s="93"/>
      <c r="G110" s="93"/>
      <c r="H110" s="93">
        <v>2735.33</v>
      </c>
      <c r="I110" s="93">
        <v>2685.33</v>
      </c>
      <c r="J110" s="93"/>
      <c r="K110" s="93">
        <f t="shared" si="10"/>
        <v>0</v>
      </c>
      <c r="L110" s="93">
        <f t="shared" si="11"/>
        <v>0</v>
      </c>
      <c r="M110" s="94">
        <v>2.5</v>
      </c>
      <c r="N110" s="95" t="s">
        <v>17</v>
      </c>
      <c r="O110" s="93">
        <f t="shared" si="15"/>
        <v>0</v>
      </c>
      <c r="P110" s="93">
        <f t="shared" si="16"/>
        <v>0</v>
      </c>
      <c r="Q110" s="93">
        <f t="shared" si="17"/>
        <v>0</v>
      </c>
      <c r="R110" s="93">
        <f t="shared" si="12"/>
        <v>0</v>
      </c>
      <c r="S110" s="93">
        <f t="shared" si="13"/>
        <v>34</v>
      </c>
      <c r="T110" s="93">
        <f t="shared" si="18"/>
        <v>34</v>
      </c>
      <c r="U110" s="312">
        <f t="shared" si="14"/>
        <v>2651.33</v>
      </c>
      <c r="V110" s="93">
        <f t="shared" si="19"/>
        <v>0</v>
      </c>
    </row>
    <row r="111" spans="1:22" ht="18" customHeight="1" x14ac:dyDescent="0.2">
      <c r="A111" s="110" t="s">
        <v>216</v>
      </c>
      <c r="B111" s="111"/>
      <c r="C111" s="201" t="s">
        <v>217</v>
      </c>
      <c r="D111" s="91">
        <v>43402</v>
      </c>
      <c r="E111" s="92"/>
      <c r="F111" s="93"/>
      <c r="G111" s="93"/>
      <c r="H111" s="93">
        <v>3001.53</v>
      </c>
      <c r="I111" s="93">
        <v>2951.53</v>
      </c>
      <c r="J111" s="93"/>
      <c r="K111" s="93">
        <f t="shared" si="10"/>
        <v>0</v>
      </c>
      <c r="L111" s="93">
        <f t="shared" si="11"/>
        <v>0</v>
      </c>
      <c r="M111" s="94">
        <v>2.5</v>
      </c>
      <c r="N111" s="95" t="s">
        <v>17</v>
      </c>
      <c r="O111" s="93">
        <f t="shared" si="15"/>
        <v>0</v>
      </c>
      <c r="P111" s="93">
        <f t="shared" si="16"/>
        <v>0</v>
      </c>
      <c r="Q111" s="93">
        <f t="shared" si="17"/>
        <v>0</v>
      </c>
      <c r="R111" s="93">
        <f t="shared" si="12"/>
        <v>0</v>
      </c>
      <c r="S111" s="93">
        <f t="shared" si="13"/>
        <v>37</v>
      </c>
      <c r="T111" s="93">
        <f t="shared" si="18"/>
        <v>37</v>
      </c>
      <c r="U111" s="312">
        <f t="shared" si="14"/>
        <v>2914.53</v>
      </c>
      <c r="V111" s="93">
        <f t="shared" si="19"/>
        <v>0</v>
      </c>
    </row>
    <row r="112" spans="1:22" ht="18" customHeight="1" x14ac:dyDescent="0.2">
      <c r="A112" s="110" t="s">
        <v>218</v>
      </c>
      <c r="B112" s="111"/>
      <c r="C112" s="201" t="s">
        <v>219</v>
      </c>
      <c r="D112" s="91">
        <v>43403</v>
      </c>
      <c r="E112" s="92"/>
      <c r="F112" s="93"/>
      <c r="G112" s="93"/>
      <c r="H112" s="93">
        <v>650.4</v>
      </c>
      <c r="I112" s="93">
        <v>640.4</v>
      </c>
      <c r="J112" s="93"/>
      <c r="K112" s="93">
        <f t="shared" si="10"/>
        <v>0</v>
      </c>
      <c r="L112" s="93">
        <f t="shared" si="11"/>
        <v>0</v>
      </c>
      <c r="M112" s="94">
        <v>2.5</v>
      </c>
      <c r="N112" s="95" t="s">
        <v>17</v>
      </c>
      <c r="O112" s="93">
        <f t="shared" si="15"/>
        <v>0</v>
      </c>
      <c r="P112" s="93">
        <f t="shared" si="16"/>
        <v>0</v>
      </c>
      <c r="Q112" s="93">
        <f t="shared" si="17"/>
        <v>0</v>
      </c>
      <c r="R112" s="93">
        <f t="shared" si="12"/>
        <v>0</v>
      </c>
      <c r="S112" s="93">
        <f t="shared" si="13"/>
        <v>8</v>
      </c>
      <c r="T112" s="93">
        <f t="shared" si="18"/>
        <v>8</v>
      </c>
      <c r="U112" s="312">
        <f t="shared" si="14"/>
        <v>632.4</v>
      </c>
      <c r="V112" s="93">
        <f t="shared" si="19"/>
        <v>0</v>
      </c>
    </row>
    <row r="113" spans="1:22" ht="18" customHeight="1" x14ac:dyDescent="0.2">
      <c r="A113" s="110" t="s">
        <v>220</v>
      </c>
      <c r="B113" s="111"/>
      <c r="C113" s="201" t="s">
        <v>221</v>
      </c>
      <c r="D113" s="91">
        <v>43405</v>
      </c>
      <c r="E113" s="92"/>
      <c r="F113" s="93"/>
      <c r="G113" s="93"/>
      <c r="H113" s="93">
        <v>9691.65</v>
      </c>
      <c r="I113" s="93">
        <v>9530.65</v>
      </c>
      <c r="J113" s="93"/>
      <c r="K113" s="93">
        <f t="shared" si="10"/>
        <v>0</v>
      </c>
      <c r="L113" s="93">
        <f t="shared" si="11"/>
        <v>0</v>
      </c>
      <c r="M113" s="94">
        <v>2.5</v>
      </c>
      <c r="N113" s="95" t="s">
        <v>17</v>
      </c>
      <c r="O113" s="93">
        <f t="shared" si="15"/>
        <v>0</v>
      </c>
      <c r="P113" s="93">
        <f t="shared" si="16"/>
        <v>0</v>
      </c>
      <c r="Q113" s="93">
        <f t="shared" si="17"/>
        <v>0</v>
      </c>
      <c r="R113" s="93">
        <f t="shared" si="12"/>
        <v>0</v>
      </c>
      <c r="S113" s="93">
        <f t="shared" si="13"/>
        <v>121</v>
      </c>
      <c r="T113" s="93">
        <f t="shared" si="18"/>
        <v>121</v>
      </c>
      <c r="U113" s="312">
        <f t="shared" si="14"/>
        <v>9409.65</v>
      </c>
      <c r="V113" s="93">
        <f t="shared" si="19"/>
        <v>0</v>
      </c>
    </row>
    <row r="114" spans="1:22" ht="18" customHeight="1" x14ac:dyDescent="0.2">
      <c r="A114" s="110" t="s">
        <v>222</v>
      </c>
      <c r="B114" s="111"/>
      <c r="C114" s="201" t="s">
        <v>223</v>
      </c>
      <c r="D114" s="91">
        <v>43404</v>
      </c>
      <c r="E114" s="92"/>
      <c r="F114" s="93"/>
      <c r="G114" s="93"/>
      <c r="H114" s="93">
        <v>2015</v>
      </c>
      <c r="I114" s="93">
        <v>1982</v>
      </c>
      <c r="J114" s="93"/>
      <c r="K114" s="93">
        <f t="shared" si="10"/>
        <v>0</v>
      </c>
      <c r="L114" s="93">
        <f t="shared" si="11"/>
        <v>0</v>
      </c>
      <c r="M114" s="94">
        <v>2.5</v>
      </c>
      <c r="N114" s="95" t="s">
        <v>17</v>
      </c>
      <c r="O114" s="93">
        <f t="shared" si="15"/>
        <v>0</v>
      </c>
      <c r="P114" s="93">
        <f t="shared" si="16"/>
        <v>0</v>
      </c>
      <c r="Q114" s="93">
        <f t="shared" si="17"/>
        <v>0</v>
      </c>
      <c r="R114" s="93">
        <f t="shared" si="12"/>
        <v>0</v>
      </c>
      <c r="S114" s="93">
        <f t="shared" si="13"/>
        <v>25</v>
      </c>
      <c r="T114" s="93">
        <f t="shared" si="18"/>
        <v>25</v>
      </c>
      <c r="U114" s="312">
        <f t="shared" si="14"/>
        <v>1957</v>
      </c>
      <c r="V114" s="93">
        <f t="shared" si="19"/>
        <v>0</v>
      </c>
    </row>
    <row r="115" spans="1:22" ht="18" customHeight="1" x14ac:dyDescent="0.2">
      <c r="A115" s="110" t="s">
        <v>224</v>
      </c>
      <c r="B115" s="111"/>
      <c r="C115" s="201" t="s">
        <v>225</v>
      </c>
      <c r="D115" s="91">
        <v>43431</v>
      </c>
      <c r="E115" s="92"/>
      <c r="F115" s="93"/>
      <c r="G115" s="93"/>
      <c r="H115" s="93">
        <v>941.84</v>
      </c>
      <c r="I115" s="93">
        <v>927.84</v>
      </c>
      <c r="J115" s="93"/>
      <c r="K115" s="93">
        <f t="shared" si="10"/>
        <v>0</v>
      </c>
      <c r="L115" s="93">
        <f t="shared" si="11"/>
        <v>0</v>
      </c>
      <c r="M115" s="94">
        <v>2.5</v>
      </c>
      <c r="N115" s="95" t="s">
        <v>17</v>
      </c>
      <c r="O115" s="93">
        <f t="shared" si="15"/>
        <v>0</v>
      </c>
      <c r="P115" s="93">
        <f t="shared" si="16"/>
        <v>0</v>
      </c>
      <c r="Q115" s="93">
        <f t="shared" si="17"/>
        <v>0</v>
      </c>
      <c r="R115" s="93">
        <f t="shared" si="12"/>
        <v>0</v>
      </c>
      <c r="S115" s="93">
        <f t="shared" si="13"/>
        <v>11</v>
      </c>
      <c r="T115" s="93">
        <f t="shared" si="18"/>
        <v>11</v>
      </c>
      <c r="U115" s="312">
        <f t="shared" si="14"/>
        <v>916.84</v>
      </c>
      <c r="V115" s="93">
        <f t="shared" si="19"/>
        <v>0</v>
      </c>
    </row>
    <row r="116" spans="1:22" ht="18" customHeight="1" x14ac:dyDescent="0.2">
      <c r="A116" s="110" t="s">
        <v>226</v>
      </c>
      <c r="B116" s="111"/>
      <c r="C116" s="201" t="s">
        <v>227</v>
      </c>
      <c r="D116" s="91">
        <v>43431</v>
      </c>
      <c r="E116" s="92"/>
      <c r="F116" s="93"/>
      <c r="G116" s="93"/>
      <c r="H116" s="93">
        <v>490</v>
      </c>
      <c r="I116" s="93">
        <v>482</v>
      </c>
      <c r="J116" s="93"/>
      <c r="K116" s="93">
        <f t="shared" si="10"/>
        <v>0</v>
      </c>
      <c r="L116" s="93">
        <f t="shared" si="11"/>
        <v>0</v>
      </c>
      <c r="M116" s="94">
        <v>2.5</v>
      </c>
      <c r="N116" s="95" t="s">
        <v>17</v>
      </c>
      <c r="O116" s="93">
        <f t="shared" si="15"/>
        <v>0</v>
      </c>
      <c r="P116" s="93">
        <f t="shared" si="16"/>
        <v>0</v>
      </c>
      <c r="Q116" s="93">
        <f t="shared" si="17"/>
        <v>0</v>
      </c>
      <c r="R116" s="93">
        <f t="shared" si="12"/>
        <v>0</v>
      </c>
      <c r="S116" s="93">
        <f t="shared" si="13"/>
        <v>6</v>
      </c>
      <c r="T116" s="93">
        <f t="shared" si="18"/>
        <v>6</v>
      </c>
      <c r="U116" s="312">
        <f t="shared" si="14"/>
        <v>476</v>
      </c>
      <c r="V116" s="93">
        <f t="shared" si="19"/>
        <v>0</v>
      </c>
    </row>
    <row r="117" spans="1:22" ht="18" customHeight="1" x14ac:dyDescent="0.2">
      <c r="A117" s="110" t="s">
        <v>228</v>
      </c>
      <c r="B117" s="111"/>
      <c r="C117" s="201" t="s">
        <v>229</v>
      </c>
      <c r="D117" s="91">
        <v>43413</v>
      </c>
      <c r="E117" s="92"/>
      <c r="F117" s="93"/>
      <c r="G117" s="93"/>
      <c r="H117" s="93">
        <v>238.67000000000002</v>
      </c>
      <c r="I117" s="93">
        <v>234.67000000000002</v>
      </c>
      <c r="J117" s="93"/>
      <c r="K117" s="93">
        <f t="shared" si="10"/>
        <v>0</v>
      </c>
      <c r="L117" s="93">
        <f t="shared" si="11"/>
        <v>0</v>
      </c>
      <c r="M117" s="94">
        <v>2.5</v>
      </c>
      <c r="N117" s="95" t="s">
        <v>17</v>
      </c>
      <c r="O117" s="93">
        <f t="shared" si="15"/>
        <v>0</v>
      </c>
      <c r="P117" s="93">
        <f t="shared" si="16"/>
        <v>0</v>
      </c>
      <c r="Q117" s="93">
        <f t="shared" si="17"/>
        <v>0</v>
      </c>
      <c r="R117" s="93">
        <f t="shared" si="12"/>
        <v>0</v>
      </c>
      <c r="S117" s="93">
        <f t="shared" si="13"/>
        <v>2</v>
      </c>
      <c r="T117" s="93">
        <f t="shared" si="18"/>
        <v>2</v>
      </c>
      <c r="U117" s="312">
        <f t="shared" si="14"/>
        <v>232.67000000000002</v>
      </c>
      <c r="V117" s="93">
        <f t="shared" si="19"/>
        <v>0</v>
      </c>
    </row>
    <row r="118" spans="1:22" ht="18" customHeight="1" x14ac:dyDescent="0.2">
      <c r="A118" s="110" t="s">
        <v>230</v>
      </c>
      <c r="B118" s="111"/>
      <c r="C118" s="201" t="s">
        <v>231</v>
      </c>
      <c r="D118" s="91">
        <v>43402</v>
      </c>
      <c r="E118" s="92"/>
      <c r="F118" s="93"/>
      <c r="G118" s="93"/>
      <c r="H118" s="93">
        <v>8195.41</v>
      </c>
      <c r="I118" s="93">
        <v>8057.41</v>
      </c>
      <c r="J118" s="93"/>
      <c r="K118" s="93">
        <f t="shared" si="10"/>
        <v>0</v>
      </c>
      <c r="L118" s="93">
        <f t="shared" si="11"/>
        <v>0</v>
      </c>
      <c r="M118" s="94">
        <v>2.5</v>
      </c>
      <c r="N118" s="95" t="s">
        <v>17</v>
      </c>
      <c r="O118" s="93">
        <f t="shared" si="15"/>
        <v>0</v>
      </c>
      <c r="P118" s="93">
        <f t="shared" si="16"/>
        <v>0</v>
      </c>
      <c r="Q118" s="93">
        <f t="shared" si="17"/>
        <v>0</v>
      </c>
      <c r="R118" s="93">
        <f t="shared" si="12"/>
        <v>0</v>
      </c>
      <c r="S118" s="93">
        <f t="shared" si="13"/>
        <v>102</v>
      </c>
      <c r="T118" s="93">
        <f t="shared" si="18"/>
        <v>102</v>
      </c>
      <c r="U118" s="312">
        <f t="shared" si="14"/>
        <v>7955.41</v>
      </c>
      <c r="V118" s="93">
        <f t="shared" si="19"/>
        <v>0</v>
      </c>
    </row>
    <row r="119" spans="1:22" ht="18" customHeight="1" x14ac:dyDescent="0.2">
      <c r="A119" s="110" t="s">
        <v>232</v>
      </c>
      <c r="B119" s="111"/>
      <c r="C119" s="201" t="s">
        <v>233</v>
      </c>
      <c r="D119" s="91">
        <v>43434</v>
      </c>
      <c r="E119" s="92"/>
      <c r="F119" s="93"/>
      <c r="G119" s="93"/>
      <c r="H119" s="93">
        <v>4697.72</v>
      </c>
      <c r="I119" s="93">
        <v>4628.72</v>
      </c>
      <c r="J119" s="93"/>
      <c r="K119" s="93">
        <f t="shared" si="10"/>
        <v>0</v>
      </c>
      <c r="L119" s="93">
        <f t="shared" si="11"/>
        <v>0</v>
      </c>
      <c r="M119" s="94">
        <v>2.5</v>
      </c>
      <c r="N119" s="95" t="s">
        <v>17</v>
      </c>
      <c r="O119" s="93">
        <f t="shared" si="15"/>
        <v>0</v>
      </c>
      <c r="P119" s="93">
        <f t="shared" si="16"/>
        <v>0</v>
      </c>
      <c r="Q119" s="93">
        <f t="shared" si="17"/>
        <v>0</v>
      </c>
      <c r="R119" s="93">
        <f t="shared" si="12"/>
        <v>0</v>
      </c>
      <c r="S119" s="93">
        <f t="shared" si="13"/>
        <v>58</v>
      </c>
      <c r="T119" s="93">
        <f t="shared" si="18"/>
        <v>58</v>
      </c>
      <c r="U119" s="312">
        <f t="shared" si="14"/>
        <v>4570.72</v>
      </c>
      <c r="V119" s="93">
        <f t="shared" si="19"/>
        <v>0</v>
      </c>
    </row>
    <row r="120" spans="1:22" ht="18" customHeight="1" x14ac:dyDescent="0.2">
      <c r="A120" s="110" t="s">
        <v>234</v>
      </c>
      <c r="B120" s="111"/>
      <c r="C120" s="201" t="s">
        <v>133</v>
      </c>
      <c r="D120" s="91">
        <v>43291</v>
      </c>
      <c r="E120" s="92"/>
      <c r="F120" s="93"/>
      <c r="G120" s="93"/>
      <c r="H120" s="93">
        <v>689.24</v>
      </c>
      <c r="I120" s="93">
        <v>672.24</v>
      </c>
      <c r="J120" s="93"/>
      <c r="K120" s="93">
        <f t="shared" si="10"/>
        <v>0</v>
      </c>
      <c r="L120" s="93">
        <f t="shared" si="11"/>
        <v>0</v>
      </c>
      <c r="M120" s="94">
        <v>2.5</v>
      </c>
      <c r="N120" s="95" t="s">
        <v>17</v>
      </c>
      <c r="O120" s="93">
        <f t="shared" si="15"/>
        <v>0</v>
      </c>
      <c r="P120" s="93">
        <f t="shared" si="16"/>
        <v>0</v>
      </c>
      <c r="Q120" s="93">
        <f t="shared" si="17"/>
        <v>0</v>
      </c>
      <c r="R120" s="93">
        <f t="shared" si="12"/>
        <v>0</v>
      </c>
      <c r="S120" s="93">
        <f t="shared" si="13"/>
        <v>8</v>
      </c>
      <c r="T120" s="93">
        <f t="shared" si="18"/>
        <v>8</v>
      </c>
      <c r="U120" s="312">
        <f t="shared" si="14"/>
        <v>664.24</v>
      </c>
      <c r="V120" s="93">
        <f t="shared" si="19"/>
        <v>0</v>
      </c>
    </row>
    <row r="121" spans="1:22" ht="18" customHeight="1" x14ac:dyDescent="0.2">
      <c r="A121" s="110" t="s">
        <v>235</v>
      </c>
      <c r="B121" s="111"/>
      <c r="C121" s="201" t="s">
        <v>133</v>
      </c>
      <c r="D121" s="91">
        <v>43307</v>
      </c>
      <c r="E121" s="92"/>
      <c r="F121" s="93"/>
      <c r="G121" s="93"/>
      <c r="H121" s="93">
        <v>1145.6400000000001</v>
      </c>
      <c r="I121" s="93">
        <v>1119.6400000000001</v>
      </c>
      <c r="J121" s="93"/>
      <c r="K121" s="93">
        <f t="shared" si="10"/>
        <v>0</v>
      </c>
      <c r="L121" s="93">
        <f t="shared" si="11"/>
        <v>0</v>
      </c>
      <c r="M121" s="94">
        <v>2.5</v>
      </c>
      <c r="N121" s="95" t="s">
        <v>17</v>
      </c>
      <c r="O121" s="93">
        <f t="shared" si="15"/>
        <v>0</v>
      </c>
      <c r="P121" s="93">
        <f t="shared" si="16"/>
        <v>0</v>
      </c>
      <c r="Q121" s="93">
        <f t="shared" si="17"/>
        <v>0</v>
      </c>
      <c r="R121" s="93">
        <f t="shared" si="12"/>
        <v>0</v>
      </c>
      <c r="S121" s="93">
        <f t="shared" si="13"/>
        <v>14</v>
      </c>
      <c r="T121" s="93">
        <f t="shared" si="18"/>
        <v>14</v>
      </c>
      <c r="U121" s="312">
        <f t="shared" si="14"/>
        <v>1105.6400000000001</v>
      </c>
      <c r="V121" s="93">
        <f t="shared" si="19"/>
        <v>0</v>
      </c>
    </row>
    <row r="122" spans="1:22" ht="18" customHeight="1" x14ac:dyDescent="0.2">
      <c r="A122" s="110" t="s">
        <v>236</v>
      </c>
      <c r="B122" s="111"/>
      <c r="C122" s="201" t="s">
        <v>53</v>
      </c>
      <c r="D122" s="91">
        <v>43312</v>
      </c>
      <c r="E122" s="92"/>
      <c r="F122" s="93"/>
      <c r="G122" s="93"/>
      <c r="H122" s="93">
        <v>1798</v>
      </c>
      <c r="I122" s="93">
        <v>1757</v>
      </c>
      <c r="J122" s="93"/>
      <c r="K122" s="93">
        <f t="shared" si="10"/>
        <v>0</v>
      </c>
      <c r="L122" s="93">
        <f t="shared" si="11"/>
        <v>0</v>
      </c>
      <c r="M122" s="94">
        <v>2.5</v>
      </c>
      <c r="N122" s="95" t="s">
        <v>17</v>
      </c>
      <c r="O122" s="93">
        <f t="shared" si="15"/>
        <v>0</v>
      </c>
      <c r="P122" s="93">
        <f t="shared" si="16"/>
        <v>0</v>
      </c>
      <c r="Q122" s="93">
        <f t="shared" si="17"/>
        <v>0</v>
      </c>
      <c r="R122" s="93">
        <f t="shared" si="12"/>
        <v>0</v>
      </c>
      <c r="S122" s="93">
        <f t="shared" si="13"/>
        <v>22</v>
      </c>
      <c r="T122" s="93">
        <f t="shared" si="18"/>
        <v>22</v>
      </c>
      <c r="U122" s="312">
        <f t="shared" si="14"/>
        <v>1735</v>
      </c>
      <c r="V122" s="93">
        <f t="shared" si="19"/>
        <v>0</v>
      </c>
    </row>
    <row r="123" spans="1:22" ht="18" customHeight="1" x14ac:dyDescent="0.2">
      <c r="A123" s="110" t="s">
        <v>237</v>
      </c>
      <c r="B123" s="111"/>
      <c r="C123" s="201" t="s">
        <v>238</v>
      </c>
      <c r="D123" s="91">
        <v>43315</v>
      </c>
      <c r="E123" s="92"/>
      <c r="F123" s="93"/>
      <c r="G123" s="93"/>
      <c r="H123" s="93">
        <v>475</v>
      </c>
      <c r="I123" s="93">
        <v>465</v>
      </c>
      <c r="J123" s="93"/>
      <c r="K123" s="93">
        <f t="shared" si="10"/>
        <v>0</v>
      </c>
      <c r="L123" s="93">
        <f t="shared" si="11"/>
        <v>0</v>
      </c>
      <c r="M123" s="94">
        <v>2.5</v>
      </c>
      <c r="N123" s="95" t="s">
        <v>17</v>
      </c>
      <c r="O123" s="93">
        <f t="shared" si="15"/>
        <v>0</v>
      </c>
      <c r="P123" s="93">
        <f t="shared" si="16"/>
        <v>0</v>
      </c>
      <c r="Q123" s="93">
        <f t="shared" si="17"/>
        <v>0</v>
      </c>
      <c r="R123" s="93">
        <f t="shared" si="12"/>
        <v>0</v>
      </c>
      <c r="S123" s="93">
        <f t="shared" si="13"/>
        <v>5</v>
      </c>
      <c r="T123" s="93">
        <f t="shared" si="18"/>
        <v>5</v>
      </c>
      <c r="U123" s="312">
        <f t="shared" si="14"/>
        <v>460</v>
      </c>
      <c r="V123" s="93">
        <f t="shared" si="19"/>
        <v>0</v>
      </c>
    </row>
    <row r="124" spans="1:22" ht="18" customHeight="1" x14ac:dyDescent="0.2">
      <c r="A124" s="110" t="s">
        <v>239</v>
      </c>
      <c r="B124" s="111"/>
      <c r="C124" s="201" t="s">
        <v>145</v>
      </c>
      <c r="D124" s="91">
        <v>43322</v>
      </c>
      <c r="E124" s="92"/>
      <c r="F124" s="93"/>
      <c r="G124" s="93"/>
      <c r="H124" s="93">
        <v>1140</v>
      </c>
      <c r="I124" s="93">
        <v>1115</v>
      </c>
      <c r="J124" s="93"/>
      <c r="K124" s="93">
        <f t="shared" si="10"/>
        <v>0</v>
      </c>
      <c r="L124" s="93">
        <f t="shared" si="11"/>
        <v>0</v>
      </c>
      <c r="M124" s="94">
        <v>2.5</v>
      </c>
      <c r="N124" s="95" t="s">
        <v>17</v>
      </c>
      <c r="O124" s="93">
        <f t="shared" si="15"/>
        <v>0</v>
      </c>
      <c r="P124" s="93">
        <f t="shared" si="16"/>
        <v>0</v>
      </c>
      <c r="Q124" s="93">
        <f t="shared" si="17"/>
        <v>0</v>
      </c>
      <c r="R124" s="93">
        <f t="shared" si="12"/>
        <v>0</v>
      </c>
      <c r="S124" s="93">
        <f t="shared" si="13"/>
        <v>14</v>
      </c>
      <c r="T124" s="93">
        <f t="shared" si="18"/>
        <v>14</v>
      </c>
      <c r="U124" s="312">
        <f t="shared" si="14"/>
        <v>1101</v>
      </c>
      <c r="V124" s="93">
        <f t="shared" si="19"/>
        <v>0</v>
      </c>
    </row>
    <row r="125" spans="1:22" ht="18" customHeight="1" x14ac:dyDescent="0.2">
      <c r="A125" s="110" t="s">
        <v>240</v>
      </c>
      <c r="B125" s="111"/>
      <c r="C125" s="201" t="s">
        <v>241</v>
      </c>
      <c r="D125" s="91">
        <v>43327</v>
      </c>
      <c r="E125" s="92"/>
      <c r="F125" s="93"/>
      <c r="G125" s="93"/>
      <c r="H125" s="93">
        <v>910</v>
      </c>
      <c r="I125" s="93">
        <v>890</v>
      </c>
      <c r="J125" s="93"/>
      <c r="K125" s="93">
        <f t="shared" si="10"/>
        <v>0</v>
      </c>
      <c r="L125" s="93">
        <f t="shared" si="11"/>
        <v>0</v>
      </c>
      <c r="M125" s="94">
        <v>2.5</v>
      </c>
      <c r="N125" s="95" t="s">
        <v>17</v>
      </c>
      <c r="O125" s="93">
        <f t="shared" si="15"/>
        <v>0</v>
      </c>
      <c r="P125" s="93">
        <f t="shared" si="16"/>
        <v>0</v>
      </c>
      <c r="Q125" s="93">
        <f t="shared" si="17"/>
        <v>0</v>
      </c>
      <c r="R125" s="93">
        <f t="shared" si="12"/>
        <v>0</v>
      </c>
      <c r="S125" s="93">
        <f t="shared" si="13"/>
        <v>11</v>
      </c>
      <c r="T125" s="93">
        <f t="shared" si="18"/>
        <v>11</v>
      </c>
      <c r="U125" s="312">
        <f t="shared" si="14"/>
        <v>879</v>
      </c>
      <c r="V125" s="93">
        <f t="shared" si="19"/>
        <v>0</v>
      </c>
    </row>
    <row r="126" spans="1:22" ht="18" customHeight="1" x14ac:dyDescent="0.2">
      <c r="A126" s="110" t="s">
        <v>242</v>
      </c>
      <c r="B126" s="111"/>
      <c r="C126" s="201" t="s">
        <v>243</v>
      </c>
      <c r="D126" s="91">
        <v>43336</v>
      </c>
      <c r="E126" s="92"/>
      <c r="F126" s="93"/>
      <c r="G126" s="93"/>
      <c r="H126" s="93">
        <v>590</v>
      </c>
      <c r="I126" s="93">
        <v>578</v>
      </c>
      <c r="J126" s="93"/>
      <c r="K126" s="93">
        <f t="shared" si="10"/>
        <v>0</v>
      </c>
      <c r="L126" s="93">
        <f t="shared" si="11"/>
        <v>0</v>
      </c>
      <c r="M126" s="94">
        <v>2.5</v>
      </c>
      <c r="N126" s="95" t="s">
        <v>17</v>
      </c>
      <c r="O126" s="93">
        <f t="shared" si="15"/>
        <v>0</v>
      </c>
      <c r="P126" s="93">
        <f t="shared" si="16"/>
        <v>0</v>
      </c>
      <c r="Q126" s="93">
        <f t="shared" si="17"/>
        <v>0</v>
      </c>
      <c r="R126" s="93">
        <f t="shared" si="12"/>
        <v>0</v>
      </c>
      <c r="S126" s="93">
        <f t="shared" si="13"/>
        <v>7</v>
      </c>
      <c r="T126" s="93">
        <f t="shared" si="18"/>
        <v>7</v>
      </c>
      <c r="U126" s="312">
        <f t="shared" si="14"/>
        <v>571</v>
      </c>
      <c r="V126" s="93">
        <f t="shared" si="19"/>
        <v>0</v>
      </c>
    </row>
    <row r="127" spans="1:22" ht="18" customHeight="1" x14ac:dyDescent="0.2">
      <c r="A127" s="110" t="s">
        <v>244</v>
      </c>
      <c r="B127" s="111"/>
      <c r="C127" s="201" t="s">
        <v>53</v>
      </c>
      <c r="D127" s="91">
        <v>43343</v>
      </c>
      <c r="E127" s="92"/>
      <c r="F127" s="93"/>
      <c r="G127" s="93"/>
      <c r="H127" s="93">
        <v>2356</v>
      </c>
      <c r="I127" s="93">
        <v>2307</v>
      </c>
      <c r="J127" s="93"/>
      <c r="K127" s="93">
        <f t="shared" si="10"/>
        <v>0</v>
      </c>
      <c r="L127" s="93">
        <f t="shared" si="11"/>
        <v>0</v>
      </c>
      <c r="M127" s="94">
        <v>2.5</v>
      </c>
      <c r="N127" s="95" t="s">
        <v>17</v>
      </c>
      <c r="O127" s="93">
        <f t="shared" si="15"/>
        <v>0</v>
      </c>
      <c r="P127" s="93">
        <f t="shared" si="16"/>
        <v>0</v>
      </c>
      <c r="Q127" s="93">
        <f t="shared" si="17"/>
        <v>0</v>
      </c>
      <c r="R127" s="93">
        <f t="shared" si="12"/>
        <v>0</v>
      </c>
      <c r="S127" s="93">
        <f t="shared" si="13"/>
        <v>29</v>
      </c>
      <c r="T127" s="93">
        <f t="shared" si="18"/>
        <v>29</v>
      </c>
      <c r="U127" s="312">
        <f t="shared" si="14"/>
        <v>2278</v>
      </c>
      <c r="V127" s="93">
        <f t="shared" si="19"/>
        <v>0</v>
      </c>
    </row>
    <row r="128" spans="1:22" ht="18" customHeight="1" x14ac:dyDescent="0.2">
      <c r="A128" s="110" t="s">
        <v>245</v>
      </c>
      <c r="B128" s="111"/>
      <c r="C128" s="201" t="s">
        <v>133</v>
      </c>
      <c r="D128" s="91">
        <v>43356</v>
      </c>
      <c r="E128" s="92"/>
      <c r="F128" s="93"/>
      <c r="G128" s="93"/>
      <c r="H128" s="93">
        <v>6444.64</v>
      </c>
      <c r="I128" s="93">
        <v>6316.64</v>
      </c>
      <c r="J128" s="93"/>
      <c r="K128" s="93">
        <f t="shared" si="10"/>
        <v>0</v>
      </c>
      <c r="L128" s="93">
        <f t="shared" si="11"/>
        <v>0</v>
      </c>
      <c r="M128" s="94">
        <v>2.5</v>
      </c>
      <c r="N128" s="95" t="s">
        <v>17</v>
      </c>
      <c r="O128" s="93">
        <f t="shared" si="15"/>
        <v>0</v>
      </c>
      <c r="P128" s="93">
        <f t="shared" si="16"/>
        <v>0</v>
      </c>
      <c r="Q128" s="93">
        <f t="shared" si="17"/>
        <v>0</v>
      </c>
      <c r="R128" s="93">
        <f t="shared" si="12"/>
        <v>0</v>
      </c>
      <c r="S128" s="93">
        <f t="shared" si="13"/>
        <v>80</v>
      </c>
      <c r="T128" s="93">
        <f t="shared" si="18"/>
        <v>80</v>
      </c>
      <c r="U128" s="312">
        <f t="shared" si="14"/>
        <v>6236.64</v>
      </c>
      <c r="V128" s="93">
        <f t="shared" si="19"/>
        <v>0</v>
      </c>
    </row>
    <row r="129" spans="1:22" ht="18" customHeight="1" x14ac:dyDescent="0.2">
      <c r="A129" s="110" t="s">
        <v>246</v>
      </c>
      <c r="B129" s="111"/>
      <c r="C129" s="201" t="s">
        <v>133</v>
      </c>
      <c r="D129" s="91">
        <v>43361</v>
      </c>
      <c r="E129" s="92"/>
      <c r="F129" s="93"/>
      <c r="G129" s="93"/>
      <c r="H129" s="93">
        <v>2047.9</v>
      </c>
      <c r="I129" s="93">
        <v>2008.9</v>
      </c>
      <c r="J129" s="93"/>
      <c r="K129" s="93">
        <f t="shared" si="10"/>
        <v>0</v>
      </c>
      <c r="L129" s="93">
        <f t="shared" si="11"/>
        <v>0</v>
      </c>
      <c r="M129" s="94">
        <v>2.5</v>
      </c>
      <c r="N129" s="95" t="s">
        <v>17</v>
      </c>
      <c r="O129" s="93">
        <f t="shared" si="15"/>
        <v>0</v>
      </c>
      <c r="P129" s="93">
        <f t="shared" si="16"/>
        <v>0</v>
      </c>
      <c r="Q129" s="93">
        <f t="shared" si="17"/>
        <v>0</v>
      </c>
      <c r="R129" s="93">
        <f t="shared" si="12"/>
        <v>0</v>
      </c>
      <c r="S129" s="93">
        <f t="shared" si="13"/>
        <v>25</v>
      </c>
      <c r="T129" s="93">
        <f t="shared" si="18"/>
        <v>25</v>
      </c>
      <c r="U129" s="312">
        <f t="shared" si="14"/>
        <v>1983.9</v>
      </c>
      <c r="V129" s="93">
        <f t="shared" si="19"/>
        <v>0</v>
      </c>
    </row>
    <row r="130" spans="1:22" ht="18" customHeight="1" x14ac:dyDescent="0.2">
      <c r="A130" s="110" t="s">
        <v>247</v>
      </c>
      <c r="B130" s="111"/>
      <c r="C130" s="201" t="s">
        <v>145</v>
      </c>
      <c r="D130" s="91">
        <v>43378</v>
      </c>
      <c r="E130" s="92"/>
      <c r="F130" s="93"/>
      <c r="G130" s="93"/>
      <c r="H130" s="93">
        <v>5334</v>
      </c>
      <c r="I130" s="93">
        <v>5236</v>
      </c>
      <c r="J130" s="93"/>
      <c r="K130" s="93">
        <f t="shared" si="10"/>
        <v>0</v>
      </c>
      <c r="L130" s="93">
        <f t="shared" si="11"/>
        <v>0</v>
      </c>
      <c r="M130" s="94">
        <v>2.5</v>
      </c>
      <c r="N130" s="95" t="s">
        <v>17</v>
      </c>
      <c r="O130" s="93">
        <f t="shared" si="15"/>
        <v>0</v>
      </c>
      <c r="P130" s="93">
        <f t="shared" si="16"/>
        <v>0</v>
      </c>
      <c r="Q130" s="93">
        <f t="shared" si="17"/>
        <v>0</v>
      </c>
      <c r="R130" s="93">
        <f t="shared" si="12"/>
        <v>0</v>
      </c>
      <c r="S130" s="93">
        <f t="shared" si="13"/>
        <v>66</v>
      </c>
      <c r="T130" s="93">
        <f t="shared" si="18"/>
        <v>66</v>
      </c>
      <c r="U130" s="312">
        <f t="shared" si="14"/>
        <v>5170</v>
      </c>
      <c r="V130" s="93">
        <f t="shared" si="19"/>
        <v>0</v>
      </c>
    </row>
    <row r="131" spans="1:22" ht="18" customHeight="1" x14ac:dyDescent="0.2">
      <c r="A131" s="110" t="s">
        <v>248</v>
      </c>
      <c r="B131" s="111"/>
      <c r="C131" s="201" t="s">
        <v>133</v>
      </c>
      <c r="D131" s="91">
        <v>43391</v>
      </c>
      <c r="E131" s="92"/>
      <c r="F131" s="93"/>
      <c r="G131" s="93"/>
      <c r="H131" s="93">
        <v>497.97</v>
      </c>
      <c r="I131" s="93">
        <v>488.97</v>
      </c>
      <c r="J131" s="93"/>
      <c r="K131" s="93">
        <f t="shared" si="10"/>
        <v>0</v>
      </c>
      <c r="L131" s="93">
        <f t="shared" si="11"/>
        <v>0</v>
      </c>
      <c r="M131" s="94">
        <v>2.5</v>
      </c>
      <c r="N131" s="95" t="s">
        <v>17</v>
      </c>
      <c r="O131" s="93">
        <f t="shared" si="15"/>
        <v>0</v>
      </c>
      <c r="P131" s="93">
        <f t="shared" si="16"/>
        <v>0</v>
      </c>
      <c r="Q131" s="93">
        <f t="shared" si="17"/>
        <v>0</v>
      </c>
      <c r="R131" s="93">
        <f t="shared" si="12"/>
        <v>0</v>
      </c>
      <c r="S131" s="93">
        <f t="shared" si="13"/>
        <v>6</v>
      </c>
      <c r="T131" s="93">
        <f t="shared" si="18"/>
        <v>6</v>
      </c>
      <c r="U131" s="312">
        <f t="shared" si="14"/>
        <v>482.97</v>
      </c>
      <c r="V131" s="93">
        <f t="shared" si="19"/>
        <v>0</v>
      </c>
    </row>
    <row r="132" spans="1:22" ht="18" customHeight="1" x14ac:dyDescent="0.2">
      <c r="A132" s="110" t="s">
        <v>249</v>
      </c>
      <c r="B132" s="111"/>
      <c r="C132" s="201" t="s">
        <v>250</v>
      </c>
      <c r="D132" s="91">
        <v>43399</v>
      </c>
      <c r="E132" s="92"/>
      <c r="F132" s="93"/>
      <c r="G132" s="93"/>
      <c r="H132" s="93">
        <v>910</v>
      </c>
      <c r="I132" s="93">
        <v>895</v>
      </c>
      <c r="J132" s="93"/>
      <c r="K132" s="93">
        <f t="shared" si="10"/>
        <v>0</v>
      </c>
      <c r="L132" s="93">
        <f t="shared" si="11"/>
        <v>0</v>
      </c>
      <c r="M132" s="94">
        <v>2.5</v>
      </c>
      <c r="N132" s="95" t="s">
        <v>17</v>
      </c>
      <c r="O132" s="93">
        <f t="shared" si="15"/>
        <v>0</v>
      </c>
      <c r="P132" s="93">
        <f t="shared" si="16"/>
        <v>0</v>
      </c>
      <c r="Q132" s="93">
        <f t="shared" si="17"/>
        <v>0</v>
      </c>
      <c r="R132" s="93">
        <f t="shared" si="12"/>
        <v>0</v>
      </c>
      <c r="S132" s="93">
        <f t="shared" si="13"/>
        <v>11</v>
      </c>
      <c r="T132" s="93">
        <f t="shared" si="18"/>
        <v>11</v>
      </c>
      <c r="U132" s="312">
        <f t="shared" si="14"/>
        <v>884</v>
      </c>
      <c r="V132" s="93">
        <f t="shared" si="19"/>
        <v>0</v>
      </c>
    </row>
    <row r="133" spans="1:22" ht="18" customHeight="1" x14ac:dyDescent="0.2">
      <c r="A133" s="110" t="s">
        <v>251</v>
      </c>
      <c r="B133" s="111"/>
      <c r="C133" s="201" t="s">
        <v>145</v>
      </c>
      <c r="D133" s="91">
        <v>43403</v>
      </c>
      <c r="E133" s="92"/>
      <c r="F133" s="93"/>
      <c r="G133" s="93"/>
      <c r="H133" s="93">
        <v>224</v>
      </c>
      <c r="I133" s="93">
        <v>220</v>
      </c>
      <c r="J133" s="93"/>
      <c r="K133" s="93">
        <f t="shared" si="10"/>
        <v>0</v>
      </c>
      <c r="L133" s="93">
        <f t="shared" si="11"/>
        <v>0</v>
      </c>
      <c r="M133" s="94">
        <v>2.5</v>
      </c>
      <c r="N133" s="95" t="s">
        <v>17</v>
      </c>
      <c r="O133" s="93">
        <f t="shared" si="15"/>
        <v>0</v>
      </c>
      <c r="P133" s="93">
        <f t="shared" si="16"/>
        <v>0</v>
      </c>
      <c r="Q133" s="93">
        <f t="shared" si="17"/>
        <v>0</v>
      </c>
      <c r="R133" s="93">
        <f t="shared" si="12"/>
        <v>0</v>
      </c>
      <c r="S133" s="93">
        <f t="shared" si="13"/>
        <v>2</v>
      </c>
      <c r="T133" s="93">
        <f t="shared" si="18"/>
        <v>2</v>
      </c>
      <c r="U133" s="312">
        <f t="shared" si="14"/>
        <v>218</v>
      </c>
      <c r="V133" s="93">
        <f t="shared" si="19"/>
        <v>0</v>
      </c>
    </row>
    <row r="134" spans="1:22" ht="18" customHeight="1" x14ac:dyDescent="0.2">
      <c r="A134" s="110" t="s">
        <v>252</v>
      </c>
      <c r="B134" s="111"/>
      <c r="C134" s="201" t="s">
        <v>250</v>
      </c>
      <c r="D134" s="91">
        <v>43409</v>
      </c>
      <c r="E134" s="92"/>
      <c r="F134" s="93"/>
      <c r="G134" s="93"/>
      <c r="H134" s="93">
        <v>70</v>
      </c>
      <c r="I134" s="93">
        <v>68</v>
      </c>
      <c r="J134" s="93"/>
      <c r="K134" s="93">
        <f t="shared" si="10"/>
        <v>0</v>
      </c>
      <c r="L134" s="93">
        <f t="shared" si="11"/>
        <v>0</v>
      </c>
      <c r="M134" s="94">
        <v>2.5</v>
      </c>
      <c r="N134" s="95" t="s">
        <v>17</v>
      </c>
      <c r="O134" s="93">
        <f t="shared" si="15"/>
        <v>0</v>
      </c>
      <c r="P134" s="93">
        <f t="shared" si="16"/>
        <v>0</v>
      </c>
      <c r="Q134" s="93">
        <f t="shared" si="17"/>
        <v>0</v>
      </c>
      <c r="R134" s="93">
        <f t="shared" si="12"/>
        <v>0</v>
      </c>
      <c r="S134" s="93">
        <f t="shared" si="13"/>
        <v>0</v>
      </c>
      <c r="T134" s="93">
        <f t="shared" si="18"/>
        <v>0</v>
      </c>
      <c r="U134" s="312">
        <f t="shared" si="14"/>
        <v>68</v>
      </c>
      <c r="V134" s="93">
        <f t="shared" si="19"/>
        <v>0</v>
      </c>
    </row>
    <row r="135" spans="1:22" ht="18" customHeight="1" x14ac:dyDescent="0.2">
      <c r="A135" s="110" t="s">
        <v>253</v>
      </c>
      <c r="B135" s="111"/>
      <c r="C135" s="201" t="s">
        <v>145</v>
      </c>
      <c r="D135" s="91">
        <v>43411</v>
      </c>
      <c r="E135" s="92"/>
      <c r="F135" s="93"/>
      <c r="G135" s="93"/>
      <c r="H135" s="93">
        <v>1926.6000000000001</v>
      </c>
      <c r="I135" s="93">
        <v>1895.6000000000001</v>
      </c>
      <c r="J135" s="93"/>
      <c r="K135" s="93">
        <f t="shared" si="10"/>
        <v>0</v>
      </c>
      <c r="L135" s="93">
        <f t="shared" si="11"/>
        <v>0</v>
      </c>
      <c r="M135" s="94">
        <v>2.5</v>
      </c>
      <c r="N135" s="95" t="s">
        <v>17</v>
      </c>
      <c r="O135" s="93">
        <f t="shared" si="15"/>
        <v>0</v>
      </c>
      <c r="P135" s="93">
        <f t="shared" si="16"/>
        <v>0</v>
      </c>
      <c r="Q135" s="93">
        <f t="shared" si="17"/>
        <v>0</v>
      </c>
      <c r="R135" s="93">
        <f t="shared" si="12"/>
        <v>0</v>
      </c>
      <c r="S135" s="93">
        <f t="shared" si="13"/>
        <v>24</v>
      </c>
      <c r="T135" s="93">
        <f t="shared" si="18"/>
        <v>24</v>
      </c>
      <c r="U135" s="312">
        <f t="shared" si="14"/>
        <v>1871.6000000000001</v>
      </c>
      <c r="V135" s="93">
        <f t="shared" si="19"/>
        <v>0</v>
      </c>
    </row>
    <row r="136" spans="1:22" ht="18" customHeight="1" x14ac:dyDescent="0.2">
      <c r="A136" s="110" t="s">
        <v>254</v>
      </c>
      <c r="B136" s="111"/>
      <c r="C136" s="201" t="s">
        <v>255</v>
      </c>
      <c r="D136" s="91">
        <v>43404</v>
      </c>
      <c r="E136" s="92"/>
      <c r="F136" s="93"/>
      <c r="G136" s="93"/>
      <c r="H136" s="93">
        <v>8255</v>
      </c>
      <c r="I136" s="93">
        <v>8117</v>
      </c>
      <c r="J136" s="93"/>
      <c r="K136" s="93">
        <f t="shared" ref="K136:K160" si="20">INT(IF($E136&gt;0,IF(+F136-I136+Q136&lt;0,0,+F136-I136+Q136),0))</f>
        <v>0</v>
      </c>
      <c r="L136" s="93">
        <f t="shared" ref="L136:L160" si="21">INT(IF($E136&gt;0,IF(K136=0,-F136+I136-Q136,0),0))</f>
        <v>0</v>
      </c>
      <c r="M136" s="94">
        <v>2.5</v>
      </c>
      <c r="N136" s="95" t="s">
        <v>17</v>
      </c>
      <c r="O136" s="93">
        <f t="shared" si="15"/>
        <v>0</v>
      </c>
      <c r="P136" s="93">
        <f t="shared" si="16"/>
        <v>0</v>
      </c>
      <c r="Q136" s="93">
        <f t="shared" si="17"/>
        <v>0</v>
      </c>
      <c r="R136" s="93">
        <f t="shared" ref="R136:R166" si="22">INT(IF($E136&gt;0,0,(IF($N136="D",IF($D136&lt;$H$3,$I136*($M136/100)*$U$3/12,$J136*($M136/100)*($J$3-$D136)/365),0))))</f>
        <v>0</v>
      </c>
      <c r="S136" s="93">
        <f t="shared" ref="S136:S166" si="23">INT(IF($E136&gt;0,0,(IF($N136="P",IF($D136&lt;$H$3,$H136*($M136/100)*$U$3/12,$J136*($M136/100)*($J$3-$D136)/365),0))))</f>
        <v>103</v>
      </c>
      <c r="T136" s="93">
        <f t="shared" si="18"/>
        <v>103</v>
      </c>
      <c r="U136" s="312">
        <f t="shared" ref="U136:U160" si="24">+I136+J136-T136-F136+K136-L136</f>
        <v>8014</v>
      </c>
      <c r="V136" s="93">
        <f t="shared" si="19"/>
        <v>0</v>
      </c>
    </row>
    <row r="137" spans="1:22" ht="18" customHeight="1" x14ac:dyDescent="0.2">
      <c r="A137" s="110" t="s">
        <v>256</v>
      </c>
      <c r="B137" s="111"/>
      <c r="C137" s="201" t="s">
        <v>255</v>
      </c>
      <c r="D137" s="91">
        <v>43434</v>
      </c>
      <c r="E137" s="92"/>
      <c r="F137" s="93"/>
      <c r="G137" s="93"/>
      <c r="H137" s="93">
        <v>2304.5500000000002</v>
      </c>
      <c r="I137" s="93">
        <v>2270.5500000000002</v>
      </c>
      <c r="J137" s="93"/>
      <c r="K137" s="93">
        <f t="shared" si="20"/>
        <v>0</v>
      </c>
      <c r="L137" s="93">
        <f t="shared" si="21"/>
        <v>0</v>
      </c>
      <c r="M137" s="94">
        <v>2.5</v>
      </c>
      <c r="N137" s="95" t="s">
        <v>17</v>
      </c>
      <c r="O137" s="93">
        <f t="shared" ref="O137:O160" si="25">IF(E137&gt;0,INT(IF($N137="D",IF($D137&lt;$H$3,$I137*($M137/100)*((E137-$H$3)/365),$J137*($M137/100)*($J$3-$D137)/365),0)),0)</f>
        <v>0</v>
      </c>
      <c r="P137" s="93">
        <f t="shared" ref="P137:P160" si="26">IF(E137&gt;0,INT(IF($N137="P",IF($D137&lt;$H$3,$H137*($M137/100)*(E137-$H$3)/365,$J137*($M137/100)*($J$3-$D137)/365),0)),0)</f>
        <v>0</v>
      </c>
      <c r="Q137" s="93">
        <f t="shared" ref="Q137:Q160" si="27">+O137+P137</f>
        <v>0</v>
      </c>
      <c r="R137" s="93">
        <f t="shared" si="22"/>
        <v>0</v>
      </c>
      <c r="S137" s="93">
        <f t="shared" si="23"/>
        <v>28</v>
      </c>
      <c r="T137" s="93">
        <f t="shared" ref="T137:T160" si="28">+R137+S137+Q137</f>
        <v>28</v>
      </c>
      <c r="U137" s="312">
        <f t="shared" si="24"/>
        <v>2242.5500000000002</v>
      </c>
      <c r="V137" s="93">
        <f t="shared" ref="V137:V160" si="29">IF(E137&gt;0,+H137+J137,0)</f>
        <v>0</v>
      </c>
    </row>
    <row r="138" spans="1:22" ht="18" customHeight="1" x14ac:dyDescent="0.2">
      <c r="A138" s="110" t="s">
        <v>257</v>
      </c>
      <c r="B138" s="111"/>
      <c r="C138" s="201" t="s">
        <v>258</v>
      </c>
      <c r="D138" s="91">
        <v>43291</v>
      </c>
      <c r="E138" s="92"/>
      <c r="F138" s="93"/>
      <c r="G138" s="93"/>
      <c r="H138" s="93">
        <v>62510.55</v>
      </c>
      <c r="I138" s="93">
        <v>60982.55</v>
      </c>
      <c r="J138" s="93"/>
      <c r="K138" s="93">
        <f t="shared" si="20"/>
        <v>0</v>
      </c>
      <c r="L138" s="93">
        <f t="shared" si="21"/>
        <v>0</v>
      </c>
      <c r="M138" s="94">
        <v>2.5</v>
      </c>
      <c r="N138" s="95" t="s">
        <v>17</v>
      </c>
      <c r="O138" s="93">
        <f t="shared" si="25"/>
        <v>0</v>
      </c>
      <c r="P138" s="93">
        <f t="shared" si="26"/>
        <v>0</v>
      </c>
      <c r="Q138" s="93">
        <f t="shared" si="27"/>
        <v>0</v>
      </c>
      <c r="R138" s="93">
        <f t="shared" si="22"/>
        <v>0</v>
      </c>
      <c r="S138" s="93">
        <f t="shared" si="23"/>
        <v>781</v>
      </c>
      <c r="T138" s="93">
        <f t="shared" si="28"/>
        <v>781</v>
      </c>
      <c r="U138" s="312">
        <f t="shared" si="24"/>
        <v>60201.55</v>
      </c>
      <c r="V138" s="93">
        <f t="shared" si="29"/>
        <v>0</v>
      </c>
    </row>
    <row r="139" spans="1:22" ht="18" customHeight="1" x14ac:dyDescent="0.2">
      <c r="A139" s="110" t="s">
        <v>259</v>
      </c>
      <c r="B139" s="111"/>
      <c r="C139" s="201" t="s">
        <v>260</v>
      </c>
      <c r="D139" s="91">
        <v>43293</v>
      </c>
      <c r="E139" s="92"/>
      <c r="F139" s="93"/>
      <c r="G139" s="93"/>
      <c r="H139" s="93">
        <v>5625</v>
      </c>
      <c r="I139" s="93">
        <v>5488</v>
      </c>
      <c r="J139" s="93"/>
      <c r="K139" s="93">
        <f t="shared" si="20"/>
        <v>0</v>
      </c>
      <c r="L139" s="93">
        <f t="shared" si="21"/>
        <v>0</v>
      </c>
      <c r="M139" s="94">
        <v>2.5</v>
      </c>
      <c r="N139" s="95" t="s">
        <v>17</v>
      </c>
      <c r="O139" s="93">
        <f t="shared" si="25"/>
        <v>0</v>
      </c>
      <c r="P139" s="93">
        <f t="shared" si="26"/>
        <v>0</v>
      </c>
      <c r="Q139" s="93">
        <f t="shared" si="27"/>
        <v>0</v>
      </c>
      <c r="R139" s="93">
        <f t="shared" si="22"/>
        <v>0</v>
      </c>
      <c r="S139" s="93">
        <f t="shared" si="23"/>
        <v>70</v>
      </c>
      <c r="T139" s="93">
        <f t="shared" si="28"/>
        <v>70</v>
      </c>
      <c r="U139" s="312">
        <f t="shared" si="24"/>
        <v>5418</v>
      </c>
      <c r="V139" s="93">
        <f t="shared" si="29"/>
        <v>0</v>
      </c>
    </row>
    <row r="140" spans="1:22" ht="18" customHeight="1" x14ac:dyDescent="0.2">
      <c r="A140" s="110" t="s">
        <v>261</v>
      </c>
      <c r="B140" s="111"/>
      <c r="C140" s="201" t="s">
        <v>262</v>
      </c>
      <c r="D140" s="91">
        <v>43297</v>
      </c>
      <c r="E140" s="92"/>
      <c r="F140" s="93"/>
      <c r="G140" s="93"/>
      <c r="H140" s="93">
        <v>5274.55</v>
      </c>
      <c r="I140" s="93">
        <v>5148.55</v>
      </c>
      <c r="J140" s="93"/>
      <c r="K140" s="93">
        <f t="shared" si="20"/>
        <v>0</v>
      </c>
      <c r="L140" s="93">
        <f t="shared" si="21"/>
        <v>0</v>
      </c>
      <c r="M140" s="94">
        <v>2.5</v>
      </c>
      <c r="N140" s="95" t="s">
        <v>17</v>
      </c>
      <c r="O140" s="93">
        <f t="shared" si="25"/>
        <v>0</v>
      </c>
      <c r="P140" s="93">
        <f t="shared" si="26"/>
        <v>0</v>
      </c>
      <c r="Q140" s="93">
        <f t="shared" si="27"/>
        <v>0</v>
      </c>
      <c r="R140" s="93">
        <f t="shared" si="22"/>
        <v>0</v>
      </c>
      <c r="S140" s="93">
        <f t="shared" si="23"/>
        <v>65</v>
      </c>
      <c r="T140" s="93">
        <f t="shared" si="28"/>
        <v>65</v>
      </c>
      <c r="U140" s="312">
        <f t="shared" si="24"/>
        <v>5083.55</v>
      </c>
      <c r="V140" s="93">
        <f t="shared" si="29"/>
        <v>0</v>
      </c>
    </row>
    <row r="141" spans="1:22" ht="18" customHeight="1" x14ac:dyDescent="0.2">
      <c r="A141" s="110" t="s">
        <v>263</v>
      </c>
      <c r="B141" s="111"/>
      <c r="C141" s="201" t="s">
        <v>264</v>
      </c>
      <c r="D141" s="91">
        <v>43312</v>
      </c>
      <c r="E141" s="92"/>
      <c r="F141" s="93"/>
      <c r="G141" s="93"/>
      <c r="H141" s="93">
        <v>163.13</v>
      </c>
      <c r="I141" s="93">
        <v>160.13</v>
      </c>
      <c r="J141" s="93"/>
      <c r="K141" s="93">
        <f t="shared" si="20"/>
        <v>0</v>
      </c>
      <c r="L141" s="93">
        <f t="shared" si="21"/>
        <v>0</v>
      </c>
      <c r="M141" s="94">
        <v>2.5</v>
      </c>
      <c r="N141" s="95" t="s">
        <v>17</v>
      </c>
      <c r="O141" s="93">
        <f t="shared" si="25"/>
        <v>0</v>
      </c>
      <c r="P141" s="93">
        <f t="shared" si="26"/>
        <v>0</v>
      </c>
      <c r="Q141" s="93">
        <f t="shared" si="27"/>
        <v>0</v>
      </c>
      <c r="R141" s="93">
        <f t="shared" si="22"/>
        <v>0</v>
      </c>
      <c r="S141" s="93">
        <f t="shared" si="23"/>
        <v>2</v>
      </c>
      <c r="T141" s="93">
        <f t="shared" si="28"/>
        <v>2</v>
      </c>
      <c r="U141" s="312">
        <f t="shared" si="24"/>
        <v>158.13</v>
      </c>
      <c r="V141" s="93">
        <f t="shared" si="29"/>
        <v>0</v>
      </c>
    </row>
    <row r="142" spans="1:22" ht="18" customHeight="1" x14ac:dyDescent="0.2">
      <c r="A142" s="110" t="s">
        <v>265</v>
      </c>
      <c r="B142" s="111"/>
      <c r="C142" s="201" t="s">
        <v>266</v>
      </c>
      <c r="D142" s="91">
        <v>43312</v>
      </c>
      <c r="E142" s="92"/>
      <c r="F142" s="93"/>
      <c r="G142" s="93"/>
      <c r="H142" s="93">
        <v>3542.3</v>
      </c>
      <c r="I142" s="93">
        <v>3461.3</v>
      </c>
      <c r="J142" s="93"/>
      <c r="K142" s="93">
        <f t="shared" si="20"/>
        <v>0</v>
      </c>
      <c r="L142" s="93">
        <f t="shared" si="21"/>
        <v>0</v>
      </c>
      <c r="M142" s="94">
        <v>2.5</v>
      </c>
      <c r="N142" s="95" t="s">
        <v>17</v>
      </c>
      <c r="O142" s="93">
        <f t="shared" si="25"/>
        <v>0</v>
      </c>
      <c r="P142" s="93">
        <f t="shared" si="26"/>
        <v>0</v>
      </c>
      <c r="Q142" s="93">
        <f t="shared" si="27"/>
        <v>0</v>
      </c>
      <c r="R142" s="93">
        <f t="shared" si="22"/>
        <v>0</v>
      </c>
      <c r="S142" s="93">
        <f t="shared" si="23"/>
        <v>44</v>
      </c>
      <c r="T142" s="93">
        <f t="shared" si="28"/>
        <v>44</v>
      </c>
      <c r="U142" s="312">
        <f t="shared" si="24"/>
        <v>3417.3</v>
      </c>
      <c r="V142" s="93">
        <f t="shared" si="29"/>
        <v>0</v>
      </c>
    </row>
    <row r="143" spans="1:22" ht="18" customHeight="1" x14ac:dyDescent="0.2">
      <c r="A143" s="110" t="s">
        <v>267</v>
      </c>
      <c r="B143" s="111"/>
      <c r="C143" s="201" t="s">
        <v>268</v>
      </c>
      <c r="D143" s="91">
        <v>43312</v>
      </c>
      <c r="E143" s="92"/>
      <c r="F143" s="93"/>
      <c r="G143" s="93"/>
      <c r="H143" s="93">
        <v>1674</v>
      </c>
      <c r="I143" s="93">
        <v>1636</v>
      </c>
      <c r="J143" s="93"/>
      <c r="K143" s="93">
        <f t="shared" si="20"/>
        <v>0</v>
      </c>
      <c r="L143" s="93">
        <f t="shared" si="21"/>
        <v>0</v>
      </c>
      <c r="M143" s="94">
        <v>2.5</v>
      </c>
      <c r="N143" s="95" t="s">
        <v>17</v>
      </c>
      <c r="O143" s="93">
        <f t="shared" si="25"/>
        <v>0</v>
      </c>
      <c r="P143" s="93">
        <f t="shared" si="26"/>
        <v>0</v>
      </c>
      <c r="Q143" s="93">
        <f t="shared" si="27"/>
        <v>0</v>
      </c>
      <c r="R143" s="93">
        <f t="shared" si="22"/>
        <v>0</v>
      </c>
      <c r="S143" s="93">
        <f t="shared" si="23"/>
        <v>20</v>
      </c>
      <c r="T143" s="93">
        <f t="shared" si="28"/>
        <v>20</v>
      </c>
      <c r="U143" s="312">
        <f t="shared" si="24"/>
        <v>1616</v>
      </c>
      <c r="V143" s="93">
        <f t="shared" si="29"/>
        <v>0</v>
      </c>
    </row>
    <row r="144" spans="1:22" ht="18" customHeight="1" x14ac:dyDescent="0.2">
      <c r="A144" s="110" t="s">
        <v>269</v>
      </c>
      <c r="B144" s="111"/>
      <c r="C144" s="201" t="s">
        <v>270</v>
      </c>
      <c r="D144" s="91">
        <v>43315</v>
      </c>
      <c r="E144" s="92"/>
      <c r="F144" s="93"/>
      <c r="G144" s="93"/>
      <c r="H144" s="93">
        <v>531.25</v>
      </c>
      <c r="I144" s="93">
        <v>520.25</v>
      </c>
      <c r="J144" s="93"/>
      <c r="K144" s="93">
        <f t="shared" si="20"/>
        <v>0</v>
      </c>
      <c r="L144" s="93">
        <f t="shared" si="21"/>
        <v>0</v>
      </c>
      <c r="M144" s="94">
        <v>2.5</v>
      </c>
      <c r="N144" s="95" t="s">
        <v>17</v>
      </c>
      <c r="O144" s="93">
        <f t="shared" si="25"/>
        <v>0</v>
      </c>
      <c r="P144" s="93">
        <f t="shared" si="26"/>
        <v>0</v>
      </c>
      <c r="Q144" s="93">
        <f t="shared" si="27"/>
        <v>0</v>
      </c>
      <c r="R144" s="93">
        <f t="shared" si="22"/>
        <v>0</v>
      </c>
      <c r="S144" s="93">
        <f t="shared" si="23"/>
        <v>6</v>
      </c>
      <c r="T144" s="93">
        <f t="shared" si="28"/>
        <v>6</v>
      </c>
      <c r="U144" s="312">
        <f t="shared" si="24"/>
        <v>514.25</v>
      </c>
      <c r="V144" s="93">
        <f t="shared" si="29"/>
        <v>0</v>
      </c>
    </row>
    <row r="145" spans="1:22" ht="18" customHeight="1" x14ac:dyDescent="0.2">
      <c r="A145" s="110" t="s">
        <v>271</v>
      </c>
      <c r="B145" s="111"/>
      <c r="C145" s="201" t="s">
        <v>258</v>
      </c>
      <c r="D145" s="91">
        <v>43319</v>
      </c>
      <c r="E145" s="92"/>
      <c r="F145" s="93"/>
      <c r="G145" s="93"/>
      <c r="H145" s="93">
        <v>53941.08</v>
      </c>
      <c r="I145" s="93">
        <v>52726.080000000002</v>
      </c>
      <c r="J145" s="93"/>
      <c r="K145" s="93">
        <f t="shared" si="20"/>
        <v>0</v>
      </c>
      <c r="L145" s="93">
        <f t="shared" si="21"/>
        <v>0</v>
      </c>
      <c r="M145" s="94">
        <v>2.5</v>
      </c>
      <c r="N145" s="95" t="s">
        <v>17</v>
      </c>
      <c r="O145" s="93">
        <f t="shared" si="25"/>
        <v>0</v>
      </c>
      <c r="P145" s="93">
        <f t="shared" si="26"/>
        <v>0</v>
      </c>
      <c r="Q145" s="93">
        <f t="shared" si="27"/>
        <v>0</v>
      </c>
      <c r="R145" s="93">
        <f t="shared" si="22"/>
        <v>0</v>
      </c>
      <c r="S145" s="93">
        <f t="shared" si="23"/>
        <v>674</v>
      </c>
      <c r="T145" s="93">
        <f t="shared" si="28"/>
        <v>674</v>
      </c>
      <c r="U145" s="312">
        <f t="shared" si="24"/>
        <v>52052.08</v>
      </c>
      <c r="V145" s="93">
        <f t="shared" si="29"/>
        <v>0</v>
      </c>
    </row>
    <row r="146" spans="1:22" ht="18" customHeight="1" x14ac:dyDescent="0.2">
      <c r="A146" s="110" t="s">
        <v>272</v>
      </c>
      <c r="B146" s="111"/>
      <c r="C146" s="201" t="s">
        <v>273</v>
      </c>
      <c r="D146" s="91">
        <v>43340</v>
      </c>
      <c r="E146" s="92"/>
      <c r="F146" s="93"/>
      <c r="G146" s="93"/>
      <c r="H146" s="93">
        <v>2565</v>
      </c>
      <c r="I146" s="93">
        <v>2511</v>
      </c>
      <c r="J146" s="93"/>
      <c r="K146" s="93">
        <f t="shared" si="20"/>
        <v>0</v>
      </c>
      <c r="L146" s="93">
        <f t="shared" si="21"/>
        <v>0</v>
      </c>
      <c r="M146" s="94">
        <v>2.5</v>
      </c>
      <c r="N146" s="95" t="s">
        <v>17</v>
      </c>
      <c r="O146" s="93">
        <f t="shared" si="25"/>
        <v>0</v>
      </c>
      <c r="P146" s="93">
        <f t="shared" si="26"/>
        <v>0</v>
      </c>
      <c r="Q146" s="93">
        <f t="shared" si="27"/>
        <v>0</v>
      </c>
      <c r="R146" s="93">
        <f t="shared" si="22"/>
        <v>0</v>
      </c>
      <c r="S146" s="93">
        <f t="shared" si="23"/>
        <v>32</v>
      </c>
      <c r="T146" s="93">
        <f t="shared" si="28"/>
        <v>32</v>
      </c>
      <c r="U146" s="312">
        <f t="shared" si="24"/>
        <v>2479</v>
      </c>
      <c r="V146" s="93">
        <f t="shared" si="29"/>
        <v>0</v>
      </c>
    </row>
    <row r="147" spans="1:22" ht="18" customHeight="1" x14ac:dyDescent="0.2">
      <c r="A147" s="110" t="s">
        <v>274</v>
      </c>
      <c r="B147" s="111"/>
      <c r="C147" s="201" t="s">
        <v>268</v>
      </c>
      <c r="D147" s="91">
        <v>43343</v>
      </c>
      <c r="E147" s="92"/>
      <c r="F147" s="93"/>
      <c r="G147" s="93"/>
      <c r="H147" s="93">
        <v>1798</v>
      </c>
      <c r="I147" s="93">
        <v>1761</v>
      </c>
      <c r="J147" s="93"/>
      <c r="K147" s="93">
        <f t="shared" si="20"/>
        <v>0</v>
      </c>
      <c r="L147" s="93">
        <f t="shared" si="21"/>
        <v>0</v>
      </c>
      <c r="M147" s="94">
        <v>2.5</v>
      </c>
      <c r="N147" s="95" t="s">
        <v>17</v>
      </c>
      <c r="O147" s="93">
        <f t="shared" si="25"/>
        <v>0</v>
      </c>
      <c r="P147" s="93">
        <f t="shared" si="26"/>
        <v>0</v>
      </c>
      <c r="Q147" s="93">
        <f t="shared" si="27"/>
        <v>0</v>
      </c>
      <c r="R147" s="93">
        <f t="shared" si="22"/>
        <v>0</v>
      </c>
      <c r="S147" s="93">
        <f t="shared" si="23"/>
        <v>22</v>
      </c>
      <c r="T147" s="93">
        <f t="shared" si="28"/>
        <v>22</v>
      </c>
      <c r="U147" s="312">
        <f t="shared" si="24"/>
        <v>1739</v>
      </c>
      <c r="V147" s="93">
        <f t="shared" si="29"/>
        <v>0</v>
      </c>
    </row>
    <row r="148" spans="1:22" ht="18" customHeight="1" x14ac:dyDescent="0.2">
      <c r="A148" s="110" t="s">
        <v>275</v>
      </c>
      <c r="B148" s="111"/>
      <c r="C148" s="201" t="s">
        <v>258</v>
      </c>
      <c r="D148" s="91">
        <v>43350</v>
      </c>
      <c r="E148" s="92"/>
      <c r="F148" s="93"/>
      <c r="G148" s="93"/>
      <c r="H148" s="93">
        <v>64500.33</v>
      </c>
      <c r="I148" s="93">
        <v>63184.33</v>
      </c>
      <c r="J148" s="93"/>
      <c r="K148" s="93">
        <f t="shared" si="20"/>
        <v>0</v>
      </c>
      <c r="L148" s="93">
        <f t="shared" si="21"/>
        <v>0</v>
      </c>
      <c r="M148" s="94">
        <v>2.5</v>
      </c>
      <c r="N148" s="95" t="s">
        <v>17</v>
      </c>
      <c r="O148" s="93">
        <f t="shared" si="25"/>
        <v>0</v>
      </c>
      <c r="P148" s="93">
        <f t="shared" si="26"/>
        <v>0</v>
      </c>
      <c r="Q148" s="93">
        <f t="shared" si="27"/>
        <v>0</v>
      </c>
      <c r="R148" s="93">
        <f t="shared" si="22"/>
        <v>0</v>
      </c>
      <c r="S148" s="93">
        <f t="shared" si="23"/>
        <v>806</v>
      </c>
      <c r="T148" s="93">
        <f t="shared" si="28"/>
        <v>806</v>
      </c>
      <c r="U148" s="312">
        <f t="shared" si="24"/>
        <v>62378.33</v>
      </c>
      <c r="V148" s="93">
        <f t="shared" si="29"/>
        <v>0</v>
      </c>
    </row>
    <row r="149" spans="1:22" ht="18" customHeight="1" x14ac:dyDescent="0.2">
      <c r="A149" s="110" t="s">
        <v>276</v>
      </c>
      <c r="B149" s="111"/>
      <c r="C149" s="201" t="s">
        <v>277</v>
      </c>
      <c r="D149" s="91">
        <v>43356</v>
      </c>
      <c r="E149" s="92"/>
      <c r="F149" s="93"/>
      <c r="G149" s="93"/>
      <c r="H149" s="93">
        <v>4874.1500000000005</v>
      </c>
      <c r="I149" s="93">
        <v>4777.1500000000005</v>
      </c>
      <c r="J149" s="93"/>
      <c r="K149" s="93">
        <f t="shared" si="20"/>
        <v>0</v>
      </c>
      <c r="L149" s="93">
        <f t="shared" si="21"/>
        <v>0</v>
      </c>
      <c r="M149" s="94">
        <v>2.5</v>
      </c>
      <c r="N149" s="95" t="s">
        <v>17</v>
      </c>
      <c r="O149" s="93">
        <f t="shared" si="25"/>
        <v>0</v>
      </c>
      <c r="P149" s="93">
        <f t="shared" si="26"/>
        <v>0</v>
      </c>
      <c r="Q149" s="93">
        <f t="shared" si="27"/>
        <v>0</v>
      </c>
      <c r="R149" s="93">
        <f t="shared" si="22"/>
        <v>0</v>
      </c>
      <c r="S149" s="93">
        <f t="shared" si="23"/>
        <v>60</v>
      </c>
      <c r="T149" s="93">
        <f t="shared" si="28"/>
        <v>60</v>
      </c>
      <c r="U149" s="312">
        <f t="shared" si="24"/>
        <v>4717.1500000000005</v>
      </c>
      <c r="V149" s="93">
        <f t="shared" si="29"/>
        <v>0</v>
      </c>
    </row>
    <row r="150" spans="1:22" ht="18" customHeight="1" x14ac:dyDescent="0.2">
      <c r="A150" s="110" t="s">
        <v>278</v>
      </c>
      <c r="B150" s="111"/>
      <c r="C150" s="201" t="s">
        <v>258</v>
      </c>
      <c r="D150" s="91">
        <v>43375</v>
      </c>
      <c r="E150" s="92"/>
      <c r="F150" s="93"/>
      <c r="G150" s="93"/>
      <c r="H150" s="93">
        <v>42752.950000000004</v>
      </c>
      <c r="I150" s="93">
        <v>41953.950000000004</v>
      </c>
      <c r="J150" s="93"/>
      <c r="K150" s="93">
        <f t="shared" si="20"/>
        <v>0</v>
      </c>
      <c r="L150" s="93">
        <f t="shared" si="21"/>
        <v>0</v>
      </c>
      <c r="M150" s="94">
        <v>2.5</v>
      </c>
      <c r="N150" s="95" t="s">
        <v>17</v>
      </c>
      <c r="O150" s="93">
        <f t="shared" si="25"/>
        <v>0</v>
      </c>
      <c r="P150" s="93">
        <f t="shared" si="26"/>
        <v>0</v>
      </c>
      <c r="Q150" s="93">
        <f t="shared" si="27"/>
        <v>0</v>
      </c>
      <c r="R150" s="93">
        <f t="shared" si="22"/>
        <v>0</v>
      </c>
      <c r="S150" s="93">
        <f t="shared" si="23"/>
        <v>534</v>
      </c>
      <c r="T150" s="93">
        <f t="shared" si="28"/>
        <v>534</v>
      </c>
      <c r="U150" s="312">
        <f t="shared" si="24"/>
        <v>41419.950000000004</v>
      </c>
      <c r="V150" s="93">
        <f t="shared" si="29"/>
        <v>0</v>
      </c>
    </row>
    <row r="151" spans="1:22" ht="18" customHeight="1" x14ac:dyDescent="0.2">
      <c r="A151" s="110" t="s">
        <v>279</v>
      </c>
      <c r="B151" s="111"/>
      <c r="C151" s="90" t="s">
        <v>280</v>
      </c>
      <c r="D151" s="91">
        <v>43334</v>
      </c>
      <c r="E151" s="92"/>
      <c r="F151" s="93"/>
      <c r="G151" s="93"/>
      <c r="H151" s="93">
        <v>31700</v>
      </c>
      <c r="I151" s="93">
        <v>31019</v>
      </c>
      <c r="J151" s="93"/>
      <c r="K151" s="93">
        <f t="shared" si="20"/>
        <v>0</v>
      </c>
      <c r="L151" s="93">
        <f t="shared" si="21"/>
        <v>0</v>
      </c>
      <c r="M151" s="94">
        <v>2.5</v>
      </c>
      <c r="N151" s="95" t="s">
        <v>17</v>
      </c>
      <c r="O151" s="93">
        <f t="shared" si="25"/>
        <v>0</v>
      </c>
      <c r="P151" s="93">
        <f t="shared" si="26"/>
        <v>0</v>
      </c>
      <c r="Q151" s="93">
        <f t="shared" si="27"/>
        <v>0</v>
      </c>
      <c r="R151" s="93">
        <f t="shared" si="22"/>
        <v>0</v>
      </c>
      <c r="S151" s="93">
        <f t="shared" si="23"/>
        <v>396</v>
      </c>
      <c r="T151" s="93">
        <f t="shared" si="28"/>
        <v>396</v>
      </c>
      <c r="U151" s="312">
        <f t="shared" si="24"/>
        <v>30623</v>
      </c>
      <c r="V151" s="93">
        <f t="shared" si="29"/>
        <v>0</v>
      </c>
    </row>
    <row r="152" spans="1:22" ht="18" customHeight="1" x14ac:dyDescent="0.2">
      <c r="A152" s="110" t="s">
        <v>281</v>
      </c>
      <c r="B152" s="111"/>
      <c r="C152" s="90" t="s">
        <v>282</v>
      </c>
      <c r="D152" s="91">
        <v>43374</v>
      </c>
      <c r="E152" s="92"/>
      <c r="F152" s="93"/>
      <c r="G152" s="93"/>
      <c r="H152" s="93">
        <v>9587.5</v>
      </c>
      <c r="I152" s="93">
        <v>9408.5</v>
      </c>
      <c r="J152" s="93"/>
      <c r="K152" s="93">
        <f t="shared" si="20"/>
        <v>0</v>
      </c>
      <c r="L152" s="93">
        <f t="shared" si="21"/>
        <v>0</v>
      </c>
      <c r="M152" s="94">
        <v>2.5</v>
      </c>
      <c r="N152" s="95" t="s">
        <v>17</v>
      </c>
      <c r="O152" s="93">
        <f t="shared" si="25"/>
        <v>0</v>
      </c>
      <c r="P152" s="93">
        <f t="shared" si="26"/>
        <v>0</v>
      </c>
      <c r="Q152" s="93">
        <f t="shared" si="27"/>
        <v>0</v>
      </c>
      <c r="R152" s="93">
        <f t="shared" si="22"/>
        <v>0</v>
      </c>
      <c r="S152" s="93">
        <f t="shared" si="23"/>
        <v>119</v>
      </c>
      <c r="T152" s="93">
        <f t="shared" si="28"/>
        <v>119</v>
      </c>
      <c r="U152" s="312">
        <f t="shared" si="24"/>
        <v>9289.5</v>
      </c>
      <c r="V152" s="93">
        <f t="shared" si="29"/>
        <v>0</v>
      </c>
    </row>
    <row r="153" spans="1:22" ht="18" customHeight="1" x14ac:dyDescent="0.2">
      <c r="A153" s="110" t="s">
        <v>283</v>
      </c>
      <c r="B153" s="111"/>
      <c r="C153" s="201" t="s">
        <v>284</v>
      </c>
      <c r="D153" s="91">
        <v>43404</v>
      </c>
      <c r="E153" s="92"/>
      <c r="F153" s="93"/>
      <c r="G153" s="93"/>
      <c r="H153" s="93">
        <v>1040</v>
      </c>
      <c r="I153" s="93">
        <v>1023</v>
      </c>
      <c r="J153" s="93"/>
      <c r="K153" s="93">
        <f t="shared" si="20"/>
        <v>0</v>
      </c>
      <c r="L153" s="93">
        <f t="shared" si="21"/>
        <v>0</v>
      </c>
      <c r="M153" s="94">
        <v>2.5</v>
      </c>
      <c r="N153" s="95" t="s">
        <v>17</v>
      </c>
      <c r="O153" s="93">
        <f t="shared" si="25"/>
        <v>0</v>
      </c>
      <c r="P153" s="93">
        <f t="shared" si="26"/>
        <v>0</v>
      </c>
      <c r="Q153" s="93">
        <f t="shared" si="27"/>
        <v>0</v>
      </c>
      <c r="R153" s="93">
        <f t="shared" si="22"/>
        <v>0</v>
      </c>
      <c r="S153" s="93">
        <f t="shared" si="23"/>
        <v>13</v>
      </c>
      <c r="T153" s="93">
        <f t="shared" si="28"/>
        <v>13</v>
      </c>
      <c r="U153" s="312">
        <f t="shared" si="24"/>
        <v>1010</v>
      </c>
      <c r="V153" s="93">
        <f t="shared" si="29"/>
        <v>0</v>
      </c>
    </row>
    <row r="154" spans="1:22" ht="18" customHeight="1" x14ac:dyDescent="0.2">
      <c r="A154" s="110">
        <v>740147</v>
      </c>
      <c r="B154" s="111"/>
      <c r="C154" s="201" t="s">
        <v>2039</v>
      </c>
      <c r="D154" s="91">
        <v>43502</v>
      </c>
      <c r="E154" s="92"/>
      <c r="F154" s="93"/>
      <c r="G154" s="93"/>
      <c r="H154" s="93">
        <v>31026.7</v>
      </c>
      <c r="I154" s="93">
        <v>30720.7</v>
      </c>
      <c r="J154" s="93"/>
      <c r="K154" s="93">
        <f t="shared" si="20"/>
        <v>0</v>
      </c>
      <c r="L154" s="93">
        <f t="shared" si="21"/>
        <v>0</v>
      </c>
      <c r="M154" s="94">
        <v>2.5</v>
      </c>
      <c r="N154" s="95" t="s">
        <v>17</v>
      </c>
      <c r="O154" s="93">
        <f t="shared" si="25"/>
        <v>0</v>
      </c>
      <c r="P154" s="93">
        <f t="shared" si="26"/>
        <v>0</v>
      </c>
      <c r="Q154" s="93">
        <f t="shared" si="27"/>
        <v>0</v>
      </c>
      <c r="R154" s="93">
        <f t="shared" si="22"/>
        <v>0</v>
      </c>
      <c r="S154" s="93">
        <f t="shared" si="23"/>
        <v>387</v>
      </c>
      <c r="T154" s="93">
        <f>+R154+S154+Q154</f>
        <v>387</v>
      </c>
      <c r="U154" s="312">
        <f t="shared" si="24"/>
        <v>30333.7</v>
      </c>
      <c r="V154" s="93">
        <f t="shared" si="29"/>
        <v>0</v>
      </c>
    </row>
    <row r="155" spans="1:22" ht="18" customHeight="1" x14ac:dyDescent="0.2">
      <c r="A155" s="110">
        <v>740148</v>
      </c>
      <c r="B155" s="111"/>
      <c r="C155" s="201" t="s">
        <v>2040</v>
      </c>
      <c r="D155" s="91">
        <v>43566</v>
      </c>
      <c r="E155" s="92"/>
      <c r="F155" s="93"/>
      <c r="G155" s="93"/>
      <c r="H155" s="93">
        <v>13485.26</v>
      </c>
      <c r="I155" s="93">
        <v>13412.26</v>
      </c>
      <c r="J155" s="93"/>
      <c r="K155" s="93">
        <f t="shared" si="20"/>
        <v>0</v>
      </c>
      <c r="L155" s="93">
        <f t="shared" si="21"/>
        <v>0</v>
      </c>
      <c r="M155" s="94">
        <v>2.5</v>
      </c>
      <c r="N155" s="95" t="s">
        <v>17</v>
      </c>
      <c r="O155" s="93">
        <f t="shared" si="25"/>
        <v>0</v>
      </c>
      <c r="P155" s="93">
        <f t="shared" si="26"/>
        <v>0</v>
      </c>
      <c r="Q155" s="93">
        <f t="shared" si="27"/>
        <v>0</v>
      </c>
      <c r="R155" s="93">
        <f t="shared" si="22"/>
        <v>0</v>
      </c>
      <c r="S155" s="93">
        <f t="shared" si="23"/>
        <v>168</v>
      </c>
      <c r="T155" s="93">
        <f t="shared" si="28"/>
        <v>168</v>
      </c>
      <c r="U155" s="312">
        <f t="shared" si="24"/>
        <v>13244.26</v>
      </c>
      <c r="V155" s="93">
        <f t="shared" si="29"/>
        <v>0</v>
      </c>
    </row>
    <row r="156" spans="1:22" ht="18" customHeight="1" x14ac:dyDescent="0.2">
      <c r="A156" s="110">
        <v>740149</v>
      </c>
      <c r="B156" s="111"/>
      <c r="C156" s="201" t="s">
        <v>2041</v>
      </c>
      <c r="D156" s="91">
        <v>43585</v>
      </c>
      <c r="E156" s="92"/>
      <c r="F156" s="93"/>
      <c r="G156" s="93"/>
      <c r="H156" s="93">
        <v>23909.5</v>
      </c>
      <c r="I156" s="93">
        <v>23810.5</v>
      </c>
      <c r="J156" s="93"/>
      <c r="K156" s="93">
        <f t="shared" si="20"/>
        <v>0</v>
      </c>
      <c r="L156" s="93">
        <f t="shared" si="21"/>
        <v>0</v>
      </c>
      <c r="M156" s="94">
        <v>2.5</v>
      </c>
      <c r="N156" s="95" t="s">
        <v>17</v>
      </c>
      <c r="O156" s="93">
        <f t="shared" si="25"/>
        <v>0</v>
      </c>
      <c r="P156" s="93">
        <f t="shared" si="26"/>
        <v>0</v>
      </c>
      <c r="Q156" s="93">
        <f t="shared" si="27"/>
        <v>0</v>
      </c>
      <c r="R156" s="93">
        <f t="shared" si="22"/>
        <v>0</v>
      </c>
      <c r="S156" s="93">
        <f t="shared" si="23"/>
        <v>298</v>
      </c>
      <c r="T156" s="93">
        <f t="shared" si="28"/>
        <v>298</v>
      </c>
      <c r="U156" s="312">
        <f t="shared" si="24"/>
        <v>23512.5</v>
      </c>
      <c r="V156" s="93">
        <f t="shared" si="29"/>
        <v>0</v>
      </c>
    </row>
    <row r="157" spans="1:22" ht="18" customHeight="1" x14ac:dyDescent="0.2">
      <c r="A157" s="110">
        <v>740150</v>
      </c>
      <c r="B157" s="111"/>
      <c r="C157" s="201" t="s">
        <v>53</v>
      </c>
      <c r="D157" s="91">
        <v>43622</v>
      </c>
      <c r="E157" s="92"/>
      <c r="F157" s="93"/>
      <c r="G157" s="93"/>
      <c r="H157" s="93">
        <v>29309.15</v>
      </c>
      <c r="I157" s="93">
        <v>29261.15</v>
      </c>
      <c r="J157" s="93"/>
      <c r="K157" s="93">
        <f t="shared" si="20"/>
        <v>0</v>
      </c>
      <c r="L157" s="93">
        <f t="shared" si="21"/>
        <v>0</v>
      </c>
      <c r="M157" s="94">
        <v>2.5</v>
      </c>
      <c r="N157" s="95" t="s">
        <v>17</v>
      </c>
      <c r="O157" s="93">
        <f t="shared" si="25"/>
        <v>0</v>
      </c>
      <c r="P157" s="93">
        <f t="shared" si="26"/>
        <v>0</v>
      </c>
      <c r="Q157" s="93">
        <f t="shared" si="27"/>
        <v>0</v>
      </c>
      <c r="R157" s="93">
        <f t="shared" si="22"/>
        <v>0</v>
      </c>
      <c r="S157" s="93">
        <f t="shared" si="23"/>
        <v>366</v>
      </c>
      <c r="T157" s="93">
        <f t="shared" si="28"/>
        <v>366</v>
      </c>
      <c r="U157" s="312">
        <f t="shared" si="24"/>
        <v>28895.15</v>
      </c>
      <c r="V157" s="93">
        <f t="shared" si="29"/>
        <v>0</v>
      </c>
    </row>
    <row r="158" spans="1:22" ht="18" customHeight="1" x14ac:dyDescent="0.2">
      <c r="A158" s="110">
        <v>740151</v>
      </c>
      <c r="B158" s="111"/>
      <c r="C158" s="201" t="s">
        <v>2042</v>
      </c>
      <c r="D158" s="91">
        <v>43617</v>
      </c>
      <c r="E158" s="92"/>
      <c r="F158" s="93"/>
      <c r="G158" s="93"/>
      <c r="H158" s="93">
        <v>38976.42</v>
      </c>
      <c r="I158" s="93">
        <v>38899.42</v>
      </c>
      <c r="J158" s="93"/>
      <c r="K158" s="93">
        <f t="shared" si="20"/>
        <v>0</v>
      </c>
      <c r="L158" s="93">
        <f t="shared" si="21"/>
        <v>0</v>
      </c>
      <c r="M158" s="94">
        <v>2.5</v>
      </c>
      <c r="N158" s="95" t="s">
        <v>17</v>
      </c>
      <c r="O158" s="93">
        <f t="shared" si="25"/>
        <v>0</v>
      </c>
      <c r="P158" s="93">
        <f t="shared" si="26"/>
        <v>0</v>
      </c>
      <c r="Q158" s="93">
        <f t="shared" si="27"/>
        <v>0</v>
      </c>
      <c r="R158" s="93">
        <f t="shared" si="22"/>
        <v>0</v>
      </c>
      <c r="S158" s="93">
        <f t="shared" si="23"/>
        <v>487</v>
      </c>
      <c r="T158" s="93">
        <f t="shared" si="28"/>
        <v>487</v>
      </c>
      <c r="U158" s="312">
        <f t="shared" si="24"/>
        <v>38412.42</v>
      </c>
      <c r="V158" s="93">
        <f t="shared" si="29"/>
        <v>0</v>
      </c>
    </row>
    <row r="159" spans="1:22" ht="18" customHeight="1" x14ac:dyDescent="0.2">
      <c r="A159" s="110">
        <v>740152</v>
      </c>
      <c r="B159" s="111"/>
      <c r="C159" s="201" t="s">
        <v>1877</v>
      </c>
      <c r="D159" s="91">
        <v>43497</v>
      </c>
      <c r="E159" s="92"/>
      <c r="F159" s="93"/>
      <c r="G159" s="93"/>
      <c r="H159" s="93">
        <v>14080</v>
      </c>
      <c r="I159" s="93">
        <v>13937</v>
      </c>
      <c r="J159" s="93"/>
      <c r="K159" s="93">
        <f t="shared" si="20"/>
        <v>0</v>
      </c>
      <c r="L159" s="93">
        <f t="shared" si="21"/>
        <v>0</v>
      </c>
      <c r="M159" s="94">
        <v>2.5</v>
      </c>
      <c r="N159" s="95" t="s">
        <v>17</v>
      </c>
      <c r="O159" s="93">
        <f t="shared" si="25"/>
        <v>0</v>
      </c>
      <c r="P159" s="93">
        <f t="shared" si="26"/>
        <v>0</v>
      </c>
      <c r="Q159" s="93">
        <f t="shared" si="27"/>
        <v>0</v>
      </c>
      <c r="R159" s="93">
        <f t="shared" si="22"/>
        <v>0</v>
      </c>
      <c r="S159" s="93">
        <f t="shared" si="23"/>
        <v>176</v>
      </c>
      <c r="T159" s="93">
        <f t="shared" si="28"/>
        <v>176</v>
      </c>
      <c r="U159" s="312">
        <f t="shared" si="24"/>
        <v>13761</v>
      </c>
      <c r="V159" s="93">
        <f t="shared" si="29"/>
        <v>0</v>
      </c>
    </row>
    <row r="160" spans="1:22" ht="18" customHeight="1" x14ac:dyDescent="0.2">
      <c r="A160" s="110">
        <v>740153</v>
      </c>
      <c r="B160" s="111"/>
      <c r="C160" s="201" t="s">
        <v>2108</v>
      </c>
      <c r="D160" s="91">
        <v>43709</v>
      </c>
      <c r="E160" s="92"/>
      <c r="F160" s="93"/>
      <c r="G160" s="93"/>
      <c r="H160" s="93"/>
      <c r="I160" s="93"/>
      <c r="J160" s="93">
        <v>7400.85</v>
      </c>
      <c r="K160" s="93">
        <f t="shared" si="20"/>
        <v>0</v>
      </c>
      <c r="L160" s="93">
        <f t="shared" si="21"/>
        <v>0</v>
      </c>
      <c r="M160" s="94">
        <v>2.5</v>
      </c>
      <c r="N160" s="95" t="s">
        <v>17</v>
      </c>
      <c r="O160" s="93">
        <f t="shared" si="25"/>
        <v>0</v>
      </c>
      <c r="P160" s="93">
        <f t="shared" si="26"/>
        <v>0</v>
      </c>
      <c r="Q160" s="93">
        <f t="shared" si="27"/>
        <v>0</v>
      </c>
      <c r="R160" s="93">
        <f t="shared" si="22"/>
        <v>0</v>
      </c>
      <c r="S160" s="93">
        <f t="shared" si="23"/>
        <v>61</v>
      </c>
      <c r="T160" s="93">
        <f t="shared" si="28"/>
        <v>61</v>
      </c>
      <c r="U160" s="312">
        <f t="shared" si="24"/>
        <v>7339.85</v>
      </c>
      <c r="V160" s="93">
        <f t="shared" si="29"/>
        <v>0</v>
      </c>
    </row>
    <row r="161" spans="1:24" ht="18" customHeight="1" x14ac:dyDescent="0.2">
      <c r="A161" s="110">
        <v>740154</v>
      </c>
      <c r="B161" s="111"/>
      <c r="C161" s="201" t="s">
        <v>2109</v>
      </c>
      <c r="D161" s="91">
        <v>43647</v>
      </c>
      <c r="E161" s="92"/>
      <c r="F161" s="93"/>
      <c r="G161" s="93"/>
      <c r="H161" s="93"/>
      <c r="I161" s="93"/>
      <c r="J161" s="93">
        <v>6012.5</v>
      </c>
      <c r="K161" s="93">
        <f t="shared" ref="K161:K166" si="30">INT(IF($E161&gt;0,IF(+F161-I161+Q161&lt;0,0,+F161-I161+Q161),0))</f>
        <v>0</v>
      </c>
      <c r="L161" s="93">
        <f t="shared" ref="L161:L166" si="31">INT(IF($E161&gt;0,IF(K161=0,-F161+I161-Q161,0),0))</f>
        <v>0</v>
      </c>
      <c r="M161" s="94">
        <v>2.5</v>
      </c>
      <c r="N161" s="95" t="s">
        <v>17</v>
      </c>
      <c r="O161" s="93">
        <f t="shared" ref="O161:O166" si="32">IF(E161&gt;0,INT(IF($N161="D",IF($D161&lt;$H$3,$I161*($M161/100)*((E161-$H$3)/365),$J161*($M161/100)*($J$3-$D161)/365),0)),0)</f>
        <v>0</v>
      </c>
      <c r="P161" s="93">
        <f t="shared" ref="P161:P166" si="33">IF(E161&gt;0,INT(IF($N161="P",IF($D161&lt;$H$3,$H161*($M161/100)*(E161-$H$3)/365,$J161*($M161/100)*($J$3-$D161)/365),0)),0)</f>
        <v>0</v>
      </c>
      <c r="Q161" s="93">
        <f t="shared" ref="Q161:Q166" si="34">+O161+P161</f>
        <v>0</v>
      </c>
      <c r="R161" s="93">
        <f t="shared" si="22"/>
        <v>0</v>
      </c>
      <c r="S161" s="93">
        <f t="shared" si="23"/>
        <v>75</v>
      </c>
      <c r="T161" s="93">
        <f t="shared" ref="T161:T166" si="35">+R161+S161+Q161</f>
        <v>75</v>
      </c>
      <c r="U161" s="312">
        <f t="shared" ref="U161:U166" si="36">+I161+J161-T161-F161+K161-L161</f>
        <v>5937.5</v>
      </c>
      <c r="V161" s="93">
        <f t="shared" ref="V161:V166" si="37">IF(E161&gt;0,+H161+J161,0)</f>
        <v>0</v>
      </c>
    </row>
    <row r="162" spans="1:24" ht="18" customHeight="1" x14ac:dyDescent="0.2">
      <c r="A162" s="110">
        <v>740155</v>
      </c>
      <c r="B162" s="111"/>
      <c r="C162" s="201" t="s">
        <v>1852</v>
      </c>
      <c r="D162" s="91">
        <v>43818</v>
      </c>
      <c r="E162" s="92"/>
      <c r="F162" s="93"/>
      <c r="G162" s="93"/>
      <c r="H162" s="93"/>
      <c r="I162" s="93"/>
      <c r="J162" s="93">
        <v>18612.07</v>
      </c>
      <c r="K162" s="93">
        <f t="shared" si="30"/>
        <v>0</v>
      </c>
      <c r="L162" s="93">
        <f t="shared" si="31"/>
        <v>0</v>
      </c>
      <c r="M162" s="94">
        <v>2.5</v>
      </c>
      <c r="N162" s="95" t="s">
        <v>17</v>
      </c>
      <c r="O162" s="93">
        <f t="shared" si="32"/>
        <v>0</v>
      </c>
      <c r="P162" s="93">
        <f t="shared" si="33"/>
        <v>0</v>
      </c>
      <c r="Q162" s="93">
        <f t="shared" si="34"/>
        <v>0</v>
      </c>
      <c r="R162" s="93">
        <f t="shared" si="22"/>
        <v>0</v>
      </c>
      <c r="S162" s="93">
        <f t="shared" si="23"/>
        <v>15</v>
      </c>
      <c r="T162" s="93">
        <f t="shared" si="35"/>
        <v>15</v>
      </c>
      <c r="U162" s="312">
        <f t="shared" si="36"/>
        <v>18597.07</v>
      </c>
      <c r="V162" s="93">
        <f t="shared" si="37"/>
        <v>0</v>
      </c>
    </row>
    <row r="163" spans="1:24" ht="18" customHeight="1" x14ac:dyDescent="0.2">
      <c r="A163" s="110">
        <v>740156</v>
      </c>
      <c r="B163" s="111"/>
      <c r="C163" s="201" t="s">
        <v>53</v>
      </c>
      <c r="D163" s="91">
        <v>43830</v>
      </c>
      <c r="E163" s="92"/>
      <c r="F163" s="93"/>
      <c r="G163" s="93"/>
      <c r="H163" s="93"/>
      <c r="I163" s="93"/>
      <c r="J163" s="93">
        <v>29585.27</v>
      </c>
      <c r="K163" s="93">
        <f t="shared" si="30"/>
        <v>0</v>
      </c>
      <c r="L163" s="93">
        <f t="shared" si="31"/>
        <v>0</v>
      </c>
      <c r="M163" s="94">
        <v>2.5</v>
      </c>
      <c r="N163" s="95" t="s">
        <v>17</v>
      </c>
      <c r="O163" s="93">
        <f t="shared" si="32"/>
        <v>0</v>
      </c>
      <c r="P163" s="93">
        <f t="shared" si="33"/>
        <v>0</v>
      </c>
      <c r="Q163" s="93">
        <f t="shared" si="34"/>
        <v>0</v>
      </c>
      <c r="R163" s="93">
        <f t="shared" si="22"/>
        <v>0</v>
      </c>
      <c r="S163" s="93">
        <f t="shared" si="23"/>
        <v>0</v>
      </c>
      <c r="T163" s="93">
        <f t="shared" si="35"/>
        <v>0</v>
      </c>
      <c r="U163" s="312">
        <f t="shared" si="36"/>
        <v>29585.27</v>
      </c>
      <c r="V163" s="93">
        <f t="shared" si="37"/>
        <v>0</v>
      </c>
    </row>
    <row r="164" spans="1:24" ht="18" customHeight="1" x14ac:dyDescent="0.2">
      <c r="A164" s="110">
        <v>740157</v>
      </c>
      <c r="B164" s="111"/>
      <c r="C164" s="201" t="s">
        <v>2110</v>
      </c>
      <c r="D164" s="91">
        <v>43739</v>
      </c>
      <c r="E164" s="92"/>
      <c r="F164" s="93"/>
      <c r="G164" s="93"/>
      <c r="H164" s="93"/>
      <c r="I164" s="93"/>
      <c r="J164" s="93">
        <v>6325.23</v>
      </c>
      <c r="K164" s="93">
        <f t="shared" si="30"/>
        <v>0</v>
      </c>
      <c r="L164" s="93">
        <f t="shared" si="31"/>
        <v>0</v>
      </c>
      <c r="M164" s="94">
        <v>2.5</v>
      </c>
      <c r="N164" s="95" t="s">
        <v>17</v>
      </c>
      <c r="O164" s="93">
        <f t="shared" si="32"/>
        <v>0</v>
      </c>
      <c r="P164" s="93">
        <f t="shared" si="33"/>
        <v>0</v>
      </c>
      <c r="Q164" s="93">
        <f t="shared" si="34"/>
        <v>0</v>
      </c>
      <c r="R164" s="93">
        <f t="shared" si="22"/>
        <v>0</v>
      </c>
      <c r="S164" s="93">
        <f t="shared" si="23"/>
        <v>39</v>
      </c>
      <c r="T164" s="93">
        <f t="shared" si="35"/>
        <v>39</v>
      </c>
      <c r="U164" s="312">
        <f t="shared" si="36"/>
        <v>6286.23</v>
      </c>
      <c r="V164" s="93">
        <f t="shared" si="37"/>
        <v>0</v>
      </c>
    </row>
    <row r="165" spans="1:24" ht="18" customHeight="1" x14ac:dyDescent="0.2">
      <c r="A165" s="110">
        <v>740158</v>
      </c>
      <c r="B165" s="111"/>
      <c r="C165" s="201" t="s">
        <v>2111</v>
      </c>
      <c r="D165" s="91">
        <v>43739</v>
      </c>
      <c r="E165" s="92"/>
      <c r="F165" s="93"/>
      <c r="G165" s="93"/>
      <c r="H165" s="93"/>
      <c r="I165" s="93"/>
      <c r="J165" s="93">
        <v>1657.6</v>
      </c>
      <c r="K165" s="93">
        <f t="shared" si="30"/>
        <v>0</v>
      </c>
      <c r="L165" s="93">
        <f t="shared" si="31"/>
        <v>0</v>
      </c>
      <c r="M165" s="94">
        <v>2.5</v>
      </c>
      <c r="N165" s="95" t="s">
        <v>17</v>
      </c>
      <c r="O165" s="93">
        <f t="shared" si="32"/>
        <v>0</v>
      </c>
      <c r="P165" s="93">
        <f t="shared" si="33"/>
        <v>0</v>
      </c>
      <c r="Q165" s="93">
        <f t="shared" si="34"/>
        <v>0</v>
      </c>
      <c r="R165" s="93">
        <f t="shared" si="22"/>
        <v>0</v>
      </c>
      <c r="S165" s="93">
        <f t="shared" si="23"/>
        <v>10</v>
      </c>
      <c r="T165" s="93">
        <f t="shared" si="35"/>
        <v>10</v>
      </c>
      <c r="U165" s="312">
        <f t="shared" si="36"/>
        <v>1647.6</v>
      </c>
      <c r="V165" s="93">
        <f t="shared" si="37"/>
        <v>0</v>
      </c>
    </row>
    <row r="166" spans="1:24" ht="18" customHeight="1" x14ac:dyDescent="0.2">
      <c r="A166" s="110">
        <v>740159</v>
      </c>
      <c r="B166" s="111"/>
      <c r="C166" s="201" t="s">
        <v>2112</v>
      </c>
      <c r="D166" s="91">
        <v>43761</v>
      </c>
      <c r="E166" s="92"/>
      <c r="F166" s="93"/>
      <c r="G166" s="93"/>
      <c r="H166" s="93"/>
      <c r="I166" s="93"/>
      <c r="J166" s="93">
        <v>475</v>
      </c>
      <c r="K166" s="93">
        <f t="shared" si="30"/>
        <v>0</v>
      </c>
      <c r="L166" s="93">
        <f t="shared" si="31"/>
        <v>0</v>
      </c>
      <c r="M166" s="94">
        <v>2.5</v>
      </c>
      <c r="N166" s="95" t="s">
        <v>17</v>
      </c>
      <c r="O166" s="93">
        <f t="shared" si="32"/>
        <v>0</v>
      </c>
      <c r="P166" s="93">
        <f t="shared" si="33"/>
        <v>0</v>
      </c>
      <c r="Q166" s="93">
        <f t="shared" si="34"/>
        <v>0</v>
      </c>
      <c r="R166" s="93">
        <f t="shared" si="22"/>
        <v>0</v>
      </c>
      <c r="S166" s="93">
        <f t="shared" si="23"/>
        <v>2</v>
      </c>
      <c r="T166" s="93">
        <f t="shared" si="35"/>
        <v>2</v>
      </c>
      <c r="U166" s="312">
        <f t="shared" si="36"/>
        <v>473</v>
      </c>
      <c r="V166" s="93">
        <f t="shared" si="37"/>
        <v>0</v>
      </c>
    </row>
    <row r="167" spans="1:24" ht="18" customHeight="1" x14ac:dyDescent="0.2">
      <c r="A167" s="110"/>
      <c r="B167" s="111"/>
      <c r="C167" s="201"/>
      <c r="D167" s="91"/>
      <c r="E167" s="92"/>
      <c r="F167" s="93"/>
      <c r="G167" s="93"/>
      <c r="H167" s="93"/>
      <c r="I167" s="93"/>
      <c r="J167" s="93"/>
      <c r="K167" s="93"/>
      <c r="L167" s="93"/>
      <c r="M167" s="94"/>
      <c r="N167" s="95"/>
      <c r="O167" s="93"/>
      <c r="P167" s="93"/>
      <c r="Q167" s="93"/>
      <c r="R167" s="93"/>
      <c r="S167" s="93"/>
      <c r="T167" s="93"/>
      <c r="U167" s="312"/>
      <c r="V167" s="93"/>
    </row>
    <row r="168" spans="1:24" ht="18" customHeight="1" x14ac:dyDescent="0.2">
      <c r="A168" s="204"/>
      <c r="B168" s="205"/>
      <c r="C168" s="206" t="s">
        <v>2043</v>
      </c>
      <c r="D168" s="207"/>
      <c r="E168" s="92"/>
      <c r="F168" s="93"/>
      <c r="G168" s="93"/>
      <c r="H168" s="208">
        <f>+J169</f>
        <v>70068.52</v>
      </c>
      <c r="I168" s="209"/>
      <c r="J168" s="209"/>
      <c r="K168" s="209"/>
      <c r="L168" s="209"/>
      <c r="M168" s="210"/>
      <c r="N168" s="95"/>
      <c r="O168" s="95"/>
      <c r="P168" s="209"/>
      <c r="Q168" s="209"/>
      <c r="R168" s="95"/>
      <c r="S168" s="209"/>
      <c r="T168" s="209"/>
      <c r="U168" s="313"/>
      <c r="V168" s="209"/>
    </row>
    <row r="169" spans="1:24" s="14" customFormat="1" ht="18" customHeight="1" x14ac:dyDescent="0.2">
      <c r="A169" s="211"/>
      <c r="B169" s="212"/>
      <c r="C169" s="213" t="s">
        <v>1638</v>
      </c>
      <c r="D169" s="214"/>
      <c r="E169" s="215"/>
      <c r="F169" s="208">
        <f t="shared" ref="F169:L169" si="38">SUM(F8:F168)</f>
        <v>0</v>
      </c>
      <c r="G169" s="208">
        <f t="shared" si="38"/>
        <v>0</v>
      </c>
      <c r="H169" s="247">
        <f t="shared" si="38"/>
        <v>2148436.0199999996</v>
      </c>
      <c r="I169" s="208">
        <f t="shared" si="38"/>
        <v>1964609.4999999993</v>
      </c>
      <c r="J169" s="208">
        <f t="shared" si="38"/>
        <v>70068.52</v>
      </c>
      <c r="K169" s="208">
        <f t="shared" si="38"/>
        <v>0</v>
      </c>
      <c r="L169" s="208">
        <f t="shared" si="38"/>
        <v>0</v>
      </c>
      <c r="M169" s="216"/>
      <c r="N169" s="217"/>
      <c r="O169" s="208">
        <f>SUM(O8:O168)</f>
        <v>0</v>
      </c>
      <c r="P169" s="208">
        <f>SUM(P8:P168)</f>
        <v>0</v>
      </c>
      <c r="Q169" s="208"/>
      <c r="R169" s="208">
        <f>SUM(R8:R168)</f>
        <v>0</v>
      </c>
      <c r="S169" s="208">
        <f>SUM(S8:S168)</f>
        <v>26110</v>
      </c>
      <c r="T169" s="208">
        <f>SUM(T8:T168)</f>
        <v>26110</v>
      </c>
      <c r="U169" s="314">
        <f>SUM(U8:U168)</f>
        <v>2008568.0199999996</v>
      </c>
      <c r="V169" s="208">
        <f>SUM(V8:V168)</f>
        <v>0</v>
      </c>
      <c r="X169" s="291">
        <f>+H169-139868</f>
        <v>2008568.0199999996</v>
      </c>
    </row>
    <row r="170" spans="1:24" s="14" customFormat="1" ht="18" customHeight="1" x14ac:dyDescent="0.2">
      <c r="A170" s="211"/>
      <c r="B170" s="212"/>
      <c r="C170" s="218"/>
      <c r="D170" s="206"/>
      <c r="E170" s="219"/>
      <c r="F170" s="208"/>
      <c r="G170" s="208"/>
      <c r="H170" s="220"/>
      <c r="I170" s="220"/>
      <c r="J170" s="208"/>
      <c r="K170" s="208"/>
      <c r="L170" s="220"/>
      <c r="M170" s="216"/>
      <c r="N170" s="217"/>
      <c r="O170" s="217"/>
      <c r="P170" s="208"/>
      <c r="Q170" s="208"/>
      <c r="R170" s="217"/>
      <c r="S170" s="208">
        <v>18420</v>
      </c>
      <c r="T170" s="208"/>
      <c r="U170" s="314"/>
      <c r="V170" s="208"/>
    </row>
    <row r="171" spans="1:24" ht="18" customHeight="1" x14ac:dyDescent="0.2">
      <c r="A171" s="221" t="s">
        <v>285</v>
      </c>
      <c r="B171" s="222"/>
      <c r="C171" s="210"/>
      <c r="D171" s="218"/>
      <c r="E171" s="223"/>
      <c r="F171" s="224"/>
      <c r="G171" s="224"/>
      <c r="H171" s="224"/>
      <c r="I171" s="224"/>
      <c r="J171" s="224"/>
      <c r="K171" s="224"/>
      <c r="L171" s="224"/>
      <c r="M171" s="218"/>
      <c r="N171" s="225"/>
      <c r="O171" s="225"/>
      <c r="P171" s="224"/>
      <c r="Q171" s="224"/>
      <c r="R171" s="225"/>
      <c r="S171" s="224"/>
      <c r="T171" s="224"/>
      <c r="U171" s="313"/>
      <c r="V171" s="209"/>
    </row>
    <row r="172" spans="1:24" ht="18" customHeight="1" x14ac:dyDescent="0.2">
      <c r="A172" s="226" t="s">
        <v>286</v>
      </c>
      <c r="B172" s="205"/>
      <c r="C172" s="210"/>
      <c r="D172" s="210"/>
      <c r="E172" s="227"/>
      <c r="F172" s="209"/>
      <c r="G172" s="209"/>
      <c r="H172" s="209"/>
      <c r="I172" s="209"/>
      <c r="J172" s="209"/>
      <c r="K172" s="209"/>
      <c r="L172" s="209"/>
      <c r="M172" s="210"/>
      <c r="N172" s="95"/>
      <c r="O172" s="95"/>
      <c r="P172" s="209"/>
      <c r="Q172" s="209"/>
      <c r="R172" s="95"/>
      <c r="S172" s="209"/>
      <c r="T172" s="209"/>
      <c r="U172" s="313"/>
      <c r="V172" s="209"/>
    </row>
    <row r="173" spans="1:24" ht="18" customHeight="1" x14ac:dyDescent="0.2">
      <c r="A173" s="110" t="s">
        <v>287</v>
      </c>
      <c r="B173" s="111"/>
      <c r="C173" s="203" t="s">
        <v>288</v>
      </c>
      <c r="D173" s="91">
        <v>37778</v>
      </c>
      <c r="E173" s="92"/>
      <c r="F173" s="93"/>
      <c r="G173" s="209"/>
      <c r="H173" s="93">
        <v>6000</v>
      </c>
      <c r="I173" s="93">
        <v>2631</v>
      </c>
      <c r="J173" s="93"/>
      <c r="K173" s="93">
        <f t="shared" ref="K173:K209" si="39">INT(IF($E173&gt;0,IF(+F173-I173+Q173&lt;0,0,+F173-I173+Q173),0))</f>
        <v>0</v>
      </c>
      <c r="L173" s="93">
        <f t="shared" ref="L173:L209" si="40">INT(IF($E173&gt;0,IF(K173=0,-F173+I173-Q173,0),0))</f>
        <v>0</v>
      </c>
      <c r="M173" s="94">
        <v>5</v>
      </c>
      <c r="N173" s="95" t="s">
        <v>289</v>
      </c>
      <c r="O173" s="93">
        <f>IF(E173&gt;0,INT(IF($N173="D",IF($D173&lt;$H$3,$I173*($M173/100)*((E173-$H$3)/365),$J173*($M173/100)*($J$3-$D173)/365),0)),0)</f>
        <v>0</v>
      </c>
      <c r="P173" s="93">
        <f>IF(E173&gt;0,INT(IF($N173="P",IF($D173&lt;$H$3,$H173*($M173/100)*(E173-$H$3)/365,$J173*($M173/100)*($J$3-$D173)/365),0)),0)</f>
        <v>0</v>
      </c>
      <c r="Q173" s="93">
        <f>+O173+P173</f>
        <v>0</v>
      </c>
      <c r="R173" s="93">
        <f>INT(IF($E173&gt;0,0,(IF($N173="D",IF($D173&lt;$H$3,$I173*($M173/100)*$U$3/12,$J173*($M173/100)*($J$3-$D173)/365),0))))</f>
        <v>65</v>
      </c>
      <c r="S173" s="93">
        <f>INT(IF($E173&gt;0,0,(IF($N173="P",IF($D173&lt;$H$3,$H173*($M173/100)*$U$3/12,$J173*($M173/100)*($J$3-$D173)/365),0))))</f>
        <v>0</v>
      </c>
      <c r="T173" s="93">
        <f t="shared" ref="T173:T187" si="41">+R173+S173+Q173</f>
        <v>65</v>
      </c>
      <c r="U173" s="312">
        <f t="shared" ref="U173:U209" si="42">+I173+J173-T173-F173+K173-L173</f>
        <v>2566</v>
      </c>
      <c r="V173" s="93">
        <f t="shared" ref="V173:V209" si="43">IF(E173&gt;0,+H173+J173,0)</f>
        <v>0</v>
      </c>
    </row>
    <row r="174" spans="1:24" ht="18" customHeight="1" x14ac:dyDescent="0.2">
      <c r="A174" s="110" t="s">
        <v>290</v>
      </c>
      <c r="B174" s="111"/>
      <c r="C174" s="201" t="s">
        <v>291</v>
      </c>
      <c r="D174" s="91">
        <v>37778</v>
      </c>
      <c r="E174" s="92"/>
      <c r="F174" s="93"/>
      <c r="G174" s="93"/>
      <c r="H174" s="93">
        <v>3500</v>
      </c>
      <c r="I174" s="93">
        <v>1535</v>
      </c>
      <c r="J174" s="93"/>
      <c r="K174" s="93">
        <f t="shared" si="39"/>
        <v>0</v>
      </c>
      <c r="L174" s="93">
        <f t="shared" si="40"/>
        <v>0</v>
      </c>
      <c r="M174" s="94">
        <v>5</v>
      </c>
      <c r="N174" s="95" t="s">
        <v>289</v>
      </c>
      <c r="O174" s="93">
        <f t="shared" ref="O174:O209" si="44">IF(E174&gt;0,INT(IF($N174="D",IF($D174&lt;$H$3,$I174*($M174/100)*((E174-$H$3)/365),$J174*($M174/100)*($J$3-$D174)/365),0)),0)</f>
        <v>0</v>
      </c>
      <c r="P174" s="93">
        <f t="shared" ref="P174:P209" si="45">IF(E174&gt;0,INT(IF($N174="P",IF($D174&lt;$H$3,$H174*($M174/100)*(E174-$H$3)/365,$J174*($M174/100)*($J$3-$D174)/365),0)),0)</f>
        <v>0</v>
      </c>
      <c r="Q174" s="93">
        <f t="shared" ref="Q174:Q209" si="46">+O174+P174</f>
        <v>0</v>
      </c>
      <c r="R174" s="93">
        <f t="shared" ref="R174:R209" si="47">INT(IF($E174&gt;0,0,(IF($N174="D",IF($D174&lt;$H$3,$I174*($M174/100)*$U$3/12,$J174*($M174/100)*($J$3-$D174)/365),0))))</f>
        <v>38</v>
      </c>
      <c r="S174" s="93">
        <f t="shared" ref="S174:S209" si="48">INT(IF($E174&gt;0,0,(IF($N174="P",IF($D174&lt;$H$3,$H174*($M174/100)*$U$3/12,$J174*($M174/100)*($J$3-$D174)/365),0))))</f>
        <v>0</v>
      </c>
      <c r="T174" s="93">
        <f t="shared" si="41"/>
        <v>38</v>
      </c>
      <c r="U174" s="312">
        <f t="shared" si="42"/>
        <v>1497</v>
      </c>
      <c r="V174" s="93">
        <f t="shared" si="43"/>
        <v>0</v>
      </c>
    </row>
    <row r="175" spans="1:24" ht="18" customHeight="1" x14ac:dyDescent="0.2">
      <c r="A175" s="110" t="s">
        <v>292</v>
      </c>
      <c r="B175" s="111"/>
      <c r="C175" s="201" t="s">
        <v>293</v>
      </c>
      <c r="D175" s="91">
        <v>37771</v>
      </c>
      <c r="E175" s="92"/>
      <c r="F175" s="93"/>
      <c r="G175" s="93"/>
      <c r="H175" s="93">
        <v>1000</v>
      </c>
      <c r="I175" s="93">
        <v>0</v>
      </c>
      <c r="J175" s="93"/>
      <c r="K175" s="93">
        <f t="shared" si="39"/>
        <v>0</v>
      </c>
      <c r="L175" s="93">
        <f t="shared" si="40"/>
        <v>0</v>
      </c>
      <c r="M175" s="94">
        <v>5</v>
      </c>
      <c r="N175" s="95" t="s">
        <v>289</v>
      </c>
      <c r="O175" s="93">
        <f t="shared" si="44"/>
        <v>0</v>
      </c>
      <c r="P175" s="93">
        <f t="shared" si="45"/>
        <v>0</v>
      </c>
      <c r="Q175" s="93">
        <f t="shared" si="46"/>
        <v>0</v>
      </c>
      <c r="R175" s="93">
        <f t="shared" si="47"/>
        <v>0</v>
      </c>
      <c r="S175" s="93">
        <f t="shared" si="48"/>
        <v>0</v>
      </c>
      <c r="T175" s="93">
        <f t="shared" si="41"/>
        <v>0</v>
      </c>
      <c r="U175" s="312">
        <f>+I175+J175-T175-F175+K175-L175-0.26</f>
        <v>-0.26</v>
      </c>
      <c r="V175" s="93">
        <f t="shared" si="43"/>
        <v>0</v>
      </c>
    </row>
    <row r="176" spans="1:24" ht="18" customHeight="1" x14ac:dyDescent="0.2">
      <c r="A176" s="110" t="s">
        <v>296</v>
      </c>
      <c r="B176" s="111"/>
      <c r="C176" s="201" t="s">
        <v>286</v>
      </c>
      <c r="D176" s="91">
        <v>40360</v>
      </c>
      <c r="E176" s="92"/>
      <c r="F176" s="93"/>
      <c r="G176" s="93"/>
      <c r="H176" s="93">
        <v>1583</v>
      </c>
      <c r="I176" s="93">
        <v>0</v>
      </c>
      <c r="J176" s="93"/>
      <c r="K176" s="93">
        <f t="shared" si="39"/>
        <v>0</v>
      </c>
      <c r="L176" s="93">
        <f t="shared" si="40"/>
        <v>0</v>
      </c>
      <c r="M176" s="94">
        <v>100</v>
      </c>
      <c r="N176" s="95" t="s">
        <v>289</v>
      </c>
      <c r="O176" s="93">
        <f t="shared" si="44"/>
        <v>0</v>
      </c>
      <c r="P176" s="93">
        <f t="shared" si="45"/>
        <v>0</v>
      </c>
      <c r="Q176" s="93">
        <f t="shared" si="46"/>
        <v>0</v>
      </c>
      <c r="R176" s="93">
        <f t="shared" si="47"/>
        <v>0</v>
      </c>
      <c r="S176" s="93">
        <f t="shared" si="48"/>
        <v>0</v>
      </c>
      <c r="T176" s="93">
        <f t="shared" si="41"/>
        <v>0</v>
      </c>
      <c r="U176" s="312">
        <f t="shared" si="42"/>
        <v>0</v>
      </c>
      <c r="V176" s="93">
        <f t="shared" si="43"/>
        <v>0</v>
      </c>
    </row>
    <row r="177" spans="1:22" ht="18" customHeight="1" x14ac:dyDescent="0.2">
      <c r="A177" s="110" t="s">
        <v>297</v>
      </c>
      <c r="B177" s="111"/>
      <c r="C177" s="201" t="s">
        <v>298</v>
      </c>
      <c r="D177" s="91">
        <v>39198</v>
      </c>
      <c r="E177" s="92"/>
      <c r="F177" s="93"/>
      <c r="G177" s="93"/>
      <c r="H177" s="93">
        <v>222.21</v>
      </c>
      <c r="I177" s="93">
        <v>0</v>
      </c>
      <c r="J177" s="93"/>
      <c r="K177" s="93">
        <f t="shared" si="39"/>
        <v>0</v>
      </c>
      <c r="L177" s="93">
        <f t="shared" si="40"/>
        <v>0</v>
      </c>
      <c r="M177" s="94">
        <v>40</v>
      </c>
      <c r="N177" s="95" t="s">
        <v>289</v>
      </c>
      <c r="O177" s="93">
        <f t="shared" si="44"/>
        <v>0</v>
      </c>
      <c r="P177" s="93">
        <f t="shared" si="45"/>
        <v>0</v>
      </c>
      <c r="Q177" s="93">
        <f t="shared" si="46"/>
        <v>0</v>
      </c>
      <c r="R177" s="93">
        <f t="shared" si="47"/>
        <v>0</v>
      </c>
      <c r="S177" s="93">
        <f t="shared" si="48"/>
        <v>0</v>
      </c>
      <c r="T177" s="93">
        <f t="shared" si="41"/>
        <v>0</v>
      </c>
      <c r="U177" s="312">
        <f t="shared" si="42"/>
        <v>0</v>
      </c>
      <c r="V177" s="93">
        <f t="shared" si="43"/>
        <v>0</v>
      </c>
    </row>
    <row r="178" spans="1:22" ht="18" customHeight="1" x14ac:dyDescent="0.2">
      <c r="A178" s="110" t="s">
        <v>299</v>
      </c>
      <c r="B178" s="111"/>
      <c r="C178" s="201" t="s">
        <v>300</v>
      </c>
      <c r="D178" s="91">
        <v>40749</v>
      </c>
      <c r="E178" s="92"/>
      <c r="F178" s="93"/>
      <c r="G178" s="93"/>
      <c r="H178" s="93">
        <v>800</v>
      </c>
      <c r="I178" s="93">
        <v>0</v>
      </c>
      <c r="J178" s="93"/>
      <c r="K178" s="93">
        <f t="shared" si="39"/>
        <v>0</v>
      </c>
      <c r="L178" s="93">
        <f t="shared" si="40"/>
        <v>0</v>
      </c>
      <c r="M178" s="94">
        <v>20</v>
      </c>
      <c r="N178" s="95" t="s">
        <v>289</v>
      </c>
      <c r="O178" s="93">
        <f t="shared" si="44"/>
        <v>0</v>
      </c>
      <c r="P178" s="93">
        <f t="shared" si="45"/>
        <v>0</v>
      </c>
      <c r="Q178" s="93">
        <f t="shared" si="46"/>
        <v>0</v>
      </c>
      <c r="R178" s="93">
        <f t="shared" si="47"/>
        <v>0</v>
      </c>
      <c r="S178" s="93">
        <f t="shared" si="48"/>
        <v>0</v>
      </c>
      <c r="T178" s="93">
        <f t="shared" si="41"/>
        <v>0</v>
      </c>
      <c r="U178" s="312">
        <f t="shared" si="42"/>
        <v>0</v>
      </c>
      <c r="V178" s="93">
        <f t="shared" si="43"/>
        <v>0</v>
      </c>
    </row>
    <row r="179" spans="1:22" ht="18" customHeight="1" x14ac:dyDescent="0.2">
      <c r="A179" s="110" t="s">
        <v>301</v>
      </c>
      <c r="B179" s="111"/>
      <c r="C179" s="201" t="s">
        <v>302</v>
      </c>
      <c r="D179" s="91">
        <v>40757</v>
      </c>
      <c r="E179" s="92"/>
      <c r="F179" s="93"/>
      <c r="G179" s="93"/>
      <c r="H179" s="93">
        <v>499</v>
      </c>
      <c r="I179" s="93">
        <v>0</v>
      </c>
      <c r="J179" s="93"/>
      <c r="K179" s="93">
        <f t="shared" si="39"/>
        <v>0</v>
      </c>
      <c r="L179" s="93">
        <f t="shared" si="40"/>
        <v>0</v>
      </c>
      <c r="M179" s="94">
        <v>20</v>
      </c>
      <c r="N179" s="95" t="s">
        <v>289</v>
      </c>
      <c r="O179" s="93">
        <f t="shared" si="44"/>
        <v>0</v>
      </c>
      <c r="P179" s="93">
        <f t="shared" si="45"/>
        <v>0</v>
      </c>
      <c r="Q179" s="93">
        <f t="shared" si="46"/>
        <v>0</v>
      </c>
      <c r="R179" s="93">
        <f t="shared" si="47"/>
        <v>0</v>
      </c>
      <c r="S179" s="93">
        <f t="shared" si="48"/>
        <v>0</v>
      </c>
      <c r="T179" s="93">
        <f t="shared" si="41"/>
        <v>0</v>
      </c>
      <c r="U179" s="312">
        <f t="shared" si="42"/>
        <v>0</v>
      </c>
      <c r="V179" s="93">
        <f t="shared" si="43"/>
        <v>0</v>
      </c>
    </row>
    <row r="180" spans="1:22" ht="18" customHeight="1" x14ac:dyDescent="0.2">
      <c r="A180" s="110" t="s">
        <v>303</v>
      </c>
      <c r="B180" s="111"/>
      <c r="C180" s="90" t="s">
        <v>304</v>
      </c>
      <c r="D180" s="91">
        <v>40813</v>
      </c>
      <c r="E180" s="92"/>
      <c r="F180" s="93"/>
      <c r="G180" s="93"/>
      <c r="H180" s="93">
        <v>19595</v>
      </c>
      <c r="I180" s="93">
        <v>3521</v>
      </c>
      <c r="J180" s="93"/>
      <c r="K180" s="93">
        <f t="shared" si="39"/>
        <v>0</v>
      </c>
      <c r="L180" s="93">
        <f t="shared" si="40"/>
        <v>0</v>
      </c>
      <c r="M180" s="94">
        <v>20</v>
      </c>
      <c r="N180" s="95" t="s">
        <v>289</v>
      </c>
      <c r="O180" s="93">
        <f t="shared" si="44"/>
        <v>0</v>
      </c>
      <c r="P180" s="93">
        <f t="shared" si="45"/>
        <v>0</v>
      </c>
      <c r="Q180" s="93">
        <f t="shared" si="46"/>
        <v>0</v>
      </c>
      <c r="R180" s="93">
        <f t="shared" si="47"/>
        <v>352</v>
      </c>
      <c r="S180" s="93">
        <f t="shared" si="48"/>
        <v>0</v>
      </c>
      <c r="T180" s="93">
        <f t="shared" si="41"/>
        <v>352</v>
      </c>
      <c r="U180" s="312">
        <f t="shared" si="42"/>
        <v>3169</v>
      </c>
      <c r="V180" s="93">
        <f t="shared" si="43"/>
        <v>0</v>
      </c>
    </row>
    <row r="181" spans="1:22" ht="18" customHeight="1" x14ac:dyDescent="0.2">
      <c r="A181" s="110" t="s">
        <v>305</v>
      </c>
      <c r="B181" s="111"/>
      <c r="C181" s="90" t="s">
        <v>306</v>
      </c>
      <c r="D181" s="91">
        <v>40883</v>
      </c>
      <c r="E181" s="92"/>
      <c r="F181" s="93"/>
      <c r="G181" s="93"/>
      <c r="H181" s="93">
        <v>1058.97</v>
      </c>
      <c r="I181" s="93">
        <v>0</v>
      </c>
      <c r="J181" s="93"/>
      <c r="K181" s="93">
        <f t="shared" si="39"/>
        <v>0</v>
      </c>
      <c r="L181" s="93">
        <f t="shared" si="40"/>
        <v>0</v>
      </c>
      <c r="M181" s="94">
        <v>20</v>
      </c>
      <c r="N181" s="95" t="s">
        <v>289</v>
      </c>
      <c r="O181" s="93">
        <f t="shared" si="44"/>
        <v>0</v>
      </c>
      <c r="P181" s="93">
        <f t="shared" si="45"/>
        <v>0</v>
      </c>
      <c r="Q181" s="93">
        <f t="shared" si="46"/>
        <v>0</v>
      </c>
      <c r="R181" s="93">
        <f t="shared" si="47"/>
        <v>0</v>
      </c>
      <c r="S181" s="93">
        <f t="shared" si="48"/>
        <v>0</v>
      </c>
      <c r="T181" s="93">
        <f t="shared" si="41"/>
        <v>0</v>
      </c>
      <c r="U181" s="312">
        <f t="shared" si="42"/>
        <v>0</v>
      </c>
      <c r="V181" s="93">
        <f t="shared" si="43"/>
        <v>0</v>
      </c>
    </row>
    <row r="182" spans="1:22" ht="18" customHeight="1" x14ac:dyDescent="0.2">
      <c r="A182" s="110" t="s">
        <v>309</v>
      </c>
      <c r="B182" s="111"/>
      <c r="C182" s="201" t="s">
        <v>310</v>
      </c>
      <c r="D182" s="91">
        <v>40956</v>
      </c>
      <c r="E182" s="92"/>
      <c r="F182" s="93"/>
      <c r="G182" s="93"/>
      <c r="H182" s="93">
        <v>2050</v>
      </c>
      <c r="I182" s="93">
        <v>403</v>
      </c>
      <c r="J182" s="93"/>
      <c r="K182" s="93">
        <f t="shared" si="39"/>
        <v>0</v>
      </c>
      <c r="L182" s="93">
        <f t="shared" si="40"/>
        <v>0</v>
      </c>
      <c r="M182" s="94">
        <v>20</v>
      </c>
      <c r="N182" s="95" t="s">
        <v>289</v>
      </c>
      <c r="O182" s="93">
        <f t="shared" si="44"/>
        <v>0</v>
      </c>
      <c r="P182" s="93">
        <f t="shared" si="45"/>
        <v>0</v>
      </c>
      <c r="Q182" s="93">
        <f t="shared" si="46"/>
        <v>0</v>
      </c>
      <c r="R182" s="93">
        <f t="shared" si="47"/>
        <v>40</v>
      </c>
      <c r="S182" s="93">
        <f t="shared" si="48"/>
        <v>0</v>
      </c>
      <c r="T182" s="93">
        <f t="shared" si="41"/>
        <v>40</v>
      </c>
      <c r="U182" s="312">
        <f t="shared" si="42"/>
        <v>363</v>
      </c>
      <c r="V182" s="93">
        <f t="shared" si="43"/>
        <v>0</v>
      </c>
    </row>
    <row r="183" spans="1:22" ht="18" customHeight="1" x14ac:dyDescent="0.2">
      <c r="A183" s="110" t="s">
        <v>311</v>
      </c>
      <c r="B183" s="111"/>
      <c r="C183" s="201" t="s">
        <v>312</v>
      </c>
      <c r="D183" s="91">
        <v>40966</v>
      </c>
      <c r="E183" s="92"/>
      <c r="F183" s="93"/>
      <c r="G183" s="93"/>
      <c r="H183" s="93">
        <v>5000</v>
      </c>
      <c r="I183" s="93">
        <v>989</v>
      </c>
      <c r="J183" s="93"/>
      <c r="K183" s="93">
        <f t="shared" si="39"/>
        <v>0</v>
      </c>
      <c r="L183" s="93">
        <f t="shared" si="40"/>
        <v>0</v>
      </c>
      <c r="M183" s="94">
        <v>20</v>
      </c>
      <c r="N183" s="95" t="s">
        <v>289</v>
      </c>
      <c r="O183" s="93">
        <f t="shared" si="44"/>
        <v>0</v>
      </c>
      <c r="P183" s="93">
        <f t="shared" si="45"/>
        <v>0</v>
      </c>
      <c r="Q183" s="93">
        <f t="shared" si="46"/>
        <v>0</v>
      </c>
      <c r="R183" s="93">
        <f t="shared" si="47"/>
        <v>98</v>
      </c>
      <c r="S183" s="93">
        <f t="shared" si="48"/>
        <v>0</v>
      </c>
      <c r="T183" s="93">
        <f t="shared" si="41"/>
        <v>98</v>
      </c>
      <c r="U183" s="312">
        <f t="shared" si="42"/>
        <v>891</v>
      </c>
      <c r="V183" s="93">
        <f t="shared" si="43"/>
        <v>0</v>
      </c>
    </row>
    <row r="184" spans="1:22" ht="18" customHeight="1" x14ac:dyDescent="0.2">
      <c r="A184" s="110" t="s">
        <v>313</v>
      </c>
      <c r="B184" s="111"/>
      <c r="C184" s="201" t="s">
        <v>314</v>
      </c>
      <c r="D184" s="91">
        <v>40972</v>
      </c>
      <c r="E184" s="92"/>
      <c r="F184" s="93"/>
      <c r="G184" s="93"/>
      <c r="H184" s="93">
        <v>2045.25</v>
      </c>
      <c r="I184" s="93">
        <v>406.25</v>
      </c>
      <c r="J184" s="93"/>
      <c r="K184" s="93">
        <f t="shared" si="39"/>
        <v>0</v>
      </c>
      <c r="L184" s="93">
        <f t="shared" si="40"/>
        <v>0</v>
      </c>
      <c r="M184" s="94">
        <v>20</v>
      </c>
      <c r="N184" s="95" t="s">
        <v>289</v>
      </c>
      <c r="O184" s="93">
        <f t="shared" si="44"/>
        <v>0</v>
      </c>
      <c r="P184" s="93">
        <f t="shared" si="45"/>
        <v>0</v>
      </c>
      <c r="Q184" s="93">
        <f t="shared" si="46"/>
        <v>0</v>
      </c>
      <c r="R184" s="93">
        <f t="shared" si="47"/>
        <v>40</v>
      </c>
      <c r="S184" s="93">
        <f t="shared" si="48"/>
        <v>0</v>
      </c>
      <c r="T184" s="93">
        <f t="shared" si="41"/>
        <v>40</v>
      </c>
      <c r="U184" s="312">
        <f t="shared" si="42"/>
        <v>366.25</v>
      </c>
      <c r="V184" s="93">
        <f t="shared" si="43"/>
        <v>0</v>
      </c>
    </row>
    <row r="185" spans="1:22" ht="18" customHeight="1" x14ac:dyDescent="0.2">
      <c r="A185" s="110" t="s">
        <v>315</v>
      </c>
      <c r="B185" s="111"/>
      <c r="C185" s="201" t="s">
        <v>316</v>
      </c>
      <c r="D185" s="91">
        <v>39185</v>
      </c>
      <c r="E185" s="92"/>
      <c r="F185" s="93"/>
      <c r="G185" s="93"/>
      <c r="H185" s="93">
        <v>122.16</v>
      </c>
      <c r="I185" s="93">
        <v>0</v>
      </c>
      <c r="J185" s="93"/>
      <c r="K185" s="93">
        <f t="shared" si="39"/>
        <v>0</v>
      </c>
      <c r="L185" s="93">
        <f t="shared" si="40"/>
        <v>0</v>
      </c>
      <c r="M185" s="94">
        <v>20</v>
      </c>
      <c r="N185" s="95" t="s">
        <v>289</v>
      </c>
      <c r="O185" s="93">
        <f t="shared" si="44"/>
        <v>0</v>
      </c>
      <c r="P185" s="93">
        <f t="shared" si="45"/>
        <v>0</v>
      </c>
      <c r="Q185" s="93">
        <f t="shared" si="46"/>
        <v>0</v>
      </c>
      <c r="R185" s="93">
        <f t="shared" si="47"/>
        <v>0</v>
      </c>
      <c r="S185" s="93">
        <f t="shared" si="48"/>
        <v>0</v>
      </c>
      <c r="T185" s="93">
        <f t="shared" si="41"/>
        <v>0</v>
      </c>
      <c r="U185" s="312">
        <f t="shared" si="42"/>
        <v>0</v>
      </c>
      <c r="V185" s="93">
        <f t="shared" si="43"/>
        <v>0</v>
      </c>
    </row>
    <row r="186" spans="1:22" ht="18" customHeight="1" x14ac:dyDescent="0.2">
      <c r="A186" s="110" t="s">
        <v>320</v>
      </c>
      <c r="B186" s="111"/>
      <c r="C186" s="201" t="s">
        <v>321</v>
      </c>
      <c r="D186" s="91">
        <v>41320</v>
      </c>
      <c r="E186" s="92"/>
      <c r="F186" s="93"/>
      <c r="G186" s="93"/>
      <c r="H186" s="93">
        <v>8200</v>
      </c>
      <c r="I186" s="93">
        <v>3325</v>
      </c>
      <c r="J186" s="93"/>
      <c r="K186" s="93">
        <f t="shared" si="39"/>
        <v>0</v>
      </c>
      <c r="L186" s="93">
        <f t="shared" si="40"/>
        <v>0</v>
      </c>
      <c r="M186" s="94">
        <v>13.3</v>
      </c>
      <c r="N186" s="95" t="s">
        <v>289</v>
      </c>
      <c r="O186" s="93">
        <f t="shared" si="44"/>
        <v>0</v>
      </c>
      <c r="P186" s="93">
        <f t="shared" si="45"/>
        <v>0</v>
      </c>
      <c r="Q186" s="93">
        <f t="shared" si="46"/>
        <v>0</v>
      </c>
      <c r="R186" s="93">
        <f t="shared" si="47"/>
        <v>221</v>
      </c>
      <c r="S186" s="93">
        <f t="shared" si="48"/>
        <v>0</v>
      </c>
      <c r="T186" s="93">
        <f t="shared" si="41"/>
        <v>221</v>
      </c>
      <c r="U186" s="312">
        <f t="shared" si="42"/>
        <v>3104</v>
      </c>
      <c r="V186" s="93">
        <f t="shared" si="43"/>
        <v>0</v>
      </c>
    </row>
    <row r="187" spans="1:22" ht="18" customHeight="1" x14ac:dyDescent="0.2">
      <c r="A187" s="110" t="s">
        <v>324</v>
      </c>
      <c r="B187" s="111"/>
      <c r="C187" s="201" t="s">
        <v>325</v>
      </c>
      <c r="D187" s="91">
        <v>41052</v>
      </c>
      <c r="E187" s="92"/>
      <c r="F187" s="93"/>
      <c r="G187" s="93"/>
      <c r="H187" s="93">
        <v>142000</v>
      </c>
      <c r="I187" s="93">
        <v>29461</v>
      </c>
      <c r="J187" s="93"/>
      <c r="K187" s="93">
        <f t="shared" si="39"/>
        <v>0</v>
      </c>
      <c r="L187" s="93">
        <f t="shared" si="40"/>
        <v>0</v>
      </c>
      <c r="M187" s="94">
        <v>20</v>
      </c>
      <c r="N187" s="95" t="s">
        <v>289</v>
      </c>
      <c r="O187" s="93">
        <f t="shared" si="44"/>
        <v>0</v>
      </c>
      <c r="P187" s="93">
        <f t="shared" si="45"/>
        <v>0</v>
      </c>
      <c r="Q187" s="93">
        <f t="shared" si="46"/>
        <v>0</v>
      </c>
      <c r="R187" s="93">
        <f t="shared" si="47"/>
        <v>2946</v>
      </c>
      <c r="S187" s="93">
        <f t="shared" si="48"/>
        <v>0</v>
      </c>
      <c r="T187" s="93">
        <f t="shared" si="41"/>
        <v>2946</v>
      </c>
      <c r="U187" s="312">
        <f t="shared" si="42"/>
        <v>26515</v>
      </c>
      <c r="V187" s="93">
        <f t="shared" si="43"/>
        <v>0</v>
      </c>
    </row>
    <row r="188" spans="1:22" ht="18" customHeight="1" x14ac:dyDescent="0.2">
      <c r="A188" s="110" t="s">
        <v>328</v>
      </c>
      <c r="B188" s="111"/>
      <c r="C188" s="201" t="s">
        <v>329</v>
      </c>
      <c r="D188" s="91">
        <v>41000</v>
      </c>
      <c r="E188" s="92"/>
      <c r="F188" s="93"/>
      <c r="G188" s="93"/>
      <c r="H188" s="93">
        <v>1386.3600000000001</v>
      </c>
      <c r="I188" s="93">
        <v>280.36</v>
      </c>
      <c r="J188" s="93"/>
      <c r="K188" s="93">
        <f t="shared" si="39"/>
        <v>0</v>
      </c>
      <c r="L188" s="93">
        <f t="shared" si="40"/>
        <v>0</v>
      </c>
      <c r="M188" s="94">
        <v>20</v>
      </c>
      <c r="N188" s="95" t="s">
        <v>289</v>
      </c>
      <c r="O188" s="93">
        <f t="shared" si="44"/>
        <v>0</v>
      </c>
      <c r="P188" s="93">
        <f t="shared" si="45"/>
        <v>0</v>
      </c>
      <c r="Q188" s="93">
        <f t="shared" si="46"/>
        <v>0</v>
      </c>
      <c r="R188" s="93">
        <f t="shared" si="47"/>
        <v>28</v>
      </c>
      <c r="S188" s="93">
        <f t="shared" si="48"/>
        <v>0</v>
      </c>
      <c r="T188" s="93">
        <f>+R188+S188+Q188</f>
        <v>28</v>
      </c>
      <c r="U188" s="312">
        <f t="shared" si="42"/>
        <v>252.36</v>
      </c>
      <c r="V188" s="93">
        <f t="shared" si="43"/>
        <v>0</v>
      </c>
    </row>
    <row r="189" spans="1:22" ht="18" customHeight="1" x14ac:dyDescent="0.2">
      <c r="A189" s="110" t="s">
        <v>338</v>
      </c>
      <c r="B189" s="111"/>
      <c r="C189" s="201" t="s">
        <v>339</v>
      </c>
      <c r="D189" s="91">
        <v>39264</v>
      </c>
      <c r="E189" s="92"/>
      <c r="F189" s="93"/>
      <c r="G189" s="93"/>
      <c r="H189" s="93">
        <v>240</v>
      </c>
      <c r="I189" s="93">
        <v>0</v>
      </c>
      <c r="J189" s="93"/>
      <c r="K189" s="93">
        <f t="shared" si="39"/>
        <v>0</v>
      </c>
      <c r="L189" s="93">
        <f t="shared" si="40"/>
        <v>0</v>
      </c>
      <c r="M189" s="94">
        <v>37.5</v>
      </c>
      <c r="N189" s="95" t="s">
        <v>289</v>
      </c>
      <c r="O189" s="93">
        <f t="shared" si="44"/>
        <v>0</v>
      </c>
      <c r="P189" s="93">
        <f t="shared" si="45"/>
        <v>0</v>
      </c>
      <c r="Q189" s="93">
        <f t="shared" si="46"/>
        <v>0</v>
      </c>
      <c r="R189" s="93">
        <f t="shared" si="47"/>
        <v>0</v>
      </c>
      <c r="S189" s="93">
        <f t="shared" si="48"/>
        <v>0</v>
      </c>
      <c r="T189" s="93">
        <f t="shared" ref="T189:T223" si="49">+R189+S189+Q189</f>
        <v>0</v>
      </c>
      <c r="U189" s="312">
        <f t="shared" si="42"/>
        <v>0</v>
      </c>
      <c r="V189" s="93">
        <f t="shared" si="43"/>
        <v>0</v>
      </c>
    </row>
    <row r="190" spans="1:22" ht="18" customHeight="1" x14ac:dyDescent="0.2">
      <c r="A190" s="110" t="s">
        <v>344</v>
      </c>
      <c r="B190" s="111"/>
      <c r="C190" s="201" t="s">
        <v>345</v>
      </c>
      <c r="D190" s="91">
        <v>39611</v>
      </c>
      <c r="E190" s="92"/>
      <c r="F190" s="93"/>
      <c r="G190" s="93"/>
      <c r="H190" s="93">
        <v>140</v>
      </c>
      <c r="I190" s="93">
        <v>0</v>
      </c>
      <c r="J190" s="93"/>
      <c r="K190" s="93">
        <f t="shared" si="39"/>
        <v>0</v>
      </c>
      <c r="L190" s="93">
        <f t="shared" si="40"/>
        <v>0</v>
      </c>
      <c r="M190" s="94">
        <v>37.5</v>
      </c>
      <c r="N190" s="95" t="s">
        <v>289</v>
      </c>
      <c r="O190" s="93">
        <f t="shared" si="44"/>
        <v>0</v>
      </c>
      <c r="P190" s="93">
        <f t="shared" si="45"/>
        <v>0</v>
      </c>
      <c r="Q190" s="93">
        <f t="shared" si="46"/>
        <v>0</v>
      </c>
      <c r="R190" s="93">
        <f t="shared" si="47"/>
        <v>0</v>
      </c>
      <c r="S190" s="93">
        <f t="shared" si="48"/>
        <v>0</v>
      </c>
      <c r="T190" s="93">
        <f t="shared" si="49"/>
        <v>0</v>
      </c>
      <c r="U190" s="312">
        <f t="shared" si="42"/>
        <v>0</v>
      </c>
      <c r="V190" s="93">
        <f t="shared" si="43"/>
        <v>0</v>
      </c>
    </row>
    <row r="191" spans="1:22" ht="18" customHeight="1" x14ac:dyDescent="0.2">
      <c r="A191" s="110" t="s">
        <v>356</v>
      </c>
      <c r="B191" s="111"/>
      <c r="C191" s="201" t="s">
        <v>347</v>
      </c>
      <c r="D191" s="91">
        <v>39388</v>
      </c>
      <c r="E191" s="92"/>
      <c r="F191" s="93"/>
      <c r="G191" s="93"/>
      <c r="H191" s="93">
        <v>1690</v>
      </c>
      <c r="I191" s="93">
        <v>497</v>
      </c>
      <c r="J191" s="93"/>
      <c r="K191" s="93">
        <f t="shared" si="39"/>
        <v>0</v>
      </c>
      <c r="L191" s="93">
        <f t="shared" si="40"/>
        <v>0</v>
      </c>
      <c r="M191" s="94">
        <v>10</v>
      </c>
      <c r="N191" s="95" t="s">
        <v>289</v>
      </c>
      <c r="O191" s="93">
        <f t="shared" si="44"/>
        <v>0</v>
      </c>
      <c r="P191" s="93">
        <f t="shared" si="45"/>
        <v>0</v>
      </c>
      <c r="Q191" s="93">
        <f t="shared" si="46"/>
        <v>0</v>
      </c>
      <c r="R191" s="93">
        <f t="shared" si="47"/>
        <v>24</v>
      </c>
      <c r="S191" s="93">
        <f t="shared" si="48"/>
        <v>0</v>
      </c>
      <c r="T191" s="93">
        <f t="shared" si="49"/>
        <v>24</v>
      </c>
      <c r="U191" s="312">
        <f t="shared" si="42"/>
        <v>473</v>
      </c>
      <c r="V191" s="93">
        <f t="shared" si="43"/>
        <v>0</v>
      </c>
    </row>
    <row r="192" spans="1:22" ht="18" customHeight="1" x14ac:dyDescent="0.2">
      <c r="A192" s="110" t="s">
        <v>359</v>
      </c>
      <c r="B192" s="111"/>
      <c r="C192" s="201" t="s">
        <v>360</v>
      </c>
      <c r="D192" s="91">
        <v>39379</v>
      </c>
      <c r="E192" s="92"/>
      <c r="F192" s="93"/>
      <c r="G192" s="93"/>
      <c r="H192" s="93">
        <v>2727.27</v>
      </c>
      <c r="I192" s="93">
        <v>799.27</v>
      </c>
      <c r="J192" s="93"/>
      <c r="K192" s="93">
        <f t="shared" si="39"/>
        <v>0</v>
      </c>
      <c r="L192" s="93">
        <f t="shared" si="40"/>
        <v>0</v>
      </c>
      <c r="M192" s="94">
        <v>10</v>
      </c>
      <c r="N192" s="95" t="s">
        <v>289</v>
      </c>
      <c r="O192" s="93">
        <f t="shared" si="44"/>
        <v>0</v>
      </c>
      <c r="P192" s="93">
        <f t="shared" si="45"/>
        <v>0</v>
      </c>
      <c r="Q192" s="93">
        <f t="shared" si="46"/>
        <v>0</v>
      </c>
      <c r="R192" s="93">
        <f t="shared" si="47"/>
        <v>39</v>
      </c>
      <c r="S192" s="93">
        <f t="shared" si="48"/>
        <v>0</v>
      </c>
      <c r="T192" s="93">
        <f t="shared" si="49"/>
        <v>39</v>
      </c>
      <c r="U192" s="312">
        <f t="shared" si="42"/>
        <v>760.27</v>
      </c>
      <c r="V192" s="93">
        <f t="shared" si="43"/>
        <v>0</v>
      </c>
    </row>
    <row r="193" spans="1:22" ht="18" customHeight="1" x14ac:dyDescent="0.2">
      <c r="A193" s="110" t="s">
        <v>363</v>
      </c>
      <c r="B193" s="111"/>
      <c r="C193" s="201" t="s">
        <v>364</v>
      </c>
      <c r="D193" s="91">
        <v>39386</v>
      </c>
      <c r="E193" s="92"/>
      <c r="F193" s="93"/>
      <c r="G193" s="93"/>
      <c r="H193" s="93">
        <v>22704.55</v>
      </c>
      <c r="I193" s="93">
        <v>12489.550000000001</v>
      </c>
      <c r="J193" s="93"/>
      <c r="K193" s="93">
        <f t="shared" si="39"/>
        <v>0</v>
      </c>
      <c r="L193" s="93">
        <f t="shared" si="40"/>
        <v>0</v>
      </c>
      <c r="M193" s="94">
        <v>5</v>
      </c>
      <c r="N193" s="95" t="s">
        <v>289</v>
      </c>
      <c r="O193" s="93">
        <f t="shared" si="44"/>
        <v>0</v>
      </c>
      <c r="P193" s="93">
        <f t="shared" si="45"/>
        <v>0</v>
      </c>
      <c r="Q193" s="93">
        <f t="shared" si="46"/>
        <v>0</v>
      </c>
      <c r="R193" s="93">
        <f t="shared" si="47"/>
        <v>312</v>
      </c>
      <c r="S193" s="93">
        <f t="shared" si="48"/>
        <v>0</v>
      </c>
      <c r="T193" s="93">
        <f t="shared" si="49"/>
        <v>312</v>
      </c>
      <c r="U193" s="312">
        <f t="shared" si="42"/>
        <v>12177.550000000001</v>
      </c>
      <c r="V193" s="93">
        <f t="shared" si="43"/>
        <v>0</v>
      </c>
    </row>
    <row r="194" spans="1:22" ht="18" customHeight="1" x14ac:dyDescent="0.2">
      <c r="A194" s="110" t="s">
        <v>365</v>
      </c>
      <c r="B194" s="111"/>
      <c r="C194" s="201" t="s">
        <v>366</v>
      </c>
      <c r="D194" s="91">
        <v>39465</v>
      </c>
      <c r="E194" s="92"/>
      <c r="F194" s="93"/>
      <c r="G194" s="93"/>
      <c r="H194" s="93">
        <v>3640</v>
      </c>
      <c r="I194" s="93">
        <v>288</v>
      </c>
      <c r="J194" s="93"/>
      <c r="K194" s="93">
        <f t="shared" si="39"/>
        <v>0</v>
      </c>
      <c r="L194" s="93">
        <f t="shared" si="40"/>
        <v>0</v>
      </c>
      <c r="M194" s="94">
        <v>20</v>
      </c>
      <c r="N194" s="95" t="s">
        <v>289</v>
      </c>
      <c r="O194" s="93">
        <f t="shared" si="44"/>
        <v>0</v>
      </c>
      <c r="P194" s="93">
        <f t="shared" si="45"/>
        <v>0</v>
      </c>
      <c r="Q194" s="93">
        <f t="shared" si="46"/>
        <v>0</v>
      </c>
      <c r="R194" s="93">
        <f t="shared" si="47"/>
        <v>28</v>
      </c>
      <c r="S194" s="93">
        <f t="shared" si="48"/>
        <v>0</v>
      </c>
      <c r="T194" s="93">
        <f t="shared" si="49"/>
        <v>28</v>
      </c>
      <c r="U194" s="312">
        <f t="shared" si="42"/>
        <v>260</v>
      </c>
      <c r="V194" s="93">
        <f t="shared" si="43"/>
        <v>0</v>
      </c>
    </row>
    <row r="195" spans="1:22" ht="18" customHeight="1" x14ac:dyDescent="0.2">
      <c r="A195" s="110" t="s">
        <v>367</v>
      </c>
      <c r="B195" s="111"/>
      <c r="C195" s="201" t="s">
        <v>368</v>
      </c>
      <c r="D195" s="91">
        <v>39470</v>
      </c>
      <c r="E195" s="92"/>
      <c r="F195" s="93"/>
      <c r="G195" s="93"/>
      <c r="H195" s="93">
        <v>4495</v>
      </c>
      <c r="I195" s="93">
        <v>356</v>
      </c>
      <c r="J195" s="93"/>
      <c r="K195" s="93">
        <f t="shared" si="39"/>
        <v>0</v>
      </c>
      <c r="L195" s="93">
        <f t="shared" si="40"/>
        <v>0</v>
      </c>
      <c r="M195" s="94">
        <v>20</v>
      </c>
      <c r="N195" s="95" t="s">
        <v>289</v>
      </c>
      <c r="O195" s="93">
        <f t="shared" si="44"/>
        <v>0</v>
      </c>
      <c r="P195" s="93">
        <f t="shared" si="45"/>
        <v>0</v>
      </c>
      <c r="Q195" s="93">
        <f t="shared" si="46"/>
        <v>0</v>
      </c>
      <c r="R195" s="93">
        <f t="shared" si="47"/>
        <v>35</v>
      </c>
      <c r="S195" s="93">
        <f t="shared" si="48"/>
        <v>0</v>
      </c>
      <c r="T195" s="93">
        <f t="shared" si="49"/>
        <v>35</v>
      </c>
      <c r="U195" s="312">
        <f t="shared" si="42"/>
        <v>321</v>
      </c>
      <c r="V195" s="93">
        <f t="shared" si="43"/>
        <v>0</v>
      </c>
    </row>
    <row r="196" spans="1:22" ht="18" customHeight="1" x14ac:dyDescent="0.2">
      <c r="A196" s="110" t="s">
        <v>369</v>
      </c>
      <c r="B196" s="111"/>
      <c r="C196" s="201" t="s">
        <v>370</v>
      </c>
      <c r="D196" s="91">
        <v>39498</v>
      </c>
      <c r="E196" s="92"/>
      <c r="F196" s="93"/>
      <c r="G196" s="93"/>
      <c r="H196" s="93">
        <v>10468.09</v>
      </c>
      <c r="I196" s="93">
        <v>3174.09</v>
      </c>
      <c r="J196" s="93"/>
      <c r="K196" s="93">
        <f t="shared" si="39"/>
        <v>0</v>
      </c>
      <c r="L196" s="93">
        <f t="shared" si="40"/>
        <v>0</v>
      </c>
      <c r="M196" s="94">
        <v>10</v>
      </c>
      <c r="N196" s="95" t="s">
        <v>289</v>
      </c>
      <c r="O196" s="93">
        <f t="shared" si="44"/>
        <v>0</v>
      </c>
      <c r="P196" s="93">
        <f t="shared" si="45"/>
        <v>0</v>
      </c>
      <c r="Q196" s="93">
        <f t="shared" si="46"/>
        <v>0</v>
      </c>
      <c r="R196" s="93">
        <f t="shared" si="47"/>
        <v>158</v>
      </c>
      <c r="S196" s="93">
        <f t="shared" si="48"/>
        <v>0</v>
      </c>
      <c r="T196" s="93">
        <f t="shared" si="49"/>
        <v>158</v>
      </c>
      <c r="U196" s="312">
        <f t="shared" si="42"/>
        <v>3016.09</v>
      </c>
      <c r="V196" s="93">
        <f t="shared" si="43"/>
        <v>0</v>
      </c>
    </row>
    <row r="197" spans="1:22" ht="18" customHeight="1" x14ac:dyDescent="0.2">
      <c r="A197" s="110" t="s">
        <v>371</v>
      </c>
      <c r="B197" s="111"/>
      <c r="C197" s="90" t="s">
        <v>372</v>
      </c>
      <c r="D197" s="91">
        <v>39499</v>
      </c>
      <c r="E197" s="92"/>
      <c r="F197" s="93"/>
      <c r="G197" s="93"/>
      <c r="H197" s="93">
        <v>13392.5</v>
      </c>
      <c r="I197" s="93">
        <v>5535.5</v>
      </c>
      <c r="J197" s="93"/>
      <c r="K197" s="93">
        <f t="shared" si="39"/>
        <v>0</v>
      </c>
      <c r="L197" s="93">
        <f t="shared" si="40"/>
        <v>0</v>
      </c>
      <c r="M197" s="94">
        <v>7.5</v>
      </c>
      <c r="N197" s="95" t="s">
        <v>289</v>
      </c>
      <c r="O197" s="93">
        <f t="shared" si="44"/>
        <v>0</v>
      </c>
      <c r="P197" s="93">
        <f t="shared" si="45"/>
        <v>0</v>
      </c>
      <c r="Q197" s="93">
        <f t="shared" si="46"/>
        <v>0</v>
      </c>
      <c r="R197" s="93">
        <f t="shared" si="47"/>
        <v>207</v>
      </c>
      <c r="S197" s="93">
        <f t="shared" si="48"/>
        <v>0</v>
      </c>
      <c r="T197" s="93">
        <f t="shared" si="49"/>
        <v>207</v>
      </c>
      <c r="U197" s="312">
        <f t="shared" si="42"/>
        <v>5328.5</v>
      </c>
      <c r="V197" s="93">
        <f t="shared" si="43"/>
        <v>0</v>
      </c>
    </row>
    <row r="198" spans="1:22" ht="18" customHeight="1" x14ac:dyDescent="0.2">
      <c r="A198" s="110" t="s">
        <v>373</v>
      </c>
      <c r="B198" s="111"/>
      <c r="C198" s="201" t="s">
        <v>374</v>
      </c>
      <c r="D198" s="91">
        <v>39540</v>
      </c>
      <c r="E198" s="92"/>
      <c r="F198" s="93"/>
      <c r="G198" s="93"/>
      <c r="H198" s="93">
        <v>2372</v>
      </c>
      <c r="I198" s="93">
        <v>727</v>
      </c>
      <c r="J198" s="93"/>
      <c r="K198" s="93">
        <f t="shared" si="39"/>
        <v>0</v>
      </c>
      <c r="L198" s="93">
        <f t="shared" si="40"/>
        <v>0</v>
      </c>
      <c r="M198" s="94">
        <v>10</v>
      </c>
      <c r="N198" s="95" t="s">
        <v>289</v>
      </c>
      <c r="O198" s="93">
        <f t="shared" si="44"/>
        <v>0</v>
      </c>
      <c r="P198" s="93">
        <f t="shared" si="45"/>
        <v>0</v>
      </c>
      <c r="Q198" s="93">
        <f t="shared" si="46"/>
        <v>0</v>
      </c>
      <c r="R198" s="93">
        <f t="shared" si="47"/>
        <v>36</v>
      </c>
      <c r="S198" s="93">
        <f t="shared" si="48"/>
        <v>0</v>
      </c>
      <c r="T198" s="93">
        <f t="shared" si="49"/>
        <v>36</v>
      </c>
      <c r="U198" s="312">
        <f t="shared" si="42"/>
        <v>691</v>
      </c>
      <c r="V198" s="93">
        <f t="shared" si="43"/>
        <v>0</v>
      </c>
    </row>
    <row r="199" spans="1:22" ht="18" customHeight="1" x14ac:dyDescent="0.2">
      <c r="A199" s="110" t="s">
        <v>377</v>
      </c>
      <c r="B199" s="111"/>
      <c r="C199" s="201" t="s">
        <v>378</v>
      </c>
      <c r="D199" s="91">
        <v>39507</v>
      </c>
      <c r="E199" s="92"/>
      <c r="F199" s="93"/>
      <c r="G199" s="93"/>
      <c r="H199" s="93">
        <v>950</v>
      </c>
      <c r="I199" s="93">
        <v>0</v>
      </c>
      <c r="J199" s="93"/>
      <c r="K199" s="93">
        <f t="shared" si="39"/>
        <v>0</v>
      </c>
      <c r="L199" s="93">
        <f t="shared" si="40"/>
        <v>0</v>
      </c>
      <c r="M199" s="94">
        <v>37.5</v>
      </c>
      <c r="N199" s="95" t="s">
        <v>289</v>
      </c>
      <c r="O199" s="93">
        <f t="shared" si="44"/>
        <v>0</v>
      </c>
      <c r="P199" s="93">
        <f t="shared" si="45"/>
        <v>0</v>
      </c>
      <c r="Q199" s="93">
        <f t="shared" si="46"/>
        <v>0</v>
      </c>
      <c r="R199" s="93">
        <f t="shared" si="47"/>
        <v>0</v>
      </c>
      <c r="S199" s="93">
        <f t="shared" si="48"/>
        <v>0</v>
      </c>
      <c r="T199" s="93">
        <f t="shared" si="49"/>
        <v>0</v>
      </c>
      <c r="U199" s="312">
        <f t="shared" si="42"/>
        <v>0</v>
      </c>
      <c r="V199" s="93">
        <f t="shared" si="43"/>
        <v>0</v>
      </c>
    </row>
    <row r="200" spans="1:22" ht="18" customHeight="1" x14ac:dyDescent="0.2">
      <c r="A200" s="110" t="s">
        <v>384</v>
      </c>
      <c r="B200" s="111"/>
      <c r="C200" s="201" t="s">
        <v>385</v>
      </c>
      <c r="D200" s="91">
        <v>39479</v>
      </c>
      <c r="E200" s="92"/>
      <c r="F200" s="93"/>
      <c r="G200" s="93"/>
      <c r="H200" s="93">
        <v>950</v>
      </c>
      <c r="I200" s="93">
        <v>0</v>
      </c>
      <c r="J200" s="93"/>
      <c r="K200" s="93">
        <f t="shared" si="39"/>
        <v>0</v>
      </c>
      <c r="L200" s="93">
        <f t="shared" si="40"/>
        <v>0</v>
      </c>
      <c r="M200" s="94">
        <v>37.5</v>
      </c>
      <c r="N200" s="95" t="s">
        <v>289</v>
      </c>
      <c r="O200" s="93">
        <f t="shared" si="44"/>
        <v>0</v>
      </c>
      <c r="P200" s="93">
        <f t="shared" si="45"/>
        <v>0</v>
      </c>
      <c r="Q200" s="93">
        <f t="shared" si="46"/>
        <v>0</v>
      </c>
      <c r="R200" s="93">
        <f t="shared" si="47"/>
        <v>0</v>
      </c>
      <c r="S200" s="93">
        <f t="shared" si="48"/>
        <v>0</v>
      </c>
      <c r="T200" s="93">
        <f t="shared" si="49"/>
        <v>0</v>
      </c>
      <c r="U200" s="312">
        <f t="shared" si="42"/>
        <v>0</v>
      </c>
      <c r="V200" s="93">
        <f t="shared" si="43"/>
        <v>0</v>
      </c>
    </row>
    <row r="201" spans="1:22" ht="18" customHeight="1" x14ac:dyDescent="0.2">
      <c r="A201" s="110" t="s">
        <v>387</v>
      </c>
      <c r="B201" s="111"/>
      <c r="C201" s="90" t="s">
        <v>388</v>
      </c>
      <c r="D201" s="91">
        <v>39679</v>
      </c>
      <c r="E201" s="92"/>
      <c r="F201" s="93"/>
      <c r="G201" s="93"/>
      <c r="H201" s="93">
        <v>59090.91</v>
      </c>
      <c r="I201" s="93">
        <v>18854.91</v>
      </c>
      <c r="J201" s="93"/>
      <c r="K201" s="93">
        <f t="shared" si="39"/>
        <v>0</v>
      </c>
      <c r="L201" s="93">
        <f t="shared" si="40"/>
        <v>0</v>
      </c>
      <c r="M201" s="94">
        <v>10</v>
      </c>
      <c r="N201" s="95" t="s">
        <v>289</v>
      </c>
      <c r="O201" s="93">
        <f t="shared" si="44"/>
        <v>0</v>
      </c>
      <c r="P201" s="93">
        <f t="shared" si="45"/>
        <v>0</v>
      </c>
      <c r="Q201" s="93">
        <f t="shared" si="46"/>
        <v>0</v>
      </c>
      <c r="R201" s="93">
        <f t="shared" si="47"/>
        <v>942</v>
      </c>
      <c r="S201" s="93">
        <f t="shared" si="48"/>
        <v>0</v>
      </c>
      <c r="T201" s="93">
        <f t="shared" si="49"/>
        <v>942</v>
      </c>
      <c r="U201" s="312">
        <f t="shared" si="42"/>
        <v>17912.91</v>
      </c>
      <c r="V201" s="93">
        <f t="shared" si="43"/>
        <v>0</v>
      </c>
    </row>
    <row r="202" spans="1:22" ht="18" customHeight="1" x14ac:dyDescent="0.2">
      <c r="A202" s="110" t="s">
        <v>389</v>
      </c>
      <c r="B202" s="111"/>
      <c r="C202" s="201" t="s">
        <v>390</v>
      </c>
      <c r="D202" s="91">
        <v>39679</v>
      </c>
      <c r="E202" s="92"/>
      <c r="F202" s="93"/>
      <c r="G202" s="93"/>
      <c r="H202" s="93">
        <v>91279.2</v>
      </c>
      <c r="I202" s="93">
        <v>29124.2</v>
      </c>
      <c r="J202" s="93"/>
      <c r="K202" s="93">
        <f t="shared" si="39"/>
        <v>0</v>
      </c>
      <c r="L202" s="93">
        <f t="shared" si="40"/>
        <v>0</v>
      </c>
      <c r="M202" s="94">
        <v>10</v>
      </c>
      <c r="N202" s="95" t="s">
        <v>289</v>
      </c>
      <c r="O202" s="93">
        <f t="shared" si="44"/>
        <v>0</v>
      </c>
      <c r="P202" s="93">
        <f t="shared" si="45"/>
        <v>0</v>
      </c>
      <c r="Q202" s="93">
        <f t="shared" si="46"/>
        <v>0</v>
      </c>
      <c r="R202" s="93">
        <f t="shared" si="47"/>
        <v>1456</v>
      </c>
      <c r="S202" s="93">
        <f t="shared" si="48"/>
        <v>0</v>
      </c>
      <c r="T202" s="93">
        <f t="shared" si="49"/>
        <v>1456</v>
      </c>
      <c r="U202" s="312">
        <f t="shared" si="42"/>
        <v>27668.2</v>
      </c>
      <c r="V202" s="93">
        <f t="shared" si="43"/>
        <v>0</v>
      </c>
    </row>
    <row r="203" spans="1:22" ht="18" customHeight="1" x14ac:dyDescent="0.2">
      <c r="A203" s="110" t="s">
        <v>391</v>
      </c>
      <c r="B203" s="111"/>
      <c r="C203" s="201" t="s">
        <v>392</v>
      </c>
      <c r="D203" s="91">
        <v>39707</v>
      </c>
      <c r="E203" s="92"/>
      <c r="F203" s="93"/>
      <c r="G203" s="93"/>
      <c r="H203" s="93">
        <v>19690</v>
      </c>
      <c r="I203" s="93">
        <v>6339</v>
      </c>
      <c r="J203" s="93"/>
      <c r="K203" s="93">
        <f t="shared" si="39"/>
        <v>0</v>
      </c>
      <c r="L203" s="93">
        <f t="shared" si="40"/>
        <v>0</v>
      </c>
      <c r="M203" s="94">
        <v>10</v>
      </c>
      <c r="N203" s="95" t="s">
        <v>289</v>
      </c>
      <c r="O203" s="93">
        <f t="shared" si="44"/>
        <v>0</v>
      </c>
      <c r="P203" s="93">
        <f t="shared" si="45"/>
        <v>0</v>
      </c>
      <c r="Q203" s="93">
        <f t="shared" si="46"/>
        <v>0</v>
      </c>
      <c r="R203" s="93">
        <f t="shared" si="47"/>
        <v>316</v>
      </c>
      <c r="S203" s="93">
        <f t="shared" si="48"/>
        <v>0</v>
      </c>
      <c r="T203" s="93">
        <f t="shared" si="49"/>
        <v>316</v>
      </c>
      <c r="U203" s="312">
        <f t="shared" si="42"/>
        <v>6023</v>
      </c>
      <c r="V203" s="93">
        <f t="shared" si="43"/>
        <v>0</v>
      </c>
    </row>
    <row r="204" spans="1:22" ht="18" customHeight="1" x14ac:dyDescent="0.2">
      <c r="A204" s="110" t="s">
        <v>393</v>
      </c>
      <c r="B204" s="111"/>
      <c r="C204" s="201" t="s">
        <v>394</v>
      </c>
      <c r="D204" s="91">
        <v>39720</v>
      </c>
      <c r="E204" s="92"/>
      <c r="F204" s="93"/>
      <c r="G204" s="93"/>
      <c r="H204" s="93">
        <v>575.45000000000005</v>
      </c>
      <c r="I204" s="93">
        <v>0</v>
      </c>
      <c r="J204" s="93"/>
      <c r="K204" s="93">
        <f t="shared" si="39"/>
        <v>0</v>
      </c>
      <c r="L204" s="93">
        <f t="shared" si="40"/>
        <v>0</v>
      </c>
      <c r="M204" s="94">
        <v>18.75</v>
      </c>
      <c r="N204" s="95" t="s">
        <v>289</v>
      </c>
      <c r="O204" s="93">
        <f t="shared" si="44"/>
        <v>0</v>
      </c>
      <c r="P204" s="93">
        <f t="shared" si="45"/>
        <v>0</v>
      </c>
      <c r="Q204" s="93">
        <f t="shared" si="46"/>
        <v>0</v>
      </c>
      <c r="R204" s="93">
        <f t="shared" si="47"/>
        <v>0</v>
      </c>
      <c r="S204" s="93">
        <f t="shared" si="48"/>
        <v>0</v>
      </c>
      <c r="T204" s="93">
        <f t="shared" si="49"/>
        <v>0</v>
      </c>
      <c r="U204" s="312">
        <f t="shared" si="42"/>
        <v>0</v>
      </c>
      <c r="V204" s="93">
        <f t="shared" si="43"/>
        <v>0</v>
      </c>
    </row>
    <row r="205" spans="1:22" ht="18" customHeight="1" x14ac:dyDescent="0.2">
      <c r="A205" s="110" t="s">
        <v>395</v>
      </c>
      <c r="B205" s="111"/>
      <c r="C205" s="201" t="s">
        <v>396</v>
      </c>
      <c r="D205" s="91">
        <v>39720</v>
      </c>
      <c r="E205" s="92"/>
      <c r="F205" s="93"/>
      <c r="G205" s="93"/>
      <c r="H205" s="93">
        <v>1055</v>
      </c>
      <c r="I205" s="93">
        <v>0</v>
      </c>
      <c r="J205" s="93"/>
      <c r="K205" s="93">
        <f t="shared" si="39"/>
        <v>0</v>
      </c>
      <c r="L205" s="93">
        <f t="shared" si="40"/>
        <v>0</v>
      </c>
      <c r="M205" s="94">
        <v>10</v>
      </c>
      <c r="N205" s="95" t="s">
        <v>289</v>
      </c>
      <c r="O205" s="93">
        <f t="shared" si="44"/>
        <v>0</v>
      </c>
      <c r="P205" s="93">
        <f t="shared" si="45"/>
        <v>0</v>
      </c>
      <c r="Q205" s="93">
        <f t="shared" si="46"/>
        <v>0</v>
      </c>
      <c r="R205" s="93">
        <f t="shared" si="47"/>
        <v>0</v>
      </c>
      <c r="S205" s="93">
        <f t="shared" si="48"/>
        <v>0</v>
      </c>
      <c r="T205" s="93">
        <f t="shared" si="49"/>
        <v>0</v>
      </c>
      <c r="U205" s="312">
        <f t="shared" si="42"/>
        <v>0</v>
      </c>
      <c r="V205" s="93">
        <f t="shared" si="43"/>
        <v>0</v>
      </c>
    </row>
    <row r="206" spans="1:22" ht="18" customHeight="1" x14ac:dyDescent="0.2">
      <c r="A206" s="110" t="s">
        <v>399</v>
      </c>
      <c r="B206" s="111"/>
      <c r="C206" s="201" t="s">
        <v>400</v>
      </c>
      <c r="D206" s="91">
        <v>39720</v>
      </c>
      <c r="E206" s="92"/>
      <c r="F206" s="93"/>
      <c r="G206" s="93"/>
      <c r="H206" s="93">
        <v>3644.55</v>
      </c>
      <c r="I206" s="93">
        <v>1178.55</v>
      </c>
      <c r="J206" s="93"/>
      <c r="K206" s="93">
        <f t="shared" si="39"/>
        <v>0</v>
      </c>
      <c r="L206" s="93">
        <f t="shared" si="40"/>
        <v>0</v>
      </c>
      <c r="M206" s="94">
        <v>10</v>
      </c>
      <c r="N206" s="95" t="s">
        <v>289</v>
      </c>
      <c r="O206" s="93">
        <f t="shared" si="44"/>
        <v>0</v>
      </c>
      <c r="P206" s="93">
        <f t="shared" si="45"/>
        <v>0</v>
      </c>
      <c r="Q206" s="93">
        <f t="shared" si="46"/>
        <v>0</v>
      </c>
      <c r="R206" s="93">
        <f t="shared" si="47"/>
        <v>58</v>
      </c>
      <c r="S206" s="93">
        <f t="shared" si="48"/>
        <v>0</v>
      </c>
      <c r="T206" s="93">
        <f t="shared" si="49"/>
        <v>58</v>
      </c>
      <c r="U206" s="312">
        <f t="shared" si="42"/>
        <v>1120.55</v>
      </c>
      <c r="V206" s="93">
        <f t="shared" si="43"/>
        <v>0</v>
      </c>
    </row>
    <row r="207" spans="1:22" ht="18" customHeight="1" x14ac:dyDescent="0.2">
      <c r="A207" s="110" t="s">
        <v>402</v>
      </c>
      <c r="B207" s="111"/>
      <c r="C207" s="201" t="s">
        <v>403</v>
      </c>
      <c r="D207" s="91">
        <v>39720</v>
      </c>
      <c r="E207" s="92"/>
      <c r="F207" s="93"/>
      <c r="G207" s="93"/>
      <c r="H207" s="93">
        <v>13331.36</v>
      </c>
      <c r="I207" s="93">
        <v>4308.3599999999997</v>
      </c>
      <c r="J207" s="93"/>
      <c r="K207" s="93">
        <f t="shared" si="39"/>
        <v>0</v>
      </c>
      <c r="L207" s="93">
        <f t="shared" si="40"/>
        <v>0</v>
      </c>
      <c r="M207" s="94">
        <v>10</v>
      </c>
      <c r="N207" s="95" t="s">
        <v>289</v>
      </c>
      <c r="O207" s="93">
        <f t="shared" si="44"/>
        <v>0</v>
      </c>
      <c r="P207" s="93">
        <f t="shared" si="45"/>
        <v>0</v>
      </c>
      <c r="Q207" s="93">
        <f t="shared" si="46"/>
        <v>0</v>
      </c>
      <c r="R207" s="93">
        <f t="shared" si="47"/>
        <v>215</v>
      </c>
      <c r="S207" s="93">
        <f t="shared" si="48"/>
        <v>0</v>
      </c>
      <c r="T207" s="93">
        <f t="shared" si="49"/>
        <v>215</v>
      </c>
      <c r="U207" s="312">
        <f t="shared" si="42"/>
        <v>4093.3599999999997</v>
      </c>
      <c r="V207" s="93">
        <f t="shared" si="43"/>
        <v>0</v>
      </c>
    </row>
    <row r="208" spans="1:22" ht="18" customHeight="1" x14ac:dyDescent="0.2">
      <c r="A208" s="110" t="s">
        <v>404</v>
      </c>
      <c r="B208" s="111"/>
      <c r="C208" s="201" t="s">
        <v>405</v>
      </c>
      <c r="D208" s="91">
        <v>39720</v>
      </c>
      <c r="E208" s="92"/>
      <c r="F208" s="93"/>
      <c r="G208" s="93"/>
      <c r="H208" s="93">
        <v>633</v>
      </c>
      <c r="I208" s="93">
        <v>0</v>
      </c>
      <c r="J208" s="93"/>
      <c r="K208" s="93">
        <f t="shared" si="39"/>
        <v>0</v>
      </c>
      <c r="L208" s="93">
        <f t="shared" si="40"/>
        <v>0</v>
      </c>
      <c r="M208" s="94">
        <v>18.75</v>
      </c>
      <c r="N208" s="95" t="s">
        <v>289</v>
      </c>
      <c r="O208" s="93">
        <f t="shared" si="44"/>
        <v>0</v>
      </c>
      <c r="P208" s="93">
        <f t="shared" si="45"/>
        <v>0</v>
      </c>
      <c r="Q208" s="93">
        <f t="shared" si="46"/>
        <v>0</v>
      </c>
      <c r="R208" s="93">
        <f t="shared" si="47"/>
        <v>0</v>
      </c>
      <c r="S208" s="93">
        <f t="shared" si="48"/>
        <v>0</v>
      </c>
      <c r="T208" s="93">
        <f t="shared" si="49"/>
        <v>0</v>
      </c>
      <c r="U208" s="312">
        <f t="shared" si="42"/>
        <v>0</v>
      </c>
      <c r="V208" s="93">
        <f t="shared" si="43"/>
        <v>0</v>
      </c>
    </row>
    <row r="209" spans="1:22" ht="18" customHeight="1" x14ac:dyDescent="0.2">
      <c r="A209" s="110" t="s">
        <v>408</v>
      </c>
      <c r="B209" s="111"/>
      <c r="C209" s="201" t="s">
        <v>409</v>
      </c>
      <c r="D209" s="91">
        <v>39769</v>
      </c>
      <c r="E209" s="92"/>
      <c r="F209" s="93"/>
      <c r="G209" s="93"/>
      <c r="H209" s="93">
        <v>940</v>
      </c>
      <c r="I209" s="93">
        <v>0</v>
      </c>
      <c r="J209" s="93"/>
      <c r="K209" s="93">
        <f t="shared" si="39"/>
        <v>0</v>
      </c>
      <c r="L209" s="93">
        <f t="shared" si="40"/>
        <v>0</v>
      </c>
      <c r="M209" s="94">
        <v>18.75</v>
      </c>
      <c r="N209" s="95" t="s">
        <v>289</v>
      </c>
      <c r="O209" s="93">
        <f t="shared" si="44"/>
        <v>0</v>
      </c>
      <c r="P209" s="93">
        <f t="shared" si="45"/>
        <v>0</v>
      </c>
      <c r="Q209" s="93">
        <f t="shared" si="46"/>
        <v>0</v>
      </c>
      <c r="R209" s="93">
        <f t="shared" si="47"/>
        <v>0</v>
      </c>
      <c r="S209" s="93">
        <f t="shared" si="48"/>
        <v>0</v>
      </c>
      <c r="T209" s="93">
        <f t="shared" si="49"/>
        <v>0</v>
      </c>
      <c r="U209" s="312">
        <f t="shared" si="42"/>
        <v>0</v>
      </c>
      <c r="V209" s="93">
        <f t="shared" si="43"/>
        <v>0</v>
      </c>
    </row>
    <row r="210" spans="1:22" ht="18" customHeight="1" x14ac:dyDescent="0.2">
      <c r="A210" s="110" t="s">
        <v>412</v>
      </c>
      <c r="B210" s="111"/>
      <c r="C210" s="201" t="s">
        <v>413</v>
      </c>
      <c r="D210" s="91">
        <v>39829</v>
      </c>
      <c r="E210" s="92"/>
      <c r="F210" s="93"/>
      <c r="G210" s="93"/>
      <c r="H210" s="93">
        <v>39099</v>
      </c>
      <c r="I210" s="93">
        <v>3861</v>
      </c>
      <c r="J210" s="93"/>
      <c r="K210" s="93">
        <f t="shared" ref="K210:K243" si="50">INT(IF($E210&gt;0,IF(+F210-I210+Q210&lt;0,0,+F210-I210+Q210),0))</f>
        <v>0</v>
      </c>
      <c r="L210" s="93">
        <f t="shared" ref="L210:L243" si="51">INT(IF($E210&gt;0,IF(K210=0,-F210+I210-Q210,0),0))</f>
        <v>0</v>
      </c>
      <c r="M210" s="94">
        <v>20</v>
      </c>
      <c r="N210" s="95" t="s">
        <v>289</v>
      </c>
      <c r="O210" s="93">
        <f t="shared" ref="O210:O244" si="52">IF(E210&gt;0,INT(IF($N210="D",IF($D210&lt;$H$3,$I210*($M210/100)*((E210-$H$3)/365),$J210*($M210/100)*($J$3-$D210)/365),0)),0)</f>
        <v>0</v>
      </c>
      <c r="P210" s="93">
        <f t="shared" ref="P210:P244" si="53">IF(E210&gt;0,INT(IF($N210="P",IF($D210&lt;$H$3,$H210*($M210/100)*(E210-$H$3)/365,$J210*($M210/100)*($J$3-$D210)/365),0)),0)</f>
        <v>0</v>
      </c>
      <c r="Q210" s="93">
        <f t="shared" ref="Q210:Q244" si="54">+O210+P210</f>
        <v>0</v>
      </c>
      <c r="R210" s="93">
        <f t="shared" ref="R210:R244" si="55">INT(IF($E210&gt;0,0,(IF($N210="D",IF($D210&lt;$H$3,$I210*($M210/100)*$U$3/12,$J210*($M210/100)*($J$3-$D210)/365),0))))</f>
        <v>386</v>
      </c>
      <c r="S210" s="93">
        <f t="shared" ref="S210:S244" si="56">INT(IF($E210&gt;0,0,(IF($N210="P",IF($D210&lt;$H$3,$H210*($M210/100)*$U$3/12,$J210*($M210/100)*($J$3-$D210)/365),0))))</f>
        <v>0</v>
      </c>
      <c r="T210" s="93">
        <f t="shared" si="49"/>
        <v>386</v>
      </c>
      <c r="U210" s="312">
        <f t="shared" ref="U210:U243" si="57">+I210+J210-T210-F210+K210-L210</f>
        <v>3475</v>
      </c>
      <c r="V210" s="93">
        <f t="shared" ref="V210:V243" si="58">IF(E210&gt;0,+H210+J210,0)</f>
        <v>0</v>
      </c>
    </row>
    <row r="211" spans="1:22" ht="18" customHeight="1" x14ac:dyDescent="0.2">
      <c r="A211" s="110" t="s">
        <v>415</v>
      </c>
      <c r="B211" s="111"/>
      <c r="C211" s="201" t="s">
        <v>416</v>
      </c>
      <c r="D211" s="91">
        <v>39835</v>
      </c>
      <c r="E211" s="92"/>
      <c r="F211" s="93"/>
      <c r="G211" s="93"/>
      <c r="H211" s="93">
        <v>2014.73</v>
      </c>
      <c r="I211" s="93">
        <v>0</v>
      </c>
      <c r="J211" s="93"/>
      <c r="K211" s="93">
        <f t="shared" si="50"/>
        <v>0</v>
      </c>
      <c r="L211" s="93">
        <f t="shared" si="51"/>
        <v>0</v>
      </c>
      <c r="M211" s="94">
        <v>20</v>
      </c>
      <c r="N211" s="95" t="s">
        <v>289</v>
      </c>
      <c r="O211" s="93">
        <f t="shared" si="52"/>
        <v>0</v>
      </c>
      <c r="P211" s="93">
        <f t="shared" si="53"/>
        <v>0</v>
      </c>
      <c r="Q211" s="93">
        <f t="shared" si="54"/>
        <v>0</v>
      </c>
      <c r="R211" s="93">
        <f t="shared" si="55"/>
        <v>0</v>
      </c>
      <c r="S211" s="93">
        <f t="shared" si="56"/>
        <v>0</v>
      </c>
      <c r="T211" s="93">
        <f t="shared" si="49"/>
        <v>0</v>
      </c>
      <c r="U211" s="312">
        <f t="shared" si="57"/>
        <v>0</v>
      </c>
      <c r="V211" s="93">
        <f t="shared" si="58"/>
        <v>0</v>
      </c>
    </row>
    <row r="212" spans="1:22" ht="18" customHeight="1" x14ac:dyDescent="0.2">
      <c r="A212" s="110" t="s">
        <v>417</v>
      </c>
      <c r="B212" s="111"/>
      <c r="C212" s="201" t="s">
        <v>418</v>
      </c>
      <c r="D212" s="91">
        <v>39833</v>
      </c>
      <c r="E212" s="92"/>
      <c r="F212" s="93"/>
      <c r="G212" s="93"/>
      <c r="H212" s="93">
        <v>7283.5</v>
      </c>
      <c r="I212" s="93">
        <v>2433.5</v>
      </c>
      <c r="J212" s="93"/>
      <c r="K212" s="93">
        <f t="shared" si="50"/>
        <v>0</v>
      </c>
      <c r="L212" s="93">
        <f t="shared" si="51"/>
        <v>0</v>
      </c>
      <c r="M212" s="94">
        <v>10</v>
      </c>
      <c r="N212" s="95" t="s">
        <v>289</v>
      </c>
      <c r="O212" s="93">
        <f t="shared" si="52"/>
        <v>0</v>
      </c>
      <c r="P212" s="93">
        <f t="shared" si="53"/>
        <v>0</v>
      </c>
      <c r="Q212" s="93">
        <f t="shared" si="54"/>
        <v>0</v>
      </c>
      <c r="R212" s="93">
        <f t="shared" si="55"/>
        <v>121</v>
      </c>
      <c r="S212" s="93">
        <f t="shared" si="56"/>
        <v>0</v>
      </c>
      <c r="T212" s="93">
        <f t="shared" si="49"/>
        <v>121</v>
      </c>
      <c r="U212" s="312">
        <f t="shared" si="57"/>
        <v>2312.5</v>
      </c>
      <c r="V212" s="93">
        <f t="shared" si="58"/>
        <v>0</v>
      </c>
    </row>
    <row r="213" spans="1:22" ht="18" customHeight="1" x14ac:dyDescent="0.2">
      <c r="A213" s="110" t="s">
        <v>421</v>
      </c>
      <c r="B213" s="111"/>
      <c r="C213" s="201" t="s">
        <v>422</v>
      </c>
      <c r="D213" s="91">
        <v>39867</v>
      </c>
      <c r="E213" s="92"/>
      <c r="F213" s="93"/>
      <c r="G213" s="93"/>
      <c r="H213" s="93">
        <v>2965.46</v>
      </c>
      <c r="I213" s="93">
        <v>300.45999999999998</v>
      </c>
      <c r="J213" s="93"/>
      <c r="K213" s="93">
        <f t="shared" si="50"/>
        <v>0</v>
      </c>
      <c r="L213" s="93">
        <f t="shared" si="51"/>
        <v>0</v>
      </c>
      <c r="M213" s="94">
        <v>20</v>
      </c>
      <c r="N213" s="95" t="s">
        <v>289</v>
      </c>
      <c r="O213" s="93">
        <f t="shared" si="52"/>
        <v>0</v>
      </c>
      <c r="P213" s="93">
        <f t="shared" si="53"/>
        <v>0</v>
      </c>
      <c r="Q213" s="93">
        <f t="shared" si="54"/>
        <v>0</v>
      </c>
      <c r="R213" s="93">
        <f t="shared" si="55"/>
        <v>30</v>
      </c>
      <c r="S213" s="93">
        <f t="shared" si="56"/>
        <v>0</v>
      </c>
      <c r="T213" s="93">
        <f t="shared" si="49"/>
        <v>30</v>
      </c>
      <c r="U213" s="312">
        <f t="shared" si="57"/>
        <v>270.45999999999998</v>
      </c>
      <c r="V213" s="93">
        <f t="shared" si="58"/>
        <v>0</v>
      </c>
    </row>
    <row r="214" spans="1:22" ht="18" customHeight="1" x14ac:dyDescent="0.2">
      <c r="A214" s="110" t="s">
        <v>423</v>
      </c>
      <c r="B214" s="111"/>
      <c r="C214" s="201" t="s">
        <v>424</v>
      </c>
      <c r="D214" s="91">
        <v>39905</v>
      </c>
      <c r="E214" s="92"/>
      <c r="F214" s="93"/>
      <c r="G214" s="93"/>
      <c r="H214" s="93">
        <v>1900</v>
      </c>
      <c r="I214" s="93">
        <v>0</v>
      </c>
      <c r="J214" s="93"/>
      <c r="K214" s="93">
        <f t="shared" si="50"/>
        <v>0</v>
      </c>
      <c r="L214" s="93">
        <f t="shared" si="51"/>
        <v>0</v>
      </c>
      <c r="M214" s="94">
        <v>20</v>
      </c>
      <c r="N214" s="95" t="s">
        <v>289</v>
      </c>
      <c r="O214" s="93">
        <f t="shared" si="52"/>
        <v>0</v>
      </c>
      <c r="P214" s="93">
        <f t="shared" si="53"/>
        <v>0</v>
      </c>
      <c r="Q214" s="93">
        <f t="shared" si="54"/>
        <v>0</v>
      </c>
      <c r="R214" s="93">
        <f t="shared" si="55"/>
        <v>0</v>
      </c>
      <c r="S214" s="93">
        <f t="shared" si="56"/>
        <v>0</v>
      </c>
      <c r="T214" s="93">
        <f t="shared" si="49"/>
        <v>0</v>
      </c>
      <c r="U214" s="312">
        <f t="shared" si="57"/>
        <v>0</v>
      </c>
      <c r="V214" s="93">
        <f t="shared" si="58"/>
        <v>0</v>
      </c>
    </row>
    <row r="215" spans="1:22" ht="18" customHeight="1" x14ac:dyDescent="0.2">
      <c r="A215" s="110" t="s">
        <v>426</v>
      </c>
      <c r="B215" s="111"/>
      <c r="C215" s="90" t="s">
        <v>427</v>
      </c>
      <c r="D215" s="91">
        <v>39955</v>
      </c>
      <c r="E215" s="92"/>
      <c r="F215" s="93"/>
      <c r="G215" s="93"/>
      <c r="H215" s="93">
        <v>2737.55</v>
      </c>
      <c r="I215" s="93">
        <v>291.55</v>
      </c>
      <c r="J215" s="93"/>
      <c r="K215" s="93">
        <f t="shared" si="50"/>
        <v>0</v>
      </c>
      <c r="L215" s="93">
        <f t="shared" si="51"/>
        <v>0</v>
      </c>
      <c r="M215" s="94">
        <v>20</v>
      </c>
      <c r="N215" s="95" t="s">
        <v>289</v>
      </c>
      <c r="O215" s="93">
        <f t="shared" si="52"/>
        <v>0</v>
      </c>
      <c r="P215" s="93">
        <f t="shared" si="53"/>
        <v>0</v>
      </c>
      <c r="Q215" s="93">
        <f t="shared" si="54"/>
        <v>0</v>
      </c>
      <c r="R215" s="93">
        <f t="shared" si="55"/>
        <v>29</v>
      </c>
      <c r="S215" s="93">
        <f t="shared" si="56"/>
        <v>0</v>
      </c>
      <c r="T215" s="93">
        <f t="shared" si="49"/>
        <v>29</v>
      </c>
      <c r="U215" s="312">
        <f t="shared" si="57"/>
        <v>262.55</v>
      </c>
      <c r="V215" s="93">
        <f t="shared" si="58"/>
        <v>0</v>
      </c>
    </row>
    <row r="216" spans="1:22" ht="18" customHeight="1" x14ac:dyDescent="0.2">
      <c r="A216" s="110" t="s">
        <v>428</v>
      </c>
      <c r="B216" s="111"/>
      <c r="C216" s="201" t="s">
        <v>429</v>
      </c>
      <c r="D216" s="91">
        <v>39981</v>
      </c>
      <c r="E216" s="92"/>
      <c r="F216" s="93"/>
      <c r="G216" s="93"/>
      <c r="H216" s="93">
        <v>1430.91</v>
      </c>
      <c r="I216" s="93">
        <v>0</v>
      </c>
      <c r="J216" s="93"/>
      <c r="K216" s="93">
        <f t="shared" si="50"/>
        <v>0</v>
      </c>
      <c r="L216" s="93">
        <f t="shared" si="51"/>
        <v>0</v>
      </c>
      <c r="M216" s="94">
        <v>20</v>
      </c>
      <c r="N216" s="95" t="s">
        <v>289</v>
      </c>
      <c r="O216" s="93">
        <f t="shared" si="52"/>
        <v>0</v>
      </c>
      <c r="P216" s="93">
        <f t="shared" si="53"/>
        <v>0</v>
      </c>
      <c r="Q216" s="93">
        <f t="shared" si="54"/>
        <v>0</v>
      </c>
      <c r="R216" s="93">
        <f t="shared" si="55"/>
        <v>0</v>
      </c>
      <c r="S216" s="93">
        <f t="shared" si="56"/>
        <v>0</v>
      </c>
      <c r="T216" s="93">
        <f t="shared" si="49"/>
        <v>0</v>
      </c>
      <c r="U216" s="312">
        <f t="shared" si="57"/>
        <v>0</v>
      </c>
      <c r="V216" s="93">
        <f t="shared" si="58"/>
        <v>0</v>
      </c>
    </row>
    <row r="217" spans="1:22" ht="18" customHeight="1" x14ac:dyDescent="0.2">
      <c r="A217" s="110" t="s">
        <v>432</v>
      </c>
      <c r="B217" s="111"/>
      <c r="C217" s="201" t="s">
        <v>433</v>
      </c>
      <c r="D217" s="91">
        <v>39988</v>
      </c>
      <c r="E217" s="92"/>
      <c r="F217" s="93"/>
      <c r="G217" s="93"/>
      <c r="H217" s="93">
        <v>36880</v>
      </c>
      <c r="I217" s="93">
        <v>7277</v>
      </c>
      <c r="J217" s="93"/>
      <c r="K217" s="93">
        <f t="shared" si="50"/>
        <v>0</v>
      </c>
      <c r="L217" s="93">
        <f t="shared" si="51"/>
        <v>0</v>
      </c>
      <c r="M217" s="94">
        <v>15</v>
      </c>
      <c r="N217" s="95" t="s">
        <v>289</v>
      </c>
      <c r="O217" s="93">
        <f t="shared" si="52"/>
        <v>0</v>
      </c>
      <c r="P217" s="93">
        <f t="shared" si="53"/>
        <v>0</v>
      </c>
      <c r="Q217" s="93">
        <f t="shared" si="54"/>
        <v>0</v>
      </c>
      <c r="R217" s="93">
        <f t="shared" si="55"/>
        <v>545</v>
      </c>
      <c r="S217" s="93">
        <f t="shared" si="56"/>
        <v>0</v>
      </c>
      <c r="T217" s="93">
        <f t="shared" si="49"/>
        <v>545</v>
      </c>
      <c r="U217" s="312">
        <f t="shared" si="57"/>
        <v>6732</v>
      </c>
      <c r="V217" s="93">
        <f t="shared" si="58"/>
        <v>0</v>
      </c>
    </row>
    <row r="218" spans="1:22" ht="18" customHeight="1" x14ac:dyDescent="0.2">
      <c r="A218" s="110" t="s">
        <v>435</v>
      </c>
      <c r="B218" s="111"/>
      <c r="C218" s="201" t="s">
        <v>436</v>
      </c>
      <c r="D218" s="91">
        <v>39692</v>
      </c>
      <c r="E218" s="92"/>
      <c r="F218" s="93"/>
      <c r="G218" s="93"/>
      <c r="H218" s="93">
        <v>375.90000000000003</v>
      </c>
      <c r="I218" s="93">
        <v>0</v>
      </c>
      <c r="J218" s="93"/>
      <c r="K218" s="93">
        <f t="shared" si="50"/>
        <v>0</v>
      </c>
      <c r="L218" s="93">
        <f t="shared" si="51"/>
        <v>0</v>
      </c>
      <c r="M218" s="94">
        <v>18.75</v>
      </c>
      <c r="N218" s="95" t="s">
        <v>289</v>
      </c>
      <c r="O218" s="93">
        <f t="shared" si="52"/>
        <v>0</v>
      </c>
      <c r="P218" s="93">
        <f t="shared" si="53"/>
        <v>0</v>
      </c>
      <c r="Q218" s="93">
        <f t="shared" si="54"/>
        <v>0</v>
      </c>
      <c r="R218" s="93">
        <f t="shared" si="55"/>
        <v>0</v>
      </c>
      <c r="S218" s="93">
        <f t="shared" si="56"/>
        <v>0</v>
      </c>
      <c r="T218" s="93">
        <f t="shared" si="49"/>
        <v>0</v>
      </c>
      <c r="U218" s="312">
        <f t="shared" si="57"/>
        <v>0</v>
      </c>
      <c r="V218" s="93">
        <f t="shared" si="58"/>
        <v>0</v>
      </c>
    </row>
    <row r="219" spans="1:22" ht="18" customHeight="1" x14ac:dyDescent="0.2">
      <c r="A219" s="110" t="s">
        <v>437</v>
      </c>
      <c r="B219" s="111"/>
      <c r="C219" s="201" t="s">
        <v>438</v>
      </c>
      <c r="D219" s="91">
        <v>39750</v>
      </c>
      <c r="E219" s="92"/>
      <c r="F219" s="93"/>
      <c r="G219" s="93"/>
      <c r="H219" s="93">
        <v>427</v>
      </c>
      <c r="I219" s="93">
        <v>0</v>
      </c>
      <c r="J219" s="93"/>
      <c r="K219" s="93">
        <f t="shared" si="50"/>
        <v>0</v>
      </c>
      <c r="L219" s="93">
        <f t="shared" si="51"/>
        <v>0</v>
      </c>
      <c r="M219" s="94">
        <v>18.75</v>
      </c>
      <c r="N219" s="95" t="s">
        <v>289</v>
      </c>
      <c r="O219" s="93">
        <f t="shared" si="52"/>
        <v>0</v>
      </c>
      <c r="P219" s="93">
        <f t="shared" si="53"/>
        <v>0</v>
      </c>
      <c r="Q219" s="93">
        <f t="shared" si="54"/>
        <v>0</v>
      </c>
      <c r="R219" s="93">
        <f t="shared" si="55"/>
        <v>0</v>
      </c>
      <c r="S219" s="93">
        <f t="shared" si="56"/>
        <v>0</v>
      </c>
      <c r="T219" s="93">
        <f t="shared" si="49"/>
        <v>0</v>
      </c>
      <c r="U219" s="312">
        <f t="shared" si="57"/>
        <v>0</v>
      </c>
      <c r="V219" s="93">
        <f t="shared" si="58"/>
        <v>0</v>
      </c>
    </row>
    <row r="220" spans="1:22" ht="18" customHeight="1" x14ac:dyDescent="0.2">
      <c r="A220" s="110" t="s">
        <v>439</v>
      </c>
      <c r="B220" s="111"/>
      <c r="C220" s="201" t="s">
        <v>440</v>
      </c>
      <c r="D220" s="91">
        <v>39765</v>
      </c>
      <c r="E220" s="92"/>
      <c r="F220" s="93"/>
      <c r="G220" s="93"/>
      <c r="H220" s="93">
        <v>442</v>
      </c>
      <c r="I220" s="93">
        <v>0</v>
      </c>
      <c r="J220" s="93"/>
      <c r="K220" s="93">
        <f t="shared" si="50"/>
        <v>0</v>
      </c>
      <c r="L220" s="93">
        <f t="shared" si="51"/>
        <v>0</v>
      </c>
      <c r="M220" s="94">
        <v>18.75</v>
      </c>
      <c r="N220" s="95" t="s">
        <v>289</v>
      </c>
      <c r="O220" s="93">
        <f t="shared" si="52"/>
        <v>0</v>
      </c>
      <c r="P220" s="93">
        <f t="shared" si="53"/>
        <v>0</v>
      </c>
      <c r="Q220" s="93">
        <f t="shared" si="54"/>
        <v>0</v>
      </c>
      <c r="R220" s="93">
        <f t="shared" si="55"/>
        <v>0</v>
      </c>
      <c r="S220" s="93">
        <f t="shared" si="56"/>
        <v>0</v>
      </c>
      <c r="T220" s="93">
        <f t="shared" si="49"/>
        <v>0</v>
      </c>
      <c r="U220" s="312">
        <f t="shared" si="57"/>
        <v>0</v>
      </c>
      <c r="V220" s="93">
        <f t="shared" si="58"/>
        <v>0</v>
      </c>
    </row>
    <row r="221" spans="1:22" ht="18" customHeight="1" x14ac:dyDescent="0.2">
      <c r="A221" s="110" t="s">
        <v>441</v>
      </c>
      <c r="B221" s="111"/>
      <c r="C221" s="201" t="s">
        <v>442</v>
      </c>
      <c r="D221" s="91">
        <v>39787</v>
      </c>
      <c r="E221" s="92"/>
      <c r="F221" s="93"/>
      <c r="G221" s="93"/>
      <c r="H221" s="93">
        <v>233.96</v>
      </c>
      <c r="I221" s="93">
        <v>0</v>
      </c>
      <c r="J221" s="93"/>
      <c r="K221" s="93">
        <f t="shared" si="50"/>
        <v>0</v>
      </c>
      <c r="L221" s="93">
        <f t="shared" si="51"/>
        <v>0</v>
      </c>
      <c r="M221" s="94">
        <v>18.75</v>
      </c>
      <c r="N221" s="95" t="s">
        <v>289</v>
      </c>
      <c r="O221" s="93">
        <f t="shared" si="52"/>
        <v>0</v>
      </c>
      <c r="P221" s="93">
        <f t="shared" si="53"/>
        <v>0</v>
      </c>
      <c r="Q221" s="93">
        <f t="shared" si="54"/>
        <v>0</v>
      </c>
      <c r="R221" s="93">
        <f t="shared" si="55"/>
        <v>0</v>
      </c>
      <c r="S221" s="93">
        <f t="shared" si="56"/>
        <v>0</v>
      </c>
      <c r="T221" s="93">
        <f t="shared" si="49"/>
        <v>0</v>
      </c>
      <c r="U221" s="312">
        <f t="shared" si="57"/>
        <v>0</v>
      </c>
      <c r="V221" s="93">
        <f t="shared" si="58"/>
        <v>0</v>
      </c>
    </row>
    <row r="222" spans="1:22" ht="18" customHeight="1" x14ac:dyDescent="0.2">
      <c r="A222" s="110" t="s">
        <v>444</v>
      </c>
      <c r="B222" s="111"/>
      <c r="C222" s="201" t="s">
        <v>445</v>
      </c>
      <c r="D222" s="91">
        <v>39790</v>
      </c>
      <c r="E222" s="92"/>
      <c r="F222" s="93"/>
      <c r="G222" s="93"/>
      <c r="H222" s="93">
        <v>1077.75</v>
      </c>
      <c r="I222" s="93">
        <v>0</v>
      </c>
      <c r="J222" s="93"/>
      <c r="K222" s="93">
        <f t="shared" si="50"/>
        <v>0</v>
      </c>
      <c r="L222" s="93">
        <f t="shared" si="51"/>
        <v>0</v>
      </c>
      <c r="M222" s="94">
        <v>18.75</v>
      </c>
      <c r="N222" s="95" t="s">
        <v>289</v>
      </c>
      <c r="O222" s="93">
        <f t="shared" si="52"/>
        <v>0</v>
      </c>
      <c r="P222" s="93">
        <f t="shared" si="53"/>
        <v>0</v>
      </c>
      <c r="Q222" s="93">
        <f t="shared" si="54"/>
        <v>0</v>
      </c>
      <c r="R222" s="93">
        <f t="shared" si="55"/>
        <v>0</v>
      </c>
      <c r="S222" s="93">
        <f t="shared" si="56"/>
        <v>0</v>
      </c>
      <c r="T222" s="93">
        <f t="shared" si="49"/>
        <v>0</v>
      </c>
      <c r="U222" s="312">
        <f t="shared" si="57"/>
        <v>0</v>
      </c>
      <c r="V222" s="93">
        <f t="shared" si="58"/>
        <v>0</v>
      </c>
    </row>
    <row r="223" spans="1:22" ht="18" customHeight="1" x14ac:dyDescent="0.2">
      <c r="A223" s="110" t="s">
        <v>446</v>
      </c>
      <c r="B223" s="111"/>
      <c r="C223" s="201" t="s">
        <v>380</v>
      </c>
      <c r="D223" s="91">
        <v>39814</v>
      </c>
      <c r="E223" s="92"/>
      <c r="F223" s="93"/>
      <c r="G223" s="93"/>
      <c r="H223" s="93">
        <v>1099.52</v>
      </c>
      <c r="I223" s="93">
        <v>0</v>
      </c>
      <c r="J223" s="93"/>
      <c r="K223" s="93">
        <f t="shared" si="50"/>
        <v>0</v>
      </c>
      <c r="L223" s="93">
        <f t="shared" si="51"/>
        <v>0</v>
      </c>
      <c r="M223" s="94">
        <v>18.75</v>
      </c>
      <c r="N223" s="95" t="s">
        <v>289</v>
      </c>
      <c r="O223" s="93">
        <f t="shared" si="52"/>
        <v>0</v>
      </c>
      <c r="P223" s="93">
        <f t="shared" si="53"/>
        <v>0</v>
      </c>
      <c r="Q223" s="93">
        <f t="shared" si="54"/>
        <v>0</v>
      </c>
      <c r="R223" s="93">
        <f t="shared" si="55"/>
        <v>0</v>
      </c>
      <c r="S223" s="93">
        <f t="shared" si="56"/>
        <v>0</v>
      </c>
      <c r="T223" s="93">
        <f t="shared" si="49"/>
        <v>0</v>
      </c>
      <c r="U223" s="312">
        <f t="shared" si="57"/>
        <v>0</v>
      </c>
      <c r="V223" s="93">
        <f t="shared" si="58"/>
        <v>0</v>
      </c>
    </row>
    <row r="224" spans="1:22" ht="18" customHeight="1" x14ac:dyDescent="0.2">
      <c r="A224" s="110" t="s">
        <v>447</v>
      </c>
      <c r="B224" s="111"/>
      <c r="C224" s="201" t="s">
        <v>418</v>
      </c>
      <c r="D224" s="91">
        <v>39821</v>
      </c>
      <c r="E224" s="92"/>
      <c r="F224" s="93"/>
      <c r="G224" s="93"/>
      <c r="H224" s="93">
        <v>373.25</v>
      </c>
      <c r="I224" s="93">
        <v>0</v>
      </c>
      <c r="J224" s="93"/>
      <c r="K224" s="93">
        <f t="shared" si="50"/>
        <v>0</v>
      </c>
      <c r="L224" s="93">
        <f t="shared" si="51"/>
        <v>0</v>
      </c>
      <c r="M224" s="94">
        <v>18.75</v>
      </c>
      <c r="N224" s="95" t="s">
        <v>289</v>
      </c>
      <c r="O224" s="93">
        <f t="shared" si="52"/>
        <v>0</v>
      </c>
      <c r="P224" s="93">
        <f t="shared" si="53"/>
        <v>0</v>
      </c>
      <c r="Q224" s="93">
        <f t="shared" si="54"/>
        <v>0</v>
      </c>
      <c r="R224" s="93">
        <f t="shared" si="55"/>
        <v>0</v>
      </c>
      <c r="S224" s="93">
        <f t="shared" si="56"/>
        <v>0</v>
      </c>
      <c r="T224" s="93">
        <f t="shared" ref="T224:T262" si="59">+R224+S224+Q224</f>
        <v>0</v>
      </c>
      <c r="U224" s="312">
        <f t="shared" si="57"/>
        <v>0</v>
      </c>
      <c r="V224" s="93">
        <f t="shared" si="58"/>
        <v>0</v>
      </c>
    </row>
    <row r="225" spans="1:22" ht="18" customHeight="1" x14ac:dyDescent="0.2">
      <c r="A225" s="110" t="s">
        <v>448</v>
      </c>
      <c r="B225" s="111"/>
      <c r="C225" s="201" t="s">
        <v>449</v>
      </c>
      <c r="D225" s="91">
        <v>39855</v>
      </c>
      <c r="E225" s="92"/>
      <c r="F225" s="93"/>
      <c r="G225" s="93"/>
      <c r="H225" s="93">
        <v>327.93</v>
      </c>
      <c r="I225" s="93">
        <v>0</v>
      </c>
      <c r="J225" s="93"/>
      <c r="K225" s="93">
        <f t="shared" si="50"/>
        <v>0</v>
      </c>
      <c r="L225" s="93">
        <f t="shared" si="51"/>
        <v>0</v>
      </c>
      <c r="M225" s="94">
        <v>18.75</v>
      </c>
      <c r="N225" s="95" t="s">
        <v>289</v>
      </c>
      <c r="O225" s="93">
        <f t="shared" si="52"/>
        <v>0</v>
      </c>
      <c r="P225" s="93">
        <f t="shared" si="53"/>
        <v>0</v>
      </c>
      <c r="Q225" s="93">
        <f t="shared" si="54"/>
        <v>0</v>
      </c>
      <c r="R225" s="93">
        <f t="shared" si="55"/>
        <v>0</v>
      </c>
      <c r="S225" s="93">
        <f t="shared" si="56"/>
        <v>0</v>
      </c>
      <c r="T225" s="93">
        <f t="shared" si="59"/>
        <v>0</v>
      </c>
      <c r="U225" s="312">
        <f t="shared" si="57"/>
        <v>0</v>
      </c>
      <c r="V225" s="93">
        <f t="shared" si="58"/>
        <v>0</v>
      </c>
    </row>
    <row r="226" spans="1:22" ht="18" customHeight="1" x14ac:dyDescent="0.2">
      <c r="A226" s="110" t="s">
        <v>454</v>
      </c>
      <c r="B226" s="111"/>
      <c r="C226" s="201" t="s">
        <v>455</v>
      </c>
      <c r="D226" s="91">
        <v>39966</v>
      </c>
      <c r="E226" s="92"/>
      <c r="F226" s="93"/>
      <c r="G226" s="93"/>
      <c r="H226" s="93">
        <v>301.8</v>
      </c>
      <c r="I226" s="93">
        <v>0</v>
      </c>
      <c r="J226" s="93"/>
      <c r="K226" s="93">
        <f t="shared" si="50"/>
        <v>0</v>
      </c>
      <c r="L226" s="93">
        <f t="shared" si="51"/>
        <v>0</v>
      </c>
      <c r="M226" s="94">
        <v>18.75</v>
      </c>
      <c r="N226" s="95" t="s">
        <v>289</v>
      </c>
      <c r="O226" s="93">
        <f t="shared" si="52"/>
        <v>0</v>
      </c>
      <c r="P226" s="93">
        <f t="shared" si="53"/>
        <v>0</v>
      </c>
      <c r="Q226" s="93">
        <f t="shared" si="54"/>
        <v>0</v>
      </c>
      <c r="R226" s="93">
        <f t="shared" si="55"/>
        <v>0</v>
      </c>
      <c r="S226" s="93">
        <f t="shared" si="56"/>
        <v>0</v>
      </c>
      <c r="T226" s="93">
        <f t="shared" si="59"/>
        <v>0</v>
      </c>
      <c r="U226" s="312">
        <f t="shared" si="57"/>
        <v>0</v>
      </c>
      <c r="V226" s="93">
        <f t="shared" si="58"/>
        <v>0</v>
      </c>
    </row>
    <row r="227" spans="1:22" ht="18" customHeight="1" x14ac:dyDescent="0.2">
      <c r="A227" s="110" t="s">
        <v>456</v>
      </c>
      <c r="B227" s="111"/>
      <c r="C227" s="201" t="s">
        <v>331</v>
      </c>
      <c r="D227" s="91">
        <v>39987</v>
      </c>
      <c r="E227" s="92"/>
      <c r="F227" s="93"/>
      <c r="G227" s="93"/>
      <c r="H227" s="93">
        <v>1582.6000000000001</v>
      </c>
      <c r="I227" s="93">
        <v>0</v>
      </c>
      <c r="J227" s="93"/>
      <c r="K227" s="93">
        <f t="shared" si="50"/>
        <v>0</v>
      </c>
      <c r="L227" s="93">
        <f t="shared" si="51"/>
        <v>0</v>
      </c>
      <c r="M227" s="94">
        <v>18.75</v>
      </c>
      <c r="N227" s="95" t="s">
        <v>289</v>
      </c>
      <c r="O227" s="93">
        <f t="shared" si="52"/>
        <v>0</v>
      </c>
      <c r="P227" s="93">
        <f t="shared" si="53"/>
        <v>0</v>
      </c>
      <c r="Q227" s="93">
        <f t="shared" si="54"/>
        <v>0</v>
      </c>
      <c r="R227" s="93">
        <f t="shared" si="55"/>
        <v>0</v>
      </c>
      <c r="S227" s="93">
        <f t="shared" si="56"/>
        <v>0</v>
      </c>
      <c r="T227" s="93">
        <f t="shared" si="59"/>
        <v>0</v>
      </c>
      <c r="U227" s="312">
        <f t="shared" si="57"/>
        <v>0</v>
      </c>
      <c r="V227" s="93">
        <f t="shared" si="58"/>
        <v>0</v>
      </c>
    </row>
    <row r="228" spans="1:22" ht="18" customHeight="1" x14ac:dyDescent="0.2">
      <c r="A228" s="110" t="s">
        <v>460</v>
      </c>
      <c r="B228" s="111"/>
      <c r="C228" s="201" t="s">
        <v>461</v>
      </c>
      <c r="D228" s="91">
        <v>40028</v>
      </c>
      <c r="E228" s="92"/>
      <c r="F228" s="93"/>
      <c r="G228" s="93"/>
      <c r="H228" s="93">
        <v>2060</v>
      </c>
      <c r="I228" s="93">
        <v>229</v>
      </c>
      <c r="J228" s="93"/>
      <c r="K228" s="93">
        <f t="shared" si="50"/>
        <v>0</v>
      </c>
      <c r="L228" s="93">
        <f t="shared" si="51"/>
        <v>0</v>
      </c>
      <c r="M228" s="94">
        <v>20</v>
      </c>
      <c r="N228" s="95" t="s">
        <v>289</v>
      </c>
      <c r="O228" s="93">
        <f t="shared" si="52"/>
        <v>0</v>
      </c>
      <c r="P228" s="93">
        <f t="shared" si="53"/>
        <v>0</v>
      </c>
      <c r="Q228" s="93">
        <f t="shared" si="54"/>
        <v>0</v>
      </c>
      <c r="R228" s="93">
        <f t="shared" si="55"/>
        <v>22</v>
      </c>
      <c r="S228" s="93">
        <f t="shared" si="56"/>
        <v>0</v>
      </c>
      <c r="T228" s="93">
        <f t="shared" si="59"/>
        <v>22</v>
      </c>
      <c r="U228" s="312">
        <f t="shared" si="57"/>
        <v>207</v>
      </c>
      <c r="V228" s="93">
        <f t="shared" si="58"/>
        <v>0</v>
      </c>
    </row>
    <row r="229" spans="1:22" ht="18" customHeight="1" x14ac:dyDescent="0.2">
      <c r="A229" s="110" t="s">
        <v>477</v>
      </c>
      <c r="B229" s="111"/>
      <c r="C229" s="201" t="s">
        <v>478</v>
      </c>
      <c r="D229" s="91">
        <v>40095</v>
      </c>
      <c r="E229" s="92"/>
      <c r="F229" s="93"/>
      <c r="G229" s="93"/>
      <c r="H229" s="93">
        <v>2986.6</v>
      </c>
      <c r="I229" s="93">
        <v>347.6</v>
      </c>
      <c r="J229" s="93"/>
      <c r="K229" s="93">
        <f t="shared" si="50"/>
        <v>0</v>
      </c>
      <c r="L229" s="93">
        <f t="shared" si="51"/>
        <v>0</v>
      </c>
      <c r="M229" s="94">
        <v>20</v>
      </c>
      <c r="N229" s="95" t="s">
        <v>289</v>
      </c>
      <c r="O229" s="93">
        <f t="shared" si="52"/>
        <v>0</v>
      </c>
      <c r="P229" s="93">
        <f t="shared" si="53"/>
        <v>0</v>
      </c>
      <c r="Q229" s="93">
        <f t="shared" si="54"/>
        <v>0</v>
      </c>
      <c r="R229" s="93">
        <f t="shared" si="55"/>
        <v>34</v>
      </c>
      <c r="S229" s="93">
        <f t="shared" si="56"/>
        <v>0</v>
      </c>
      <c r="T229" s="93">
        <f t="shared" si="59"/>
        <v>34</v>
      </c>
      <c r="U229" s="312">
        <f t="shared" si="57"/>
        <v>313.60000000000002</v>
      </c>
      <c r="V229" s="93">
        <f t="shared" si="58"/>
        <v>0</v>
      </c>
    </row>
    <row r="230" spans="1:22" ht="18" customHeight="1" x14ac:dyDescent="0.2">
      <c r="A230" s="110" t="s">
        <v>482</v>
      </c>
      <c r="B230" s="111"/>
      <c r="C230" s="201" t="s">
        <v>483</v>
      </c>
      <c r="D230" s="91">
        <v>40162</v>
      </c>
      <c r="E230" s="92"/>
      <c r="F230" s="93"/>
      <c r="G230" s="93"/>
      <c r="H230" s="93">
        <v>3500</v>
      </c>
      <c r="I230" s="93">
        <v>0</v>
      </c>
      <c r="J230" s="93"/>
      <c r="K230" s="93">
        <f t="shared" si="50"/>
        <v>0</v>
      </c>
      <c r="L230" s="93">
        <f t="shared" si="51"/>
        <v>0</v>
      </c>
      <c r="M230" s="94">
        <v>40</v>
      </c>
      <c r="N230" s="95" t="s">
        <v>289</v>
      </c>
      <c r="O230" s="93">
        <f t="shared" si="52"/>
        <v>0</v>
      </c>
      <c r="P230" s="93">
        <f t="shared" si="53"/>
        <v>0</v>
      </c>
      <c r="Q230" s="93">
        <f t="shared" si="54"/>
        <v>0</v>
      </c>
      <c r="R230" s="93">
        <f t="shared" si="55"/>
        <v>0</v>
      </c>
      <c r="S230" s="93">
        <f t="shared" si="56"/>
        <v>0</v>
      </c>
      <c r="T230" s="93">
        <f t="shared" si="59"/>
        <v>0</v>
      </c>
      <c r="U230" s="312">
        <f t="shared" si="57"/>
        <v>0</v>
      </c>
      <c r="V230" s="93">
        <f t="shared" si="58"/>
        <v>0</v>
      </c>
    </row>
    <row r="231" spans="1:22" ht="18" customHeight="1" x14ac:dyDescent="0.2">
      <c r="A231" s="110" t="s">
        <v>484</v>
      </c>
      <c r="B231" s="111"/>
      <c r="C231" s="201" t="s">
        <v>485</v>
      </c>
      <c r="D231" s="91">
        <v>40190</v>
      </c>
      <c r="E231" s="92"/>
      <c r="F231" s="93"/>
      <c r="G231" s="93"/>
      <c r="H231" s="93">
        <v>1110</v>
      </c>
      <c r="I231" s="93">
        <v>0</v>
      </c>
      <c r="J231" s="93"/>
      <c r="K231" s="93">
        <f t="shared" si="50"/>
        <v>0</v>
      </c>
      <c r="L231" s="93">
        <f t="shared" si="51"/>
        <v>0</v>
      </c>
      <c r="M231" s="94">
        <v>40</v>
      </c>
      <c r="N231" s="95" t="s">
        <v>289</v>
      </c>
      <c r="O231" s="93">
        <f t="shared" si="52"/>
        <v>0</v>
      </c>
      <c r="P231" s="93">
        <f t="shared" si="53"/>
        <v>0</v>
      </c>
      <c r="Q231" s="93">
        <f t="shared" si="54"/>
        <v>0</v>
      </c>
      <c r="R231" s="93">
        <f t="shared" si="55"/>
        <v>0</v>
      </c>
      <c r="S231" s="93">
        <f t="shared" si="56"/>
        <v>0</v>
      </c>
      <c r="T231" s="93">
        <f t="shared" si="59"/>
        <v>0</v>
      </c>
      <c r="U231" s="312">
        <f t="shared" si="57"/>
        <v>0</v>
      </c>
      <c r="V231" s="93">
        <f t="shared" si="58"/>
        <v>0</v>
      </c>
    </row>
    <row r="232" spans="1:22" ht="18" customHeight="1" x14ac:dyDescent="0.2">
      <c r="A232" s="110" t="s">
        <v>486</v>
      </c>
      <c r="B232" s="111"/>
      <c r="C232" s="201" t="s">
        <v>487</v>
      </c>
      <c r="D232" s="91">
        <v>40210</v>
      </c>
      <c r="E232" s="92"/>
      <c r="F232" s="93"/>
      <c r="G232" s="93"/>
      <c r="H232" s="93">
        <v>1113</v>
      </c>
      <c r="I232" s="93">
        <v>0</v>
      </c>
      <c r="J232" s="93"/>
      <c r="K232" s="93">
        <f t="shared" si="50"/>
        <v>0</v>
      </c>
      <c r="L232" s="93">
        <f t="shared" si="51"/>
        <v>0</v>
      </c>
      <c r="M232" s="94">
        <v>10</v>
      </c>
      <c r="N232" s="95" t="s">
        <v>289</v>
      </c>
      <c r="O232" s="93">
        <f t="shared" si="52"/>
        <v>0</v>
      </c>
      <c r="P232" s="93">
        <f t="shared" si="53"/>
        <v>0</v>
      </c>
      <c r="Q232" s="93">
        <f t="shared" si="54"/>
        <v>0</v>
      </c>
      <c r="R232" s="93">
        <f t="shared" si="55"/>
        <v>0</v>
      </c>
      <c r="S232" s="93">
        <f t="shared" si="56"/>
        <v>0</v>
      </c>
      <c r="T232" s="93">
        <f t="shared" si="59"/>
        <v>0</v>
      </c>
      <c r="U232" s="312">
        <f t="shared" si="57"/>
        <v>0</v>
      </c>
      <c r="V232" s="93">
        <f t="shared" si="58"/>
        <v>0</v>
      </c>
    </row>
    <row r="233" spans="1:22" ht="18" customHeight="1" x14ac:dyDescent="0.2">
      <c r="A233" s="110" t="s">
        <v>494</v>
      </c>
      <c r="B233" s="111"/>
      <c r="C233" s="201" t="s">
        <v>495</v>
      </c>
      <c r="D233" s="91">
        <v>40188</v>
      </c>
      <c r="E233" s="92"/>
      <c r="F233" s="93"/>
      <c r="G233" s="93"/>
      <c r="H233" s="93">
        <v>360</v>
      </c>
      <c r="I233" s="93">
        <v>0</v>
      </c>
      <c r="J233" s="93"/>
      <c r="K233" s="93">
        <f t="shared" si="50"/>
        <v>0</v>
      </c>
      <c r="L233" s="93">
        <f t="shared" si="51"/>
        <v>0</v>
      </c>
      <c r="M233" s="94">
        <v>13.33</v>
      </c>
      <c r="N233" s="95" t="s">
        <v>289</v>
      </c>
      <c r="O233" s="93">
        <f t="shared" si="52"/>
        <v>0</v>
      </c>
      <c r="P233" s="93">
        <f t="shared" si="53"/>
        <v>0</v>
      </c>
      <c r="Q233" s="93">
        <f t="shared" si="54"/>
        <v>0</v>
      </c>
      <c r="R233" s="93">
        <f t="shared" si="55"/>
        <v>0</v>
      </c>
      <c r="S233" s="93">
        <f t="shared" si="56"/>
        <v>0</v>
      </c>
      <c r="T233" s="93">
        <f t="shared" si="59"/>
        <v>0</v>
      </c>
      <c r="U233" s="312">
        <f t="shared" si="57"/>
        <v>0</v>
      </c>
      <c r="V233" s="93">
        <f t="shared" si="58"/>
        <v>0</v>
      </c>
    </row>
    <row r="234" spans="1:22" ht="18" customHeight="1" x14ac:dyDescent="0.2">
      <c r="A234" s="110" t="s">
        <v>496</v>
      </c>
      <c r="B234" s="111"/>
      <c r="C234" s="201" t="s">
        <v>497</v>
      </c>
      <c r="D234" s="91">
        <v>40269</v>
      </c>
      <c r="E234" s="92"/>
      <c r="F234" s="93"/>
      <c r="G234" s="93"/>
      <c r="H234" s="93">
        <v>7900</v>
      </c>
      <c r="I234" s="93">
        <v>2992</v>
      </c>
      <c r="J234" s="93"/>
      <c r="K234" s="93">
        <f t="shared" si="50"/>
        <v>0</v>
      </c>
      <c r="L234" s="93">
        <f t="shared" si="51"/>
        <v>0</v>
      </c>
      <c r="M234" s="94">
        <v>10</v>
      </c>
      <c r="N234" s="95" t="s">
        <v>289</v>
      </c>
      <c r="O234" s="93">
        <f t="shared" si="52"/>
        <v>0</v>
      </c>
      <c r="P234" s="93">
        <f t="shared" si="53"/>
        <v>0</v>
      </c>
      <c r="Q234" s="93">
        <f t="shared" si="54"/>
        <v>0</v>
      </c>
      <c r="R234" s="93">
        <f t="shared" si="55"/>
        <v>149</v>
      </c>
      <c r="S234" s="93">
        <f t="shared" si="56"/>
        <v>0</v>
      </c>
      <c r="T234" s="93">
        <f t="shared" si="59"/>
        <v>149</v>
      </c>
      <c r="U234" s="312">
        <f t="shared" si="57"/>
        <v>2843</v>
      </c>
      <c r="V234" s="93">
        <f t="shared" si="58"/>
        <v>0</v>
      </c>
    </row>
    <row r="235" spans="1:22" ht="18" customHeight="1" x14ac:dyDescent="0.2">
      <c r="A235" s="110" t="s">
        <v>498</v>
      </c>
      <c r="B235" s="111"/>
      <c r="C235" s="201" t="s">
        <v>499</v>
      </c>
      <c r="D235" s="91">
        <v>40284</v>
      </c>
      <c r="E235" s="92"/>
      <c r="F235" s="93"/>
      <c r="G235" s="93"/>
      <c r="H235" s="93">
        <v>1683.64</v>
      </c>
      <c r="I235" s="93">
        <v>0</v>
      </c>
      <c r="J235" s="93"/>
      <c r="K235" s="93">
        <f t="shared" si="50"/>
        <v>0</v>
      </c>
      <c r="L235" s="93">
        <f t="shared" si="51"/>
        <v>0</v>
      </c>
      <c r="M235" s="94">
        <v>66.67</v>
      </c>
      <c r="N235" s="95" t="s">
        <v>289</v>
      </c>
      <c r="O235" s="93">
        <f t="shared" si="52"/>
        <v>0</v>
      </c>
      <c r="P235" s="93">
        <f t="shared" si="53"/>
        <v>0</v>
      </c>
      <c r="Q235" s="93">
        <f t="shared" si="54"/>
        <v>0</v>
      </c>
      <c r="R235" s="93">
        <f t="shared" si="55"/>
        <v>0</v>
      </c>
      <c r="S235" s="93">
        <f t="shared" si="56"/>
        <v>0</v>
      </c>
      <c r="T235" s="93">
        <f t="shared" si="59"/>
        <v>0</v>
      </c>
      <c r="U235" s="312">
        <f t="shared" si="57"/>
        <v>0</v>
      </c>
      <c r="V235" s="93">
        <f t="shared" si="58"/>
        <v>0</v>
      </c>
    </row>
    <row r="236" spans="1:22" ht="18" customHeight="1" x14ac:dyDescent="0.2">
      <c r="A236" s="110" t="s">
        <v>502</v>
      </c>
      <c r="B236" s="111"/>
      <c r="C236" s="201" t="s">
        <v>360</v>
      </c>
      <c r="D236" s="91">
        <v>38056</v>
      </c>
      <c r="E236" s="92"/>
      <c r="F236" s="93"/>
      <c r="G236" s="93"/>
      <c r="H236" s="93">
        <v>600</v>
      </c>
      <c r="I236" s="93">
        <v>0</v>
      </c>
      <c r="J236" s="93"/>
      <c r="K236" s="93">
        <f t="shared" si="50"/>
        <v>0</v>
      </c>
      <c r="L236" s="93">
        <f t="shared" si="51"/>
        <v>0</v>
      </c>
      <c r="M236" s="94">
        <v>5</v>
      </c>
      <c r="N236" s="95" t="s">
        <v>289</v>
      </c>
      <c r="O236" s="93">
        <f t="shared" si="52"/>
        <v>0</v>
      </c>
      <c r="P236" s="93">
        <f t="shared" si="53"/>
        <v>0</v>
      </c>
      <c r="Q236" s="93">
        <f t="shared" si="54"/>
        <v>0</v>
      </c>
      <c r="R236" s="93">
        <f t="shared" si="55"/>
        <v>0</v>
      </c>
      <c r="S236" s="93">
        <f t="shared" si="56"/>
        <v>0</v>
      </c>
      <c r="T236" s="93">
        <f t="shared" si="59"/>
        <v>0</v>
      </c>
      <c r="U236" s="312">
        <f t="shared" si="57"/>
        <v>0</v>
      </c>
      <c r="V236" s="93">
        <f t="shared" si="58"/>
        <v>0</v>
      </c>
    </row>
    <row r="237" spans="1:22" ht="18" customHeight="1" x14ac:dyDescent="0.2">
      <c r="A237" s="110" t="s">
        <v>503</v>
      </c>
      <c r="B237" s="111"/>
      <c r="C237" s="201" t="s">
        <v>504</v>
      </c>
      <c r="D237" s="91">
        <v>40359</v>
      </c>
      <c r="E237" s="92"/>
      <c r="F237" s="93"/>
      <c r="G237" s="93"/>
      <c r="H237" s="93">
        <v>669.4</v>
      </c>
      <c r="I237" s="93">
        <v>0</v>
      </c>
      <c r="J237" s="93"/>
      <c r="K237" s="93">
        <f t="shared" si="50"/>
        <v>0</v>
      </c>
      <c r="L237" s="93">
        <f t="shared" si="51"/>
        <v>0</v>
      </c>
      <c r="M237" s="94">
        <v>10</v>
      </c>
      <c r="N237" s="95" t="s">
        <v>289</v>
      </c>
      <c r="O237" s="93">
        <f t="shared" si="52"/>
        <v>0</v>
      </c>
      <c r="P237" s="93">
        <f t="shared" si="53"/>
        <v>0</v>
      </c>
      <c r="Q237" s="93">
        <f t="shared" si="54"/>
        <v>0</v>
      </c>
      <c r="R237" s="93">
        <f t="shared" si="55"/>
        <v>0</v>
      </c>
      <c r="S237" s="93">
        <f t="shared" si="56"/>
        <v>0</v>
      </c>
      <c r="T237" s="93">
        <f t="shared" si="59"/>
        <v>0</v>
      </c>
      <c r="U237" s="312">
        <f t="shared" si="57"/>
        <v>0</v>
      </c>
      <c r="V237" s="93">
        <f t="shared" si="58"/>
        <v>0</v>
      </c>
    </row>
    <row r="238" spans="1:22" ht="18" customHeight="1" x14ac:dyDescent="0.2">
      <c r="A238" s="110" t="s">
        <v>511</v>
      </c>
      <c r="B238" s="111"/>
      <c r="C238" s="201" t="s">
        <v>512</v>
      </c>
      <c r="D238" s="91">
        <v>40079</v>
      </c>
      <c r="E238" s="92"/>
      <c r="F238" s="93"/>
      <c r="G238" s="93"/>
      <c r="H238" s="93">
        <v>679.22</v>
      </c>
      <c r="I238" s="93">
        <v>0</v>
      </c>
      <c r="J238" s="93"/>
      <c r="K238" s="93">
        <f t="shared" si="50"/>
        <v>0</v>
      </c>
      <c r="L238" s="93">
        <f t="shared" si="51"/>
        <v>0</v>
      </c>
      <c r="M238" s="94">
        <v>28.5</v>
      </c>
      <c r="N238" s="95" t="s">
        <v>289</v>
      </c>
      <c r="O238" s="93">
        <f t="shared" si="52"/>
        <v>0</v>
      </c>
      <c r="P238" s="93">
        <f t="shared" si="53"/>
        <v>0</v>
      </c>
      <c r="Q238" s="93">
        <f t="shared" si="54"/>
        <v>0</v>
      </c>
      <c r="R238" s="93">
        <f t="shared" si="55"/>
        <v>0</v>
      </c>
      <c r="S238" s="93">
        <f t="shared" si="56"/>
        <v>0</v>
      </c>
      <c r="T238" s="93">
        <f t="shared" si="59"/>
        <v>0</v>
      </c>
      <c r="U238" s="312">
        <f t="shared" si="57"/>
        <v>0</v>
      </c>
      <c r="V238" s="93">
        <f t="shared" si="58"/>
        <v>0</v>
      </c>
    </row>
    <row r="239" spans="1:22" ht="18" customHeight="1" x14ac:dyDescent="0.2">
      <c r="A239" s="110" t="s">
        <v>513</v>
      </c>
      <c r="B239" s="111"/>
      <c r="C239" s="201" t="s">
        <v>514</v>
      </c>
      <c r="D239" s="91">
        <v>40086</v>
      </c>
      <c r="E239" s="92"/>
      <c r="F239" s="93"/>
      <c r="G239" s="93"/>
      <c r="H239" s="93">
        <v>844.27</v>
      </c>
      <c r="I239" s="93">
        <v>0</v>
      </c>
      <c r="J239" s="93"/>
      <c r="K239" s="93">
        <f t="shared" si="50"/>
        <v>0</v>
      </c>
      <c r="L239" s="93">
        <f t="shared" si="51"/>
        <v>0</v>
      </c>
      <c r="M239" s="94">
        <v>28.5</v>
      </c>
      <c r="N239" s="95" t="s">
        <v>289</v>
      </c>
      <c r="O239" s="93">
        <f t="shared" si="52"/>
        <v>0</v>
      </c>
      <c r="P239" s="93">
        <f t="shared" si="53"/>
        <v>0</v>
      </c>
      <c r="Q239" s="93">
        <f t="shared" si="54"/>
        <v>0</v>
      </c>
      <c r="R239" s="93">
        <f t="shared" si="55"/>
        <v>0</v>
      </c>
      <c r="S239" s="93">
        <f t="shared" si="56"/>
        <v>0</v>
      </c>
      <c r="T239" s="93">
        <f t="shared" si="59"/>
        <v>0</v>
      </c>
      <c r="U239" s="312">
        <f t="shared" si="57"/>
        <v>0</v>
      </c>
      <c r="V239" s="93">
        <f t="shared" si="58"/>
        <v>0</v>
      </c>
    </row>
    <row r="240" spans="1:22" ht="18" customHeight="1" x14ac:dyDescent="0.2">
      <c r="A240" s="110" t="s">
        <v>515</v>
      </c>
      <c r="B240" s="111"/>
      <c r="C240" s="201" t="s">
        <v>516</v>
      </c>
      <c r="D240" s="91">
        <v>40098</v>
      </c>
      <c r="E240" s="92"/>
      <c r="F240" s="93"/>
      <c r="G240" s="93"/>
      <c r="H240" s="93">
        <v>189.41</v>
      </c>
      <c r="I240" s="93">
        <v>0</v>
      </c>
      <c r="J240" s="93"/>
      <c r="K240" s="93">
        <f t="shared" si="50"/>
        <v>0</v>
      </c>
      <c r="L240" s="93">
        <f t="shared" si="51"/>
        <v>0</v>
      </c>
      <c r="M240" s="94">
        <v>20</v>
      </c>
      <c r="N240" s="95" t="s">
        <v>289</v>
      </c>
      <c r="O240" s="93">
        <f t="shared" si="52"/>
        <v>0</v>
      </c>
      <c r="P240" s="93">
        <f t="shared" si="53"/>
        <v>0</v>
      </c>
      <c r="Q240" s="93">
        <f t="shared" si="54"/>
        <v>0</v>
      </c>
      <c r="R240" s="93">
        <f t="shared" si="55"/>
        <v>0</v>
      </c>
      <c r="S240" s="93">
        <f t="shared" si="56"/>
        <v>0</v>
      </c>
      <c r="T240" s="93">
        <f t="shared" si="59"/>
        <v>0</v>
      </c>
      <c r="U240" s="312">
        <f t="shared" si="57"/>
        <v>0</v>
      </c>
      <c r="V240" s="93">
        <f t="shared" si="58"/>
        <v>0</v>
      </c>
    </row>
    <row r="241" spans="1:22" ht="18" customHeight="1" x14ac:dyDescent="0.2">
      <c r="A241" s="110" t="s">
        <v>521</v>
      </c>
      <c r="B241" s="111"/>
      <c r="C241" s="201" t="s">
        <v>522</v>
      </c>
      <c r="D241" s="91">
        <v>40179</v>
      </c>
      <c r="E241" s="92"/>
      <c r="F241" s="93"/>
      <c r="G241" s="93"/>
      <c r="H241" s="93">
        <v>485</v>
      </c>
      <c r="I241" s="93">
        <v>0</v>
      </c>
      <c r="J241" s="93"/>
      <c r="K241" s="93">
        <f t="shared" si="50"/>
        <v>0</v>
      </c>
      <c r="L241" s="93">
        <f t="shared" si="51"/>
        <v>0</v>
      </c>
      <c r="M241" s="94">
        <v>20</v>
      </c>
      <c r="N241" s="95" t="s">
        <v>289</v>
      </c>
      <c r="O241" s="93">
        <f t="shared" si="52"/>
        <v>0</v>
      </c>
      <c r="P241" s="93">
        <f t="shared" si="53"/>
        <v>0</v>
      </c>
      <c r="Q241" s="93">
        <f t="shared" si="54"/>
        <v>0</v>
      </c>
      <c r="R241" s="93">
        <f t="shared" si="55"/>
        <v>0</v>
      </c>
      <c r="S241" s="93">
        <f t="shared" si="56"/>
        <v>0</v>
      </c>
      <c r="T241" s="93">
        <f t="shared" si="59"/>
        <v>0</v>
      </c>
      <c r="U241" s="312">
        <f t="shared" si="57"/>
        <v>0</v>
      </c>
      <c r="V241" s="93">
        <f t="shared" si="58"/>
        <v>0</v>
      </c>
    </row>
    <row r="242" spans="1:22" ht="18" customHeight="1" x14ac:dyDescent="0.2">
      <c r="A242" s="110" t="s">
        <v>523</v>
      </c>
      <c r="B242" s="111"/>
      <c r="C242" s="201" t="s">
        <v>524</v>
      </c>
      <c r="D242" s="91">
        <v>38085</v>
      </c>
      <c r="E242" s="92"/>
      <c r="F242" s="93"/>
      <c r="G242" s="93"/>
      <c r="H242" s="93">
        <v>400</v>
      </c>
      <c r="I242" s="93">
        <v>0</v>
      </c>
      <c r="J242" s="93"/>
      <c r="K242" s="93">
        <f t="shared" si="50"/>
        <v>0</v>
      </c>
      <c r="L242" s="93">
        <f t="shared" si="51"/>
        <v>0</v>
      </c>
      <c r="M242" s="94">
        <v>5</v>
      </c>
      <c r="N242" s="95" t="s">
        <v>289</v>
      </c>
      <c r="O242" s="93">
        <f t="shared" si="52"/>
        <v>0</v>
      </c>
      <c r="P242" s="93">
        <f t="shared" si="53"/>
        <v>0</v>
      </c>
      <c r="Q242" s="93">
        <f t="shared" si="54"/>
        <v>0</v>
      </c>
      <c r="R242" s="93">
        <f t="shared" si="55"/>
        <v>0</v>
      </c>
      <c r="S242" s="93">
        <f t="shared" si="56"/>
        <v>0</v>
      </c>
      <c r="T242" s="93">
        <f t="shared" si="59"/>
        <v>0</v>
      </c>
      <c r="U242" s="312">
        <f t="shared" si="57"/>
        <v>0</v>
      </c>
      <c r="V242" s="93">
        <f t="shared" si="58"/>
        <v>0</v>
      </c>
    </row>
    <row r="243" spans="1:22" ht="18" customHeight="1" x14ac:dyDescent="0.2">
      <c r="A243" s="110" t="s">
        <v>525</v>
      </c>
      <c r="B243" s="111"/>
      <c r="C243" s="201" t="s">
        <v>526</v>
      </c>
      <c r="D243" s="91">
        <v>40205</v>
      </c>
      <c r="E243" s="92"/>
      <c r="F243" s="93"/>
      <c r="G243" s="93"/>
      <c r="H243" s="93">
        <v>455</v>
      </c>
      <c r="I243" s="93">
        <v>0</v>
      </c>
      <c r="J243" s="93"/>
      <c r="K243" s="93">
        <f t="shared" si="50"/>
        <v>0</v>
      </c>
      <c r="L243" s="93">
        <f t="shared" si="51"/>
        <v>0</v>
      </c>
      <c r="M243" s="94">
        <v>20</v>
      </c>
      <c r="N243" s="95" t="s">
        <v>289</v>
      </c>
      <c r="O243" s="93">
        <f t="shared" si="52"/>
        <v>0</v>
      </c>
      <c r="P243" s="93">
        <f t="shared" si="53"/>
        <v>0</v>
      </c>
      <c r="Q243" s="93">
        <f t="shared" si="54"/>
        <v>0</v>
      </c>
      <c r="R243" s="93">
        <f t="shared" si="55"/>
        <v>0</v>
      </c>
      <c r="S243" s="93">
        <f t="shared" si="56"/>
        <v>0</v>
      </c>
      <c r="T243" s="93">
        <f t="shared" si="59"/>
        <v>0</v>
      </c>
      <c r="U243" s="312">
        <f t="shared" si="57"/>
        <v>0</v>
      </c>
      <c r="V243" s="93">
        <f t="shared" si="58"/>
        <v>0</v>
      </c>
    </row>
    <row r="244" spans="1:22" ht="18" customHeight="1" x14ac:dyDescent="0.2">
      <c r="A244" s="110" t="s">
        <v>527</v>
      </c>
      <c r="B244" s="111"/>
      <c r="C244" s="201" t="s">
        <v>528</v>
      </c>
      <c r="D244" s="91">
        <v>40214</v>
      </c>
      <c r="E244" s="92"/>
      <c r="F244" s="93"/>
      <c r="G244" s="93"/>
      <c r="H244" s="93">
        <v>581.82000000000005</v>
      </c>
      <c r="I244" s="93">
        <v>0</v>
      </c>
      <c r="J244" s="93"/>
      <c r="K244" s="93">
        <f t="shared" ref="K244:K289" si="60">INT(IF($E244&gt;0,IF(+F244-I244+Q244&lt;0,0,+F244-I244+Q244),0))</f>
        <v>0</v>
      </c>
      <c r="L244" s="93">
        <f t="shared" ref="L244:L289" si="61">INT(IF($E244&gt;0,IF(K244=0,-F244+I244-Q244,0),0))</f>
        <v>0</v>
      </c>
      <c r="M244" s="94">
        <v>50</v>
      </c>
      <c r="N244" s="95" t="s">
        <v>289</v>
      </c>
      <c r="O244" s="93">
        <f t="shared" si="52"/>
        <v>0</v>
      </c>
      <c r="P244" s="93">
        <f t="shared" si="53"/>
        <v>0</v>
      </c>
      <c r="Q244" s="93">
        <f t="shared" si="54"/>
        <v>0</v>
      </c>
      <c r="R244" s="93">
        <f t="shared" si="55"/>
        <v>0</v>
      </c>
      <c r="S244" s="93">
        <f t="shared" si="56"/>
        <v>0</v>
      </c>
      <c r="T244" s="93">
        <f t="shared" si="59"/>
        <v>0</v>
      </c>
      <c r="U244" s="312">
        <f t="shared" ref="U244:U289" si="62">+I244+J244-T244-F244+K244-L244</f>
        <v>0</v>
      </c>
      <c r="V244" s="93">
        <f t="shared" ref="V244:V289" si="63">IF(E244&gt;0,+H244+J244,0)</f>
        <v>0</v>
      </c>
    </row>
    <row r="245" spans="1:22" ht="18" customHeight="1" x14ac:dyDescent="0.2">
      <c r="A245" s="110" t="s">
        <v>529</v>
      </c>
      <c r="B245" s="111"/>
      <c r="C245" s="201" t="s">
        <v>530</v>
      </c>
      <c r="D245" s="91">
        <v>40226</v>
      </c>
      <c r="E245" s="92"/>
      <c r="F245" s="93"/>
      <c r="G245" s="93"/>
      <c r="H245" s="93">
        <v>141.88</v>
      </c>
      <c r="I245" s="93">
        <v>0</v>
      </c>
      <c r="J245" s="93"/>
      <c r="K245" s="93">
        <f t="shared" si="60"/>
        <v>0</v>
      </c>
      <c r="L245" s="93">
        <f t="shared" si="61"/>
        <v>0</v>
      </c>
      <c r="M245" s="94">
        <v>28.5</v>
      </c>
      <c r="N245" s="95" t="s">
        <v>289</v>
      </c>
      <c r="O245" s="93">
        <f t="shared" ref="O245:O290" si="64">IF(E245&gt;0,INT(IF($N245="D",IF($D245&lt;$H$3,$I245*($M245/100)*((E245-$H$3)/365),$J245*($M245/100)*($J$3-$D245)/365),0)),0)</f>
        <v>0</v>
      </c>
      <c r="P245" s="93">
        <f t="shared" ref="P245:P290" si="65">IF(E245&gt;0,INT(IF($N245="P",IF($D245&lt;$H$3,$H245*($M245/100)*(E245-$H$3)/365,$J245*($M245/100)*($J$3-$D245)/365),0)),0)</f>
        <v>0</v>
      </c>
      <c r="Q245" s="93">
        <f t="shared" ref="Q245:Q290" si="66">+O245+P245</f>
        <v>0</v>
      </c>
      <c r="R245" s="93">
        <f t="shared" ref="R245:R290" si="67">INT(IF($E245&gt;0,0,(IF($N245="D",IF($D245&lt;$H$3,$I245*($M245/100)*$U$3/12,$J245*($M245/100)*($J$3-$D245)/365),0))))</f>
        <v>0</v>
      </c>
      <c r="S245" s="93">
        <f t="shared" ref="S245:S290" si="68">INT(IF($E245&gt;0,0,(IF($N245="P",IF($D245&lt;$H$3,$H245*($M245/100)*$U$3/12,$J245*($M245/100)*($J$3-$D245)/365),0))))</f>
        <v>0</v>
      </c>
      <c r="T245" s="93">
        <f t="shared" si="59"/>
        <v>0</v>
      </c>
      <c r="U245" s="312">
        <f t="shared" si="62"/>
        <v>0</v>
      </c>
      <c r="V245" s="93">
        <f t="shared" si="63"/>
        <v>0</v>
      </c>
    </row>
    <row r="246" spans="1:22" ht="18" customHeight="1" x14ac:dyDescent="0.2">
      <c r="A246" s="110" t="s">
        <v>531</v>
      </c>
      <c r="B246" s="111"/>
      <c r="C246" s="201" t="s">
        <v>530</v>
      </c>
      <c r="D246" s="91">
        <v>40234</v>
      </c>
      <c r="E246" s="92"/>
      <c r="F246" s="93"/>
      <c r="G246" s="93"/>
      <c r="H246" s="93">
        <v>240.54</v>
      </c>
      <c r="I246" s="93">
        <v>0</v>
      </c>
      <c r="J246" s="93"/>
      <c r="K246" s="93">
        <f t="shared" si="60"/>
        <v>0</v>
      </c>
      <c r="L246" s="93">
        <f t="shared" si="61"/>
        <v>0</v>
      </c>
      <c r="M246" s="94">
        <v>28.5</v>
      </c>
      <c r="N246" s="95" t="s">
        <v>289</v>
      </c>
      <c r="O246" s="93">
        <f t="shared" si="64"/>
        <v>0</v>
      </c>
      <c r="P246" s="93">
        <f t="shared" si="65"/>
        <v>0</v>
      </c>
      <c r="Q246" s="93">
        <f t="shared" si="66"/>
        <v>0</v>
      </c>
      <c r="R246" s="93">
        <f t="shared" si="67"/>
        <v>0</v>
      </c>
      <c r="S246" s="93">
        <f t="shared" si="68"/>
        <v>0</v>
      </c>
      <c r="T246" s="93">
        <f t="shared" si="59"/>
        <v>0</v>
      </c>
      <c r="U246" s="312">
        <f t="shared" si="62"/>
        <v>0</v>
      </c>
      <c r="V246" s="93">
        <f t="shared" si="63"/>
        <v>0</v>
      </c>
    </row>
    <row r="247" spans="1:22" ht="18" customHeight="1" x14ac:dyDescent="0.2">
      <c r="A247" s="110" t="s">
        <v>532</v>
      </c>
      <c r="B247" s="111"/>
      <c r="C247" s="201" t="s">
        <v>514</v>
      </c>
      <c r="D247" s="91">
        <v>40235</v>
      </c>
      <c r="E247" s="92"/>
      <c r="F247" s="93"/>
      <c r="G247" s="93"/>
      <c r="H247" s="93">
        <v>721.32</v>
      </c>
      <c r="I247" s="93">
        <v>0</v>
      </c>
      <c r="J247" s="93"/>
      <c r="K247" s="93">
        <f t="shared" si="60"/>
        <v>0</v>
      </c>
      <c r="L247" s="93">
        <f t="shared" si="61"/>
        <v>0</v>
      </c>
      <c r="M247" s="94">
        <v>28.5</v>
      </c>
      <c r="N247" s="95" t="s">
        <v>289</v>
      </c>
      <c r="O247" s="93">
        <f t="shared" si="64"/>
        <v>0</v>
      </c>
      <c r="P247" s="93">
        <f t="shared" si="65"/>
        <v>0</v>
      </c>
      <c r="Q247" s="93">
        <f t="shared" si="66"/>
        <v>0</v>
      </c>
      <c r="R247" s="93">
        <f t="shared" si="67"/>
        <v>0</v>
      </c>
      <c r="S247" s="93">
        <f t="shared" si="68"/>
        <v>0</v>
      </c>
      <c r="T247" s="93">
        <f t="shared" si="59"/>
        <v>0</v>
      </c>
      <c r="U247" s="312">
        <f t="shared" si="62"/>
        <v>0</v>
      </c>
      <c r="V247" s="93">
        <f t="shared" si="63"/>
        <v>0</v>
      </c>
    </row>
    <row r="248" spans="1:22" ht="18" customHeight="1" x14ac:dyDescent="0.2">
      <c r="A248" s="110" t="s">
        <v>533</v>
      </c>
      <c r="B248" s="111"/>
      <c r="C248" s="201" t="s">
        <v>514</v>
      </c>
      <c r="D248" s="91">
        <v>40241</v>
      </c>
      <c r="E248" s="92"/>
      <c r="F248" s="93"/>
      <c r="G248" s="93"/>
      <c r="H248" s="93">
        <v>262.04000000000002</v>
      </c>
      <c r="I248" s="93">
        <v>0</v>
      </c>
      <c r="J248" s="93"/>
      <c r="K248" s="93">
        <f t="shared" si="60"/>
        <v>0</v>
      </c>
      <c r="L248" s="93">
        <f t="shared" si="61"/>
        <v>0</v>
      </c>
      <c r="M248" s="94">
        <v>28.5</v>
      </c>
      <c r="N248" s="95" t="s">
        <v>289</v>
      </c>
      <c r="O248" s="93">
        <f t="shared" si="64"/>
        <v>0</v>
      </c>
      <c r="P248" s="93">
        <f t="shared" si="65"/>
        <v>0</v>
      </c>
      <c r="Q248" s="93">
        <f t="shared" si="66"/>
        <v>0</v>
      </c>
      <c r="R248" s="93">
        <f t="shared" si="67"/>
        <v>0</v>
      </c>
      <c r="S248" s="93">
        <f t="shared" si="68"/>
        <v>0</v>
      </c>
      <c r="T248" s="93">
        <f t="shared" si="59"/>
        <v>0</v>
      </c>
      <c r="U248" s="312">
        <f t="shared" si="62"/>
        <v>0</v>
      </c>
      <c r="V248" s="93">
        <f t="shared" si="63"/>
        <v>0</v>
      </c>
    </row>
    <row r="249" spans="1:22" ht="18" customHeight="1" x14ac:dyDescent="0.2">
      <c r="A249" s="110" t="s">
        <v>534</v>
      </c>
      <c r="B249" s="111"/>
      <c r="C249" s="201" t="s">
        <v>535</v>
      </c>
      <c r="D249" s="91">
        <v>40259</v>
      </c>
      <c r="E249" s="92"/>
      <c r="F249" s="93"/>
      <c r="G249" s="93"/>
      <c r="H249" s="93">
        <v>1796.3600000000001</v>
      </c>
      <c r="I249" s="93">
        <v>0</v>
      </c>
      <c r="J249" s="93"/>
      <c r="K249" s="93">
        <f t="shared" si="60"/>
        <v>0</v>
      </c>
      <c r="L249" s="93">
        <f t="shared" si="61"/>
        <v>0</v>
      </c>
      <c r="M249" s="94">
        <v>50</v>
      </c>
      <c r="N249" s="95" t="s">
        <v>289</v>
      </c>
      <c r="O249" s="93">
        <f t="shared" si="64"/>
        <v>0</v>
      </c>
      <c r="P249" s="93">
        <f t="shared" si="65"/>
        <v>0</v>
      </c>
      <c r="Q249" s="93">
        <f t="shared" si="66"/>
        <v>0</v>
      </c>
      <c r="R249" s="93">
        <f t="shared" si="67"/>
        <v>0</v>
      </c>
      <c r="S249" s="93">
        <f t="shared" si="68"/>
        <v>0</v>
      </c>
      <c r="T249" s="93">
        <f t="shared" si="59"/>
        <v>0</v>
      </c>
      <c r="U249" s="312">
        <f t="shared" si="62"/>
        <v>0</v>
      </c>
      <c r="V249" s="93">
        <f t="shared" si="63"/>
        <v>0</v>
      </c>
    </row>
    <row r="250" spans="1:22" ht="18" customHeight="1" x14ac:dyDescent="0.2">
      <c r="A250" s="110" t="s">
        <v>536</v>
      </c>
      <c r="B250" s="111"/>
      <c r="C250" s="201" t="s">
        <v>537</v>
      </c>
      <c r="D250" s="91">
        <v>40282</v>
      </c>
      <c r="E250" s="92"/>
      <c r="F250" s="93"/>
      <c r="G250" s="93"/>
      <c r="H250" s="93">
        <v>325</v>
      </c>
      <c r="I250" s="93">
        <v>0</v>
      </c>
      <c r="J250" s="93"/>
      <c r="K250" s="93">
        <f t="shared" si="60"/>
        <v>0</v>
      </c>
      <c r="L250" s="93">
        <f t="shared" si="61"/>
        <v>0</v>
      </c>
      <c r="M250" s="94">
        <v>20</v>
      </c>
      <c r="N250" s="95" t="s">
        <v>289</v>
      </c>
      <c r="O250" s="93">
        <f t="shared" si="64"/>
        <v>0</v>
      </c>
      <c r="P250" s="93">
        <f t="shared" si="65"/>
        <v>0</v>
      </c>
      <c r="Q250" s="93">
        <f t="shared" si="66"/>
        <v>0</v>
      </c>
      <c r="R250" s="93">
        <f t="shared" si="67"/>
        <v>0</v>
      </c>
      <c r="S250" s="93">
        <f t="shared" si="68"/>
        <v>0</v>
      </c>
      <c r="T250" s="93">
        <f t="shared" si="59"/>
        <v>0</v>
      </c>
      <c r="U250" s="312">
        <f t="shared" si="62"/>
        <v>0</v>
      </c>
      <c r="V250" s="93">
        <f t="shared" si="63"/>
        <v>0</v>
      </c>
    </row>
    <row r="251" spans="1:22" ht="18" customHeight="1" x14ac:dyDescent="0.2">
      <c r="A251" s="110" t="s">
        <v>538</v>
      </c>
      <c r="B251" s="111"/>
      <c r="C251" s="201" t="s">
        <v>539</v>
      </c>
      <c r="D251" s="91">
        <v>40303</v>
      </c>
      <c r="E251" s="92"/>
      <c r="F251" s="93"/>
      <c r="G251" s="93"/>
      <c r="H251" s="93">
        <v>1590.91</v>
      </c>
      <c r="I251" s="93">
        <v>0</v>
      </c>
      <c r="J251" s="93"/>
      <c r="K251" s="93">
        <f t="shared" si="60"/>
        <v>0</v>
      </c>
      <c r="L251" s="93">
        <f t="shared" si="61"/>
        <v>0</v>
      </c>
      <c r="M251" s="94">
        <v>10</v>
      </c>
      <c r="N251" s="95" t="s">
        <v>289</v>
      </c>
      <c r="O251" s="93">
        <f t="shared" si="64"/>
        <v>0</v>
      </c>
      <c r="P251" s="93">
        <f t="shared" si="65"/>
        <v>0</v>
      </c>
      <c r="Q251" s="93">
        <f t="shared" si="66"/>
        <v>0</v>
      </c>
      <c r="R251" s="93">
        <f t="shared" si="67"/>
        <v>0</v>
      </c>
      <c r="S251" s="93">
        <f t="shared" si="68"/>
        <v>0</v>
      </c>
      <c r="T251" s="93">
        <f t="shared" si="59"/>
        <v>0</v>
      </c>
      <c r="U251" s="312">
        <f t="shared" si="62"/>
        <v>0</v>
      </c>
      <c r="V251" s="93">
        <f t="shared" si="63"/>
        <v>0</v>
      </c>
    </row>
    <row r="252" spans="1:22" ht="18" customHeight="1" x14ac:dyDescent="0.2">
      <c r="A252" s="110" t="s">
        <v>540</v>
      </c>
      <c r="B252" s="111"/>
      <c r="C252" s="201" t="s">
        <v>541</v>
      </c>
      <c r="D252" s="91">
        <v>40303</v>
      </c>
      <c r="E252" s="92"/>
      <c r="F252" s="93"/>
      <c r="G252" s="93"/>
      <c r="H252" s="93">
        <v>3490.91</v>
      </c>
      <c r="I252" s="93">
        <v>0</v>
      </c>
      <c r="J252" s="93"/>
      <c r="K252" s="93">
        <f t="shared" si="60"/>
        <v>0</v>
      </c>
      <c r="L252" s="93">
        <f t="shared" si="61"/>
        <v>0</v>
      </c>
      <c r="M252" s="94">
        <v>50</v>
      </c>
      <c r="N252" s="95" t="s">
        <v>289</v>
      </c>
      <c r="O252" s="93">
        <f t="shared" si="64"/>
        <v>0</v>
      </c>
      <c r="P252" s="93">
        <f t="shared" si="65"/>
        <v>0</v>
      </c>
      <c r="Q252" s="93">
        <f t="shared" si="66"/>
        <v>0</v>
      </c>
      <c r="R252" s="93">
        <f t="shared" si="67"/>
        <v>0</v>
      </c>
      <c r="S252" s="93">
        <f t="shared" si="68"/>
        <v>0</v>
      </c>
      <c r="T252" s="93">
        <f t="shared" si="59"/>
        <v>0</v>
      </c>
      <c r="U252" s="312">
        <f t="shared" si="62"/>
        <v>0</v>
      </c>
      <c r="V252" s="93">
        <f t="shared" si="63"/>
        <v>0</v>
      </c>
    </row>
    <row r="253" spans="1:22" ht="18" customHeight="1" x14ac:dyDescent="0.2">
      <c r="A253" s="110" t="s">
        <v>542</v>
      </c>
      <c r="B253" s="111"/>
      <c r="C253" s="201" t="s">
        <v>418</v>
      </c>
      <c r="D253" s="91">
        <v>38111</v>
      </c>
      <c r="E253" s="92"/>
      <c r="F253" s="93"/>
      <c r="G253" s="93"/>
      <c r="H253" s="93">
        <v>890.74</v>
      </c>
      <c r="I253" s="93">
        <v>0</v>
      </c>
      <c r="J253" s="93"/>
      <c r="K253" s="93">
        <f t="shared" si="60"/>
        <v>0</v>
      </c>
      <c r="L253" s="93">
        <f t="shared" si="61"/>
        <v>0</v>
      </c>
      <c r="M253" s="94">
        <v>10</v>
      </c>
      <c r="N253" s="95" t="s">
        <v>289</v>
      </c>
      <c r="O253" s="93">
        <f t="shared" si="64"/>
        <v>0</v>
      </c>
      <c r="P253" s="93">
        <f t="shared" si="65"/>
        <v>0</v>
      </c>
      <c r="Q253" s="93">
        <f t="shared" si="66"/>
        <v>0</v>
      </c>
      <c r="R253" s="93">
        <f t="shared" si="67"/>
        <v>0</v>
      </c>
      <c r="S253" s="93">
        <f t="shared" si="68"/>
        <v>0</v>
      </c>
      <c r="T253" s="93">
        <f t="shared" si="59"/>
        <v>0</v>
      </c>
      <c r="U253" s="312">
        <f t="shared" si="62"/>
        <v>0</v>
      </c>
      <c r="V253" s="93">
        <f t="shared" si="63"/>
        <v>0</v>
      </c>
    </row>
    <row r="254" spans="1:22" ht="18" customHeight="1" x14ac:dyDescent="0.2">
      <c r="A254" s="110" t="s">
        <v>543</v>
      </c>
      <c r="B254" s="111"/>
      <c r="C254" s="201" t="s">
        <v>544</v>
      </c>
      <c r="D254" s="91">
        <v>40316</v>
      </c>
      <c r="E254" s="92"/>
      <c r="F254" s="93"/>
      <c r="G254" s="93"/>
      <c r="H254" s="93">
        <v>496.91</v>
      </c>
      <c r="I254" s="93">
        <v>0</v>
      </c>
      <c r="J254" s="93"/>
      <c r="K254" s="93">
        <f t="shared" si="60"/>
        <v>0</v>
      </c>
      <c r="L254" s="93">
        <f t="shared" si="61"/>
        <v>0</v>
      </c>
      <c r="M254" s="94">
        <v>20</v>
      </c>
      <c r="N254" s="95" t="s">
        <v>289</v>
      </c>
      <c r="O254" s="93">
        <f t="shared" si="64"/>
        <v>0</v>
      </c>
      <c r="P254" s="93">
        <f t="shared" si="65"/>
        <v>0</v>
      </c>
      <c r="Q254" s="93">
        <f t="shared" si="66"/>
        <v>0</v>
      </c>
      <c r="R254" s="93">
        <f t="shared" si="67"/>
        <v>0</v>
      </c>
      <c r="S254" s="93">
        <f t="shared" si="68"/>
        <v>0</v>
      </c>
      <c r="T254" s="93">
        <f t="shared" si="59"/>
        <v>0</v>
      </c>
      <c r="U254" s="312">
        <f t="shared" si="62"/>
        <v>0</v>
      </c>
      <c r="V254" s="93">
        <f t="shared" si="63"/>
        <v>0</v>
      </c>
    </row>
    <row r="255" spans="1:22" ht="18" customHeight="1" x14ac:dyDescent="0.2">
      <c r="A255" s="110" t="s">
        <v>545</v>
      </c>
      <c r="B255" s="111"/>
      <c r="C255" s="90" t="s">
        <v>546</v>
      </c>
      <c r="D255" s="91">
        <v>40324</v>
      </c>
      <c r="E255" s="92"/>
      <c r="F255" s="93"/>
      <c r="G255" s="93"/>
      <c r="H255" s="93">
        <v>3500</v>
      </c>
      <c r="I255" s="93">
        <v>0</v>
      </c>
      <c r="J255" s="93"/>
      <c r="K255" s="93">
        <f t="shared" si="60"/>
        <v>0</v>
      </c>
      <c r="L255" s="93">
        <f t="shared" si="61"/>
        <v>0</v>
      </c>
      <c r="M255" s="94">
        <v>66.66</v>
      </c>
      <c r="N255" s="95" t="s">
        <v>289</v>
      </c>
      <c r="O255" s="93">
        <f t="shared" si="64"/>
        <v>0</v>
      </c>
      <c r="P255" s="93">
        <f t="shared" si="65"/>
        <v>0</v>
      </c>
      <c r="Q255" s="93">
        <f t="shared" si="66"/>
        <v>0</v>
      </c>
      <c r="R255" s="93">
        <f t="shared" si="67"/>
        <v>0</v>
      </c>
      <c r="S255" s="93">
        <f t="shared" si="68"/>
        <v>0</v>
      </c>
      <c r="T255" s="93">
        <f t="shared" si="59"/>
        <v>0</v>
      </c>
      <c r="U255" s="312">
        <f t="shared" si="62"/>
        <v>0</v>
      </c>
      <c r="V255" s="93">
        <f t="shared" si="63"/>
        <v>0</v>
      </c>
    </row>
    <row r="256" spans="1:22" ht="18" customHeight="1" x14ac:dyDescent="0.2">
      <c r="A256" s="110" t="s">
        <v>547</v>
      </c>
      <c r="B256" s="111"/>
      <c r="C256" s="201" t="s">
        <v>518</v>
      </c>
      <c r="D256" s="91">
        <v>40330</v>
      </c>
      <c r="E256" s="92"/>
      <c r="F256" s="93"/>
      <c r="G256" s="93"/>
      <c r="H256" s="93">
        <v>1800.97</v>
      </c>
      <c r="I256" s="93">
        <v>0</v>
      </c>
      <c r="J256" s="93"/>
      <c r="K256" s="93">
        <f t="shared" si="60"/>
        <v>0</v>
      </c>
      <c r="L256" s="93">
        <f t="shared" si="61"/>
        <v>0</v>
      </c>
      <c r="M256" s="94">
        <v>20</v>
      </c>
      <c r="N256" s="95" t="s">
        <v>289</v>
      </c>
      <c r="O256" s="93">
        <f t="shared" si="64"/>
        <v>0</v>
      </c>
      <c r="P256" s="93">
        <f t="shared" si="65"/>
        <v>0</v>
      </c>
      <c r="Q256" s="93">
        <f t="shared" si="66"/>
        <v>0</v>
      </c>
      <c r="R256" s="93">
        <f t="shared" si="67"/>
        <v>0</v>
      </c>
      <c r="S256" s="93">
        <f t="shared" si="68"/>
        <v>0</v>
      </c>
      <c r="T256" s="93">
        <f t="shared" si="59"/>
        <v>0</v>
      </c>
      <c r="U256" s="312">
        <f t="shared" si="62"/>
        <v>0</v>
      </c>
      <c r="V256" s="93">
        <f t="shared" si="63"/>
        <v>0</v>
      </c>
    </row>
    <row r="257" spans="1:22" ht="18" customHeight="1" x14ac:dyDescent="0.2">
      <c r="A257" s="110" t="s">
        <v>548</v>
      </c>
      <c r="B257" s="111"/>
      <c r="C257" s="201" t="s">
        <v>549</v>
      </c>
      <c r="D257" s="91">
        <v>40332</v>
      </c>
      <c r="E257" s="92"/>
      <c r="F257" s="93"/>
      <c r="G257" s="93"/>
      <c r="H257" s="93">
        <v>1672.73</v>
      </c>
      <c r="I257" s="93">
        <v>0</v>
      </c>
      <c r="J257" s="93"/>
      <c r="K257" s="93">
        <f t="shared" si="60"/>
        <v>0</v>
      </c>
      <c r="L257" s="93">
        <f t="shared" si="61"/>
        <v>0</v>
      </c>
      <c r="M257" s="94">
        <v>10</v>
      </c>
      <c r="N257" s="95" t="s">
        <v>289</v>
      </c>
      <c r="O257" s="93">
        <f t="shared" si="64"/>
        <v>0</v>
      </c>
      <c r="P257" s="93">
        <f t="shared" si="65"/>
        <v>0</v>
      </c>
      <c r="Q257" s="93">
        <f t="shared" si="66"/>
        <v>0</v>
      </c>
      <c r="R257" s="93">
        <f t="shared" si="67"/>
        <v>0</v>
      </c>
      <c r="S257" s="93">
        <f t="shared" si="68"/>
        <v>0</v>
      </c>
      <c r="T257" s="93">
        <f t="shared" si="59"/>
        <v>0</v>
      </c>
      <c r="U257" s="312">
        <f t="shared" si="62"/>
        <v>0</v>
      </c>
      <c r="V257" s="93">
        <f t="shared" si="63"/>
        <v>0</v>
      </c>
    </row>
    <row r="258" spans="1:22" ht="18" customHeight="1" x14ac:dyDescent="0.2">
      <c r="A258" s="110" t="s">
        <v>550</v>
      </c>
      <c r="B258" s="111"/>
      <c r="C258" s="201" t="s">
        <v>551</v>
      </c>
      <c r="D258" s="91">
        <v>40385</v>
      </c>
      <c r="E258" s="92"/>
      <c r="F258" s="93"/>
      <c r="G258" s="93"/>
      <c r="H258" s="93">
        <v>1585</v>
      </c>
      <c r="I258" s="93">
        <v>0</v>
      </c>
      <c r="J258" s="93"/>
      <c r="K258" s="93">
        <f t="shared" si="60"/>
        <v>0</v>
      </c>
      <c r="L258" s="93">
        <f t="shared" si="61"/>
        <v>0</v>
      </c>
      <c r="M258" s="94">
        <v>28.57</v>
      </c>
      <c r="N258" s="95" t="s">
        <v>289</v>
      </c>
      <c r="O258" s="93">
        <f t="shared" si="64"/>
        <v>0</v>
      </c>
      <c r="P258" s="93">
        <f t="shared" si="65"/>
        <v>0</v>
      </c>
      <c r="Q258" s="93">
        <f t="shared" si="66"/>
        <v>0</v>
      </c>
      <c r="R258" s="93">
        <f t="shared" si="67"/>
        <v>0</v>
      </c>
      <c r="S258" s="93">
        <f t="shared" si="68"/>
        <v>0</v>
      </c>
      <c r="T258" s="93">
        <f t="shared" si="59"/>
        <v>0</v>
      </c>
      <c r="U258" s="312">
        <f t="shared" si="62"/>
        <v>0</v>
      </c>
      <c r="V258" s="93">
        <f t="shared" si="63"/>
        <v>0</v>
      </c>
    </row>
    <row r="259" spans="1:22" ht="18" customHeight="1" x14ac:dyDescent="0.2">
      <c r="A259" s="110" t="s">
        <v>552</v>
      </c>
      <c r="B259" s="111"/>
      <c r="C259" s="90" t="s">
        <v>553</v>
      </c>
      <c r="D259" s="91">
        <v>40392</v>
      </c>
      <c r="E259" s="92"/>
      <c r="F259" s="93"/>
      <c r="G259" s="93"/>
      <c r="H259" s="93">
        <v>58788.82</v>
      </c>
      <c r="I259" s="93">
        <v>29166.82</v>
      </c>
      <c r="J259" s="93"/>
      <c r="K259" s="93">
        <f t="shared" si="60"/>
        <v>0</v>
      </c>
      <c r="L259" s="93">
        <f t="shared" si="61"/>
        <v>0</v>
      </c>
      <c r="M259" s="94">
        <v>7.5</v>
      </c>
      <c r="N259" s="95" t="s">
        <v>289</v>
      </c>
      <c r="O259" s="93">
        <f t="shared" si="64"/>
        <v>0</v>
      </c>
      <c r="P259" s="93">
        <f t="shared" si="65"/>
        <v>0</v>
      </c>
      <c r="Q259" s="93">
        <f t="shared" si="66"/>
        <v>0</v>
      </c>
      <c r="R259" s="93">
        <f t="shared" si="67"/>
        <v>1093</v>
      </c>
      <c r="S259" s="93">
        <f t="shared" si="68"/>
        <v>0</v>
      </c>
      <c r="T259" s="93">
        <f t="shared" si="59"/>
        <v>1093</v>
      </c>
      <c r="U259" s="312">
        <f t="shared" si="62"/>
        <v>28073.82</v>
      </c>
      <c r="V259" s="93">
        <f t="shared" si="63"/>
        <v>0</v>
      </c>
    </row>
    <row r="260" spans="1:22" ht="18" customHeight="1" x14ac:dyDescent="0.2">
      <c r="A260" s="110" t="s">
        <v>554</v>
      </c>
      <c r="B260" s="111"/>
      <c r="C260" s="201" t="s">
        <v>555</v>
      </c>
      <c r="D260" s="91">
        <v>40449</v>
      </c>
      <c r="E260" s="92"/>
      <c r="F260" s="93"/>
      <c r="G260" s="93"/>
      <c r="H260" s="93">
        <v>1176.1400000000001</v>
      </c>
      <c r="I260" s="93">
        <v>0</v>
      </c>
      <c r="J260" s="93"/>
      <c r="K260" s="93">
        <f t="shared" si="60"/>
        <v>0</v>
      </c>
      <c r="L260" s="93">
        <f t="shared" si="61"/>
        <v>0</v>
      </c>
      <c r="M260" s="94">
        <v>28.57</v>
      </c>
      <c r="N260" s="95" t="s">
        <v>289</v>
      </c>
      <c r="O260" s="93">
        <f t="shared" si="64"/>
        <v>0</v>
      </c>
      <c r="P260" s="93">
        <f t="shared" si="65"/>
        <v>0</v>
      </c>
      <c r="Q260" s="93">
        <f t="shared" si="66"/>
        <v>0</v>
      </c>
      <c r="R260" s="93">
        <f t="shared" si="67"/>
        <v>0</v>
      </c>
      <c r="S260" s="93">
        <f t="shared" si="68"/>
        <v>0</v>
      </c>
      <c r="T260" s="93">
        <f t="shared" si="59"/>
        <v>0</v>
      </c>
      <c r="U260" s="312">
        <f t="shared" si="62"/>
        <v>0</v>
      </c>
      <c r="V260" s="93">
        <f t="shared" si="63"/>
        <v>0</v>
      </c>
    </row>
    <row r="261" spans="1:22" ht="18" customHeight="1" x14ac:dyDescent="0.2">
      <c r="A261" s="110" t="s">
        <v>559</v>
      </c>
      <c r="B261" s="111"/>
      <c r="C261" s="201" t="s">
        <v>560</v>
      </c>
      <c r="D261" s="91">
        <v>40528</v>
      </c>
      <c r="E261" s="92"/>
      <c r="F261" s="93"/>
      <c r="G261" s="93"/>
      <c r="H261" s="93">
        <v>1140</v>
      </c>
      <c r="I261" s="93">
        <v>0</v>
      </c>
      <c r="J261" s="93"/>
      <c r="K261" s="93">
        <f t="shared" si="60"/>
        <v>0</v>
      </c>
      <c r="L261" s="93">
        <f t="shared" si="61"/>
        <v>0</v>
      </c>
      <c r="M261" s="94">
        <v>20</v>
      </c>
      <c r="N261" s="95" t="s">
        <v>289</v>
      </c>
      <c r="O261" s="93">
        <f t="shared" si="64"/>
        <v>0</v>
      </c>
      <c r="P261" s="93">
        <f t="shared" si="65"/>
        <v>0</v>
      </c>
      <c r="Q261" s="93">
        <f t="shared" si="66"/>
        <v>0</v>
      </c>
      <c r="R261" s="93">
        <f t="shared" si="67"/>
        <v>0</v>
      </c>
      <c r="S261" s="93">
        <f t="shared" si="68"/>
        <v>0</v>
      </c>
      <c r="T261" s="93">
        <f t="shared" si="59"/>
        <v>0</v>
      </c>
      <c r="U261" s="312">
        <f t="shared" si="62"/>
        <v>0</v>
      </c>
      <c r="V261" s="93">
        <f t="shared" si="63"/>
        <v>0</v>
      </c>
    </row>
    <row r="262" spans="1:22" ht="18" customHeight="1" x14ac:dyDescent="0.2">
      <c r="A262" s="110" t="s">
        <v>561</v>
      </c>
      <c r="B262" s="111"/>
      <c r="C262" s="201" t="s">
        <v>562</v>
      </c>
      <c r="D262" s="91">
        <v>40605</v>
      </c>
      <c r="E262" s="92"/>
      <c r="F262" s="93"/>
      <c r="G262" s="93"/>
      <c r="H262" s="93">
        <v>5818.18</v>
      </c>
      <c r="I262" s="93">
        <v>923.18000000000006</v>
      </c>
      <c r="J262" s="93"/>
      <c r="K262" s="93">
        <f t="shared" si="60"/>
        <v>0</v>
      </c>
      <c r="L262" s="93">
        <f t="shared" si="61"/>
        <v>0</v>
      </c>
      <c r="M262" s="94">
        <v>20</v>
      </c>
      <c r="N262" s="95" t="s">
        <v>289</v>
      </c>
      <c r="O262" s="93">
        <f t="shared" si="64"/>
        <v>0</v>
      </c>
      <c r="P262" s="93">
        <f t="shared" si="65"/>
        <v>0</v>
      </c>
      <c r="Q262" s="93">
        <f t="shared" si="66"/>
        <v>0</v>
      </c>
      <c r="R262" s="93">
        <f t="shared" si="67"/>
        <v>92</v>
      </c>
      <c r="S262" s="93">
        <f t="shared" si="68"/>
        <v>0</v>
      </c>
      <c r="T262" s="93">
        <f t="shared" si="59"/>
        <v>92</v>
      </c>
      <c r="U262" s="312">
        <f t="shared" si="62"/>
        <v>831.18000000000006</v>
      </c>
      <c r="V262" s="93">
        <f t="shared" si="63"/>
        <v>0</v>
      </c>
    </row>
    <row r="263" spans="1:22" ht="18" customHeight="1" x14ac:dyDescent="0.2">
      <c r="A263" s="110" t="s">
        <v>565</v>
      </c>
      <c r="B263" s="111"/>
      <c r="C263" s="201" t="s">
        <v>566</v>
      </c>
      <c r="D263" s="91">
        <v>40627</v>
      </c>
      <c r="E263" s="92"/>
      <c r="F263" s="93"/>
      <c r="G263" s="93"/>
      <c r="H263" s="93">
        <v>727.27</v>
      </c>
      <c r="I263" s="93">
        <v>0</v>
      </c>
      <c r="J263" s="93"/>
      <c r="K263" s="93">
        <f t="shared" si="60"/>
        <v>0</v>
      </c>
      <c r="L263" s="93">
        <f t="shared" si="61"/>
        <v>0</v>
      </c>
      <c r="M263" s="94">
        <v>10</v>
      </c>
      <c r="N263" s="95" t="s">
        <v>289</v>
      </c>
      <c r="O263" s="93">
        <f t="shared" si="64"/>
        <v>0</v>
      </c>
      <c r="P263" s="93">
        <f t="shared" si="65"/>
        <v>0</v>
      </c>
      <c r="Q263" s="93">
        <f t="shared" si="66"/>
        <v>0</v>
      </c>
      <c r="R263" s="93">
        <f t="shared" si="67"/>
        <v>0</v>
      </c>
      <c r="S263" s="93">
        <f t="shared" si="68"/>
        <v>0</v>
      </c>
      <c r="T263" s="93">
        <f t="shared" ref="T263:T307" si="69">+R263+S263+Q263</f>
        <v>0</v>
      </c>
      <c r="U263" s="312">
        <f t="shared" si="62"/>
        <v>0</v>
      </c>
      <c r="V263" s="93">
        <f t="shared" si="63"/>
        <v>0</v>
      </c>
    </row>
    <row r="264" spans="1:22" ht="18" customHeight="1" x14ac:dyDescent="0.2">
      <c r="A264" s="110" t="s">
        <v>567</v>
      </c>
      <c r="B264" s="111"/>
      <c r="C264" s="201" t="s">
        <v>568</v>
      </c>
      <c r="D264" s="91">
        <v>40629</v>
      </c>
      <c r="E264" s="92"/>
      <c r="F264" s="93"/>
      <c r="G264" s="93"/>
      <c r="H264" s="93">
        <v>7000</v>
      </c>
      <c r="I264" s="93">
        <v>3683</v>
      </c>
      <c r="J264" s="93"/>
      <c r="K264" s="93">
        <f t="shared" si="60"/>
        <v>0</v>
      </c>
      <c r="L264" s="93">
        <f t="shared" si="61"/>
        <v>0</v>
      </c>
      <c r="M264" s="94">
        <v>7.5</v>
      </c>
      <c r="N264" s="95" t="s">
        <v>289</v>
      </c>
      <c r="O264" s="93">
        <f t="shared" si="64"/>
        <v>0</v>
      </c>
      <c r="P264" s="93">
        <f t="shared" si="65"/>
        <v>0</v>
      </c>
      <c r="Q264" s="93">
        <f t="shared" si="66"/>
        <v>0</v>
      </c>
      <c r="R264" s="93">
        <f t="shared" si="67"/>
        <v>138</v>
      </c>
      <c r="S264" s="93">
        <f t="shared" si="68"/>
        <v>0</v>
      </c>
      <c r="T264" s="93">
        <f t="shared" si="69"/>
        <v>138</v>
      </c>
      <c r="U264" s="312">
        <f t="shared" si="62"/>
        <v>3545</v>
      </c>
      <c r="V264" s="93">
        <f t="shared" si="63"/>
        <v>0</v>
      </c>
    </row>
    <row r="265" spans="1:22" ht="18" customHeight="1" x14ac:dyDescent="0.2">
      <c r="A265" s="110" t="s">
        <v>569</v>
      </c>
      <c r="B265" s="111"/>
      <c r="C265" s="90" t="s">
        <v>570</v>
      </c>
      <c r="D265" s="91">
        <v>40639</v>
      </c>
      <c r="E265" s="92"/>
      <c r="F265" s="93"/>
      <c r="G265" s="93"/>
      <c r="H265" s="93">
        <v>66600</v>
      </c>
      <c r="I265" s="93">
        <v>37759.79</v>
      </c>
      <c r="J265" s="93"/>
      <c r="K265" s="93">
        <f t="shared" si="60"/>
        <v>0</v>
      </c>
      <c r="L265" s="93">
        <f t="shared" si="61"/>
        <v>0</v>
      </c>
      <c r="M265" s="94">
        <v>6.67</v>
      </c>
      <c r="N265" s="95" t="s">
        <v>289</v>
      </c>
      <c r="O265" s="93">
        <f t="shared" si="64"/>
        <v>0</v>
      </c>
      <c r="P265" s="93">
        <f t="shared" si="65"/>
        <v>0</v>
      </c>
      <c r="Q265" s="93">
        <f t="shared" si="66"/>
        <v>0</v>
      </c>
      <c r="R265" s="93">
        <f t="shared" si="67"/>
        <v>1259</v>
      </c>
      <c r="S265" s="93">
        <f t="shared" si="68"/>
        <v>0</v>
      </c>
      <c r="T265" s="93">
        <f t="shared" si="69"/>
        <v>1259</v>
      </c>
      <c r="U265" s="312">
        <f t="shared" si="62"/>
        <v>36500.79</v>
      </c>
      <c r="V265" s="93">
        <f t="shared" si="63"/>
        <v>0</v>
      </c>
    </row>
    <row r="266" spans="1:22" ht="18" customHeight="1" x14ac:dyDescent="0.2">
      <c r="A266" s="110" t="s">
        <v>573</v>
      </c>
      <c r="B266" s="111"/>
      <c r="C266" s="201" t="s">
        <v>574</v>
      </c>
      <c r="D266" s="91">
        <v>40714</v>
      </c>
      <c r="E266" s="92"/>
      <c r="F266" s="93"/>
      <c r="G266" s="93"/>
      <c r="H266" s="93">
        <v>5000</v>
      </c>
      <c r="I266" s="93">
        <v>2151</v>
      </c>
      <c r="J266" s="93"/>
      <c r="K266" s="93">
        <f t="shared" si="60"/>
        <v>0</v>
      </c>
      <c r="L266" s="93">
        <f t="shared" si="61"/>
        <v>0</v>
      </c>
      <c r="M266" s="94">
        <v>10</v>
      </c>
      <c r="N266" s="95" t="s">
        <v>289</v>
      </c>
      <c r="O266" s="93">
        <f t="shared" si="64"/>
        <v>0</v>
      </c>
      <c r="P266" s="93">
        <f t="shared" si="65"/>
        <v>0</v>
      </c>
      <c r="Q266" s="93">
        <f t="shared" si="66"/>
        <v>0</v>
      </c>
      <c r="R266" s="93">
        <f t="shared" si="67"/>
        <v>107</v>
      </c>
      <c r="S266" s="93">
        <f t="shared" si="68"/>
        <v>0</v>
      </c>
      <c r="T266" s="93">
        <f t="shared" si="69"/>
        <v>107</v>
      </c>
      <c r="U266" s="312">
        <f t="shared" si="62"/>
        <v>2044</v>
      </c>
      <c r="V266" s="93">
        <f t="shared" si="63"/>
        <v>0</v>
      </c>
    </row>
    <row r="267" spans="1:22" ht="18" customHeight="1" x14ac:dyDescent="0.2">
      <c r="A267" s="110" t="s">
        <v>577</v>
      </c>
      <c r="B267" s="111"/>
      <c r="C267" s="201" t="s">
        <v>578</v>
      </c>
      <c r="D267" s="91">
        <v>40449</v>
      </c>
      <c r="E267" s="92"/>
      <c r="F267" s="93"/>
      <c r="G267" s="93"/>
      <c r="H267" s="93">
        <v>485.77</v>
      </c>
      <c r="I267" s="93">
        <v>0</v>
      </c>
      <c r="J267" s="93"/>
      <c r="K267" s="93">
        <f t="shared" si="60"/>
        <v>0</v>
      </c>
      <c r="L267" s="93">
        <f t="shared" si="61"/>
        <v>0</v>
      </c>
      <c r="M267" s="94">
        <v>20</v>
      </c>
      <c r="N267" s="95" t="s">
        <v>289</v>
      </c>
      <c r="O267" s="93">
        <f t="shared" si="64"/>
        <v>0</v>
      </c>
      <c r="P267" s="93">
        <f t="shared" si="65"/>
        <v>0</v>
      </c>
      <c r="Q267" s="93">
        <f t="shared" si="66"/>
        <v>0</v>
      </c>
      <c r="R267" s="93">
        <f t="shared" si="67"/>
        <v>0</v>
      </c>
      <c r="S267" s="93">
        <f t="shared" si="68"/>
        <v>0</v>
      </c>
      <c r="T267" s="93">
        <f t="shared" si="69"/>
        <v>0</v>
      </c>
      <c r="U267" s="312">
        <f t="shared" si="62"/>
        <v>0</v>
      </c>
      <c r="V267" s="93">
        <f t="shared" si="63"/>
        <v>0</v>
      </c>
    </row>
    <row r="268" spans="1:22" ht="18" customHeight="1" x14ac:dyDescent="0.2">
      <c r="A268" s="110" t="s">
        <v>588</v>
      </c>
      <c r="B268" s="111"/>
      <c r="C268" s="90" t="s">
        <v>589</v>
      </c>
      <c r="D268" s="91">
        <v>40513</v>
      </c>
      <c r="E268" s="92"/>
      <c r="F268" s="93"/>
      <c r="G268" s="93"/>
      <c r="H268" s="93">
        <v>239.96</v>
      </c>
      <c r="I268" s="93">
        <v>0</v>
      </c>
      <c r="J268" s="93"/>
      <c r="K268" s="93">
        <f t="shared" si="60"/>
        <v>0</v>
      </c>
      <c r="L268" s="93">
        <f t="shared" si="61"/>
        <v>0</v>
      </c>
      <c r="M268" s="94">
        <v>20</v>
      </c>
      <c r="N268" s="95" t="s">
        <v>289</v>
      </c>
      <c r="O268" s="93">
        <f t="shared" si="64"/>
        <v>0</v>
      </c>
      <c r="P268" s="93">
        <f t="shared" si="65"/>
        <v>0</v>
      </c>
      <c r="Q268" s="93">
        <f t="shared" si="66"/>
        <v>0</v>
      </c>
      <c r="R268" s="93">
        <f t="shared" si="67"/>
        <v>0</v>
      </c>
      <c r="S268" s="93">
        <f t="shared" si="68"/>
        <v>0</v>
      </c>
      <c r="T268" s="93">
        <f t="shared" si="69"/>
        <v>0</v>
      </c>
      <c r="U268" s="312">
        <f t="shared" si="62"/>
        <v>0</v>
      </c>
      <c r="V268" s="93">
        <f t="shared" si="63"/>
        <v>0</v>
      </c>
    </row>
    <row r="269" spans="1:22" ht="18" customHeight="1" x14ac:dyDescent="0.2">
      <c r="A269" s="110" t="s">
        <v>592</v>
      </c>
      <c r="B269" s="111"/>
      <c r="C269" s="201" t="s">
        <v>593</v>
      </c>
      <c r="D269" s="91">
        <v>40528</v>
      </c>
      <c r="E269" s="92"/>
      <c r="F269" s="93"/>
      <c r="G269" s="93"/>
      <c r="H269" s="93">
        <v>685.64</v>
      </c>
      <c r="I269" s="93">
        <v>0</v>
      </c>
      <c r="J269" s="93"/>
      <c r="K269" s="93">
        <f t="shared" si="60"/>
        <v>0</v>
      </c>
      <c r="L269" s="93">
        <f t="shared" si="61"/>
        <v>0</v>
      </c>
      <c r="M269" s="94">
        <v>20</v>
      </c>
      <c r="N269" s="95" t="s">
        <v>289</v>
      </c>
      <c r="O269" s="93">
        <f t="shared" si="64"/>
        <v>0</v>
      </c>
      <c r="P269" s="93">
        <f t="shared" si="65"/>
        <v>0</v>
      </c>
      <c r="Q269" s="93">
        <f t="shared" si="66"/>
        <v>0</v>
      </c>
      <c r="R269" s="93">
        <f t="shared" si="67"/>
        <v>0</v>
      </c>
      <c r="S269" s="93">
        <f t="shared" si="68"/>
        <v>0</v>
      </c>
      <c r="T269" s="93">
        <f t="shared" si="69"/>
        <v>0</v>
      </c>
      <c r="U269" s="312">
        <f t="shared" si="62"/>
        <v>0</v>
      </c>
      <c r="V269" s="93">
        <f t="shared" si="63"/>
        <v>0</v>
      </c>
    </row>
    <row r="270" spans="1:22" ht="18" customHeight="1" x14ac:dyDescent="0.2">
      <c r="A270" s="110" t="s">
        <v>594</v>
      </c>
      <c r="B270" s="111"/>
      <c r="C270" s="201" t="s">
        <v>595</v>
      </c>
      <c r="D270" s="91">
        <v>40528</v>
      </c>
      <c r="E270" s="92"/>
      <c r="F270" s="93"/>
      <c r="G270" s="93"/>
      <c r="H270" s="93">
        <v>221.82</v>
      </c>
      <c r="I270" s="93">
        <v>0</v>
      </c>
      <c r="J270" s="93"/>
      <c r="K270" s="93">
        <f t="shared" si="60"/>
        <v>0</v>
      </c>
      <c r="L270" s="93">
        <f t="shared" si="61"/>
        <v>0</v>
      </c>
      <c r="M270" s="94">
        <v>20</v>
      </c>
      <c r="N270" s="95" t="s">
        <v>289</v>
      </c>
      <c r="O270" s="93">
        <f t="shared" si="64"/>
        <v>0</v>
      </c>
      <c r="P270" s="93">
        <f t="shared" si="65"/>
        <v>0</v>
      </c>
      <c r="Q270" s="93">
        <f t="shared" si="66"/>
        <v>0</v>
      </c>
      <c r="R270" s="93">
        <f t="shared" si="67"/>
        <v>0</v>
      </c>
      <c r="S270" s="93">
        <f t="shared" si="68"/>
        <v>0</v>
      </c>
      <c r="T270" s="93">
        <f t="shared" si="69"/>
        <v>0</v>
      </c>
      <c r="U270" s="312">
        <f t="shared" si="62"/>
        <v>0</v>
      </c>
      <c r="V270" s="93">
        <f t="shared" si="63"/>
        <v>0</v>
      </c>
    </row>
    <row r="271" spans="1:22" ht="18" customHeight="1" x14ac:dyDescent="0.2">
      <c r="A271" s="110" t="s">
        <v>598</v>
      </c>
      <c r="B271" s="111"/>
      <c r="C271" s="201" t="s">
        <v>599</v>
      </c>
      <c r="D271" s="91">
        <v>40632</v>
      </c>
      <c r="E271" s="92"/>
      <c r="F271" s="93"/>
      <c r="G271" s="93"/>
      <c r="H271" s="93">
        <v>770</v>
      </c>
      <c r="I271" s="93">
        <v>0</v>
      </c>
      <c r="J271" s="93"/>
      <c r="K271" s="93">
        <f t="shared" si="60"/>
        <v>0</v>
      </c>
      <c r="L271" s="93">
        <f t="shared" si="61"/>
        <v>0</v>
      </c>
      <c r="M271" s="94">
        <v>20</v>
      </c>
      <c r="N271" s="95" t="s">
        <v>289</v>
      </c>
      <c r="O271" s="93">
        <f t="shared" si="64"/>
        <v>0</v>
      </c>
      <c r="P271" s="93">
        <f t="shared" si="65"/>
        <v>0</v>
      </c>
      <c r="Q271" s="93">
        <f t="shared" si="66"/>
        <v>0</v>
      </c>
      <c r="R271" s="93">
        <f t="shared" si="67"/>
        <v>0</v>
      </c>
      <c r="S271" s="93">
        <f t="shared" si="68"/>
        <v>0</v>
      </c>
      <c r="T271" s="93">
        <f t="shared" si="69"/>
        <v>0</v>
      </c>
      <c r="U271" s="312">
        <f t="shared" si="62"/>
        <v>0</v>
      </c>
      <c r="V271" s="93">
        <f t="shared" si="63"/>
        <v>0</v>
      </c>
    </row>
    <row r="272" spans="1:22" ht="18" customHeight="1" x14ac:dyDescent="0.2">
      <c r="A272" s="110" t="s">
        <v>600</v>
      </c>
      <c r="B272" s="111"/>
      <c r="C272" s="201" t="s">
        <v>601</v>
      </c>
      <c r="D272" s="91">
        <v>40688</v>
      </c>
      <c r="E272" s="92"/>
      <c r="F272" s="93"/>
      <c r="G272" s="93"/>
      <c r="H272" s="93">
        <v>300</v>
      </c>
      <c r="I272" s="93">
        <v>0</v>
      </c>
      <c r="J272" s="93"/>
      <c r="K272" s="93">
        <f t="shared" si="60"/>
        <v>0</v>
      </c>
      <c r="L272" s="93">
        <f t="shared" si="61"/>
        <v>0</v>
      </c>
      <c r="M272" s="94">
        <v>20</v>
      </c>
      <c r="N272" s="95" t="s">
        <v>289</v>
      </c>
      <c r="O272" s="93">
        <f t="shared" si="64"/>
        <v>0</v>
      </c>
      <c r="P272" s="93">
        <f t="shared" si="65"/>
        <v>0</v>
      </c>
      <c r="Q272" s="93">
        <f t="shared" si="66"/>
        <v>0</v>
      </c>
      <c r="R272" s="93">
        <f t="shared" si="67"/>
        <v>0</v>
      </c>
      <c r="S272" s="93">
        <f t="shared" si="68"/>
        <v>0</v>
      </c>
      <c r="T272" s="93">
        <f t="shared" si="69"/>
        <v>0</v>
      </c>
      <c r="U272" s="312">
        <f t="shared" si="62"/>
        <v>0</v>
      </c>
      <c r="V272" s="93">
        <f t="shared" si="63"/>
        <v>0</v>
      </c>
    </row>
    <row r="273" spans="1:22" ht="18" customHeight="1" x14ac:dyDescent="0.2">
      <c r="A273" s="110" t="s">
        <v>602</v>
      </c>
      <c r="B273" s="111"/>
      <c r="C273" s="201" t="s">
        <v>603</v>
      </c>
      <c r="D273" s="91">
        <v>40585</v>
      </c>
      <c r="E273" s="92"/>
      <c r="F273" s="93"/>
      <c r="G273" s="93"/>
      <c r="H273" s="93">
        <v>772.73</v>
      </c>
      <c r="I273" s="93">
        <v>0</v>
      </c>
      <c r="J273" s="93"/>
      <c r="K273" s="93">
        <f t="shared" si="60"/>
        <v>0</v>
      </c>
      <c r="L273" s="93">
        <f t="shared" si="61"/>
        <v>0</v>
      </c>
      <c r="M273" s="94">
        <v>20</v>
      </c>
      <c r="N273" s="95" t="s">
        <v>289</v>
      </c>
      <c r="O273" s="93">
        <f t="shared" si="64"/>
        <v>0</v>
      </c>
      <c r="P273" s="93">
        <f t="shared" si="65"/>
        <v>0</v>
      </c>
      <c r="Q273" s="93">
        <f t="shared" si="66"/>
        <v>0</v>
      </c>
      <c r="R273" s="93">
        <f t="shared" si="67"/>
        <v>0</v>
      </c>
      <c r="S273" s="93">
        <f t="shared" si="68"/>
        <v>0</v>
      </c>
      <c r="T273" s="93">
        <f t="shared" si="69"/>
        <v>0</v>
      </c>
      <c r="U273" s="312">
        <f t="shared" si="62"/>
        <v>0</v>
      </c>
      <c r="V273" s="93">
        <f t="shared" si="63"/>
        <v>0</v>
      </c>
    </row>
    <row r="274" spans="1:22" ht="18" customHeight="1" x14ac:dyDescent="0.2">
      <c r="A274" s="110" t="s">
        <v>610</v>
      </c>
      <c r="B274" s="111"/>
      <c r="C274" s="201" t="s">
        <v>611</v>
      </c>
      <c r="D274" s="91">
        <v>38328</v>
      </c>
      <c r="E274" s="92"/>
      <c r="F274" s="93"/>
      <c r="G274" s="93"/>
      <c r="H274" s="93">
        <v>1000</v>
      </c>
      <c r="I274" s="93">
        <v>0</v>
      </c>
      <c r="J274" s="93"/>
      <c r="K274" s="93">
        <f t="shared" si="60"/>
        <v>0</v>
      </c>
      <c r="L274" s="93">
        <f t="shared" si="61"/>
        <v>0</v>
      </c>
      <c r="M274" s="94">
        <v>5</v>
      </c>
      <c r="N274" s="95" t="s">
        <v>289</v>
      </c>
      <c r="O274" s="93">
        <f t="shared" si="64"/>
        <v>0</v>
      </c>
      <c r="P274" s="93">
        <f t="shared" si="65"/>
        <v>0</v>
      </c>
      <c r="Q274" s="93">
        <f t="shared" si="66"/>
        <v>0</v>
      </c>
      <c r="R274" s="93">
        <f t="shared" si="67"/>
        <v>0</v>
      </c>
      <c r="S274" s="93">
        <f t="shared" si="68"/>
        <v>0</v>
      </c>
      <c r="T274" s="93">
        <f t="shared" si="69"/>
        <v>0</v>
      </c>
      <c r="U274" s="312">
        <f t="shared" si="62"/>
        <v>0</v>
      </c>
      <c r="V274" s="93">
        <f t="shared" si="63"/>
        <v>0</v>
      </c>
    </row>
    <row r="275" spans="1:22" ht="18" customHeight="1" x14ac:dyDescent="0.2">
      <c r="A275" s="110" t="s">
        <v>612</v>
      </c>
      <c r="B275" s="111"/>
      <c r="C275" s="201" t="s">
        <v>613</v>
      </c>
      <c r="D275" s="91">
        <v>38413</v>
      </c>
      <c r="E275" s="92"/>
      <c r="F275" s="93"/>
      <c r="G275" s="93"/>
      <c r="H275" s="93">
        <v>3750</v>
      </c>
      <c r="I275" s="93">
        <v>1800</v>
      </c>
      <c r="J275" s="93"/>
      <c r="K275" s="93">
        <f t="shared" si="60"/>
        <v>0</v>
      </c>
      <c r="L275" s="93">
        <f t="shared" si="61"/>
        <v>0</v>
      </c>
      <c r="M275" s="94">
        <v>5</v>
      </c>
      <c r="N275" s="95" t="s">
        <v>289</v>
      </c>
      <c r="O275" s="93">
        <f t="shared" si="64"/>
        <v>0</v>
      </c>
      <c r="P275" s="93">
        <f t="shared" si="65"/>
        <v>0</v>
      </c>
      <c r="Q275" s="93">
        <f t="shared" si="66"/>
        <v>0</v>
      </c>
      <c r="R275" s="93">
        <f t="shared" si="67"/>
        <v>45</v>
      </c>
      <c r="S275" s="93">
        <f t="shared" si="68"/>
        <v>0</v>
      </c>
      <c r="T275" s="93">
        <f t="shared" si="69"/>
        <v>45</v>
      </c>
      <c r="U275" s="312">
        <f t="shared" si="62"/>
        <v>1755</v>
      </c>
      <c r="V275" s="93">
        <f t="shared" si="63"/>
        <v>0</v>
      </c>
    </row>
    <row r="276" spans="1:22" ht="18" customHeight="1" x14ac:dyDescent="0.2">
      <c r="A276" s="110" t="s">
        <v>616</v>
      </c>
      <c r="B276" s="111"/>
      <c r="C276" s="201" t="s">
        <v>617</v>
      </c>
      <c r="D276" s="91">
        <v>40653</v>
      </c>
      <c r="E276" s="92"/>
      <c r="F276" s="93"/>
      <c r="G276" s="93"/>
      <c r="H276" s="93">
        <v>955.55000000000007</v>
      </c>
      <c r="I276" s="93">
        <v>0</v>
      </c>
      <c r="J276" s="93"/>
      <c r="K276" s="93">
        <f t="shared" si="60"/>
        <v>0</v>
      </c>
      <c r="L276" s="93">
        <f t="shared" si="61"/>
        <v>0</v>
      </c>
      <c r="M276" s="94">
        <v>20</v>
      </c>
      <c r="N276" s="95" t="s">
        <v>289</v>
      </c>
      <c r="O276" s="93">
        <f t="shared" si="64"/>
        <v>0</v>
      </c>
      <c r="P276" s="93">
        <f t="shared" si="65"/>
        <v>0</v>
      </c>
      <c r="Q276" s="93">
        <f t="shared" si="66"/>
        <v>0</v>
      </c>
      <c r="R276" s="93">
        <f t="shared" si="67"/>
        <v>0</v>
      </c>
      <c r="S276" s="93">
        <f t="shared" si="68"/>
        <v>0</v>
      </c>
      <c r="T276" s="93">
        <f t="shared" si="69"/>
        <v>0</v>
      </c>
      <c r="U276" s="312">
        <f t="shared" si="62"/>
        <v>0</v>
      </c>
      <c r="V276" s="93">
        <f t="shared" si="63"/>
        <v>0</v>
      </c>
    </row>
    <row r="277" spans="1:22" ht="18" customHeight="1" x14ac:dyDescent="0.2">
      <c r="A277" s="110" t="s">
        <v>618</v>
      </c>
      <c r="B277" s="111"/>
      <c r="C277" s="201" t="s">
        <v>619</v>
      </c>
      <c r="D277" s="91">
        <v>40653</v>
      </c>
      <c r="E277" s="92"/>
      <c r="F277" s="93"/>
      <c r="G277" s="93"/>
      <c r="H277" s="93">
        <v>914</v>
      </c>
      <c r="I277" s="93">
        <v>0</v>
      </c>
      <c r="J277" s="93"/>
      <c r="K277" s="93">
        <f t="shared" si="60"/>
        <v>0</v>
      </c>
      <c r="L277" s="93">
        <f t="shared" si="61"/>
        <v>0</v>
      </c>
      <c r="M277" s="94">
        <v>20</v>
      </c>
      <c r="N277" s="95" t="s">
        <v>289</v>
      </c>
      <c r="O277" s="93">
        <f t="shared" si="64"/>
        <v>0</v>
      </c>
      <c r="P277" s="93">
        <f t="shared" si="65"/>
        <v>0</v>
      </c>
      <c r="Q277" s="93">
        <f t="shared" si="66"/>
        <v>0</v>
      </c>
      <c r="R277" s="93">
        <f t="shared" si="67"/>
        <v>0</v>
      </c>
      <c r="S277" s="93">
        <f t="shared" si="68"/>
        <v>0</v>
      </c>
      <c r="T277" s="93">
        <f t="shared" si="69"/>
        <v>0</v>
      </c>
      <c r="U277" s="312">
        <f t="shared" si="62"/>
        <v>0</v>
      </c>
      <c r="V277" s="93">
        <f t="shared" si="63"/>
        <v>0</v>
      </c>
    </row>
    <row r="278" spans="1:22" ht="18" customHeight="1" x14ac:dyDescent="0.2">
      <c r="A278" s="110" t="s">
        <v>620</v>
      </c>
      <c r="B278" s="111"/>
      <c r="C278" s="201" t="s">
        <v>621</v>
      </c>
      <c r="D278" s="91">
        <v>38448</v>
      </c>
      <c r="E278" s="92"/>
      <c r="F278" s="93"/>
      <c r="G278" s="93"/>
      <c r="H278" s="93">
        <v>1613.23</v>
      </c>
      <c r="I278" s="93">
        <v>0</v>
      </c>
      <c r="J278" s="93"/>
      <c r="K278" s="93">
        <f t="shared" si="60"/>
        <v>0</v>
      </c>
      <c r="L278" s="93">
        <f t="shared" si="61"/>
        <v>0</v>
      </c>
      <c r="M278" s="94">
        <v>7.5</v>
      </c>
      <c r="N278" s="95" t="s">
        <v>289</v>
      </c>
      <c r="O278" s="93">
        <f t="shared" si="64"/>
        <v>0</v>
      </c>
      <c r="P278" s="93">
        <f t="shared" si="65"/>
        <v>0</v>
      </c>
      <c r="Q278" s="93">
        <f t="shared" si="66"/>
        <v>0</v>
      </c>
      <c r="R278" s="93">
        <f t="shared" si="67"/>
        <v>0</v>
      </c>
      <c r="S278" s="93">
        <f t="shared" si="68"/>
        <v>0</v>
      </c>
      <c r="T278" s="93">
        <f t="shared" si="69"/>
        <v>0</v>
      </c>
      <c r="U278" s="312">
        <f t="shared" si="62"/>
        <v>0</v>
      </c>
      <c r="V278" s="93">
        <f t="shared" si="63"/>
        <v>0</v>
      </c>
    </row>
    <row r="279" spans="1:22" ht="18" customHeight="1" x14ac:dyDescent="0.2">
      <c r="A279" s="110" t="s">
        <v>622</v>
      </c>
      <c r="B279" s="111"/>
      <c r="C279" s="201" t="s">
        <v>623</v>
      </c>
      <c r="D279" s="91">
        <v>38432</v>
      </c>
      <c r="E279" s="92"/>
      <c r="F279" s="93"/>
      <c r="G279" s="93"/>
      <c r="H279" s="93">
        <v>825</v>
      </c>
      <c r="I279" s="93">
        <v>0</v>
      </c>
      <c r="J279" s="93"/>
      <c r="K279" s="93">
        <f t="shared" si="60"/>
        <v>0</v>
      </c>
      <c r="L279" s="93">
        <f t="shared" si="61"/>
        <v>0</v>
      </c>
      <c r="M279" s="94">
        <v>7.5</v>
      </c>
      <c r="N279" s="95" t="s">
        <v>289</v>
      </c>
      <c r="O279" s="93">
        <f t="shared" si="64"/>
        <v>0</v>
      </c>
      <c r="P279" s="93">
        <f t="shared" si="65"/>
        <v>0</v>
      </c>
      <c r="Q279" s="93">
        <f t="shared" si="66"/>
        <v>0</v>
      </c>
      <c r="R279" s="93">
        <f t="shared" si="67"/>
        <v>0</v>
      </c>
      <c r="S279" s="93">
        <f t="shared" si="68"/>
        <v>0</v>
      </c>
      <c r="T279" s="93">
        <f t="shared" si="69"/>
        <v>0</v>
      </c>
      <c r="U279" s="312">
        <f t="shared" si="62"/>
        <v>0</v>
      </c>
      <c r="V279" s="93">
        <f t="shared" si="63"/>
        <v>0</v>
      </c>
    </row>
    <row r="280" spans="1:22" ht="18" customHeight="1" x14ac:dyDescent="0.2">
      <c r="A280" s="110" t="s">
        <v>624</v>
      </c>
      <c r="B280" s="111"/>
      <c r="C280" s="201" t="s">
        <v>380</v>
      </c>
      <c r="D280" s="91">
        <v>38477</v>
      </c>
      <c r="E280" s="92"/>
      <c r="F280" s="93"/>
      <c r="G280" s="93"/>
      <c r="H280" s="93">
        <v>407.88</v>
      </c>
      <c r="I280" s="93">
        <v>0</v>
      </c>
      <c r="J280" s="93"/>
      <c r="K280" s="93">
        <f t="shared" si="60"/>
        <v>0</v>
      </c>
      <c r="L280" s="93">
        <f t="shared" si="61"/>
        <v>0</v>
      </c>
      <c r="M280" s="94">
        <v>7.5</v>
      </c>
      <c r="N280" s="95" t="s">
        <v>289</v>
      </c>
      <c r="O280" s="93">
        <f t="shared" si="64"/>
        <v>0</v>
      </c>
      <c r="P280" s="93">
        <f t="shared" si="65"/>
        <v>0</v>
      </c>
      <c r="Q280" s="93">
        <f t="shared" si="66"/>
        <v>0</v>
      </c>
      <c r="R280" s="93">
        <f t="shared" si="67"/>
        <v>0</v>
      </c>
      <c r="S280" s="93">
        <f t="shared" si="68"/>
        <v>0</v>
      </c>
      <c r="T280" s="93">
        <f t="shared" si="69"/>
        <v>0</v>
      </c>
      <c r="U280" s="312">
        <f t="shared" si="62"/>
        <v>0</v>
      </c>
      <c r="V280" s="93">
        <f t="shared" si="63"/>
        <v>0</v>
      </c>
    </row>
    <row r="281" spans="1:22" ht="18" customHeight="1" x14ac:dyDescent="0.2">
      <c r="A281" s="110" t="s">
        <v>625</v>
      </c>
      <c r="B281" s="111"/>
      <c r="C281" s="201" t="s">
        <v>626</v>
      </c>
      <c r="D281" s="91">
        <v>38567</v>
      </c>
      <c r="E281" s="92"/>
      <c r="F281" s="93"/>
      <c r="G281" s="93"/>
      <c r="H281" s="93">
        <v>2100</v>
      </c>
      <c r="I281" s="93">
        <v>1030</v>
      </c>
      <c r="J281" s="93"/>
      <c r="K281" s="93">
        <f t="shared" si="60"/>
        <v>0</v>
      </c>
      <c r="L281" s="93">
        <f t="shared" si="61"/>
        <v>0</v>
      </c>
      <c r="M281" s="94">
        <v>5</v>
      </c>
      <c r="N281" s="95" t="s">
        <v>289</v>
      </c>
      <c r="O281" s="93">
        <f t="shared" si="64"/>
        <v>0</v>
      </c>
      <c r="P281" s="93">
        <f t="shared" si="65"/>
        <v>0</v>
      </c>
      <c r="Q281" s="93">
        <f t="shared" si="66"/>
        <v>0</v>
      </c>
      <c r="R281" s="93">
        <f t="shared" si="67"/>
        <v>25</v>
      </c>
      <c r="S281" s="93">
        <f t="shared" si="68"/>
        <v>0</v>
      </c>
      <c r="T281" s="93">
        <f t="shared" si="69"/>
        <v>25</v>
      </c>
      <c r="U281" s="312">
        <f t="shared" si="62"/>
        <v>1005</v>
      </c>
      <c r="V281" s="93">
        <f t="shared" si="63"/>
        <v>0</v>
      </c>
    </row>
    <row r="282" spans="1:22" ht="18" customHeight="1" x14ac:dyDescent="0.2">
      <c r="A282" s="110" t="s">
        <v>627</v>
      </c>
      <c r="B282" s="111"/>
      <c r="C282" s="201" t="s">
        <v>628</v>
      </c>
      <c r="D282" s="91">
        <v>38726</v>
      </c>
      <c r="E282" s="92"/>
      <c r="F282" s="93"/>
      <c r="G282" s="93"/>
      <c r="H282" s="93">
        <v>23400</v>
      </c>
      <c r="I282" s="93">
        <v>11733</v>
      </c>
      <c r="J282" s="93"/>
      <c r="K282" s="93">
        <f t="shared" si="60"/>
        <v>0</v>
      </c>
      <c r="L282" s="93">
        <f t="shared" si="61"/>
        <v>0</v>
      </c>
      <c r="M282" s="94">
        <v>5</v>
      </c>
      <c r="N282" s="95" t="s">
        <v>289</v>
      </c>
      <c r="O282" s="93">
        <f t="shared" si="64"/>
        <v>0</v>
      </c>
      <c r="P282" s="93">
        <f t="shared" si="65"/>
        <v>0</v>
      </c>
      <c r="Q282" s="93">
        <f t="shared" si="66"/>
        <v>0</v>
      </c>
      <c r="R282" s="93">
        <f t="shared" si="67"/>
        <v>293</v>
      </c>
      <c r="S282" s="93">
        <f t="shared" si="68"/>
        <v>0</v>
      </c>
      <c r="T282" s="93">
        <f t="shared" si="69"/>
        <v>293</v>
      </c>
      <c r="U282" s="312">
        <f t="shared" si="62"/>
        <v>11440</v>
      </c>
      <c r="V282" s="93">
        <f t="shared" si="63"/>
        <v>0</v>
      </c>
    </row>
    <row r="283" spans="1:22" ht="18" customHeight="1" x14ac:dyDescent="0.2">
      <c r="A283" s="110" t="s">
        <v>629</v>
      </c>
      <c r="B283" s="111"/>
      <c r="C283" s="201" t="s">
        <v>2271</v>
      </c>
      <c r="D283" s="91">
        <v>38730</v>
      </c>
      <c r="E283" s="92"/>
      <c r="F283" s="93"/>
      <c r="G283" s="93"/>
      <c r="H283" s="93">
        <v>19000</v>
      </c>
      <c r="I283" s="93">
        <v>3977</v>
      </c>
      <c r="J283" s="93"/>
      <c r="K283" s="93">
        <f t="shared" si="60"/>
        <v>0</v>
      </c>
      <c r="L283" s="93">
        <f t="shared" si="61"/>
        <v>0</v>
      </c>
      <c r="M283" s="94">
        <v>11</v>
      </c>
      <c r="N283" s="95" t="s">
        <v>289</v>
      </c>
      <c r="O283" s="93">
        <f t="shared" si="64"/>
        <v>0</v>
      </c>
      <c r="P283" s="93">
        <f t="shared" si="65"/>
        <v>0</v>
      </c>
      <c r="Q283" s="93">
        <f t="shared" si="66"/>
        <v>0</v>
      </c>
      <c r="R283" s="93">
        <f t="shared" si="67"/>
        <v>218</v>
      </c>
      <c r="S283" s="93">
        <f t="shared" si="68"/>
        <v>0</v>
      </c>
      <c r="T283" s="93">
        <f t="shared" si="69"/>
        <v>218</v>
      </c>
      <c r="U283" s="312">
        <f t="shared" si="62"/>
        <v>3759</v>
      </c>
      <c r="V283" s="93">
        <f t="shared" si="63"/>
        <v>0</v>
      </c>
    </row>
    <row r="284" spans="1:22" ht="18" customHeight="1" x14ac:dyDescent="0.2">
      <c r="A284" s="110" t="s">
        <v>637</v>
      </c>
      <c r="B284" s="111"/>
      <c r="C284" s="201" t="s">
        <v>638</v>
      </c>
      <c r="D284" s="91">
        <v>38799</v>
      </c>
      <c r="E284" s="92"/>
      <c r="F284" s="93"/>
      <c r="G284" s="93"/>
      <c r="H284" s="93">
        <v>261.82</v>
      </c>
      <c r="I284" s="93">
        <v>0</v>
      </c>
      <c r="J284" s="93"/>
      <c r="K284" s="93">
        <f t="shared" si="60"/>
        <v>0</v>
      </c>
      <c r="L284" s="93">
        <f t="shared" si="61"/>
        <v>0</v>
      </c>
      <c r="M284" s="94">
        <v>37.5</v>
      </c>
      <c r="N284" s="95" t="s">
        <v>289</v>
      </c>
      <c r="O284" s="93">
        <f t="shared" si="64"/>
        <v>0</v>
      </c>
      <c r="P284" s="93">
        <f t="shared" si="65"/>
        <v>0</v>
      </c>
      <c r="Q284" s="93">
        <f t="shared" si="66"/>
        <v>0</v>
      </c>
      <c r="R284" s="93">
        <f t="shared" si="67"/>
        <v>0</v>
      </c>
      <c r="S284" s="93">
        <f t="shared" si="68"/>
        <v>0</v>
      </c>
      <c r="T284" s="93">
        <f t="shared" si="69"/>
        <v>0</v>
      </c>
      <c r="U284" s="312">
        <f t="shared" si="62"/>
        <v>0</v>
      </c>
      <c r="V284" s="93">
        <f t="shared" si="63"/>
        <v>0</v>
      </c>
    </row>
    <row r="285" spans="1:22" ht="18" customHeight="1" x14ac:dyDescent="0.2">
      <c r="A285" s="110" t="s">
        <v>639</v>
      </c>
      <c r="B285" s="111"/>
      <c r="C285" s="201" t="s">
        <v>640</v>
      </c>
      <c r="D285" s="91">
        <v>38810</v>
      </c>
      <c r="E285" s="92"/>
      <c r="F285" s="93"/>
      <c r="G285" s="93"/>
      <c r="H285" s="93">
        <v>1250</v>
      </c>
      <c r="I285" s="93">
        <v>0</v>
      </c>
      <c r="J285" s="93"/>
      <c r="K285" s="93">
        <f t="shared" si="60"/>
        <v>0</v>
      </c>
      <c r="L285" s="93">
        <f t="shared" si="61"/>
        <v>0</v>
      </c>
      <c r="M285" s="94">
        <v>5</v>
      </c>
      <c r="N285" s="95" t="s">
        <v>289</v>
      </c>
      <c r="O285" s="93">
        <f t="shared" si="64"/>
        <v>0</v>
      </c>
      <c r="P285" s="93">
        <f t="shared" si="65"/>
        <v>0</v>
      </c>
      <c r="Q285" s="93">
        <f t="shared" si="66"/>
        <v>0</v>
      </c>
      <c r="R285" s="93">
        <f t="shared" si="67"/>
        <v>0</v>
      </c>
      <c r="S285" s="93">
        <f t="shared" si="68"/>
        <v>0</v>
      </c>
      <c r="T285" s="93">
        <f t="shared" si="69"/>
        <v>0</v>
      </c>
      <c r="U285" s="312">
        <f t="shared" si="62"/>
        <v>0</v>
      </c>
      <c r="V285" s="93">
        <f t="shared" si="63"/>
        <v>0</v>
      </c>
    </row>
    <row r="286" spans="1:22" ht="18" customHeight="1" x14ac:dyDescent="0.2">
      <c r="A286" s="110" t="s">
        <v>641</v>
      </c>
      <c r="B286" s="111"/>
      <c r="C286" s="201" t="s">
        <v>640</v>
      </c>
      <c r="D286" s="91">
        <v>38813</v>
      </c>
      <c r="E286" s="92"/>
      <c r="F286" s="93"/>
      <c r="G286" s="93"/>
      <c r="H286" s="93">
        <v>1250</v>
      </c>
      <c r="I286" s="93">
        <v>0</v>
      </c>
      <c r="J286" s="93"/>
      <c r="K286" s="93">
        <f t="shared" si="60"/>
        <v>0</v>
      </c>
      <c r="L286" s="93">
        <f t="shared" si="61"/>
        <v>0</v>
      </c>
      <c r="M286" s="94">
        <v>5</v>
      </c>
      <c r="N286" s="95" t="s">
        <v>289</v>
      </c>
      <c r="O286" s="93">
        <f t="shared" si="64"/>
        <v>0</v>
      </c>
      <c r="P286" s="93">
        <f t="shared" si="65"/>
        <v>0</v>
      </c>
      <c r="Q286" s="93">
        <f t="shared" si="66"/>
        <v>0</v>
      </c>
      <c r="R286" s="93">
        <f t="shared" si="67"/>
        <v>0</v>
      </c>
      <c r="S286" s="93">
        <f t="shared" si="68"/>
        <v>0</v>
      </c>
      <c r="T286" s="93">
        <f t="shared" si="69"/>
        <v>0</v>
      </c>
      <c r="U286" s="312">
        <f t="shared" si="62"/>
        <v>0</v>
      </c>
      <c r="V286" s="93">
        <f t="shared" si="63"/>
        <v>0</v>
      </c>
    </row>
    <row r="287" spans="1:22" ht="18" customHeight="1" x14ac:dyDescent="0.2">
      <c r="A287" s="110" t="s">
        <v>642</v>
      </c>
      <c r="B287" s="111"/>
      <c r="C287" s="201" t="s">
        <v>643</v>
      </c>
      <c r="D287" s="91">
        <v>38834</v>
      </c>
      <c r="E287" s="92"/>
      <c r="F287" s="93"/>
      <c r="G287" s="93"/>
      <c r="H287" s="93">
        <v>1000</v>
      </c>
      <c r="I287" s="93">
        <v>0</v>
      </c>
      <c r="J287" s="93"/>
      <c r="K287" s="93">
        <f t="shared" si="60"/>
        <v>0</v>
      </c>
      <c r="L287" s="93">
        <f t="shared" si="61"/>
        <v>0</v>
      </c>
      <c r="M287" s="94">
        <v>5</v>
      </c>
      <c r="N287" s="95" t="s">
        <v>289</v>
      </c>
      <c r="O287" s="93">
        <f t="shared" si="64"/>
        <v>0</v>
      </c>
      <c r="P287" s="93">
        <f t="shared" si="65"/>
        <v>0</v>
      </c>
      <c r="Q287" s="93">
        <f t="shared" si="66"/>
        <v>0</v>
      </c>
      <c r="R287" s="93">
        <f t="shared" si="67"/>
        <v>0</v>
      </c>
      <c r="S287" s="93">
        <f t="shared" si="68"/>
        <v>0</v>
      </c>
      <c r="T287" s="93">
        <f t="shared" si="69"/>
        <v>0</v>
      </c>
      <c r="U287" s="312">
        <f t="shared" si="62"/>
        <v>0</v>
      </c>
      <c r="V287" s="93">
        <f t="shared" si="63"/>
        <v>0</v>
      </c>
    </row>
    <row r="288" spans="1:22" ht="18" customHeight="1" x14ac:dyDescent="0.2">
      <c r="A288" s="110" t="s">
        <v>644</v>
      </c>
      <c r="B288" s="111"/>
      <c r="C288" s="201" t="s">
        <v>645</v>
      </c>
      <c r="D288" s="91">
        <v>38825</v>
      </c>
      <c r="E288" s="92"/>
      <c r="F288" s="93"/>
      <c r="G288" s="93"/>
      <c r="H288" s="93">
        <v>4200</v>
      </c>
      <c r="I288" s="93">
        <v>2136</v>
      </c>
      <c r="J288" s="93"/>
      <c r="K288" s="93">
        <f t="shared" si="60"/>
        <v>0</v>
      </c>
      <c r="L288" s="93">
        <f t="shared" si="61"/>
        <v>0</v>
      </c>
      <c r="M288" s="94">
        <v>5</v>
      </c>
      <c r="N288" s="95" t="s">
        <v>289</v>
      </c>
      <c r="O288" s="93">
        <f t="shared" si="64"/>
        <v>0</v>
      </c>
      <c r="P288" s="93">
        <f t="shared" si="65"/>
        <v>0</v>
      </c>
      <c r="Q288" s="93">
        <f t="shared" si="66"/>
        <v>0</v>
      </c>
      <c r="R288" s="93">
        <f t="shared" si="67"/>
        <v>53</v>
      </c>
      <c r="S288" s="93">
        <f t="shared" si="68"/>
        <v>0</v>
      </c>
      <c r="T288" s="93">
        <f t="shared" si="69"/>
        <v>53</v>
      </c>
      <c r="U288" s="312">
        <f t="shared" si="62"/>
        <v>2083</v>
      </c>
      <c r="V288" s="93">
        <f t="shared" si="63"/>
        <v>0</v>
      </c>
    </row>
    <row r="289" spans="1:22" ht="18" customHeight="1" x14ac:dyDescent="0.2">
      <c r="A289" s="110" t="s">
        <v>646</v>
      </c>
      <c r="B289" s="111"/>
      <c r="C289" s="201" t="s">
        <v>623</v>
      </c>
      <c r="D289" s="91">
        <v>38835</v>
      </c>
      <c r="E289" s="92"/>
      <c r="F289" s="93"/>
      <c r="G289" s="93"/>
      <c r="H289" s="93">
        <f>1059.04-0.64</f>
        <v>1058.3999999999999</v>
      </c>
      <c r="I289" s="93">
        <v>0</v>
      </c>
      <c r="J289" s="93"/>
      <c r="K289" s="93">
        <f t="shared" si="60"/>
        <v>0</v>
      </c>
      <c r="L289" s="93">
        <f t="shared" si="61"/>
        <v>0</v>
      </c>
      <c r="M289" s="94">
        <v>7.5</v>
      </c>
      <c r="N289" s="95" t="s">
        <v>289</v>
      </c>
      <c r="O289" s="93">
        <f t="shared" si="64"/>
        <v>0</v>
      </c>
      <c r="P289" s="93">
        <f t="shared" si="65"/>
        <v>0</v>
      </c>
      <c r="Q289" s="93">
        <f t="shared" si="66"/>
        <v>0</v>
      </c>
      <c r="R289" s="93">
        <f t="shared" si="67"/>
        <v>0</v>
      </c>
      <c r="S289" s="93">
        <f t="shared" si="68"/>
        <v>0</v>
      </c>
      <c r="T289" s="93">
        <f t="shared" si="69"/>
        <v>0</v>
      </c>
      <c r="U289" s="312">
        <f t="shared" si="62"/>
        <v>0</v>
      </c>
      <c r="V289" s="93">
        <f t="shared" si="63"/>
        <v>0</v>
      </c>
    </row>
    <row r="290" spans="1:22" ht="18" customHeight="1" x14ac:dyDescent="0.2">
      <c r="A290" s="110" t="s">
        <v>647</v>
      </c>
      <c r="B290" s="111"/>
      <c r="C290" s="201" t="s">
        <v>648</v>
      </c>
      <c r="D290" s="91">
        <v>38765</v>
      </c>
      <c r="E290" s="92"/>
      <c r="F290" s="93"/>
      <c r="G290" s="93"/>
      <c r="H290" s="93">
        <v>97.5</v>
      </c>
      <c r="I290" s="93">
        <v>0</v>
      </c>
      <c r="J290" s="93"/>
      <c r="K290" s="93">
        <f t="shared" ref="K290:K349" si="70">INT(IF($E290&gt;0,IF(+F290-I290+Q290&lt;0,0,+F290-I290+Q290),0))</f>
        <v>0</v>
      </c>
      <c r="L290" s="93">
        <f t="shared" ref="L290:L349" si="71">INT(IF($E290&gt;0,IF(K290=0,-F290+I290-Q290,0),0))</f>
        <v>0</v>
      </c>
      <c r="M290" s="94">
        <v>30</v>
      </c>
      <c r="N290" s="95" t="s">
        <v>289</v>
      </c>
      <c r="O290" s="93">
        <f t="shared" si="64"/>
        <v>0</v>
      </c>
      <c r="P290" s="93">
        <f t="shared" si="65"/>
        <v>0</v>
      </c>
      <c r="Q290" s="93">
        <f t="shared" si="66"/>
        <v>0</v>
      </c>
      <c r="R290" s="93">
        <f t="shared" si="67"/>
        <v>0</v>
      </c>
      <c r="S290" s="93">
        <f t="shared" si="68"/>
        <v>0</v>
      </c>
      <c r="T290" s="93">
        <f t="shared" si="69"/>
        <v>0</v>
      </c>
      <c r="U290" s="312">
        <f t="shared" ref="U290:U349" si="72">+I290+J290-T290-F290+K290-L290</f>
        <v>0</v>
      </c>
      <c r="V290" s="93">
        <f t="shared" ref="V290:V349" si="73">IF(E290&gt;0,+H290+J290,0)</f>
        <v>0</v>
      </c>
    </row>
    <row r="291" spans="1:22" ht="18" customHeight="1" x14ac:dyDescent="0.2">
      <c r="A291" s="110" t="s">
        <v>649</v>
      </c>
      <c r="B291" s="111"/>
      <c r="C291" s="201" t="s">
        <v>650</v>
      </c>
      <c r="D291" s="91">
        <v>38611</v>
      </c>
      <c r="E291" s="92"/>
      <c r="F291" s="93"/>
      <c r="G291" s="93"/>
      <c r="H291" s="93">
        <v>12000</v>
      </c>
      <c r="I291" s="93">
        <v>4104</v>
      </c>
      <c r="J291" s="93"/>
      <c r="K291" s="93">
        <f t="shared" si="70"/>
        <v>0</v>
      </c>
      <c r="L291" s="93">
        <f t="shared" si="71"/>
        <v>0</v>
      </c>
      <c r="M291" s="94">
        <v>7.5</v>
      </c>
      <c r="N291" s="95" t="s">
        <v>289</v>
      </c>
      <c r="O291" s="93">
        <f t="shared" ref="O291:O350" si="74">IF(E291&gt;0,INT(IF($N291="D",IF($D291&lt;$H$3,$I291*($M291/100)*((E291-$H$3)/365),$J291*($M291/100)*($J$3-$D291)/365),0)),0)</f>
        <v>0</v>
      </c>
      <c r="P291" s="93">
        <f t="shared" ref="P291:P350" si="75">IF(E291&gt;0,INT(IF($N291="P",IF($D291&lt;$H$3,$H291*($M291/100)*(E291-$H$3)/365,$J291*($M291/100)*($J$3-$D291)/365),0)),0)</f>
        <v>0</v>
      </c>
      <c r="Q291" s="93">
        <f t="shared" ref="Q291:Q350" si="76">+O291+P291</f>
        <v>0</v>
      </c>
      <c r="R291" s="93">
        <f t="shared" ref="R291:R350" si="77">INT(IF($E291&gt;0,0,(IF($N291="D",IF($D291&lt;$H$3,$I291*($M291/100)*$U$3/12,$J291*($M291/100)*($J$3-$D291)/365),0))))</f>
        <v>153</v>
      </c>
      <c r="S291" s="93">
        <f t="shared" ref="S291:S350" si="78">INT(IF($E291&gt;0,0,(IF($N291="P",IF($D291&lt;$H$3,$H291*($M291/100)*$U$3/12,$J291*($M291/100)*($J$3-$D291)/365),0))))</f>
        <v>0</v>
      </c>
      <c r="T291" s="93">
        <f t="shared" si="69"/>
        <v>153</v>
      </c>
      <c r="U291" s="312">
        <f t="shared" si="72"/>
        <v>3951</v>
      </c>
      <c r="V291" s="93">
        <f t="shared" si="73"/>
        <v>0</v>
      </c>
    </row>
    <row r="292" spans="1:22" ht="18" customHeight="1" x14ac:dyDescent="0.2">
      <c r="A292" s="110" t="s">
        <v>651</v>
      </c>
      <c r="B292" s="111"/>
      <c r="C292" s="201" t="s">
        <v>652</v>
      </c>
      <c r="D292" s="91">
        <v>38687</v>
      </c>
      <c r="E292" s="92"/>
      <c r="F292" s="93"/>
      <c r="G292" s="93"/>
      <c r="H292" s="93">
        <v>4090.9100000000003</v>
      </c>
      <c r="I292" s="93">
        <v>2040.9099999999999</v>
      </c>
      <c r="J292" s="93"/>
      <c r="K292" s="93">
        <f t="shared" si="70"/>
        <v>0</v>
      </c>
      <c r="L292" s="93">
        <f t="shared" si="71"/>
        <v>0</v>
      </c>
      <c r="M292" s="94">
        <v>5</v>
      </c>
      <c r="N292" s="95" t="s">
        <v>289</v>
      </c>
      <c r="O292" s="93">
        <f t="shared" si="74"/>
        <v>0</v>
      </c>
      <c r="P292" s="93">
        <f t="shared" si="75"/>
        <v>0</v>
      </c>
      <c r="Q292" s="93">
        <f t="shared" si="76"/>
        <v>0</v>
      </c>
      <c r="R292" s="93">
        <f t="shared" si="77"/>
        <v>51</v>
      </c>
      <c r="S292" s="93">
        <f t="shared" si="78"/>
        <v>0</v>
      </c>
      <c r="T292" s="93">
        <f t="shared" si="69"/>
        <v>51</v>
      </c>
      <c r="U292" s="312">
        <f t="shared" si="72"/>
        <v>1989.9099999999999</v>
      </c>
      <c r="V292" s="93">
        <f t="shared" si="73"/>
        <v>0</v>
      </c>
    </row>
    <row r="293" spans="1:22" ht="18" customHeight="1" x14ac:dyDescent="0.2">
      <c r="A293" s="110" t="s">
        <v>653</v>
      </c>
      <c r="B293" s="111"/>
      <c r="C293" s="201" t="s">
        <v>654</v>
      </c>
      <c r="D293" s="91">
        <v>38718</v>
      </c>
      <c r="E293" s="92"/>
      <c r="F293" s="93"/>
      <c r="G293" s="93"/>
      <c r="H293" s="93">
        <v>5740</v>
      </c>
      <c r="I293" s="93">
        <v>2009</v>
      </c>
      <c r="J293" s="93"/>
      <c r="K293" s="93">
        <f t="shared" si="70"/>
        <v>0</v>
      </c>
      <c r="L293" s="93">
        <f t="shared" si="71"/>
        <v>0</v>
      </c>
      <c r="M293" s="94">
        <v>7.5</v>
      </c>
      <c r="N293" s="95" t="s">
        <v>289</v>
      </c>
      <c r="O293" s="93">
        <f t="shared" si="74"/>
        <v>0</v>
      </c>
      <c r="P293" s="93">
        <f t="shared" si="75"/>
        <v>0</v>
      </c>
      <c r="Q293" s="93">
        <f t="shared" si="76"/>
        <v>0</v>
      </c>
      <c r="R293" s="93">
        <f t="shared" si="77"/>
        <v>75</v>
      </c>
      <c r="S293" s="93">
        <f t="shared" si="78"/>
        <v>0</v>
      </c>
      <c r="T293" s="93">
        <f t="shared" si="69"/>
        <v>75</v>
      </c>
      <c r="U293" s="312">
        <f t="shared" si="72"/>
        <v>1934</v>
      </c>
      <c r="V293" s="93">
        <f t="shared" si="73"/>
        <v>0</v>
      </c>
    </row>
    <row r="294" spans="1:22" ht="18" customHeight="1" x14ac:dyDescent="0.2">
      <c r="A294" s="110" t="s">
        <v>655</v>
      </c>
      <c r="B294" s="111"/>
      <c r="C294" s="201" t="s">
        <v>656</v>
      </c>
      <c r="D294" s="91">
        <v>38656</v>
      </c>
      <c r="E294" s="92"/>
      <c r="F294" s="93"/>
      <c r="G294" s="93"/>
      <c r="H294" s="93">
        <v>271.82</v>
      </c>
      <c r="I294" s="93">
        <v>0</v>
      </c>
      <c r="J294" s="93"/>
      <c r="K294" s="93">
        <f t="shared" si="70"/>
        <v>0</v>
      </c>
      <c r="L294" s="93">
        <f t="shared" si="71"/>
        <v>0</v>
      </c>
      <c r="M294" s="94">
        <v>20</v>
      </c>
      <c r="N294" s="95" t="s">
        <v>289</v>
      </c>
      <c r="O294" s="93">
        <f t="shared" si="74"/>
        <v>0</v>
      </c>
      <c r="P294" s="93">
        <f t="shared" si="75"/>
        <v>0</v>
      </c>
      <c r="Q294" s="93">
        <f t="shared" si="76"/>
        <v>0</v>
      </c>
      <c r="R294" s="93">
        <f t="shared" si="77"/>
        <v>0</v>
      </c>
      <c r="S294" s="93">
        <f t="shared" si="78"/>
        <v>0</v>
      </c>
      <c r="T294" s="93">
        <f t="shared" si="69"/>
        <v>0</v>
      </c>
      <c r="U294" s="312">
        <f t="shared" si="72"/>
        <v>0</v>
      </c>
      <c r="V294" s="93">
        <f t="shared" si="73"/>
        <v>0</v>
      </c>
    </row>
    <row r="295" spans="1:22" ht="18" customHeight="1" x14ac:dyDescent="0.2">
      <c r="A295" s="110" t="s">
        <v>657</v>
      </c>
      <c r="B295" s="111"/>
      <c r="C295" s="201" t="s">
        <v>658</v>
      </c>
      <c r="D295" s="91">
        <v>38966</v>
      </c>
      <c r="E295" s="92"/>
      <c r="F295" s="93"/>
      <c r="G295" s="93"/>
      <c r="H295" s="93">
        <v>1000</v>
      </c>
      <c r="I295" s="93">
        <v>0</v>
      </c>
      <c r="J295" s="93"/>
      <c r="K295" s="93">
        <f t="shared" si="70"/>
        <v>0</v>
      </c>
      <c r="L295" s="93">
        <f t="shared" si="71"/>
        <v>0</v>
      </c>
      <c r="M295" s="94">
        <v>10</v>
      </c>
      <c r="N295" s="95" t="s">
        <v>289</v>
      </c>
      <c r="O295" s="93">
        <f t="shared" si="74"/>
        <v>0</v>
      </c>
      <c r="P295" s="93">
        <f t="shared" si="75"/>
        <v>0</v>
      </c>
      <c r="Q295" s="93">
        <f t="shared" si="76"/>
        <v>0</v>
      </c>
      <c r="R295" s="93">
        <f t="shared" si="77"/>
        <v>0</v>
      </c>
      <c r="S295" s="93">
        <f t="shared" si="78"/>
        <v>0</v>
      </c>
      <c r="T295" s="93">
        <f t="shared" si="69"/>
        <v>0</v>
      </c>
      <c r="U295" s="312">
        <f t="shared" si="72"/>
        <v>0</v>
      </c>
      <c r="V295" s="93">
        <f t="shared" si="73"/>
        <v>0</v>
      </c>
    </row>
    <row r="296" spans="1:22" ht="18" customHeight="1" x14ac:dyDescent="0.2">
      <c r="A296" s="110" t="s">
        <v>659</v>
      </c>
      <c r="B296" s="111"/>
      <c r="C296" s="201" t="s">
        <v>660</v>
      </c>
      <c r="D296" s="91">
        <v>39115</v>
      </c>
      <c r="E296" s="92"/>
      <c r="F296" s="93"/>
      <c r="G296" s="93"/>
      <c r="H296" s="93">
        <v>5000</v>
      </c>
      <c r="I296" s="93">
        <v>1358</v>
      </c>
      <c r="J296" s="93"/>
      <c r="K296" s="93">
        <f t="shared" si="70"/>
        <v>0</v>
      </c>
      <c r="L296" s="93">
        <f t="shared" si="71"/>
        <v>0</v>
      </c>
      <c r="M296" s="94">
        <v>10</v>
      </c>
      <c r="N296" s="95" t="s">
        <v>289</v>
      </c>
      <c r="O296" s="93">
        <f t="shared" si="74"/>
        <v>0</v>
      </c>
      <c r="P296" s="93">
        <f t="shared" si="75"/>
        <v>0</v>
      </c>
      <c r="Q296" s="93">
        <f t="shared" si="76"/>
        <v>0</v>
      </c>
      <c r="R296" s="93">
        <f t="shared" si="77"/>
        <v>67</v>
      </c>
      <c r="S296" s="93">
        <f t="shared" si="78"/>
        <v>0</v>
      </c>
      <c r="T296" s="93">
        <f t="shared" si="69"/>
        <v>67</v>
      </c>
      <c r="U296" s="312">
        <f t="shared" si="72"/>
        <v>1291</v>
      </c>
      <c r="V296" s="93">
        <f t="shared" si="73"/>
        <v>0</v>
      </c>
    </row>
    <row r="297" spans="1:22" ht="18" customHeight="1" x14ac:dyDescent="0.2">
      <c r="A297" s="110" t="s">
        <v>661</v>
      </c>
      <c r="B297" s="111"/>
      <c r="C297" s="201" t="s">
        <v>662</v>
      </c>
      <c r="D297" s="91">
        <v>39138</v>
      </c>
      <c r="E297" s="92"/>
      <c r="F297" s="93"/>
      <c r="G297" s="93"/>
      <c r="H297" s="93">
        <v>2500</v>
      </c>
      <c r="I297" s="93">
        <v>0</v>
      </c>
      <c r="J297" s="93"/>
      <c r="K297" s="93">
        <f t="shared" si="70"/>
        <v>0</v>
      </c>
      <c r="L297" s="93">
        <f t="shared" si="71"/>
        <v>0</v>
      </c>
      <c r="M297" s="94">
        <v>10</v>
      </c>
      <c r="N297" s="95" t="s">
        <v>289</v>
      </c>
      <c r="O297" s="93">
        <f t="shared" si="74"/>
        <v>0</v>
      </c>
      <c r="P297" s="93">
        <f t="shared" si="75"/>
        <v>0</v>
      </c>
      <c r="Q297" s="93">
        <f t="shared" si="76"/>
        <v>0</v>
      </c>
      <c r="R297" s="93">
        <f t="shared" si="77"/>
        <v>0</v>
      </c>
      <c r="S297" s="93">
        <f t="shared" si="78"/>
        <v>0</v>
      </c>
      <c r="T297" s="93">
        <f t="shared" si="69"/>
        <v>0</v>
      </c>
      <c r="U297" s="312">
        <f t="shared" si="72"/>
        <v>0</v>
      </c>
      <c r="V297" s="93">
        <f t="shared" si="73"/>
        <v>0</v>
      </c>
    </row>
    <row r="298" spans="1:22" ht="18" customHeight="1" x14ac:dyDescent="0.2">
      <c r="A298" s="110" t="s">
        <v>666</v>
      </c>
      <c r="B298" s="111"/>
      <c r="C298" s="90" t="s">
        <v>667</v>
      </c>
      <c r="D298" s="91">
        <v>39217</v>
      </c>
      <c r="E298" s="92"/>
      <c r="F298" s="93"/>
      <c r="G298" s="93"/>
      <c r="H298" s="93">
        <v>36666.620000000003</v>
      </c>
      <c r="I298" s="93">
        <v>7257</v>
      </c>
      <c r="J298" s="93"/>
      <c r="K298" s="93">
        <f t="shared" si="70"/>
        <v>0</v>
      </c>
      <c r="L298" s="93">
        <f t="shared" si="71"/>
        <v>0</v>
      </c>
      <c r="M298" s="94">
        <v>20</v>
      </c>
      <c r="N298" s="95" t="s">
        <v>289</v>
      </c>
      <c r="O298" s="93">
        <f t="shared" si="74"/>
        <v>0</v>
      </c>
      <c r="P298" s="93">
        <f t="shared" si="75"/>
        <v>0</v>
      </c>
      <c r="Q298" s="93">
        <f t="shared" si="76"/>
        <v>0</v>
      </c>
      <c r="R298" s="93">
        <f t="shared" si="77"/>
        <v>725</v>
      </c>
      <c r="S298" s="93">
        <f t="shared" si="78"/>
        <v>0</v>
      </c>
      <c r="T298" s="93">
        <f t="shared" si="69"/>
        <v>725</v>
      </c>
      <c r="U298" s="312">
        <f t="shared" si="72"/>
        <v>6532</v>
      </c>
      <c r="V298" s="93">
        <f t="shared" si="73"/>
        <v>0</v>
      </c>
    </row>
    <row r="299" spans="1:22" ht="18" customHeight="1" x14ac:dyDescent="0.2">
      <c r="A299" s="110" t="s">
        <v>670</v>
      </c>
      <c r="B299" s="111"/>
      <c r="C299" s="201" t="s">
        <v>671</v>
      </c>
      <c r="D299" s="91">
        <v>41194</v>
      </c>
      <c r="E299" s="92"/>
      <c r="F299" s="93"/>
      <c r="G299" s="93"/>
      <c r="H299" s="93">
        <v>8127.89</v>
      </c>
      <c r="I299" s="93">
        <v>1846.8899999999999</v>
      </c>
      <c r="J299" s="93"/>
      <c r="K299" s="93">
        <f t="shared" si="70"/>
        <v>0</v>
      </c>
      <c r="L299" s="93">
        <f t="shared" si="71"/>
        <v>0</v>
      </c>
      <c r="M299" s="94">
        <v>20</v>
      </c>
      <c r="N299" s="95" t="s">
        <v>289</v>
      </c>
      <c r="O299" s="93">
        <f t="shared" si="74"/>
        <v>0</v>
      </c>
      <c r="P299" s="93">
        <f t="shared" si="75"/>
        <v>0</v>
      </c>
      <c r="Q299" s="93">
        <f t="shared" si="76"/>
        <v>0</v>
      </c>
      <c r="R299" s="93">
        <f t="shared" si="77"/>
        <v>184</v>
      </c>
      <c r="S299" s="93">
        <f t="shared" si="78"/>
        <v>0</v>
      </c>
      <c r="T299" s="93">
        <f t="shared" si="69"/>
        <v>184</v>
      </c>
      <c r="U299" s="312">
        <f t="shared" si="72"/>
        <v>1662.8899999999999</v>
      </c>
      <c r="V299" s="93">
        <f t="shared" si="73"/>
        <v>0</v>
      </c>
    </row>
    <row r="300" spans="1:22" ht="18" customHeight="1" x14ac:dyDescent="0.2">
      <c r="A300" s="110" t="s">
        <v>672</v>
      </c>
      <c r="B300" s="111"/>
      <c r="C300" s="201" t="s">
        <v>673</v>
      </c>
      <c r="D300" s="91">
        <v>41235</v>
      </c>
      <c r="E300" s="92"/>
      <c r="F300" s="93"/>
      <c r="G300" s="93"/>
      <c r="H300" s="93">
        <v>877.27</v>
      </c>
      <c r="I300" s="93">
        <v>0</v>
      </c>
      <c r="J300" s="93"/>
      <c r="K300" s="93">
        <f t="shared" si="70"/>
        <v>0</v>
      </c>
      <c r="L300" s="93">
        <f t="shared" si="71"/>
        <v>0</v>
      </c>
      <c r="M300" s="94">
        <v>66.67</v>
      </c>
      <c r="N300" s="95" t="s">
        <v>289</v>
      </c>
      <c r="O300" s="93">
        <f t="shared" si="74"/>
        <v>0</v>
      </c>
      <c r="P300" s="93">
        <f t="shared" si="75"/>
        <v>0</v>
      </c>
      <c r="Q300" s="93">
        <f t="shared" si="76"/>
        <v>0</v>
      </c>
      <c r="R300" s="93">
        <f t="shared" si="77"/>
        <v>0</v>
      </c>
      <c r="S300" s="93">
        <f t="shared" si="78"/>
        <v>0</v>
      </c>
      <c r="T300" s="93">
        <f t="shared" si="69"/>
        <v>0</v>
      </c>
      <c r="U300" s="312">
        <f t="shared" si="72"/>
        <v>0</v>
      </c>
      <c r="V300" s="93">
        <f t="shared" si="73"/>
        <v>0</v>
      </c>
    </row>
    <row r="301" spans="1:22" ht="18" customHeight="1" x14ac:dyDescent="0.2">
      <c r="A301" s="110" t="s">
        <v>674</v>
      </c>
      <c r="B301" s="111"/>
      <c r="C301" s="201" t="s">
        <v>675</v>
      </c>
      <c r="D301" s="91">
        <v>41235</v>
      </c>
      <c r="E301" s="92"/>
      <c r="F301" s="93"/>
      <c r="G301" s="93"/>
      <c r="H301" s="93">
        <v>2045.45</v>
      </c>
      <c r="I301" s="93">
        <v>802.45</v>
      </c>
      <c r="J301" s="93"/>
      <c r="K301" s="93">
        <f t="shared" si="70"/>
        <v>0</v>
      </c>
      <c r="L301" s="93">
        <f t="shared" si="71"/>
        <v>0</v>
      </c>
      <c r="M301" s="94">
        <v>13.33</v>
      </c>
      <c r="N301" s="95" t="s">
        <v>289</v>
      </c>
      <c r="O301" s="93">
        <f t="shared" si="74"/>
        <v>0</v>
      </c>
      <c r="P301" s="93">
        <f t="shared" si="75"/>
        <v>0</v>
      </c>
      <c r="Q301" s="93">
        <f t="shared" si="76"/>
        <v>0</v>
      </c>
      <c r="R301" s="93">
        <f t="shared" si="77"/>
        <v>53</v>
      </c>
      <c r="S301" s="93">
        <f t="shared" si="78"/>
        <v>0</v>
      </c>
      <c r="T301" s="93">
        <f t="shared" si="69"/>
        <v>53</v>
      </c>
      <c r="U301" s="312">
        <f t="shared" si="72"/>
        <v>749.45</v>
      </c>
      <c r="V301" s="93">
        <f t="shared" si="73"/>
        <v>0</v>
      </c>
    </row>
    <row r="302" spans="1:22" ht="18" customHeight="1" x14ac:dyDescent="0.2">
      <c r="A302" s="110" t="s">
        <v>676</v>
      </c>
      <c r="B302" s="111"/>
      <c r="C302" s="201" t="s">
        <v>677</v>
      </c>
      <c r="D302" s="91">
        <v>41235</v>
      </c>
      <c r="E302" s="92"/>
      <c r="F302" s="93"/>
      <c r="G302" s="93"/>
      <c r="H302" s="93">
        <v>2045.46</v>
      </c>
      <c r="I302" s="93">
        <v>802.46</v>
      </c>
      <c r="J302" s="93"/>
      <c r="K302" s="93">
        <f t="shared" si="70"/>
        <v>0</v>
      </c>
      <c r="L302" s="93">
        <f t="shared" si="71"/>
        <v>0</v>
      </c>
      <c r="M302" s="94">
        <v>13.33</v>
      </c>
      <c r="N302" s="95" t="s">
        <v>289</v>
      </c>
      <c r="O302" s="93">
        <f t="shared" si="74"/>
        <v>0</v>
      </c>
      <c r="P302" s="93">
        <f t="shared" si="75"/>
        <v>0</v>
      </c>
      <c r="Q302" s="93">
        <f t="shared" si="76"/>
        <v>0</v>
      </c>
      <c r="R302" s="93">
        <f t="shared" si="77"/>
        <v>53</v>
      </c>
      <c r="S302" s="93">
        <f t="shared" si="78"/>
        <v>0</v>
      </c>
      <c r="T302" s="93">
        <f t="shared" si="69"/>
        <v>53</v>
      </c>
      <c r="U302" s="312">
        <f t="shared" si="72"/>
        <v>749.46</v>
      </c>
      <c r="V302" s="93">
        <f t="shared" si="73"/>
        <v>0</v>
      </c>
    </row>
    <row r="303" spans="1:22" ht="18" customHeight="1" x14ac:dyDescent="0.2">
      <c r="A303" s="110" t="s">
        <v>678</v>
      </c>
      <c r="B303" s="111"/>
      <c r="C303" s="201" t="s">
        <v>679</v>
      </c>
      <c r="D303" s="91">
        <v>41235</v>
      </c>
      <c r="E303" s="92"/>
      <c r="F303" s="93"/>
      <c r="G303" s="93"/>
      <c r="H303" s="93">
        <v>613.64</v>
      </c>
      <c r="I303" s="93">
        <v>0</v>
      </c>
      <c r="J303" s="93"/>
      <c r="K303" s="93">
        <f t="shared" si="70"/>
        <v>0</v>
      </c>
      <c r="L303" s="93">
        <f t="shared" si="71"/>
        <v>0</v>
      </c>
      <c r="M303" s="94">
        <v>13.33</v>
      </c>
      <c r="N303" s="95" t="s">
        <v>289</v>
      </c>
      <c r="O303" s="93">
        <f t="shared" si="74"/>
        <v>0</v>
      </c>
      <c r="P303" s="93">
        <f t="shared" si="75"/>
        <v>0</v>
      </c>
      <c r="Q303" s="93">
        <f t="shared" si="76"/>
        <v>0</v>
      </c>
      <c r="R303" s="93">
        <f t="shared" si="77"/>
        <v>0</v>
      </c>
      <c r="S303" s="93">
        <f t="shared" si="78"/>
        <v>0</v>
      </c>
      <c r="T303" s="93">
        <f t="shared" si="69"/>
        <v>0</v>
      </c>
      <c r="U303" s="312">
        <f t="shared" si="72"/>
        <v>0</v>
      </c>
      <c r="V303" s="93">
        <f t="shared" si="73"/>
        <v>0</v>
      </c>
    </row>
    <row r="304" spans="1:22" ht="18" customHeight="1" x14ac:dyDescent="0.2">
      <c r="A304" s="110" t="s">
        <v>680</v>
      </c>
      <c r="B304" s="111"/>
      <c r="C304" s="201" t="s">
        <v>679</v>
      </c>
      <c r="D304" s="91">
        <v>41235</v>
      </c>
      <c r="E304" s="92"/>
      <c r="F304" s="93"/>
      <c r="G304" s="93"/>
      <c r="H304" s="93">
        <v>613.63</v>
      </c>
      <c r="I304" s="93">
        <v>0</v>
      </c>
      <c r="J304" s="93"/>
      <c r="K304" s="93">
        <f t="shared" si="70"/>
        <v>0</v>
      </c>
      <c r="L304" s="93">
        <f t="shared" si="71"/>
        <v>0</v>
      </c>
      <c r="M304" s="94">
        <v>13.33</v>
      </c>
      <c r="N304" s="95" t="s">
        <v>289</v>
      </c>
      <c r="O304" s="93">
        <f t="shared" si="74"/>
        <v>0</v>
      </c>
      <c r="P304" s="93">
        <f t="shared" si="75"/>
        <v>0</v>
      </c>
      <c r="Q304" s="93">
        <f t="shared" si="76"/>
        <v>0</v>
      </c>
      <c r="R304" s="93">
        <f t="shared" si="77"/>
        <v>0</v>
      </c>
      <c r="S304" s="93">
        <f t="shared" si="78"/>
        <v>0</v>
      </c>
      <c r="T304" s="93">
        <f t="shared" si="69"/>
        <v>0</v>
      </c>
      <c r="U304" s="312">
        <f t="shared" si="72"/>
        <v>0</v>
      </c>
      <c r="V304" s="93">
        <f t="shared" si="73"/>
        <v>0</v>
      </c>
    </row>
    <row r="305" spans="1:22" ht="18" customHeight="1" x14ac:dyDescent="0.2">
      <c r="A305" s="110" t="s">
        <v>681</v>
      </c>
      <c r="B305" s="111"/>
      <c r="C305" s="201" t="s">
        <v>682</v>
      </c>
      <c r="D305" s="91">
        <v>41243</v>
      </c>
      <c r="E305" s="92"/>
      <c r="F305" s="93"/>
      <c r="G305" s="93"/>
      <c r="H305" s="93">
        <v>900</v>
      </c>
      <c r="I305" s="93">
        <v>0</v>
      </c>
      <c r="J305" s="93"/>
      <c r="K305" s="93">
        <f t="shared" si="70"/>
        <v>0</v>
      </c>
      <c r="L305" s="93">
        <f t="shared" si="71"/>
        <v>0</v>
      </c>
      <c r="M305" s="94">
        <v>15</v>
      </c>
      <c r="N305" s="95" t="s">
        <v>289</v>
      </c>
      <c r="O305" s="93">
        <f t="shared" si="74"/>
        <v>0</v>
      </c>
      <c r="P305" s="93">
        <f t="shared" si="75"/>
        <v>0</v>
      </c>
      <c r="Q305" s="93">
        <f t="shared" si="76"/>
        <v>0</v>
      </c>
      <c r="R305" s="93">
        <f t="shared" si="77"/>
        <v>0</v>
      </c>
      <c r="S305" s="93">
        <f t="shared" si="78"/>
        <v>0</v>
      </c>
      <c r="T305" s="93">
        <f t="shared" si="69"/>
        <v>0</v>
      </c>
      <c r="U305" s="312">
        <f t="shared" si="72"/>
        <v>0</v>
      </c>
      <c r="V305" s="93">
        <f t="shared" si="73"/>
        <v>0</v>
      </c>
    </row>
    <row r="306" spans="1:22" ht="18" customHeight="1" x14ac:dyDescent="0.2">
      <c r="A306" s="110" t="s">
        <v>683</v>
      </c>
      <c r="B306" s="111"/>
      <c r="C306" s="201" t="s">
        <v>684</v>
      </c>
      <c r="D306" s="91">
        <v>41288</v>
      </c>
      <c r="E306" s="92"/>
      <c r="F306" s="93"/>
      <c r="G306" s="93"/>
      <c r="H306" s="93">
        <v>4000</v>
      </c>
      <c r="I306" s="93">
        <v>963</v>
      </c>
      <c r="J306" s="93"/>
      <c r="K306" s="93">
        <f t="shared" si="70"/>
        <v>0</v>
      </c>
      <c r="L306" s="93">
        <f t="shared" si="71"/>
        <v>0</v>
      </c>
      <c r="M306" s="94">
        <v>20</v>
      </c>
      <c r="N306" s="95" t="s">
        <v>289</v>
      </c>
      <c r="O306" s="93">
        <f t="shared" si="74"/>
        <v>0</v>
      </c>
      <c r="P306" s="93">
        <f t="shared" si="75"/>
        <v>0</v>
      </c>
      <c r="Q306" s="93">
        <f t="shared" si="76"/>
        <v>0</v>
      </c>
      <c r="R306" s="93">
        <f t="shared" si="77"/>
        <v>96</v>
      </c>
      <c r="S306" s="93">
        <f t="shared" si="78"/>
        <v>0</v>
      </c>
      <c r="T306" s="93">
        <f t="shared" si="69"/>
        <v>96</v>
      </c>
      <c r="U306" s="312">
        <f t="shared" si="72"/>
        <v>867</v>
      </c>
      <c r="V306" s="93">
        <f t="shared" si="73"/>
        <v>0</v>
      </c>
    </row>
    <row r="307" spans="1:22" ht="18" customHeight="1" x14ac:dyDescent="0.2">
      <c r="A307" s="110" t="s">
        <v>685</v>
      </c>
      <c r="B307" s="111"/>
      <c r="C307" s="201" t="s">
        <v>686</v>
      </c>
      <c r="D307" s="91">
        <v>41297</v>
      </c>
      <c r="E307" s="92"/>
      <c r="F307" s="93"/>
      <c r="G307" s="93"/>
      <c r="H307" s="93">
        <v>4342.7300000000005</v>
      </c>
      <c r="I307" s="93">
        <v>1051.73</v>
      </c>
      <c r="J307" s="93"/>
      <c r="K307" s="93">
        <f t="shared" si="70"/>
        <v>0</v>
      </c>
      <c r="L307" s="93">
        <f t="shared" si="71"/>
        <v>0</v>
      </c>
      <c r="M307" s="94">
        <v>20</v>
      </c>
      <c r="N307" s="95" t="s">
        <v>289</v>
      </c>
      <c r="O307" s="93">
        <f t="shared" si="74"/>
        <v>0</v>
      </c>
      <c r="P307" s="93">
        <f t="shared" si="75"/>
        <v>0</v>
      </c>
      <c r="Q307" s="93">
        <f t="shared" si="76"/>
        <v>0</v>
      </c>
      <c r="R307" s="93">
        <f t="shared" si="77"/>
        <v>105</v>
      </c>
      <c r="S307" s="93">
        <f t="shared" si="78"/>
        <v>0</v>
      </c>
      <c r="T307" s="93">
        <f t="shared" si="69"/>
        <v>105</v>
      </c>
      <c r="U307" s="312">
        <f t="shared" si="72"/>
        <v>946.73</v>
      </c>
      <c r="V307" s="93">
        <f t="shared" si="73"/>
        <v>0</v>
      </c>
    </row>
    <row r="308" spans="1:22" ht="18" customHeight="1" x14ac:dyDescent="0.2">
      <c r="A308" s="110" t="s">
        <v>687</v>
      </c>
      <c r="B308" s="111"/>
      <c r="C308" s="201" t="s">
        <v>688</v>
      </c>
      <c r="D308" s="91">
        <v>41360</v>
      </c>
      <c r="E308" s="92"/>
      <c r="F308" s="93"/>
      <c r="G308" s="93"/>
      <c r="H308" s="93">
        <v>22080</v>
      </c>
      <c r="I308" s="93">
        <v>0</v>
      </c>
      <c r="J308" s="93"/>
      <c r="K308" s="93">
        <f t="shared" si="70"/>
        <v>0</v>
      </c>
      <c r="L308" s="93">
        <f t="shared" si="71"/>
        <v>0</v>
      </c>
      <c r="M308" s="94">
        <v>40</v>
      </c>
      <c r="N308" s="95" t="s">
        <v>289</v>
      </c>
      <c r="O308" s="93">
        <f t="shared" si="74"/>
        <v>0</v>
      </c>
      <c r="P308" s="93">
        <f t="shared" si="75"/>
        <v>0</v>
      </c>
      <c r="Q308" s="93">
        <f t="shared" si="76"/>
        <v>0</v>
      </c>
      <c r="R308" s="93">
        <f t="shared" si="77"/>
        <v>0</v>
      </c>
      <c r="S308" s="93">
        <f t="shared" si="78"/>
        <v>0</v>
      </c>
      <c r="T308" s="93">
        <f t="shared" ref="T308:T371" si="79">+R308+S308+Q308</f>
        <v>0</v>
      </c>
      <c r="U308" s="312">
        <f t="shared" si="72"/>
        <v>0</v>
      </c>
      <c r="V308" s="93">
        <f t="shared" si="73"/>
        <v>0</v>
      </c>
    </row>
    <row r="309" spans="1:22" ht="18" customHeight="1" x14ac:dyDescent="0.2">
      <c r="A309" s="110" t="s">
        <v>690</v>
      </c>
      <c r="B309" s="111"/>
      <c r="C309" s="201" t="s">
        <v>691</v>
      </c>
      <c r="D309" s="91">
        <v>41361</v>
      </c>
      <c r="E309" s="92"/>
      <c r="F309" s="93"/>
      <c r="G309" s="93"/>
      <c r="H309" s="93">
        <v>5315.12</v>
      </c>
      <c r="I309" s="93">
        <v>2185.12</v>
      </c>
      <c r="J309" s="93"/>
      <c r="K309" s="93">
        <f t="shared" si="70"/>
        <v>0</v>
      </c>
      <c r="L309" s="93">
        <f t="shared" si="71"/>
        <v>0</v>
      </c>
      <c r="M309" s="94">
        <v>13.33</v>
      </c>
      <c r="N309" s="95" t="s">
        <v>289</v>
      </c>
      <c r="O309" s="93">
        <f t="shared" si="74"/>
        <v>0</v>
      </c>
      <c r="P309" s="93">
        <f t="shared" si="75"/>
        <v>0</v>
      </c>
      <c r="Q309" s="93">
        <f t="shared" si="76"/>
        <v>0</v>
      </c>
      <c r="R309" s="93">
        <f t="shared" si="77"/>
        <v>145</v>
      </c>
      <c r="S309" s="93">
        <f t="shared" si="78"/>
        <v>0</v>
      </c>
      <c r="T309" s="93">
        <f t="shared" si="79"/>
        <v>145</v>
      </c>
      <c r="U309" s="312">
        <f t="shared" si="72"/>
        <v>2040.12</v>
      </c>
      <c r="V309" s="93">
        <f t="shared" si="73"/>
        <v>0</v>
      </c>
    </row>
    <row r="310" spans="1:22" ht="18" customHeight="1" x14ac:dyDescent="0.2">
      <c r="A310" s="110" t="s">
        <v>692</v>
      </c>
      <c r="B310" s="111"/>
      <c r="C310" s="201" t="s">
        <v>693</v>
      </c>
      <c r="D310" s="91">
        <v>41393</v>
      </c>
      <c r="E310" s="92"/>
      <c r="F310" s="93"/>
      <c r="G310" s="93"/>
      <c r="H310" s="93">
        <v>2800.4500000000003</v>
      </c>
      <c r="I310" s="93">
        <v>1466.45</v>
      </c>
      <c r="J310" s="93"/>
      <c r="K310" s="93">
        <f t="shared" si="70"/>
        <v>0</v>
      </c>
      <c r="L310" s="93">
        <f t="shared" si="71"/>
        <v>0</v>
      </c>
      <c r="M310" s="94">
        <v>10</v>
      </c>
      <c r="N310" s="95" t="s">
        <v>289</v>
      </c>
      <c r="O310" s="93">
        <f t="shared" si="74"/>
        <v>0</v>
      </c>
      <c r="P310" s="93">
        <f t="shared" si="75"/>
        <v>0</v>
      </c>
      <c r="Q310" s="93">
        <f t="shared" si="76"/>
        <v>0</v>
      </c>
      <c r="R310" s="93">
        <f t="shared" si="77"/>
        <v>73</v>
      </c>
      <c r="S310" s="93">
        <f t="shared" si="78"/>
        <v>0</v>
      </c>
      <c r="T310" s="93">
        <f t="shared" si="79"/>
        <v>73</v>
      </c>
      <c r="U310" s="312">
        <f t="shared" si="72"/>
        <v>1393.45</v>
      </c>
      <c r="V310" s="93">
        <f t="shared" si="73"/>
        <v>0</v>
      </c>
    </row>
    <row r="311" spans="1:22" ht="18" customHeight="1" x14ac:dyDescent="0.2">
      <c r="A311" s="110" t="s">
        <v>694</v>
      </c>
      <c r="B311" s="111"/>
      <c r="C311" s="201" t="s">
        <v>695</v>
      </c>
      <c r="D311" s="91">
        <v>41425</v>
      </c>
      <c r="E311" s="92"/>
      <c r="F311" s="93"/>
      <c r="G311" s="93"/>
      <c r="H311" s="93">
        <v>11368.57</v>
      </c>
      <c r="I311" s="93">
        <v>545.57000000000005</v>
      </c>
      <c r="J311" s="93"/>
      <c r="K311" s="93">
        <f t="shared" si="70"/>
        <v>0</v>
      </c>
      <c r="L311" s="93">
        <f t="shared" si="71"/>
        <v>0</v>
      </c>
      <c r="M311" s="94">
        <v>40</v>
      </c>
      <c r="N311" s="95" t="s">
        <v>289</v>
      </c>
      <c r="O311" s="93">
        <f t="shared" si="74"/>
        <v>0</v>
      </c>
      <c r="P311" s="93">
        <f t="shared" si="75"/>
        <v>0</v>
      </c>
      <c r="Q311" s="93">
        <f t="shared" si="76"/>
        <v>0</v>
      </c>
      <c r="R311" s="93">
        <f t="shared" si="77"/>
        <v>109</v>
      </c>
      <c r="S311" s="93">
        <f t="shared" si="78"/>
        <v>0</v>
      </c>
      <c r="T311" s="93">
        <f t="shared" si="79"/>
        <v>109</v>
      </c>
      <c r="U311" s="312">
        <f t="shared" si="72"/>
        <v>436.57000000000005</v>
      </c>
      <c r="V311" s="93">
        <f t="shared" si="73"/>
        <v>0</v>
      </c>
    </row>
    <row r="312" spans="1:22" ht="18" customHeight="1" x14ac:dyDescent="0.2">
      <c r="A312" s="110" t="s">
        <v>696</v>
      </c>
      <c r="B312" s="111"/>
      <c r="C312" s="201" t="s">
        <v>697</v>
      </c>
      <c r="D312" s="91">
        <v>41319</v>
      </c>
      <c r="E312" s="92"/>
      <c r="F312" s="93"/>
      <c r="G312" s="93"/>
      <c r="H312" s="93">
        <v>2170</v>
      </c>
      <c r="I312" s="93">
        <v>1114</v>
      </c>
      <c r="J312" s="93"/>
      <c r="K312" s="93">
        <f t="shared" si="70"/>
        <v>0</v>
      </c>
      <c r="L312" s="93">
        <f t="shared" si="71"/>
        <v>0</v>
      </c>
      <c r="M312" s="94">
        <v>10</v>
      </c>
      <c r="N312" s="95" t="s">
        <v>289</v>
      </c>
      <c r="O312" s="93">
        <f t="shared" si="74"/>
        <v>0</v>
      </c>
      <c r="P312" s="93">
        <f t="shared" si="75"/>
        <v>0</v>
      </c>
      <c r="Q312" s="93">
        <f t="shared" si="76"/>
        <v>0</v>
      </c>
      <c r="R312" s="93">
        <f t="shared" si="77"/>
        <v>55</v>
      </c>
      <c r="S312" s="93">
        <f t="shared" si="78"/>
        <v>0</v>
      </c>
      <c r="T312" s="93">
        <f t="shared" si="79"/>
        <v>55</v>
      </c>
      <c r="U312" s="312">
        <f t="shared" si="72"/>
        <v>1059</v>
      </c>
      <c r="V312" s="93">
        <f t="shared" si="73"/>
        <v>0</v>
      </c>
    </row>
    <row r="313" spans="1:22" ht="18" customHeight="1" x14ac:dyDescent="0.2">
      <c r="A313" s="110" t="s">
        <v>698</v>
      </c>
      <c r="B313" s="111"/>
      <c r="C313" s="90" t="s">
        <v>699</v>
      </c>
      <c r="D313" s="91">
        <v>41478</v>
      </c>
      <c r="E313" s="92"/>
      <c r="F313" s="93"/>
      <c r="G313" s="93"/>
      <c r="H313" s="93">
        <v>2050</v>
      </c>
      <c r="I313" s="93">
        <v>881</v>
      </c>
      <c r="J313" s="93"/>
      <c r="K313" s="93">
        <f t="shared" si="70"/>
        <v>0</v>
      </c>
      <c r="L313" s="93">
        <f t="shared" si="71"/>
        <v>0</v>
      </c>
      <c r="M313" s="94">
        <v>13.33</v>
      </c>
      <c r="N313" s="95" t="s">
        <v>289</v>
      </c>
      <c r="O313" s="93">
        <f t="shared" si="74"/>
        <v>0</v>
      </c>
      <c r="P313" s="93">
        <f t="shared" si="75"/>
        <v>0</v>
      </c>
      <c r="Q313" s="93">
        <f t="shared" si="76"/>
        <v>0</v>
      </c>
      <c r="R313" s="93">
        <f t="shared" si="77"/>
        <v>58</v>
      </c>
      <c r="S313" s="93">
        <f t="shared" si="78"/>
        <v>0</v>
      </c>
      <c r="T313" s="93">
        <f t="shared" si="79"/>
        <v>58</v>
      </c>
      <c r="U313" s="312">
        <f t="shared" si="72"/>
        <v>823</v>
      </c>
      <c r="V313" s="93">
        <f t="shared" si="73"/>
        <v>0</v>
      </c>
    </row>
    <row r="314" spans="1:22" ht="18" customHeight="1" x14ac:dyDescent="0.2">
      <c r="A314" s="110" t="s">
        <v>700</v>
      </c>
      <c r="B314" s="111"/>
      <c r="C314" s="201" t="s">
        <v>701</v>
      </c>
      <c r="D314" s="91">
        <v>41528</v>
      </c>
      <c r="E314" s="92"/>
      <c r="F314" s="93"/>
      <c r="G314" s="93"/>
      <c r="H314" s="93">
        <v>15000</v>
      </c>
      <c r="I314" s="93">
        <v>6582</v>
      </c>
      <c r="J314" s="93"/>
      <c r="K314" s="93">
        <f t="shared" si="70"/>
        <v>0</v>
      </c>
      <c r="L314" s="93">
        <f t="shared" si="71"/>
        <v>0</v>
      </c>
      <c r="M314" s="94">
        <v>13.33</v>
      </c>
      <c r="N314" s="95" t="s">
        <v>289</v>
      </c>
      <c r="O314" s="93">
        <f t="shared" si="74"/>
        <v>0</v>
      </c>
      <c r="P314" s="93">
        <f t="shared" si="75"/>
        <v>0</v>
      </c>
      <c r="Q314" s="93">
        <f t="shared" si="76"/>
        <v>0</v>
      </c>
      <c r="R314" s="93">
        <f t="shared" si="77"/>
        <v>438</v>
      </c>
      <c r="S314" s="93">
        <f t="shared" si="78"/>
        <v>0</v>
      </c>
      <c r="T314" s="93">
        <f t="shared" si="79"/>
        <v>438</v>
      </c>
      <c r="U314" s="312">
        <f t="shared" si="72"/>
        <v>6144</v>
      </c>
      <c r="V314" s="93">
        <f t="shared" si="73"/>
        <v>0</v>
      </c>
    </row>
    <row r="315" spans="1:22" ht="18" customHeight="1" x14ac:dyDescent="0.2">
      <c r="A315" s="110" t="s">
        <v>702</v>
      </c>
      <c r="B315" s="111"/>
      <c r="C315" s="201" t="s">
        <v>703</v>
      </c>
      <c r="D315" s="91">
        <v>41548</v>
      </c>
      <c r="E315" s="92"/>
      <c r="F315" s="93"/>
      <c r="G315" s="93"/>
      <c r="H315" s="93">
        <v>2610</v>
      </c>
      <c r="I315" s="93">
        <v>58</v>
      </c>
      <c r="J315" s="93"/>
      <c r="K315" s="93">
        <f t="shared" si="70"/>
        <v>0</v>
      </c>
      <c r="L315" s="93">
        <f t="shared" si="71"/>
        <v>0</v>
      </c>
      <c r="M315" s="94">
        <v>50</v>
      </c>
      <c r="N315" s="95" t="s">
        <v>289</v>
      </c>
      <c r="O315" s="93">
        <f t="shared" si="74"/>
        <v>0</v>
      </c>
      <c r="P315" s="93">
        <f t="shared" si="75"/>
        <v>0</v>
      </c>
      <c r="Q315" s="93">
        <f t="shared" si="76"/>
        <v>0</v>
      </c>
      <c r="R315" s="93">
        <f t="shared" si="77"/>
        <v>14</v>
      </c>
      <c r="S315" s="93">
        <f t="shared" si="78"/>
        <v>0</v>
      </c>
      <c r="T315" s="93">
        <f t="shared" si="79"/>
        <v>14</v>
      </c>
      <c r="U315" s="312">
        <f t="shared" si="72"/>
        <v>44</v>
      </c>
      <c r="V315" s="93">
        <f t="shared" si="73"/>
        <v>0</v>
      </c>
    </row>
    <row r="316" spans="1:22" ht="18" customHeight="1" x14ac:dyDescent="0.2">
      <c r="A316" s="110" t="s">
        <v>704</v>
      </c>
      <c r="B316" s="111"/>
      <c r="C316" s="201" t="s">
        <v>705</v>
      </c>
      <c r="D316" s="91">
        <v>41584</v>
      </c>
      <c r="E316" s="92"/>
      <c r="F316" s="93"/>
      <c r="G316" s="93"/>
      <c r="H316" s="93">
        <v>30000</v>
      </c>
      <c r="I316" s="93">
        <v>13463</v>
      </c>
      <c r="J316" s="93"/>
      <c r="K316" s="93">
        <f t="shared" si="70"/>
        <v>0</v>
      </c>
      <c r="L316" s="93">
        <f t="shared" si="71"/>
        <v>0</v>
      </c>
      <c r="M316" s="94">
        <v>13.33</v>
      </c>
      <c r="N316" s="95" t="s">
        <v>289</v>
      </c>
      <c r="O316" s="93">
        <f t="shared" si="74"/>
        <v>0</v>
      </c>
      <c r="P316" s="93">
        <f t="shared" si="75"/>
        <v>0</v>
      </c>
      <c r="Q316" s="93">
        <f t="shared" si="76"/>
        <v>0</v>
      </c>
      <c r="R316" s="93">
        <f t="shared" si="77"/>
        <v>897</v>
      </c>
      <c r="S316" s="93">
        <f t="shared" si="78"/>
        <v>0</v>
      </c>
      <c r="T316" s="93">
        <f t="shared" si="79"/>
        <v>897</v>
      </c>
      <c r="U316" s="312">
        <f t="shared" si="72"/>
        <v>12566</v>
      </c>
      <c r="V316" s="93">
        <f t="shared" si="73"/>
        <v>0</v>
      </c>
    </row>
    <row r="317" spans="1:22" ht="18" customHeight="1" x14ac:dyDescent="0.2">
      <c r="A317" s="110" t="s">
        <v>706</v>
      </c>
      <c r="B317" s="111"/>
      <c r="C317" s="201" t="s">
        <v>707</v>
      </c>
      <c r="D317" s="91">
        <v>41653</v>
      </c>
      <c r="E317" s="92"/>
      <c r="F317" s="93"/>
      <c r="G317" s="93"/>
      <c r="H317" s="93">
        <v>20000</v>
      </c>
      <c r="I317" s="93">
        <v>9224</v>
      </c>
      <c r="J317" s="93"/>
      <c r="K317" s="93">
        <f t="shared" si="70"/>
        <v>0</v>
      </c>
      <c r="L317" s="93">
        <f t="shared" si="71"/>
        <v>0</v>
      </c>
      <c r="M317" s="94">
        <v>13.33</v>
      </c>
      <c r="N317" s="95" t="s">
        <v>289</v>
      </c>
      <c r="O317" s="93">
        <f t="shared" si="74"/>
        <v>0</v>
      </c>
      <c r="P317" s="93">
        <f t="shared" si="75"/>
        <v>0</v>
      </c>
      <c r="Q317" s="93">
        <f t="shared" si="76"/>
        <v>0</v>
      </c>
      <c r="R317" s="93">
        <f t="shared" si="77"/>
        <v>614</v>
      </c>
      <c r="S317" s="93">
        <f t="shared" si="78"/>
        <v>0</v>
      </c>
      <c r="T317" s="93">
        <f t="shared" si="79"/>
        <v>614</v>
      </c>
      <c r="U317" s="312">
        <f t="shared" si="72"/>
        <v>8610</v>
      </c>
      <c r="V317" s="93">
        <f t="shared" si="73"/>
        <v>0</v>
      </c>
    </row>
    <row r="318" spans="1:22" ht="18" customHeight="1" x14ac:dyDescent="0.2">
      <c r="A318" s="110" t="s">
        <v>708</v>
      </c>
      <c r="B318" s="111"/>
      <c r="C318" s="201" t="s">
        <v>709</v>
      </c>
      <c r="D318" s="91">
        <v>41753</v>
      </c>
      <c r="E318" s="92"/>
      <c r="F318" s="93"/>
      <c r="G318" s="93"/>
      <c r="H318" s="93">
        <v>24600</v>
      </c>
      <c r="I318" s="93">
        <v>11787</v>
      </c>
      <c r="J318" s="93"/>
      <c r="K318" s="93">
        <f t="shared" si="70"/>
        <v>0</v>
      </c>
      <c r="L318" s="93">
        <f t="shared" si="71"/>
        <v>0</v>
      </c>
      <c r="M318" s="94">
        <v>13.33</v>
      </c>
      <c r="N318" s="95" t="s">
        <v>289</v>
      </c>
      <c r="O318" s="93">
        <f t="shared" si="74"/>
        <v>0</v>
      </c>
      <c r="P318" s="93">
        <f t="shared" si="75"/>
        <v>0</v>
      </c>
      <c r="Q318" s="93">
        <f t="shared" si="76"/>
        <v>0</v>
      </c>
      <c r="R318" s="93">
        <f t="shared" si="77"/>
        <v>785</v>
      </c>
      <c r="S318" s="93">
        <f t="shared" si="78"/>
        <v>0</v>
      </c>
      <c r="T318" s="93">
        <f t="shared" si="79"/>
        <v>785</v>
      </c>
      <c r="U318" s="312">
        <f t="shared" si="72"/>
        <v>11002</v>
      </c>
      <c r="V318" s="93">
        <f t="shared" si="73"/>
        <v>0</v>
      </c>
    </row>
    <row r="319" spans="1:22" ht="18" customHeight="1" x14ac:dyDescent="0.2">
      <c r="A319" s="110" t="s">
        <v>710</v>
      </c>
      <c r="B319" s="111"/>
      <c r="C319" s="201" t="s">
        <v>711</v>
      </c>
      <c r="D319" s="91">
        <v>41754</v>
      </c>
      <c r="E319" s="92"/>
      <c r="F319" s="93"/>
      <c r="G319" s="93"/>
      <c r="H319" s="93">
        <v>24600</v>
      </c>
      <c r="I319" s="93">
        <v>11790</v>
      </c>
      <c r="J319" s="93"/>
      <c r="K319" s="93">
        <f t="shared" si="70"/>
        <v>0</v>
      </c>
      <c r="L319" s="93">
        <f t="shared" si="71"/>
        <v>0</v>
      </c>
      <c r="M319" s="94">
        <v>13.33</v>
      </c>
      <c r="N319" s="95" t="s">
        <v>289</v>
      </c>
      <c r="O319" s="93">
        <f t="shared" si="74"/>
        <v>0</v>
      </c>
      <c r="P319" s="93">
        <f t="shared" si="75"/>
        <v>0</v>
      </c>
      <c r="Q319" s="93">
        <f t="shared" si="76"/>
        <v>0</v>
      </c>
      <c r="R319" s="93">
        <f t="shared" si="77"/>
        <v>785</v>
      </c>
      <c r="S319" s="93">
        <f t="shared" si="78"/>
        <v>0</v>
      </c>
      <c r="T319" s="93">
        <f t="shared" si="79"/>
        <v>785</v>
      </c>
      <c r="U319" s="312">
        <f t="shared" si="72"/>
        <v>11005</v>
      </c>
      <c r="V319" s="93">
        <f t="shared" si="73"/>
        <v>0</v>
      </c>
    </row>
    <row r="320" spans="1:22" ht="18" customHeight="1" x14ac:dyDescent="0.2">
      <c r="A320" s="110" t="s">
        <v>712</v>
      </c>
      <c r="B320" s="111"/>
      <c r="C320" s="201" t="s">
        <v>713</v>
      </c>
      <c r="D320" s="91">
        <v>41691</v>
      </c>
      <c r="E320" s="92"/>
      <c r="F320" s="93"/>
      <c r="G320" s="93"/>
      <c r="H320" s="93">
        <v>2166.6999999999998</v>
      </c>
      <c r="I320" s="93">
        <v>666.7</v>
      </c>
      <c r="J320" s="93"/>
      <c r="K320" s="93">
        <f t="shared" si="70"/>
        <v>0</v>
      </c>
      <c r="L320" s="93">
        <f t="shared" si="71"/>
        <v>0</v>
      </c>
      <c r="M320" s="94">
        <v>20</v>
      </c>
      <c r="N320" s="95" t="s">
        <v>289</v>
      </c>
      <c r="O320" s="93">
        <f t="shared" si="74"/>
        <v>0</v>
      </c>
      <c r="P320" s="93">
        <f t="shared" si="75"/>
        <v>0</v>
      </c>
      <c r="Q320" s="93">
        <f t="shared" si="76"/>
        <v>0</v>
      </c>
      <c r="R320" s="93">
        <f t="shared" si="77"/>
        <v>66</v>
      </c>
      <c r="S320" s="93">
        <f t="shared" si="78"/>
        <v>0</v>
      </c>
      <c r="T320" s="93">
        <f t="shared" si="79"/>
        <v>66</v>
      </c>
      <c r="U320" s="312">
        <f t="shared" si="72"/>
        <v>600.70000000000005</v>
      </c>
      <c r="V320" s="93">
        <f t="shared" si="73"/>
        <v>0</v>
      </c>
    </row>
    <row r="321" spans="1:22" ht="18" customHeight="1" x14ac:dyDescent="0.2">
      <c r="A321" s="110" t="s">
        <v>714</v>
      </c>
      <c r="B321" s="111"/>
      <c r="C321" s="201" t="s">
        <v>715</v>
      </c>
      <c r="D321" s="91">
        <v>41697</v>
      </c>
      <c r="E321" s="92"/>
      <c r="F321" s="93"/>
      <c r="G321" s="93"/>
      <c r="H321" s="93">
        <v>9476</v>
      </c>
      <c r="I321" s="93">
        <v>4446</v>
      </c>
      <c r="J321" s="93"/>
      <c r="K321" s="93">
        <f t="shared" si="70"/>
        <v>0</v>
      </c>
      <c r="L321" s="93">
        <f t="shared" si="71"/>
        <v>0</v>
      </c>
      <c r="M321" s="94">
        <v>13.33</v>
      </c>
      <c r="N321" s="95" t="s">
        <v>289</v>
      </c>
      <c r="O321" s="93">
        <f t="shared" si="74"/>
        <v>0</v>
      </c>
      <c r="P321" s="93">
        <f t="shared" si="75"/>
        <v>0</v>
      </c>
      <c r="Q321" s="93">
        <f t="shared" si="76"/>
        <v>0</v>
      </c>
      <c r="R321" s="93">
        <f t="shared" si="77"/>
        <v>296</v>
      </c>
      <c r="S321" s="93">
        <f t="shared" si="78"/>
        <v>0</v>
      </c>
      <c r="T321" s="93">
        <f t="shared" si="79"/>
        <v>296</v>
      </c>
      <c r="U321" s="312">
        <f t="shared" si="72"/>
        <v>4150</v>
      </c>
      <c r="V321" s="93">
        <f t="shared" si="73"/>
        <v>0</v>
      </c>
    </row>
    <row r="322" spans="1:22" ht="18" customHeight="1" x14ac:dyDescent="0.2">
      <c r="A322" s="110" t="s">
        <v>716</v>
      </c>
      <c r="B322" s="111"/>
      <c r="C322" s="201" t="s">
        <v>717</v>
      </c>
      <c r="D322" s="91">
        <v>41786</v>
      </c>
      <c r="E322" s="92"/>
      <c r="F322" s="93"/>
      <c r="G322" s="93"/>
      <c r="H322" s="93">
        <v>32377.27</v>
      </c>
      <c r="I322" s="93">
        <v>28252.27</v>
      </c>
      <c r="J322" s="93"/>
      <c r="K322" s="93">
        <f t="shared" si="70"/>
        <v>0</v>
      </c>
      <c r="L322" s="93">
        <f t="shared" si="71"/>
        <v>0</v>
      </c>
      <c r="M322" s="94">
        <v>2.5</v>
      </c>
      <c r="N322" s="95" t="s">
        <v>17</v>
      </c>
      <c r="O322" s="93">
        <f t="shared" si="74"/>
        <v>0</v>
      </c>
      <c r="P322" s="93">
        <f t="shared" si="75"/>
        <v>0</v>
      </c>
      <c r="Q322" s="93">
        <f t="shared" si="76"/>
        <v>0</v>
      </c>
      <c r="R322" s="93">
        <f t="shared" si="77"/>
        <v>0</v>
      </c>
      <c r="S322" s="93">
        <f t="shared" si="78"/>
        <v>404</v>
      </c>
      <c r="T322" s="93">
        <f t="shared" si="79"/>
        <v>404</v>
      </c>
      <c r="U322" s="312">
        <f t="shared" si="72"/>
        <v>27848.27</v>
      </c>
      <c r="V322" s="93">
        <f t="shared" si="73"/>
        <v>0</v>
      </c>
    </row>
    <row r="323" spans="1:22" ht="18" customHeight="1" x14ac:dyDescent="0.2">
      <c r="A323" s="110" t="s">
        <v>718</v>
      </c>
      <c r="B323" s="111"/>
      <c r="C323" s="201" t="s">
        <v>719</v>
      </c>
      <c r="D323" s="91">
        <v>41730</v>
      </c>
      <c r="E323" s="92"/>
      <c r="F323" s="93"/>
      <c r="G323" s="93"/>
      <c r="H323" s="93">
        <v>11325.460000000001</v>
      </c>
      <c r="I323" s="93">
        <v>3566.46</v>
      </c>
      <c r="J323" s="93"/>
      <c r="K323" s="93">
        <f t="shared" si="70"/>
        <v>0</v>
      </c>
      <c r="L323" s="93">
        <f t="shared" si="71"/>
        <v>0</v>
      </c>
      <c r="M323" s="94">
        <v>20</v>
      </c>
      <c r="N323" s="95" t="s">
        <v>289</v>
      </c>
      <c r="O323" s="93">
        <f t="shared" si="74"/>
        <v>0</v>
      </c>
      <c r="P323" s="93">
        <f t="shared" si="75"/>
        <v>0</v>
      </c>
      <c r="Q323" s="93">
        <f t="shared" si="76"/>
        <v>0</v>
      </c>
      <c r="R323" s="93">
        <f t="shared" si="77"/>
        <v>356</v>
      </c>
      <c r="S323" s="93">
        <f t="shared" si="78"/>
        <v>0</v>
      </c>
      <c r="T323" s="93">
        <f t="shared" si="79"/>
        <v>356</v>
      </c>
      <c r="U323" s="312">
        <f t="shared" si="72"/>
        <v>3210.46</v>
      </c>
      <c r="V323" s="93">
        <f t="shared" si="73"/>
        <v>0</v>
      </c>
    </row>
    <row r="324" spans="1:22" ht="18" customHeight="1" x14ac:dyDescent="0.2">
      <c r="A324" s="110" t="s">
        <v>720</v>
      </c>
      <c r="B324" s="111"/>
      <c r="C324" s="201" t="s">
        <v>721</v>
      </c>
      <c r="D324" s="91">
        <v>41730</v>
      </c>
      <c r="E324" s="92"/>
      <c r="F324" s="93"/>
      <c r="G324" s="93"/>
      <c r="H324" s="93">
        <v>3535</v>
      </c>
      <c r="I324" s="93">
        <v>2041</v>
      </c>
      <c r="J324" s="93"/>
      <c r="K324" s="93">
        <f t="shared" si="70"/>
        <v>0</v>
      </c>
      <c r="L324" s="93">
        <f t="shared" si="71"/>
        <v>0</v>
      </c>
      <c r="M324" s="94">
        <v>10</v>
      </c>
      <c r="N324" s="95" t="s">
        <v>289</v>
      </c>
      <c r="O324" s="93">
        <f t="shared" si="74"/>
        <v>0</v>
      </c>
      <c r="P324" s="93">
        <f t="shared" si="75"/>
        <v>0</v>
      </c>
      <c r="Q324" s="93">
        <f t="shared" si="76"/>
        <v>0</v>
      </c>
      <c r="R324" s="93">
        <f t="shared" si="77"/>
        <v>102</v>
      </c>
      <c r="S324" s="93">
        <f t="shared" si="78"/>
        <v>0</v>
      </c>
      <c r="T324" s="93">
        <f t="shared" si="79"/>
        <v>102</v>
      </c>
      <c r="U324" s="312">
        <f t="shared" si="72"/>
        <v>1939</v>
      </c>
      <c r="V324" s="93">
        <f t="shared" si="73"/>
        <v>0</v>
      </c>
    </row>
    <row r="325" spans="1:22" ht="18" customHeight="1" x14ac:dyDescent="0.2">
      <c r="A325" s="110" t="s">
        <v>722</v>
      </c>
      <c r="B325" s="111"/>
      <c r="C325" s="201" t="s">
        <v>723</v>
      </c>
      <c r="D325" s="91">
        <v>41730</v>
      </c>
      <c r="E325" s="92"/>
      <c r="F325" s="93"/>
      <c r="G325" s="93"/>
      <c r="H325" s="93">
        <v>1414.09</v>
      </c>
      <c r="I325" s="93">
        <v>816.09</v>
      </c>
      <c r="J325" s="93"/>
      <c r="K325" s="93">
        <f t="shared" si="70"/>
        <v>0</v>
      </c>
      <c r="L325" s="93">
        <f t="shared" si="71"/>
        <v>0</v>
      </c>
      <c r="M325" s="94">
        <v>10</v>
      </c>
      <c r="N325" s="95" t="s">
        <v>289</v>
      </c>
      <c r="O325" s="93">
        <f t="shared" si="74"/>
        <v>0</v>
      </c>
      <c r="P325" s="93">
        <f t="shared" si="75"/>
        <v>0</v>
      </c>
      <c r="Q325" s="93">
        <f t="shared" si="76"/>
        <v>0</v>
      </c>
      <c r="R325" s="93">
        <f t="shared" si="77"/>
        <v>40</v>
      </c>
      <c r="S325" s="93">
        <f t="shared" si="78"/>
        <v>0</v>
      </c>
      <c r="T325" s="93">
        <f t="shared" si="79"/>
        <v>40</v>
      </c>
      <c r="U325" s="312">
        <f t="shared" si="72"/>
        <v>776.09</v>
      </c>
      <c r="V325" s="93">
        <f t="shared" si="73"/>
        <v>0</v>
      </c>
    </row>
    <row r="326" spans="1:22" ht="18" customHeight="1" x14ac:dyDescent="0.2">
      <c r="A326" s="110" t="s">
        <v>724</v>
      </c>
      <c r="B326" s="111"/>
      <c r="C326" s="201" t="s">
        <v>725</v>
      </c>
      <c r="D326" s="91">
        <v>41779</v>
      </c>
      <c r="E326" s="92"/>
      <c r="F326" s="93"/>
      <c r="G326" s="93"/>
      <c r="H326" s="93">
        <v>8000</v>
      </c>
      <c r="I326" s="93">
        <v>3870</v>
      </c>
      <c r="J326" s="93"/>
      <c r="K326" s="93">
        <f t="shared" si="70"/>
        <v>0</v>
      </c>
      <c r="L326" s="93">
        <f t="shared" si="71"/>
        <v>0</v>
      </c>
      <c r="M326" s="94">
        <v>13.33</v>
      </c>
      <c r="N326" s="95" t="s">
        <v>289</v>
      </c>
      <c r="O326" s="93">
        <f t="shared" si="74"/>
        <v>0</v>
      </c>
      <c r="P326" s="93">
        <f t="shared" si="75"/>
        <v>0</v>
      </c>
      <c r="Q326" s="93">
        <f t="shared" si="76"/>
        <v>0</v>
      </c>
      <c r="R326" s="93">
        <f t="shared" si="77"/>
        <v>257</v>
      </c>
      <c r="S326" s="93">
        <f t="shared" si="78"/>
        <v>0</v>
      </c>
      <c r="T326" s="93">
        <f t="shared" si="79"/>
        <v>257</v>
      </c>
      <c r="U326" s="312">
        <f t="shared" si="72"/>
        <v>3613</v>
      </c>
      <c r="V326" s="93">
        <f t="shared" si="73"/>
        <v>0</v>
      </c>
    </row>
    <row r="327" spans="1:22" ht="18" customHeight="1" x14ac:dyDescent="0.2">
      <c r="A327" s="110" t="s">
        <v>726</v>
      </c>
      <c r="B327" s="111"/>
      <c r="C327" s="201" t="s">
        <v>727</v>
      </c>
      <c r="D327" s="91">
        <v>41795</v>
      </c>
      <c r="E327" s="92"/>
      <c r="F327" s="93"/>
      <c r="G327" s="93"/>
      <c r="H327" s="93">
        <v>1727</v>
      </c>
      <c r="I327" s="93">
        <v>842</v>
      </c>
      <c r="J327" s="93"/>
      <c r="K327" s="93">
        <f t="shared" si="70"/>
        <v>0</v>
      </c>
      <c r="L327" s="93">
        <f t="shared" si="71"/>
        <v>0</v>
      </c>
      <c r="M327" s="94">
        <v>13.33</v>
      </c>
      <c r="N327" s="95" t="s">
        <v>289</v>
      </c>
      <c r="O327" s="93">
        <f t="shared" si="74"/>
        <v>0</v>
      </c>
      <c r="P327" s="93">
        <f t="shared" si="75"/>
        <v>0</v>
      </c>
      <c r="Q327" s="93">
        <f t="shared" si="76"/>
        <v>0</v>
      </c>
      <c r="R327" s="93">
        <f t="shared" si="77"/>
        <v>56</v>
      </c>
      <c r="S327" s="93">
        <f t="shared" si="78"/>
        <v>0</v>
      </c>
      <c r="T327" s="93">
        <f t="shared" si="79"/>
        <v>56</v>
      </c>
      <c r="U327" s="312">
        <f t="shared" si="72"/>
        <v>786</v>
      </c>
      <c r="V327" s="93">
        <f t="shared" si="73"/>
        <v>0</v>
      </c>
    </row>
    <row r="328" spans="1:22" ht="18" customHeight="1" x14ac:dyDescent="0.2">
      <c r="A328" s="110" t="s">
        <v>728</v>
      </c>
      <c r="B328" s="111"/>
      <c r="C328" s="90" t="s">
        <v>729</v>
      </c>
      <c r="D328" s="91">
        <v>41815</v>
      </c>
      <c r="E328" s="92"/>
      <c r="F328" s="93"/>
      <c r="G328" s="93"/>
      <c r="H328" s="93">
        <v>5571.72</v>
      </c>
      <c r="I328" s="93">
        <v>2731.7200000000003</v>
      </c>
      <c r="J328" s="93"/>
      <c r="K328" s="93">
        <f t="shared" si="70"/>
        <v>0</v>
      </c>
      <c r="L328" s="93">
        <f t="shared" si="71"/>
        <v>0</v>
      </c>
      <c r="M328" s="94">
        <v>13.33</v>
      </c>
      <c r="N328" s="95" t="s">
        <v>289</v>
      </c>
      <c r="O328" s="93">
        <f t="shared" si="74"/>
        <v>0</v>
      </c>
      <c r="P328" s="93">
        <f t="shared" si="75"/>
        <v>0</v>
      </c>
      <c r="Q328" s="93">
        <f t="shared" si="76"/>
        <v>0</v>
      </c>
      <c r="R328" s="93">
        <f t="shared" si="77"/>
        <v>182</v>
      </c>
      <c r="S328" s="93">
        <f t="shared" si="78"/>
        <v>0</v>
      </c>
      <c r="T328" s="93">
        <f t="shared" si="79"/>
        <v>182</v>
      </c>
      <c r="U328" s="312">
        <f t="shared" si="72"/>
        <v>2549.7200000000003</v>
      </c>
      <c r="V328" s="93">
        <f t="shared" si="73"/>
        <v>0</v>
      </c>
    </row>
    <row r="329" spans="1:22" ht="18" customHeight="1" x14ac:dyDescent="0.2">
      <c r="A329" s="110" t="s">
        <v>730</v>
      </c>
      <c r="B329" s="111"/>
      <c r="C329" s="201" t="s">
        <v>731</v>
      </c>
      <c r="D329" s="91">
        <v>41815</v>
      </c>
      <c r="E329" s="92"/>
      <c r="F329" s="93"/>
      <c r="G329" s="93"/>
      <c r="H329" s="93">
        <v>1372.22</v>
      </c>
      <c r="I329" s="93">
        <v>673.22</v>
      </c>
      <c r="J329" s="93"/>
      <c r="K329" s="93">
        <f t="shared" si="70"/>
        <v>0</v>
      </c>
      <c r="L329" s="93">
        <f t="shared" si="71"/>
        <v>0</v>
      </c>
      <c r="M329" s="94">
        <v>13.33</v>
      </c>
      <c r="N329" s="95" t="s">
        <v>289</v>
      </c>
      <c r="O329" s="93">
        <f t="shared" si="74"/>
        <v>0</v>
      </c>
      <c r="P329" s="93">
        <f t="shared" si="75"/>
        <v>0</v>
      </c>
      <c r="Q329" s="93">
        <f t="shared" si="76"/>
        <v>0</v>
      </c>
      <c r="R329" s="93">
        <f t="shared" si="77"/>
        <v>44</v>
      </c>
      <c r="S329" s="93">
        <f t="shared" si="78"/>
        <v>0</v>
      </c>
      <c r="T329" s="93">
        <f t="shared" si="79"/>
        <v>44</v>
      </c>
      <c r="U329" s="312">
        <f t="shared" si="72"/>
        <v>629.22</v>
      </c>
      <c r="V329" s="93">
        <f t="shared" si="73"/>
        <v>0</v>
      </c>
    </row>
    <row r="330" spans="1:22" ht="18" customHeight="1" x14ac:dyDescent="0.2">
      <c r="A330" s="110" t="s">
        <v>732</v>
      </c>
      <c r="B330" s="111"/>
      <c r="C330" s="90" t="s">
        <v>733</v>
      </c>
      <c r="D330" s="91">
        <v>41815</v>
      </c>
      <c r="E330" s="92"/>
      <c r="F330" s="93"/>
      <c r="G330" s="93"/>
      <c r="H330" s="93">
        <v>3188.21</v>
      </c>
      <c r="I330" s="93">
        <v>1564.21</v>
      </c>
      <c r="J330" s="93"/>
      <c r="K330" s="93">
        <f t="shared" si="70"/>
        <v>0</v>
      </c>
      <c r="L330" s="93">
        <f t="shared" si="71"/>
        <v>0</v>
      </c>
      <c r="M330" s="94">
        <v>13.33</v>
      </c>
      <c r="N330" s="95" t="s">
        <v>289</v>
      </c>
      <c r="O330" s="93">
        <f t="shared" si="74"/>
        <v>0</v>
      </c>
      <c r="P330" s="93">
        <f t="shared" si="75"/>
        <v>0</v>
      </c>
      <c r="Q330" s="93">
        <f t="shared" si="76"/>
        <v>0</v>
      </c>
      <c r="R330" s="93">
        <f t="shared" si="77"/>
        <v>104</v>
      </c>
      <c r="S330" s="93">
        <f t="shared" si="78"/>
        <v>0</v>
      </c>
      <c r="T330" s="93">
        <f t="shared" si="79"/>
        <v>104</v>
      </c>
      <c r="U330" s="312">
        <f t="shared" si="72"/>
        <v>1460.21</v>
      </c>
      <c r="V330" s="93">
        <f t="shared" si="73"/>
        <v>0</v>
      </c>
    </row>
    <row r="331" spans="1:22" ht="18" customHeight="1" x14ac:dyDescent="0.2">
      <c r="A331" s="110" t="s">
        <v>734</v>
      </c>
      <c r="B331" s="111"/>
      <c r="C331" s="90" t="s">
        <v>735</v>
      </c>
      <c r="D331" s="91">
        <v>41815</v>
      </c>
      <c r="E331" s="92"/>
      <c r="F331" s="93"/>
      <c r="G331" s="93"/>
      <c r="H331" s="93">
        <v>550.80000000000007</v>
      </c>
      <c r="I331" s="93">
        <v>271.8</v>
      </c>
      <c r="J331" s="93"/>
      <c r="K331" s="93">
        <f t="shared" si="70"/>
        <v>0</v>
      </c>
      <c r="L331" s="93">
        <f t="shared" si="71"/>
        <v>0</v>
      </c>
      <c r="M331" s="94">
        <v>13.3</v>
      </c>
      <c r="N331" s="95" t="s">
        <v>289</v>
      </c>
      <c r="O331" s="93">
        <f t="shared" si="74"/>
        <v>0</v>
      </c>
      <c r="P331" s="93">
        <f t="shared" si="75"/>
        <v>0</v>
      </c>
      <c r="Q331" s="93">
        <f t="shared" si="76"/>
        <v>0</v>
      </c>
      <c r="R331" s="93">
        <f t="shared" si="77"/>
        <v>18</v>
      </c>
      <c r="S331" s="93">
        <f t="shared" si="78"/>
        <v>0</v>
      </c>
      <c r="T331" s="93">
        <f t="shared" si="79"/>
        <v>18</v>
      </c>
      <c r="U331" s="312">
        <f t="shared" si="72"/>
        <v>253.8</v>
      </c>
      <c r="V331" s="93">
        <f t="shared" si="73"/>
        <v>0</v>
      </c>
    </row>
    <row r="332" spans="1:22" ht="18" customHeight="1" x14ac:dyDescent="0.2">
      <c r="A332" s="110" t="s">
        <v>736</v>
      </c>
      <c r="B332" s="111"/>
      <c r="C332" s="201" t="s">
        <v>737</v>
      </c>
      <c r="D332" s="91">
        <v>41815</v>
      </c>
      <c r="E332" s="92"/>
      <c r="F332" s="93"/>
      <c r="G332" s="93"/>
      <c r="H332" s="93">
        <v>1826.22</v>
      </c>
      <c r="I332" s="93">
        <v>896.22</v>
      </c>
      <c r="J332" s="93"/>
      <c r="K332" s="93">
        <f t="shared" si="70"/>
        <v>0</v>
      </c>
      <c r="L332" s="93">
        <f t="shared" si="71"/>
        <v>0</v>
      </c>
      <c r="M332" s="94">
        <v>13.33</v>
      </c>
      <c r="N332" s="95" t="s">
        <v>289</v>
      </c>
      <c r="O332" s="93">
        <f t="shared" si="74"/>
        <v>0</v>
      </c>
      <c r="P332" s="93">
        <f t="shared" si="75"/>
        <v>0</v>
      </c>
      <c r="Q332" s="93">
        <f t="shared" si="76"/>
        <v>0</v>
      </c>
      <c r="R332" s="93">
        <f t="shared" si="77"/>
        <v>59</v>
      </c>
      <c r="S332" s="93">
        <f t="shared" si="78"/>
        <v>0</v>
      </c>
      <c r="T332" s="93">
        <f t="shared" si="79"/>
        <v>59</v>
      </c>
      <c r="U332" s="312">
        <f t="shared" si="72"/>
        <v>837.22</v>
      </c>
      <c r="V332" s="93">
        <f t="shared" si="73"/>
        <v>0</v>
      </c>
    </row>
    <row r="333" spans="1:22" ht="18" customHeight="1" x14ac:dyDescent="0.2">
      <c r="A333" s="110" t="s">
        <v>738</v>
      </c>
      <c r="B333" s="111"/>
      <c r="C333" s="90" t="s">
        <v>739</v>
      </c>
      <c r="D333" s="91">
        <v>41815</v>
      </c>
      <c r="E333" s="92"/>
      <c r="F333" s="93"/>
      <c r="G333" s="93"/>
      <c r="H333" s="93">
        <v>2677.48</v>
      </c>
      <c r="I333" s="93">
        <v>1313.48</v>
      </c>
      <c r="J333" s="93"/>
      <c r="K333" s="93">
        <f t="shared" si="70"/>
        <v>0</v>
      </c>
      <c r="L333" s="93">
        <f t="shared" si="71"/>
        <v>0</v>
      </c>
      <c r="M333" s="94">
        <v>13.33</v>
      </c>
      <c r="N333" s="95" t="s">
        <v>289</v>
      </c>
      <c r="O333" s="93">
        <f t="shared" si="74"/>
        <v>0</v>
      </c>
      <c r="P333" s="93">
        <f t="shared" si="75"/>
        <v>0</v>
      </c>
      <c r="Q333" s="93">
        <f t="shared" si="76"/>
        <v>0</v>
      </c>
      <c r="R333" s="93">
        <f t="shared" si="77"/>
        <v>87</v>
      </c>
      <c r="S333" s="93">
        <f t="shared" si="78"/>
        <v>0</v>
      </c>
      <c r="T333" s="93">
        <f t="shared" si="79"/>
        <v>87</v>
      </c>
      <c r="U333" s="312">
        <f t="shared" si="72"/>
        <v>1226.48</v>
      </c>
      <c r="V333" s="93">
        <f t="shared" si="73"/>
        <v>0</v>
      </c>
    </row>
    <row r="334" spans="1:22" ht="18" customHeight="1" x14ac:dyDescent="0.2">
      <c r="A334" s="110" t="s">
        <v>740</v>
      </c>
      <c r="B334" s="111"/>
      <c r="C334" s="201" t="s">
        <v>741</v>
      </c>
      <c r="D334" s="91">
        <v>41815</v>
      </c>
      <c r="E334" s="92"/>
      <c r="F334" s="93"/>
      <c r="G334" s="93"/>
      <c r="H334" s="93">
        <v>1712.71</v>
      </c>
      <c r="I334" s="93">
        <v>840.71</v>
      </c>
      <c r="J334" s="93"/>
      <c r="K334" s="93">
        <f t="shared" si="70"/>
        <v>0</v>
      </c>
      <c r="L334" s="93">
        <f t="shared" si="71"/>
        <v>0</v>
      </c>
      <c r="M334" s="94">
        <v>13.33</v>
      </c>
      <c r="N334" s="95" t="s">
        <v>289</v>
      </c>
      <c r="O334" s="93">
        <f t="shared" si="74"/>
        <v>0</v>
      </c>
      <c r="P334" s="93">
        <f t="shared" si="75"/>
        <v>0</v>
      </c>
      <c r="Q334" s="93">
        <f t="shared" si="76"/>
        <v>0</v>
      </c>
      <c r="R334" s="93">
        <f t="shared" si="77"/>
        <v>56</v>
      </c>
      <c r="S334" s="93">
        <f t="shared" si="78"/>
        <v>0</v>
      </c>
      <c r="T334" s="93">
        <f t="shared" si="79"/>
        <v>56</v>
      </c>
      <c r="U334" s="312">
        <f t="shared" si="72"/>
        <v>784.71</v>
      </c>
      <c r="V334" s="93">
        <f t="shared" si="73"/>
        <v>0</v>
      </c>
    </row>
    <row r="335" spans="1:22" ht="18" customHeight="1" x14ac:dyDescent="0.2">
      <c r="A335" s="110" t="s">
        <v>742</v>
      </c>
      <c r="B335" s="111"/>
      <c r="C335" s="90" t="s">
        <v>743</v>
      </c>
      <c r="D335" s="91">
        <v>41815</v>
      </c>
      <c r="E335" s="92"/>
      <c r="F335" s="93"/>
      <c r="G335" s="93"/>
      <c r="H335" s="93">
        <v>2563.98</v>
      </c>
      <c r="I335" s="93">
        <v>1256.98</v>
      </c>
      <c r="J335" s="93"/>
      <c r="K335" s="93">
        <f t="shared" si="70"/>
        <v>0</v>
      </c>
      <c r="L335" s="93">
        <f t="shared" si="71"/>
        <v>0</v>
      </c>
      <c r="M335" s="94">
        <v>13.33</v>
      </c>
      <c r="N335" s="95" t="s">
        <v>289</v>
      </c>
      <c r="O335" s="93">
        <f t="shared" si="74"/>
        <v>0</v>
      </c>
      <c r="P335" s="93">
        <f t="shared" si="75"/>
        <v>0</v>
      </c>
      <c r="Q335" s="93">
        <f t="shared" si="76"/>
        <v>0</v>
      </c>
      <c r="R335" s="93">
        <f t="shared" si="77"/>
        <v>83</v>
      </c>
      <c r="S335" s="93">
        <f t="shared" si="78"/>
        <v>0</v>
      </c>
      <c r="T335" s="93">
        <f t="shared" si="79"/>
        <v>83</v>
      </c>
      <c r="U335" s="312">
        <f t="shared" si="72"/>
        <v>1173.98</v>
      </c>
      <c r="V335" s="93">
        <f t="shared" si="73"/>
        <v>0</v>
      </c>
    </row>
    <row r="336" spans="1:22" ht="18" customHeight="1" x14ac:dyDescent="0.2">
      <c r="A336" s="110" t="s">
        <v>744</v>
      </c>
      <c r="B336" s="111"/>
      <c r="C336" s="201" t="s">
        <v>745</v>
      </c>
      <c r="D336" s="91">
        <v>41815</v>
      </c>
      <c r="E336" s="92"/>
      <c r="F336" s="93"/>
      <c r="G336" s="93"/>
      <c r="H336" s="93">
        <v>1769.47</v>
      </c>
      <c r="I336" s="93">
        <v>867.47</v>
      </c>
      <c r="J336" s="93"/>
      <c r="K336" s="93">
        <f t="shared" si="70"/>
        <v>0</v>
      </c>
      <c r="L336" s="93">
        <f t="shared" si="71"/>
        <v>0</v>
      </c>
      <c r="M336" s="94">
        <v>13.33</v>
      </c>
      <c r="N336" s="95" t="s">
        <v>289</v>
      </c>
      <c r="O336" s="93">
        <f t="shared" si="74"/>
        <v>0</v>
      </c>
      <c r="P336" s="93">
        <f t="shared" si="75"/>
        <v>0</v>
      </c>
      <c r="Q336" s="93">
        <f t="shared" si="76"/>
        <v>0</v>
      </c>
      <c r="R336" s="93">
        <f t="shared" si="77"/>
        <v>57</v>
      </c>
      <c r="S336" s="93">
        <f t="shared" si="78"/>
        <v>0</v>
      </c>
      <c r="T336" s="93">
        <f t="shared" si="79"/>
        <v>57</v>
      </c>
      <c r="U336" s="312">
        <f t="shared" si="72"/>
        <v>810.47</v>
      </c>
      <c r="V336" s="93">
        <f t="shared" si="73"/>
        <v>0</v>
      </c>
    </row>
    <row r="337" spans="1:22" ht="18" customHeight="1" x14ac:dyDescent="0.2">
      <c r="A337" s="110" t="s">
        <v>746</v>
      </c>
      <c r="B337" s="111"/>
      <c r="C337" s="201" t="s">
        <v>747</v>
      </c>
      <c r="D337" s="91">
        <v>41456</v>
      </c>
      <c r="E337" s="92"/>
      <c r="F337" s="93"/>
      <c r="G337" s="93"/>
      <c r="H337" s="93">
        <v>1063.6400000000001</v>
      </c>
      <c r="I337" s="93">
        <v>282.64</v>
      </c>
      <c r="J337" s="93"/>
      <c r="K337" s="93">
        <f t="shared" si="70"/>
        <v>0</v>
      </c>
      <c r="L337" s="93">
        <f t="shared" si="71"/>
        <v>0</v>
      </c>
      <c r="M337" s="94">
        <v>20</v>
      </c>
      <c r="N337" s="95" t="s">
        <v>289</v>
      </c>
      <c r="O337" s="93">
        <f t="shared" si="74"/>
        <v>0</v>
      </c>
      <c r="P337" s="93">
        <f t="shared" si="75"/>
        <v>0</v>
      </c>
      <c r="Q337" s="93">
        <f t="shared" si="76"/>
        <v>0</v>
      </c>
      <c r="R337" s="93">
        <f t="shared" si="77"/>
        <v>28</v>
      </c>
      <c r="S337" s="93">
        <f t="shared" si="78"/>
        <v>0</v>
      </c>
      <c r="T337" s="93">
        <f t="shared" si="79"/>
        <v>28</v>
      </c>
      <c r="U337" s="312">
        <f t="shared" si="72"/>
        <v>254.64</v>
      </c>
      <c r="V337" s="93">
        <f t="shared" si="73"/>
        <v>0</v>
      </c>
    </row>
    <row r="338" spans="1:22" ht="18" customHeight="1" x14ac:dyDescent="0.2">
      <c r="A338" s="110" t="s">
        <v>748</v>
      </c>
      <c r="B338" s="111"/>
      <c r="C338" s="201" t="s">
        <v>749</v>
      </c>
      <c r="D338" s="91">
        <v>41690</v>
      </c>
      <c r="E338" s="92"/>
      <c r="F338" s="93"/>
      <c r="G338" s="93"/>
      <c r="H338" s="93">
        <v>1560</v>
      </c>
      <c r="I338" s="93">
        <v>111</v>
      </c>
      <c r="J338" s="93"/>
      <c r="K338" s="93">
        <f t="shared" si="70"/>
        <v>0</v>
      </c>
      <c r="L338" s="93">
        <f t="shared" si="71"/>
        <v>0</v>
      </c>
      <c r="M338" s="94">
        <v>40</v>
      </c>
      <c r="N338" s="95" t="s">
        <v>289</v>
      </c>
      <c r="O338" s="93">
        <f t="shared" si="74"/>
        <v>0</v>
      </c>
      <c r="P338" s="93">
        <f t="shared" si="75"/>
        <v>0</v>
      </c>
      <c r="Q338" s="93">
        <f t="shared" si="76"/>
        <v>0</v>
      </c>
      <c r="R338" s="93">
        <f t="shared" si="77"/>
        <v>22</v>
      </c>
      <c r="S338" s="93">
        <f t="shared" si="78"/>
        <v>0</v>
      </c>
      <c r="T338" s="93">
        <f t="shared" si="79"/>
        <v>22</v>
      </c>
      <c r="U338" s="312">
        <f t="shared" si="72"/>
        <v>89</v>
      </c>
      <c r="V338" s="93">
        <f t="shared" si="73"/>
        <v>0</v>
      </c>
    </row>
    <row r="339" spans="1:22" ht="18" customHeight="1" x14ac:dyDescent="0.2">
      <c r="A339" s="110" t="s">
        <v>750</v>
      </c>
      <c r="B339" s="111"/>
      <c r="C339" s="201" t="s">
        <v>751</v>
      </c>
      <c r="D339" s="91">
        <v>41729</v>
      </c>
      <c r="E339" s="92"/>
      <c r="F339" s="93"/>
      <c r="G339" s="93"/>
      <c r="H339" s="93">
        <v>6872.7300000000005</v>
      </c>
      <c r="I339" s="93">
        <v>511.73</v>
      </c>
      <c r="J339" s="93"/>
      <c r="K339" s="93">
        <f t="shared" si="70"/>
        <v>0</v>
      </c>
      <c r="L339" s="93">
        <f t="shared" si="71"/>
        <v>0</v>
      </c>
      <c r="M339" s="94">
        <v>40</v>
      </c>
      <c r="N339" s="95" t="s">
        <v>289</v>
      </c>
      <c r="O339" s="93">
        <f t="shared" si="74"/>
        <v>0</v>
      </c>
      <c r="P339" s="93">
        <f t="shared" si="75"/>
        <v>0</v>
      </c>
      <c r="Q339" s="93">
        <f t="shared" si="76"/>
        <v>0</v>
      </c>
      <c r="R339" s="93">
        <f t="shared" si="77"/>
        <v>102</v>
      </c>
      <c r="S339" s="93">
        <f t="shared" si="78"/>
        <v>0</v>
      </c>
      <c r="T339" s="93">
        <f t="shared" si="79"/>
        <v>102</v>
      </c>
      <c r="U339" s="312">
        <f t="shared" si="72"/>
        <v>409.73</v>
      </c>
      <c r="V339" s="93">
        <f t="shared" si="73"/>
        <v>0</v>
      </c>
    </row>
    <row r="340" spans="1:22" ht="18" customHeight="1" x14ac:dyDescent="0.2">
      <c r="A340" s="110" t="s">
        <v>752</v>
      </c>
      <c r="B340" s="111"/>
      <c r="C340" s="201" t="s">
        <v>751</v>
      </c>
      <c r="D340" s="91">
        <v>41816</v>
      </c>
      <c r="E340" s="92"/>
      <c r="F340" s="93"/>
      <c r="G340" s="93"/>
      <c r="H340" s="93">
        <v>1668</v>
      </c>
      <c r="I340" s="93">
        <v>138</v>
      </c>
      <c r="J340" s="93"/>
      <c r="K340" s="93">
        <f t="shared" si="70"/>
        <v>0</v>
      </c>
      <c r="L340" s="93">
        <f t="shared" si="71"/>
        <v>0</v>
      </c>
      <c r="M340" s="94">
        <v>40</v>
      </c>
      <c r="N340" s="95" t="s">
        <v>289</v>
      </c>
      <c r="O340" s="93">
        <f t="shared" si="74"/>
        <v>0</v>
      </c>
      <c r="P340" s="93">
        <f t="shared" si="75"/>
        <v>0</v>
      </c>
      <c r="Q340" s="93">
        <f t="shared" si="76"/>
        <v>0</v>
      </c>
      <c r="R340" s="93">
        <f t="shared" si="77"/>
        <v>27</v>
      </c>
      <c r="S340" s="93">
        <f t="shared" si="78"/>
        <v>0</v>
      </c>
      <c r="T340" s="93">
        <f t="shared" si="79"/>
        <v>27</v>
      </c>
      <c r="U340" s="312">
        <f t="shared" si="72"/>
        <v>111</v>
      </c>
      <c r="V340" s="93">
        <f t="shared" si="73"/>
        <v>0</v>
      </c>
    </row>
    <row r="341" spans="1:22" ht="18" customHeight="1" x14ac:dyDescent="0.2">
      <c r="A341" s="110" t="s">
        <v>753</v>
      </c>
      <c r="B341" s="111"/>
      <c r="C341" s="201" t="s">
        <v>754</v>
      </c>
      <c r="D341" s="91">
        <v>41833</v>
      </c>
      <c r="E341" s="92"/>
      <c r="F341" s="93"/>
      <c r="G341" s="93"/>
      <c r="H341" s="93">
        <v>35072.43</v>
      </c>
      <c r="I341" s="93">
        <v>11721.43</v>
      </c>
      <c r="J341" s="93"/>
      <c r="K341" s="93">
        <f t="shared" si="70"/>
        <v>0</v>
      </c>
      <c r="L341" s="93">
        <f t="shared" si="71"/>
        <v>0</v>
      </c>
      <c r="M341" s="94">
        <v>20</v>
      </c>
      <c r="N341" s="95" t="s">
        <v>289</v>
      </c>
      <c r="O341" s="93">
        <f t="shared" si="74"/>
        <v>0</v>
      </c>
      <c r="P341" s="93">
        <f t="shared" si="75"/>
        <v>0</v>
      </c>
      <c r="Q341" s="93">
        <f t="shared" si="76"/>
        <v>0</v>
      </c>
      <c r="R341" s="93">
        <f t="shared" si="77"/>
        <v>1172</v>
      </c>
      <c r="S341" s="93">
        <f t="shared" si="78"/>
        <v>0</v>
      </c>
      <c r="T341" s="93">
        <f t="shared" si="79"/>
        <v>1172</v>
      </c>
      <c r="U341" s="312">
        <f t="shared" si="72"/>
        <v>10549.43</v>
      </c>
      <c r="V341" s="93">
        <f t="shared" si="73"/>
        <v>0</v>
      </c>
    </row>
    <row r="342" spans="1:22" ht="18" customHeight="1" x14ac:dyDescent="0.2">
      <c r="A342" s="110" t="s">
        <v>755</v>
      </c>
      <c r="B342" s="111"/>
      <c r="C342" s="201" t="s">
        <v>756</v>
      </c>
      <c r="D342" s="91">
        <v>41934</v>
      </c>
      <c r="E342" s="92"/>
      <c r="F342" s="93"/>
      <c r="G342" s="93"/>
      <c r="H342" s="93">
        <v>1636.3700000000001</v>
      </c>
      <c r="I342" s="93">
        <v>842.37</v>
      </c>
      <c r="J342" s="93"/>
      <c r="K342" s="93">
        <f t="shared" si="70"/>
        <v>0</v>
      </c>
      <c r="L342" s="93">
        <f t="shared" si="71"/>
        <v>0</v>
      </c>
      <c r="M342" s="94">
        <v>13.33</v>
      </c>
      <c r="N342" s="95" t="s">
        <v>289</v>
      </c>
      <c r="O342" s="93">
        <f t="shared" si="74"/>
        <v>0</v>
      </c>
      <c r="P342" s="93">
        <f t="shared" si="75"/>
        <v>0</v>
      </c>
      <c r="Q342" s="93">
        <f t="shared" si="76"/>
        <v>0</v>
      </c>
      <c r="R342" s="93">
        <f t="shared" si="77"/>
        <v>56</v>
      </c>
      <c r="S342" s="93">
        <f t="shared" si="78"/>
        <v>0</v>
      </c>
      <c r="T342" s="93">
        <f t="shared" si="79"/>
        <v>56</v>
      </c>
      <c r="U342" s="312">
        <f t="shared" si="72"/>
        <v>786.37</v>
      </c>
      <c r="V342" s="93">
        <f t="shared" si="73"/>
        <v>0</v>
      </c>
    </row>
    <row r="343" spans="1:22" ht="18" customHeight="1" x14ac:dyDescent="0.2">
      <c r="A343" s="110" t="s">
        <v>757</v>
      </c>
      <c r="B343" s="111"/>
      <c r="C343" s="201" t="s">
        <v>758</v>
      </c>
      <c r="D343" s="91">
        <v>41934</v>
      </c>
      <c r="E343" s="92"/>
      <c r="F343" s="93"/>
      <c r="G343" s="93"/>
      <c r="H343" s="93">
        <v>2045.45</v>
      </c>
      <c r="I343" s="93">
        <v>1387.45</v>
      </c>
      <c r="J343" s="93"/>
      <c r="K343" s="93">
        <f t="shared" si="70"/>
        <v>0</v>
      </c>
      <c r="L343" s="93">
        <f t="shared" si="71"/>
        <v>0</v>
      </c>
      <c r="M343" s="94">
        <v>8</v>
      </c>
      <c r="N343" s="95" t="s">
        <v>289</v>
      </c>
      <c r="O343" s="93">
        <f t="shared" si="74"/>
        <v>0</v>
      </c>
      <c r="P343" s="93">
        <f t="shared" si="75"/>
        <v>0</v>
      </c>
      <c r="Q343" s="93">
        <f t="shared" si="76"/>
        <v>0</v>
      </c>
      <c r="R343" s="93">
        <f t="shared" si="77"/>
        <v>55</v>
      </c>
      <c r="S343" s="93">
        <f t="shared" si="78"/>
        <v>0</v>
      </c>
      <c r="T343" s="93">
        <f t="shared" si="79"/>
        <v>55</v>
      </c>
      <c r="U343" s="312">
        <f t="shared" si="72"/>
        <v>1332.45</v>
      </c>
      <c r="V343" s="93">
        <f t="shared" si="73"/>
        <v>0</v>
      </c>
    </row>
    <row r="344" spans="1:22" ht="18" customHeight="1" x14ac:dyDescent="0.2">
      <c r="A344" s="110" t="s">
        <v>759</v>
      </c>
      <c r="B344" s="111"/>
      <c r="C344" s="201" t="s">
        <v>760</v>
      </c>
      <c r="D344" s="91">
        <v>41934</v>
      </c>
      <c r="E344" s="92"/>
      <c r="F344" s="93"/>
      <c r="G344" s="93"/>
      <c r="H344" s="93">
        <v>19585.23</v>
      </c>
      <c r="I344" s="93">
        <v>6995.2300000000005</v>
      </c>
      <c r="J344" s="93"/>
      <c r="K344" s="93">
        <f t="shared" si="70"/>
        <v>0</v>
      </c>
      <c r="L344" s="93">
        <f t="shared" si="71"/>
        <v>0</v>
      </c>
      <c r="M344" s="94">
        <v>20</v>
      </c>
      <c r="N344" s="95" t="s">
        <v>289</v>
      </c>
      <c r="O344" s="93">
        <f t="shared" si="74"/>
        <v>0</v>
      </c>
      <c r="P344" s="93">
        <f t="shared" si="75"/>
        <v>0</v>
      </c>
      <c r="Q344" s="93">
        <f t="shared" si="76"/>
        <v>0</v>
      </c>
      <c r="R344" s="93">
        <f t="shared" si="77"/>
        <v>699</v>
      </c>
      <c r="S344" s="93">
        <f t="shared" si="78"/>
        <v>0</v>
      </c>
      <c r="T344" s="93">
        <f t="shared" si="79"/>
        <v>699</v>
      </c>
      <c r="U344" s="312">
        <f t="shared" si="72"/>
        <v>6296.2300000000005</v>
      </c>
      <c r="V344" s="93">
        <f t="shared" si="73"/>
        <v>0</v>
      </c>
    </row>
    <row r="345" spans="1:22" ht="18" customHeight="1" x14ac:dyDescent="0.2">
      <c r="A345" s="110" t="s">
        <v>761</v>
      </c>
      <c r="B345" s="111"/>
      <c r="C345" s="201" t="s">
        <v>762</v>
      </c>
      <c r="D345" s="91">
        <v>42051</v>
      </c>
      <c r="E345" s="92"/>
      <c r="F345" s="93"/>
      <c r="G345" s="93"/>
      <c r="H345" s="93">
        <v>7375.91</v>
      </c>
      <c r="I345" s="93">
        <v>2830.91</v>
      </c>
      <c r="J345" s="93"/>
      <c r="K345" s="93">
        <f t="shared" si="70"/>
        <v>0</v>
      </c>
      <c r="L345" s="93">
        <f t="shared" si="71"/>
        <v>0</v>
      </c>
      <c r="M345" s="94">
        <v>20</v>
      </c>
      <c r="N345" s="95" t="s">
        <v>289</v>
      </c>
      <c r="O345" s="93">
        <f t="shared" si="74"/>
        <v>0</v>
      </c>
      <c r="P345" s="93">
        <f t="shared" si="75"/>
        <v>0</v>
      </c>
      <c r="Q345" s="93">
        <f t="shared" si="76"/>
        <v>0</v>
      </c>
      <c r="R345" s="93">
        <f t="shared" si="77"/>
        <v>283</v>
      </c>
      <c r="S345" s="93">
        <f t="shared" si="78"/>
        <v>0</v>
      </c>
      <c r="T345" s="93">
        <f t="shared" si="79"/>
        <v>283</v>
      </c>
      <c r="U345" s="312">
        <f t="shared" si="72"/>
        <v>2547.91</v>
      </c>
      <c r="V345" s="93">
        <f t="shared" si="73"/>
        <v>0</v>
      </c>
    </row>
    <row r="346" spans="1:22" ht="18" customHeight="1" x14ac:dyDescent="0.2">
      <c r="A346" s="110" t="s">
        <v>763</v>
      </c>
      <c r="B346" s="111"/>
      <c r="C346" s="201" t="s">
        <v>764</v>
      </c>
      <c r="D346" s="91">
        <v>42094</v>
      </c>
      <c r="E346" s="92"/>
      <c r="F346" s="93"/>
      <c r="G346" s="93"/>
      <c r="H346" s="93">
        <v>42967.8</v>
      </c>
      <c r="I346" s="93">
        <v>23535.8</v>
      </c>
      <c r="J346" s="93"/>
      <c r="K346" s="93">
        <f t="shared" si="70"/>
        <v>0</v>
      </c>
      <c r="L346" s="93">
        <f t="shared" si="71"/>
        <v>0</v>
      </c>
      <c r="M346" s="94">
        <v>13.33</v>
      </c>
      <c r="N346" s="95" t="s">
        <v>289</v>
      </c>
      <c r="O346" s="93">
        <f t="shared" si="74"/>
        <v>0</v>
      </c>
      <c r="P346" s="93">
        <f t="shared" si="75"/>
        <v>0</v>
      </c>
      <c r="Q346" s="93">
        <f t="shared" si="76"/>
        <v>0</v>
      </c>
      <c r="R346" s="93">
        <f t="shared" si="77"/>
        <v>1568</v>
      </c>
      <c r="S346" s="93">
        <f t="shared" si="78"/>
        <v>0</v>
      </c>
      <c r="T346" s="93">
        <f t="shared" si="79"/>
        <v>1568</v>
      </c>
      <c r="U346" s="312">
        <f t="shared" si="72"/>
        <v>21967.8</v>
      </c>
      <c r="V346" s="93">
        <f t="shared" si="73"/>
        <v>0</v>
      </c>
    </row>
    <row r="347" spans="1:22" ht="18" customHeight="1" x14ac:dyDescent="0.2">
      <c r="A347" s="110" t="s">
        <v>765</v>
      </c>
      <c r="B347" s="111"/>
      <c r="C347" s="201" t="s">
        <v>766</v>
      </c>
      <c r="D347" s="91">
        <v>42149</v>
      </c>
      <c r="E347" s="92"/>
      <c r="F347" s="93"/>
      <c r="G347" s="93"/>
      <c r="H347" s="93">
        <v>5984.55</v>
      </c>
      <c r="I347" s="93">
        <v>3346.55</v>
      </c>
      <c r="J347" s="93"/>
      <c r="K347" s="93">
        <f t="shared" si="70"/>
        <v>0</v>
      </c>
      <c r="L347" s="93">
        <f t="shared" si="71"/>
        <v>0</v>
      </c>
      <c r="M347" s="94">
        <v>13.33</v>
      </c>
      <c r="N347" s="95" t="s">
        <v>289</v>
      </c>
      <c r="O347" s="93">
        <f t="shared" si="74"/>
        <v>0</v>
      </c>
      <c r="P347" s="93">
        <f t="shared" si="75"/>
        <v>0</v>
      </c>
      <c r="Q347" s="93">
        <f t="shared" si="76"/>
        <v>0</v>
      </c>
      <c r="R347" s="93">
        <f t="shared" si="77"/>
        <v>223</v>
      </c>
      <c r="S347" s="93">
        <f t="shared" si="78"/>
        <v>0</v>
      </c>
      <c r="T347" s="93">
        <f t="shared" si="79"/>
        <v>223</v>
      </c>
      <c r="U347" s="312">
        <f t="shared" si="72"/>
        <v>3123.55</v>
      </c>
      <c r="V347" s="93">
        <f t="shared" si="73"/>
        <v>0</v>
      </c>
    </row>
    <row r="348" spans="1:22" ht="18" customHeight="1" x14ac:dyDescent="0.2">
      <c r="A348" s="110" t="s">
        <v>767</v>
      </c>
      <c r="B348" s="111"/>
      <c r="C348" s="201" t="s">
        <v>768</v>
      </c>
      <c r="D348" s="91">
        <v>41842</v>
      </c>
      <c r="E348" s="92"/>
      <c r="F348" s="93"/>
      <c r="G348" s="93"/>
      <c r="H348" s="93">
        <v>2500</v>
      </c>
      <c r="I348" s="93">
        <v>0</v>
      </c>
      <c r="J348" s="93"/>
      <c r="K348" s="93">
        <f t="shared" si="70"/>
        <v>0</v>
      </c>
      <c r="L348" s="93">
        <f t="shared" si="71"/>
        <v>0</v>
      </c>
      <c r="M348" s="94">
        <v>20</v>
      </c>
      <c r="N348" s="95" t="s">
        <v>289</v>
      </c>
      <c r="O348" s="93">
        <f t="shared" si="74"/>
        <v>0</v>
      </c>
      <c r="P348" s="93">
        <f t="shared" si="75"/>
        <v>0</v>
      </c>
      <c r="Q348" s="93">
        <f t="shared" si="76"/>
        <v>0</v>
      </c>
      <c r="R348" s="93">
        <f t="shared" si="77"/>
        <v>0</v>
      </c>
      <c r="S348" s="93">
        <f t="shared" si="78"/>
        <v>0</v>
      </c>
      <c r="T348" s="93">
        <f t="shared" si="79"/>
        <v>0</v>
      </c>
      <c r="U348" s="312">
        <f t="shared" si="72"/>
        <v>0</v>
      </c>
      <c r="V348" s="93">
        <f t="shared" si="73"/>
        <v>0</v>
      </c>
    </row>
    <row r="349" spans="1:22" ht="18" customHeight="1" x14ac:dyDescent="0.2">
      <c r="A349" s="110" t="s">
        <v>769</v>
      </c>
      <c r="B349" s="111"/>
      <c r="C349" s="201" t="s">
        <v>770</v>
      </c>
      <c r="D349" s="91">
        <v>41934</v>
      </c>
      <c r="E349" s="92"/>
      <c r="F349" s="93"/>
      <c r="G349" s="93"/>
      <c r="H349" s="93">
        <v>787.5</v>
      </c>
      <c r="I349" s="93">
        <v>0</v>
      </c>
      <c r="J349" s="93"/>
      <c r="K349" s="93">
        <f t="shared" si="70"/>
        <v>0</v>
      </c>
      <c r="L349" s="93">
        <f t="shared" si="71"/>
        <v>0</v>
      </c>
      <c r="M349" s="94">
        <v>20</v>
      </c>
      <c r="N349" s="95" t="s">
        <v>289</v>
      </c>
      <c r="O349" s="93">
        <f t="shared" si="74"/>
        <v>0</v>
      </c>
      <c r="P349" s="93">
        <f t="shared" si="75"/>
        <v>0</v>
      </c>
      <c r="Q349" s="93">
        <f t="shared" si="76"/>
        <v>0</v>
      </c>
      <c r="R349" s="93">
        <f t="shared" si="77"/>
        <v>0</v>
      </c>
      <c r="S349" s="93">
        <f t="shared" si="78"/>
        <v>0</v>
      </c>
      <c r="T349" s="93">
        <f t="shared" si="79"/>
        <v>0</v>
      </c>
      <c r="U349" s="312">
        <f t="shared" si="72"/>
        <v>0</v>
      </c>
      <c r="V349" s="93">
        <f t="shared" si="73"/>
        <v>0</v>
      </c>
    </row>
    <row r="350" spans="1:22" ht="18" customHeight="1" x14ac:dyDescent="0.2">
      <c r="A350" s="110" t="s">
        <v>773</v>
      </c>
      <c r="B350" s="111"/>
      <c r="C350" s="201" t="s">
        <v>774</v>
      </c>
      <c r="D350" s="91">
        <v>42036</v>
      </c>
      <c r="E350" s="92"/>
      <c r="F350" s="93"/>
      <c r="G350" s="93"/>
      <c r="H350" s="93">
        <v>670</v>
      </c>
      <c r="I350" s="93">
        <v>0</v>
      </c>
      <c r="J350" s="93"/>
      <c r="K350" s="93">
        <f t="shared" ref="K350:K414" si="80">INT(IF($E350&gt;0,IF(+F350-I350+Q350&lt;0,0,+F350-I350+Q350),0))</f>
        <v>0</v>
      </c>
      <c r="L350" s="93">
        <f t="shared" ref="L350:L414" si="81">INT(IF($E350&gt;0,IF(K350=0,-F350+I350-Q350,0),0))</f>
        <v>0</v>
      </c>
      <c r="M350" s="94">
        <v>20</v>
      </c>
      <c r="N350" s="95" t="s">
        <v>289</v>
      </c>
      <c r="O350" s="93">
        <f t="shared" si="74"/>
        <v>0</v>
      </c>
      <c r="P350" s="93">
        <f t="shared" si="75"/>
        <v>0</v>
      </c>
      <c r="Q350" s="93">
        <f t="shared" si="76"/>
        <v>0</v>
      </c>
      <c r="R350" s="93">
        <f t="shared" si="77"/>
        <v>0</v>
      </c>
      <c r="S350" s="93">
        <f t="shared" si="78"/>
        <v>0</v>
      </c>
      <c r="T350" s="93">
        <f t="shared" si="79"/>
        <v>0</v>
      </c>
      <c r="U350" s="312">
        <f t="shared" ref="U350:U414" si="82">+I350+J350-T350-F350+K350-L350</f>
        <v>0</v>
      </c>
      <c r="V350" s="93">
        <f t="shared" ref="V350:V414" si="83">IF(E350&gt;0,+H350+J350,0)</f>
        <v>0</v>
      </c>
    </row>
    <row r="351" spans="1:22" ht="18" customHeight="1" x14ac:dyDescent="0.2">
      <c r="A351" s="110" t="s">
        <v>775</v>
      </c>
      <c r="B351" s="111"/>
      <c r="C351" s="201" t="s">
        <v>749</v>
      </c>
      <c r="D351" s="91">
        <v>42046</v>
      </c>
      <c r="E351" s="92"/>
      <c r="F351" s="93"/>
      <c r="G351" s="93"/>
      <c r="H351" s="93">
        <v>515</v>
      </c>
      <c r="I351" s="93">
        <v>0</v>
      </c>
      <c r="J351" s="93"/>
      <c r="K351" s="93">
        <f t="shared" si="80"/>
        <v>0</v>
      </c>
      <c r="L351" s="93">
        <f t="shared" si="81"/>
        <v>0</v>
      </c>
      <c r="M351" s="94">
        <v>20</v>
      </c>
      <c r="N351" s="95" t="s">
        <v>289</v>
      </c>
      <c r="O351" s="93">
        <f t="shared" ref="O351:O415" si="84">IF(E351&gt;0,INT(IF($N351="D",IF($D351&lt;$H$3,$I351*($M351/100)*((E351-$H$3)/365),$J351*($M351/100)*($J$3-$D351)/365),0)),0)</f>
        <v>0</v>
      </c>
      <c r="P351" s="93">
        <f t="shared" ref="P351:P415" si="85">IF(E351&gt;0,INT(IF($N351="P",IF($D351&lt;$H$3,$H351*($M351/100)*(E351-$H$3)/365,$J351*($M351/100)*($J$3-$D351)/365),0)),0)</f>
        <v>0</v>
      </c>
      <c r="Q351" s="93">
        <f t="shared" ref="Q351:Q415" si="86">+O351+P351</f>
        <v>0</v>
      </c>
      <c r="R351" s="93">
        <f t="shared" ref="R351:R415" si="87">INT(IF($E351&gt;0,0,(IF($N351="D",IF($D351&lt;$H$3,$I351*($M351/100)*$U$3/12,$J351*($M351/100)*($J$3-$D351)/365),0))))</f>
        <v>0</v>
      </c>
      <c r="S351" s="93">
        <f t="shared" ref="S351:S415" si="88">INT(IF($E351&gt;0,0,(IF($N351="P",IF($D351&lt;$H$3,$H351*($M351/100)*$U$3/12,$J351*($M351/100)*($J$3-$D351)/365),0))))</f>
        <v>0</v>
      </c>
      <c r="T351" s="93">
        <f t="shared" si="79"/>
        <v>0</v>
      </c>
      <c r="U351" s="312">
        <f t="shared" si="82"/>
        <v>0</v>
      </c>
      <c r="V351" s="93">
        <f t="shared" si="83"/>
        <v>0</v>
      </c>
    </row>
    <row r="352" spans="1:22" ht="18" customHeight="1" x14ac:dyDescent="0.2">
      <c r="A352" s="110" t="s">
        <v>776</v>
      </c>
      <c r="B352" s="111"/>
      <c r="C352" s="201" t="s">
        <v>777</v>
      </c>
      <c r="D352" s="91">
        <v>41934</v>
      </c>
      <c r="E352" s="92"/>
      <c r="F352" s="93"/>
      <c r="G352" s="93"/>
      <c r="H352" s="93">
        <v>869.32</v>
      </c>
      <c r="I352" s="93">
        <v>0</v>
      </c>
      <c r="J352" s="93"/>
      <c r="K352" s="93">
        <f t="shared" si="80"/>
        <v>0</v>
      </c>
      <c r="L352" s="93">
        <f t="shared" si="81"/>
        <v>0</v>
      </c>
      <c r="M352" s="94">
        <v>20</v>
      </c>
      <c r="N352" s="95" t="s">
        <v>289</v>
      </c>
      <c r="O352" s="93">
        <f t="shared" si="84"/>
        <v>0</v>
      </c>
      <c r="P352" s="93">
        <f t="shared" si="85"/>
        <v>0</v>
      </c>
      <c r="Q352" s="93">
        <f t="shared" si="86"/>
        <v>0</v>
      </c>
      <c r="R352" s="93">
        <f t="shared" si="87"/>
        <v>0</v>
      </c>
      <c r="S352" s="93">
        <f t="shared" si="88"/>
        <v>0</v>
      </c>
      <c r="T352" s="93">
        <f t="shared" si="79"/>
        <v>0</v>
      </c>
      <c r="U352" s="312">
        <f t="shared" si="82"/>
        <v>0</v>
      </c>
      <c r="V352" s="93">
        <f t="shared" si="83"/>
        <v>0</v>
      </c>
    </row>
    <row r="353" spans="1:22" ht="18" customHeight="1" x14ac:dyDescent="0.2">
      <c r="A353" s="110" t="s">
        <v>778</v>
      </c>
      <c r="B353" s="111"/>
      <c r="C353" s="201" t="s">
        <v>779</v>
      </c>
      <c r="D353" s="91">
        <v>42095</v>
      </c>
      <c r="E353" s="92"/>
      <c r="F353" s="93"/>
      <c r="G353" s="93"/>
      <c r="H353" s="93">
        <v>953.64</v>
      </c>
      <c r="I353" s="93">
        <v>0</v>
      </c>
      <c r="J353" s="93"/>
      <c r="K353" s="93">
        <f t="shared" si="80"/>
        <v>0</v>
      </c>
      <c r="L353" s="93">
        <f t="shared" si="81"/>
        <v>0</v>
      </c>
      <c r="M353" s="94">
        <v>20</v>
      </c>
      <c r="N353" s="95" t="s">
        <v>289</v>
      </c>
      <c r="O353" s="93">
        <f t="shared" si="84"/>
        <v>0</v>
      </c>
      <c r="P353" s="93">
        <f t="shared" si="85"/>
        <v>0</v>
      </c>
      <c r="Q353" s="93">
        <f t="shared" si="86"/>
        <v>0</v>
      </c>
      <c r="R353" s="93">
        <f t="shared" si="87"/>
        <v>0</v>
      </c>
      <c r="S353" s="93">
        <f t="shared" si="88"/>
        <v>0</v>
      </c>
      <c r="T353" s="93">
        <f t="shared" si="79"/>
        <v>0</v>
      </c>
      <c r="U353" s="312">
        <f t="shared" si="82"/>
        <v>0</v>
      </c>
      <c r="V353" s="93">
        <f t="shared" si="83"/>
        <v>0</v>
      </c>
    </row>
    <row r="354" spans="1:22" ht="18" customHeight="1" x14ac:dyDescent="0.2">
      <c r="A354" s="110" t="s">
        <v>780</v>
      </c>
      <c r="B354" s="111"/>
      <c r="C354" s="201" t="s">
        <v>781</v>
      </c>
      <c r="D354" s="91">
        <v>42217</v>
      </c>
      <c r="E354" s="92"/>
      <c r="F354" s="93"/>
      <c r="G354" s="93"/>
      <c r="H354" s="93">
        <v>6500</v>
      </c>
      <c r="I354" s="93">
        <v>2749</v>
      </c>
      <c r="J354" s="93"/>
      <c r="K354" s="93">
        <f t="shared" si="80"/>
        <v>0</v>
      </c>
      <c r="L354" s="93">
        <f t="shared" si="81"/>
        <v>0</v>
      </c>
      <c r="M354" s="94">
        <v>20</v>
      </c>
      <c r="N354" s="95" t="s">
        <v>289</v>
      </c>
      <c r="O354" s="93">
        <f t="shared" si="84"/>
        <v>0</v>
      </c>
      <c r="P354" s="93">
        <f t="shared" si="85"/>
        <v>0</v>
      </c>
      <c r="Q354" s="93">
        <f t="shared" si="86"/>
        <v>0</v>
      </c>
      <c r="R354" s="93">
        <f t="shared" si="87"/>
        <v>274</v>
      </c>
      <c r="S354" s="93">
        <f t="shared" si="88"/>
        <v>0</v>
      </c>
      <c r="T354" s="93">
        <f t="shared" si="79"/>
        <v>274</v>
      </c>
      <c r="U354" s="312">
        <f t="shared" si="82"/>
        <v>2475</v>
      </c>
      <c r="V354" s="93">
        <f t="shared" si="83"/>
        <v>0</v>
      </c>
    </row>
    <row r="355" spans="1:22" ht="18" customHeight="1" x14ac:dyDescent="0.2">
      <c r="A355" s="110" t="s">
        <v>782</v>
      </c>
      <c r="B355" s="111"/>
      <c r="C355" s="201" t="s">
        <v>783</v>
      </c>
      <c r="D355" s="91">
        <v>42229</v>
      </c>
      <c r="E355" s="92"/>
      <c r="F355" s="93"/>
      <c r="G355" s="93"/>
      <c r="H355" s="93">
        <v>3477</v>
      </c>
      <c r="I355" s="93">
        <v>2316.5370000000003</v>
      </c>
      <c r="J355" s="93"/>
      <c r="K355" s="93">
        <f t="shared" si="80"/>
        <v>0</v>
      </c>
      <c r="L355" s="93">
        <f t="shared" si="81"/>
        <v>0</v>
      </c>
      <c r="M355" s="94">
        <v>10</v>
      </c>
      <c r="N355" s="95" t="s">
        <v>289</v>
      </c>
      <c r="O355" s="93">
        <f t="shared" si="84"/>
        <v>0</v>
      </c>
      <c r="P355" s="93">
        <f t="shared" si="85"/>
        <v>0</v>
      </c>
      <c r="Q355" s="93">
        <f t="shared" si="86"/>
        <v>0</v>
      </c>
      <c r="R355" s="93">
        <f t="shared" si="87"/>
        <v>115</v>
      </c>
      <c r="S355" s="93">
        <f t="shared" si="88"/>
        <v>0</v>
      </c>
      <c r="T355" s="93">
        <f t="shared" si="79"/>
        <v>115</v>
      </c>
      <c r="U355" s="312">
        <f t="shared" si="82"/>
        <v>2201.5370000000003</v>
      </c>
      <c r="V355" s="93">
        <f t="shared" si="83"/>
        <v>0</v>
      </c>
    </row>
    <row r="356" spans="1:22" ht="18" customHeight="1" x14ac:dyDescent="0.2">
      <c r="A356" s="110" t="s">
        <v>784</v>
      </c>
      <c r="B356" s="111"/>
      <c r="C356" s="201" t="s">
        <v>785</v>
      </c>
      <c r="D356" s="91">
        <v>42233</v>
      </c>
      <c r="E356" s="92"/>
      <c r="F356" s="93"/>
      <c r="G356" s="93"/>
      <c r="H356" s="93">
        <v>3240</v>
      </c>
      <c r="I356" s="93">
        <v>2162</v>
      </c>
      <c r="J356" s="93"/>
      <c r="K356" s="93">
        <f t="shared" si="80"/>
        <v>0</v>
      </c>
      <c r="L356" s="93">
        <f t="shared" si="81"/>
        <v>0</v>
      </c>
      <c r="M356" s="94">
        <v>10</v>
      </c>
      <c r="N356" s="95" t="s">
        <v>289</v>
      </c>
      <c r="O356" s="93">
        <f t="shared" si="84"/>
        <v>0</v>
      </c>
      <c r="P356" s="93">
        <f t="shared" si="85"/>
        <v>0</v>
      </c>
      <c r="Q356" s="93">
        <f t="shared" si="86"/>
        <v>0</v>
      </c>
      <c r="R356" s="93">
        <f t="shared" si="87"/>
        <v>108</v>
      </c>
      <c r="S356" s="93">
        <f t="shared" si="88"/>
        <v>0</v>
      </c>
      <c r="T356" s="93">
        <f t="shared" si="79"/>
        <v>108</v>
      </c>
      <c r="U356" s="312">
        <f t="shared" si="82"/>
        <v>2054</v>
      </c>
      <c r="V356" s="93">
        <f t="shared" si="83"/>
        <v>0</v>
      </c>
    </row>
    <row r="357" spans="1:22" ht="18" customHeight="1" x14ac:dyDescent="0.2">
      <c r="A357" s="110" t="s">
        <v>786</v>
      </c>
      <c r="B357" s="111"/>
      <c r="C357" s="201" t="s">
        <v>787</v>
      </c>
      <c r="D357" s="91">
        <v>42278</v>
      </c>
      <c r="E357" s="92"/>
      <c r="F357" s="93"/>
      <c r="G357" s="93"/>
      <c r="H357" s="93">
        <v>953.64</v>
      </c>
      <c r="I357" s="93">
        <v>281.64</v>
      </c>
      <c r="J357" s="93"/>
      <c r="K357" s="93">
        <f t="shared" si="80"/>
        <v>0</v>
      </c>
      <c r="L357" s="93">
        <f t="shared" si="81"/>
        <v>0</v>
      </c>
      <c r="M357" s="94">
        <v>28.5</v>
      </c>
      <c r="N357" s="95" t="s">
        <v>289</v>
      </c>
      <c r="O357" s="93">
        <f t="shared" si="84"/>
        <v>0</v>
      </c>
      <c r="P357" s="93">
        <f t="shared" si="85"/>
        <v>0</v>
      </c>
      <c r="Q357" s="93">
        <f t="shared" si="86"/>
        <v>0</v>
      </c>
      <c r="R357" s="93">
        <f t="shared" si="87"/>
        <v>40</v>
      </c>
      <c r="S357" s="93">
        <f t="shared" si="88"/>
        <v>0</v>
      </c>
      <c r="T357" s="93">
        <f t="shared" si="79"/>
        <v>40</v>
      </c>
      <c r="U357" s="312">
        <f t="shared" si="82"/>
        <v>241.64</v>
      </c>
      <c r="V357" s="93">
        <f t="shared" si="83"/>
        <v>0</v>
      </c>
    </row>
    <row r="358" spans="1:22" ht="18" customHeight="1" x14ac:dyDescent="0.2">
      <c r="A358" s="110" t="s">
        <v>788</v>
      </c>
      <c r="B358" s="111"/>
      <c r="C358" s="201" t="s">
        <v>2149</v>
      </c>
      <c r="D358" s="91">
        <v>42353</v>
      </c>
      <c r="E358" s="92"/>
      <c r="F358" s="93"/>
      <c r="G358" s="93"/>
      <c r="H358" s="93">
        <f>2395*7</f>
        <v>16765</v>
      </c>
      <c r="I358" s="93">
        <v>10180.666666666666</v>
      </c>
      <c r="J358" s="93"/>
      <c r="K358" s="93">
        <f t="shared" si="80"/>
        <v>0</v>
      </c>
      <c r="L358" s="93">
        <f t="shared" si="81"/>
        <v>0</v>
      </c>
      <c r="M358" s="94">
        <v>13.3</v>
      </c>
      <c r="N358" s="95" t="s">
        <v>289</v>
      </c>
      <c r="O358" s="93">
        <f t="shared" si="84"/>
        <v>0</v>
      </c>
      <c r="P358" s="93">
        <f t="shared" si="85"/>
        <v>0</v>
      </c>
      <c r="Q358" s="93">
        <f t="shared" si="86"/>
        <v>0</v>
      </c>
      <c r="R358" s="93">
        <f t="shared" si="87"/>
        <v>677</v>
      </c>
      <c r="S358" s="93">
        <f t="shared" si="88"/>
        <v>0</v>
      </c>
      <c r="T358" s="93">
        <f t="shared" si="79"/>
        <v>677</v>
      </c>
      <c r="U358" s="312">
        <f t="shared" si="82"/>
        <v>9503.6666666666661</v>
      </c>
      <c r="V358" s="93">
        <f t="shared" si="83"/>
        <v>0</v>
      </c>
    </row>
    <row r="359" spans="1:22" ht="18" customHeight="1" x14ac:dyDescent="0.2">
      <c r="A359" s="110" t="s">
        <v>2147</v>
      </c>
      <c r="B359" s="111"/>
      <c r="C359" s="201" t="s">
        <v>2148</v>
      </c>
      <c r="D359" s="91">
        <v>42353</v>
      </c>
      <c r="E359" s="92">
        <v>43817</v>
      </c>
      <c r="F359" s="93">
        <v>4000</v>
      </c>
      <c r="G359" s="93"/>
      <c r="H359" s="93">
        <f>2395*2</f>
        <v>4790</v>
      </c>
      <c r="I359" s="93">
        <v>2909.3333333333335</v>
      </c>
      <c r="J359" s="93"/>
      <c r="K359" s="93">
        <f t="shared" ref="K359" si="89">INT(IF($E359&gt;0,IF(+F359-I359+Q359&lt;0,0,+F359-I359+Q359),0))</f>
        <v>1270</v>
      </c>
      <c r="L359" s="93">
        <f t="shared" ref="L359" si="90">INT(IF($E359&gt;0,IF(K359=0,-F359+I359-Q359,0),0))</f>
        <v>0</v>
      </c>
      <c r="M359" s="94">
        <v>13.3</v>
      </c>
      <c r="N359" s="95" t="s">
        <v>289</v>
      </c>
      <c r="O359" s="93">
        <f t="shared" ref="O359" si="91">IF(E359&gt;0,INT(IF($N359="D",IF($D359&lt;$H$3,$I359*($M359/100)*((E359-$H$3)/365),$J359*($M359/100)*($J$3-$D359)/365),0)),0)</f>
        <v>180</v>
      </c>
      <c r="P359" s="93">
        <f t="shared" ref="P359" si="92">IF(E359&gt;0,INT(IF($N359="P",IF($D359&lt;$H$3,$H359*($M359/100)*(E359-$H$3)/365,$J359*($M359/100)*($J$3-$D359)/365),0)),0)</f>
        <v>0</v>
      </c>
      <c r="Q359" s="93">
        <f t="shared" ref="Q359" si="93">+O359+P359</f>
        <v>180</v>
      </c>
      <c r="R359" s="93">
        <f t="shared" si="87"/>
        <v>0</v>
      </c>
      <c r="S359" s="93">
        <f t="shared" si="88"/>
        <v>0</v>
      </c>
      <c r="T359" s="93">
        <f>+R359+S359+Q359-1</f>
        <v>179</v>
      </c>
      <c r="U359" s="312">
        <f t="shared" ref="U359" si="94">+I359+J359-T359-F359+K359-L359</f>
        <v>0.33333333333348492</v>
      </c>
      <c r="V359" s="93">
        <f t="shared" ref="V359" si="95">IF(E359&gt;0,+H359+J359,0)</f>
        <v>4790</v>
      </c>
    </row>
    <row r="360" spans="1:22" ht="18" customHeight="1" x14ac:dyDescent="0.2">
      <c r="A360" s="110" t="s">
        <v>790</v>
      </c>
      <c r="B360" s="111"/>
      <c r="C360" s="201" t="s">
        <v>791</v>
      </c>
      <c r="D360" s="91">
        <v>42377</v>
      </c>
      <c r="E360" s="92"/>
      <c r="F360" s="93"/>
      <c r="G360" s="93"/>
      <c r="H360" s="93">
        <v>12760</v>
      </c>
      <c r="I360" s="93">
        <v>8879</v>
      </c>
      <c r="J360" s="93"/>
      <c r="K360" s="93">
        <f t="shared" si="80"/>
        <v>0</v>
      </c>
      <c r="L360" s="93">
        <f t="shared" si="81"/>
        <v>0</v>
      </c>
      <c r="M360" s="94">
        <v>10</v>
      </c>
      <c r="N360" s="95" t="s">
        <v>289</v>
      </c>
      <c r="O360" s="93">
        <f t="shared" si="84"/>
        <v>0</v>
      </c>
      <c r="P360" s="93">
        <f t="shared" si="85"/>
        <v>0</v>
      </c>
      <c r="Q360" s="93">
        <f t="shared" si="86"/>
        <v>0</v>
      </c>
      <c r="R360" s="93">
        <f t="shared" si="87"/>
        <v>443</v>
      </c>
      <c r="S360" s="93">
        <f t="shared" si="88"/>
        <v>0</v>
      </c>
      <c r="T360" s="93">
        <f t="shared" si="79"/>
        <v>443</v>
      </c>
      <c r="U360" s="312">
        <f t="shared" si="82"/>
        <v>8436</v>
      </c>
      <c r="V360" s="93">
        <f t="shared" si="83"/>
        <v>0</v>
      </c>
    </row>
    <row r="361" spans="1:22" ht="18" customHeight="1" x14ac:dyDescent="0.2">
      <c r="A361" s="110" t="s">
        <v>792</v>
      </c>
      <c r="B361" s="111"/>
      <c r="C361" s="201" t="s">
        <v>793</v>
      </c>
      <c r="D361" s="91">
        <v>42388</v>
      </c>
      <c r="E361" s="92"/>
      <c r="F361" s="93"/>
      <c r="G361" s="93"/>
      <c r="H361" s="93">
        <v>6380</v>
      </c>
      <c r="I361" s="93">
        <v>4454</v>
      </c>
      <c r="J361" s="93"/>
      <c r="K361" s="93">
        <f t="shared" si="80"/>
        <v>0</v>
      </c>
      <c r="L361" s="93">
        <f t="shared" si="81"/>
        <v>0</v>
      </c>
      <c r="M361" s="94">
        <v>10</v>
      </c>
      <c r="N361" s="95" t="s">
        <v>289</v>
      </c>
      <c r="O361" s="93">
        <f t="shared" si="84"/>
        <v>0</v>
      </c>
      <c r="P361" s="93">
        <f t="shared" si="85"/>
        <v>0</v>
      </c>
      <c r="Q361" s="93">
        <f t="shared" si="86"/>
        <v>0</v>
      </c>
      <c r="R361" s="93">
        <f t="shared" si="87"/>
        <v>222</v>
      </c>
      <c r="S361" s="93">
        <f t="shared" si="88"/>
        <v>0</v>
      </c>
      <c r="T361" s="93">
        <f t="shared" si="79"/>
        <v>222</v>
      </c>
      <c r="U361" s="312">
        <f t="shared" si="82"/>
        <v>4232</v>
      </c>
      <c r="V361" s="93">
        <f t="shared" si="83"/>
        <v>0</v>
      </c>
    </row>
    <row r="362" spans="1:22" ht="18" customHeight="1" x14ac:dyDescent="0.2">
      <c r="A362" s="110" t="s">
        <v>794</v>
      </c>
      <c r="B362" s="111"/>
      <c r="C362" s="201" t="s">
        <v>795</v>
      </c>
      <c r="D362" s="91">
        <v>42389</v>
      </c>
      <c r="E362" s="92"/>
      <c r="F362" s="93"/>
      <c r="G362" s="93"/>
      <c r="H362" s="93">
        <v>10394.790000000001</v>
      </c>
      <c r="I362" s="93">
        <v>4903.79</v>
      </c>
      <c r="J362" s="93"/>
      <c r="K362" s="93">
        <f t="shared" si="80"/>
        <v>0</v>
      </c>
      <c r="L362" s="93">
        <f t="shared" si="81"/>
        <v>0</v>
      </c>
      <c r="M362" s="94">
        <v>20</v>
      </c>
      <c r="N362" s="95" t="s">
        <v>289</v>
      </c>
      <c r="O362" s="93">
        <f t="shared" si="84"/>
        <v>0</v>
      </c>
      <c r="P362" s="93">
        <f t="shared" si="85"/>
        <v>0</v>
      </c>
      <c r="Q362" s="93">
        <f t="shared" si="86"/>
        <v>0</v>
      </c>
      <c r="R362" s="93">
        <f t="shared" si="87"/>
        <v>490</v>
      </c>
      <c r="S362" s="93">
        <f t="shared" si="88"/>
        <v>0</v>
      </c>
      <c r="T362" s="93">
        <f t="shared" si="79"/>
        <v>490</v>
      </c>
      <c r="U362" s="312">
        <f t="shared" si="82"/>
        <v>4413.79</v>
      </c>
      <c r="V362" s="93">
        <f t="shared" si="83"/>
        <v>0</v>
      </c>
    </row>
    <row r="363" spans="1:22" ht="18" customHeight="1" x14ac:dyDescent="0.2">
      <c r="A363" s="110" t="s">
        <v>796</v>
      </c>
      <c r="B363" s="111"/>
      <c r="C363" s="90" t="s">
        <v>797</v>
      </c>
      <c r="D363" s="91">
        <v>42404</v>
      </c>
      <c r="E363" s="92"/>
      <c r="F363" s="93"/>
      <c r="G363" s="93"/>
      <c r="H363" s="93">
        <v>1645</v>
      </c>
      <c r="I363" s="93">
        <v>317</v>
      </c>
      <c r="J363" s="93"/>
      <c r="K363" s="93">
        <f t="shared" si="80"/>
        <v>0</v>
      </c>
      <c r="L363" s="93">
        <f t="shared" si="81"/>
        <v>0</v>
      </c>
      <c r="M363" s="94">
        <v>40</v>
      </c>
      <c r="N363" s="95" t="s">
        <v>289</v>
      </c>
      <c r="O363" s="93">
        <f t="shared" si="84"/>
        <v>0</v>
      </c>
      <c r="P363" s="93">
        <f t="shared" si="85"/>
        <v>0</v>
      </c>
      <c r="Q363" s="93">
        <f t="shared" si="86"/>
        <v>0</v>
      </c>
      <c r="R363" s="93">
        <f t="shared" si="87"/>
        <v>63</v>
      </c>
      <c r="S363" s="93">
        <f t="shared" si="88"/>
        <v>0</v>
      </c>
      <c r="T363" s="93">
        <f t="shared" si="79"/>
        <v>63</v>
      </c>
      <c r="U363" s="312">
        <f t="shared" si="82"/>
        <v>254</v>
      </c>
      <c r="V363" s="93">
        <f t="shared" si="83"/>
        <v>0</v>
      </c>
    </row>
    <row r="364" spans="1:22" ht="18" customHeight="1" x14ac:dyDescent="0.2">
      <c r="A364" s="110" t="s">
        <v>798</v>
      </c>
      <c r="B364" s="111"/>
      <c r="C364" s="201" t="s">
        <v>799</v>
      </c>
      <c r="D364" s="91">
        <v>42422</v>
      </c>
      <c r="E364" s="92"/>
      <c r="F364" s="93"/>
      <c r="G364" s="93"/>
      <c r="H364" s="93">
        <v>8528</v>
      </c>
      <c r="I364" s="93">
        <v>5314</v>
      </c>
      <c r="J364" s="93"/>
      <c r="K364" s="93">
        <f t="shared" si="80"/>
        <v>0</v>
      </c>
      <c r="L364" s="93">
        <f t="shared" si="81"/>
        <v>0</v>
      </c>
      <c r="M364" s="94">
        <v>13.33</v>
      </c>
      <c r="N364" s="95" t="s">
        <v>289</v>
      </c>
      <c r="O364" s="93">
        <f t="shared" si="84"/>
        <v>0</v>
      </c>
      <c r="P364" s="93">
        <f t="shared" si="85"/>
        <v>0</v>
      </c>
      <c r="Q364" s="93">
        <f t="shared" si="86"/>
        <v>0</v>
      </c>
      <c r="R364" s="93">
        <f t="shared" si="87"/>
        <v>354</v>
      </c>
      <c r="S364" s="93">
        <f t="shared" si="88"/>
        <v>0</v>
      </c>
      <c r="T364" s="93">
        <f t="shared" si="79"/>
        <v>354</v>
      </c>
      <c r="U364" s="312">
        <f t="shared" si="82"/>
        <v>4960</v>
      </c>
      <c r="V364" s="93">
        <f t="shared" si="83"/>
        <v>0</v>
      </c>
    </row>
    <row r="365" spans="1:22" ht="18" customHeight="1" x14ac:dyDescent="0.2">
      <c r="A365" s="110" t="s">
        <v>800</v>
      </c>
      <c r="B365" s="111"/>
      <c r="C365" s="201" t="s">
        <v>801</v>
      </c>
      <c r="D365" s="91">
        <v>42424</v>
      </c>
      <c r="E365" s="92"/>
      <c r="F365" s="93"/>
      <c r="G365" s="93"/>
      <c r="H365" s="93">
        <v>11000</v>
      </c>
      <c r="I365" s="93">
        <v>6859</v>
      </c>
      <c r="J365" s="93"/>
      <c r="K365" s="93">
        <f t="shared" si="80"/>
        <v>0</v>
      </c>
      <c r="L365" s="93">
        <f t="shared" si="81"/>
        <v>0</v>
      </c>
      <c r="M365" s="94">
        <v>13.33</v>
      </c>
      <c r="N365" s="95" t="s">
        <v>289</v>
      </c>
      <c r="O365" s="93">
        <f t="shared" si="84"/>
        <v>0</v>
      </c>
      <c r="P365" s="93">
        <f t="shared" si="85"/>
        <v>0</v>
      </c>
      <c r="Q365" s="93">
        <f t="shared" si="86"/>
        <v>0</v>
      </c>
      <c r="R365" s="93">
        <f t="shared" si="87"/>
        <v>457</v>
      </c>
      <c r="S365" s="93">
        <f t="shared" si="88"/>
        <v>0</v>
      </c>
      <c r="T365" s="93">
        <f t="shared" si="79"/>
        <v>457</v>
      </c>
      <c r="U365" s="312">
        <f t="shared" si="82"/>
        <v>6402</v>
      </c>
      <c r="V365" s="93">
        <f t="shared" si="83"/>
        <v>0</v>
      </c>
    </row>
    <row r="366" spans="1:22" ht="18" customHeight="1" x14ac:dyDescent="0.2">
      <c r="A366" s="110" t="s">
        <v>802</v>
      </c>
      <c r="B366" s="111"/>
      <c r="C366" s="90" t="s">
        <v>803</v>
      </c>
      <c r="D366" s="91">
        <v>42461</v>
      </c>
      <c r="E366" s="92"/>
      <c r="F366" s="93"/>
      <c r="G366" s="93"/>
      <c r="H366" s="93">
        <v>4822.4000000000005</v>
      </c>
      <c r="I366" s="93">
        <v>3049.4</v>
      </c>
      <c r="J366" s="93"/>
      <c r="K366" s="93">
        <f t="shared" si="80"/>
        <v>0</v>
      </c>
      <c r="L366" s="93">
        <f t="shared" si="81"/>
        <v>0</v>
      </c>
      <c r="M366" s="94">
        <v>13.33</v>
      </c>
      <c r="N366" s="95" t="s">
        <v>289</v>
      </c>
      <c r="O366" s="93">
        <f t="shared" si="84"/>
        <v>0</v>
      </c>
      <c r="P366" s="93">
        <f t="shared" si="85"/>
        <v>0</v>
      </c>
      <c r="Q366" s="93">
        <f t="shared" si="86"/>
        <v>0</v>
      </c>
      <c r="R366" s="93">
        <f t="shared" si="87"/>
        <v>203</v>
      </c>
      <c r="S366" s="93">
        <f t="shared" si="88"/>
        <v>0</v>
      </c>
      <c r="T366" s="93">
        <f t="shared" si="79"/>
        <v>203</v>
      </c>
      <c r="U366" s="312">
        <f t="shared" si="82"/>
        <v>2846.4</v>
      </c>
      <c r="V366" s="93">
        <f t="shared" si="83"/>
        <v>0</v>
      </c>
    </row>
    <row r="367" spans="1:22" ht="18" customHeight="1" x14ac:dyDescent="0.2">
      <c r="A367" s="110" t="s">
        <v>804</v>
      </c>
      <c r="B367" s="111"/>
      <c r="C367" s="201" t="s">
        <v>805</v>
      </c>
      <c r="D367" s="91">
        <v>42461</v>
      </c>
      <c r="E367" s="92"/>
      <c r="F367" s="93"/>
      <c r="G367" s="93"/>
      <c r="H367" s="93">
        <v>7445</v>
      </c>
      <c r="I367" s="93">
        <v>4709</v>
      </c>
      <c r="J367" s="93"/>
      <c r="K367" s="93">
        <f t="shared" si="80"/>
        <v>0</v>
      </c>
      <c r="L367" s="93">
        <f t="shared" si="81"/>
        <v>0</v>
      </c>
      <c r="M367" s="94">
        <v>13.33</v>
      </c>
      <c r="N367" s="95" t="s">
        <v>289</v>
      </c>
      <c r="O367" s="93">
        <f t="shared" si="84"/>
        <v>0</v>
      </c>
      <c r="P367" s="93">
        <f t="shared" si="85"/>
        <v>0</v>
      </c>
      <c r="Q367" s="93">
        <f t="shared" si="86"/>
        <v>0</v>
      </c>
      <c r="R367" s="93">
        <f t="shared" si="87"/>
        <v>313</v>
      </c>
      <c r="S367" s="93">
        <f t="shared" si="88"/>
        <v>0</v>
      </c>
      <c r="T367" s="93">
        <f t="shared" si="79"/>
        <v>313</v>
      </c>
      <c r="U367" s="312">
        <f t="shared" si="82"/>
        <v>4396</v>
      </c>
      <c r="V367" s="93">
        <f t="shared" si="83"/>
        <v>0</v>
      </c>
    </row>
    <row r="368" spans="1:22" ht="18" customHeight="1" x14ac:dyDescent="0.2">
      <c r="A368" s="110" t="s">
        <v>806</v>
      </c>
      <c r="B368" s="111"/>
      <c r="C368" s="90" t="s">
        <v>807</v>
      </c>
      <c r="D368" s="91">
        <v>42492</v>
      </c>
      <c r="E368" s="92"/>
      <c r="F368" s="93"/>
      <c r="G368" s="93"/>
      <c r="H368" s="93">
        <v>57910</v>
      </c>
      <c r="I368" s="93">
        <v>37047</v>
      </c>
      <c r="J368" s="93"/>
      <c r="K368" s="93">
        <f t="shared" si="80"/>
        <v>0</v>
      </c>
      <c r="L368" s="93">
        <f t="shared" si="81"/>
        <v>0</v>
      </c>
      <c r="M368" s="94">
        <v>13.33</v>
      </c>
      <c r="N368" s="95" t="s">
        <v>289</v>
      </c>
      <c r="O368" s="93">
        <f t="shared" si="84"/>
        <v>0</v>
      </c>
      <c r="P368" s="93">
        <f t="shared" si="85"/>
        <v>0</v>
      </c>
      <c r="Q368" s="93">
        <f t="shared" si="86"/>
        <v>0</v>
      </c>
      <c r="R368" s="93">
        <f t="shared" si="87"/>
        <v>2469</v>
      </c>
      <c r="S368" s="93">
        <f t="shared" si="88"/>
        <v>0</v>
      </c>
      <c r="T368" s="93">
        <f t="shared" si="79"/>
        <v>2469</v>
      </c>
      <c r="U368" s="312">
        <f t="shared" si="82"/>
        <v>34578</v>
      </c>
      <c r="V368" s="93">
        <f t="shared" si="83"/>
        <v>0</v>
      </c>
    </row>
    <row r="369" spans="1:22" ht="18" customHeight="1" x14ac:dyDescent="0.2">
      <c r="A369" s="110" t="s">
        <v>808</v>
      </c>
      <c r="B369" s="111"/>
      <c r="C369" s="201" t="s">
        <v>809</v>
      </c>
      <c r="D369" s="91">
        <v>42517</v>
      </c>
      <c r="E369" s="92"/>
      <c r="F369" s="93"/>
      <c r="G369" s="93"/>
      <c r="H369" s="93">
        <v>1500</v>
      </c>
      <c r="I369" s="93">
        <v>1086</v>
      </c>
      <c r="J369" s="93"/>
      <c r="K369" s="93">
        <f t="shared" si="80"/>
        <v>0</v>
      </c>
      <c r="L369" s="93">
        <f t="shared" si="81"/>
        <v>0</v>
      </c>
      <c r="M369" s="94">
        <v>10</v>
      </c>
      <c r="N369" s="95" t="s">
        <v>289</v>
      </c>
      <c r="O369" s="93">
        <f t="shared" si="84"/>
        <v>0</v>
      </c>
      <c r="P369" s="93">
        <f t="shared" si="85"/>
        <v>0</v>
      </c>
      <c r="Q369" s="93">
        <f t="shared" si="86"/>
        <v>0</v>
      </c>
      <c r="R369" s="93">
        <f t="shared" si="87"/>
        <v>54</v>
      </c>
      <c r="S369" s="93">
        <f t="shared" si="88"/>
        <v>0</v>
      </c>
      <c r="T369" s="93">
        <f t="shared" si="79"/>
        <v>54</v>
      </c>
      <c r="U369" s="312">
        <f t="shared" si="82"/>
        <v>1032</v>
      </c>
      <c r="V369" s="93">
        <f t="shared" si="83"/>
        <v>0</v>
      </c>
    </row>
    <row r="370" spans="1:22" ht="18" customHeight="1" x14ac:dyDescent="0.2">
      <c r="A370" s="110" t="s">
        <v>810</v>
      </c>
      <c r="B370" s="111"/>
      <c r="C370" s="201" t="s">
        <v>811</v>
      </c>
      <c r="D370" s="91">
        <v>42520</v>
      </c>
      <c r="E370" s="92"/>
      <c r="F370" s="93"/>
      <c r="G370" s="93"/>
      <c r="H370" s="93">
        <v>3000</v>
      </c>
      <c r="I370" s="93">
        <v>2174</v>
      </c>
      <c r="J370" s="93"/>
      <c r="K370" s="93">
        <f t="shared" si="80"/>
        <v>0</v>
      </c>
      <c r="L370" s="93">
        <f t="shared" si="81"/>
        <v>0</v>
      </c>
      <c r="M370" s="94">
        <v>10</v>
      </c>
      <c r="N370" s="95" t="s">
        <v>289</v>
      </c>
      <c r="O370" s="93">
        <f t="shared" si="84"/>
        <v>0</v>
      </c>
      <c r="P370" s="93">
        <f t="shared" si="85"/>
        <v>0</v>
      </c>
      <c r="Q370" s="93">
        <f t="shared" si="86"/>
        <v>0</v>
      </c>
      <c r="R370" s="93">
        <f t="shared" si="87"/>
        <v>108</v>
      </c>
      <c r="S370" s="93">
        <f t="shared" si="88"/>
        <v>0</v>
      </c>
      <c r="T370" s="93">
        <f t="shared" si="79"/>
        <v>108</v>
      </c>
      <c r="U370" s="312">
        <f t="shared" si="82"/>
        <v>2066</v>
      </c>
      <c r="V370" s="93">
        <f t="shared" si="83"/>
        <v>0</v>
      </c>
    </row>
    <row r="371" spans="1:22" ht="18" customHeight="1" x14ac:dyDescent="0.2">
      <c r="A371" s="110" t="s">
        <v>812</v>
      </c>
      <c r="B371" s="111"/>
      <c r="C371" s="201" t="s">
        <v>813</v>
      </c>
      <c r="D371" s="91">
        <v>42552</v>
      </c>
      <c r="E371" s="92"/>
      <c r="F371" s="93"/>
      <c r="G371" s="93"/>
      <c r="H371" s="93">
        <v>2289.5500000000002</v>
      </c>
      <c r="I371" s="93">
        <v>1673.55</v>
      </c>
      <c r="J371" s="93"/>
      <c r="K371" s="93">
        <f t="shared" si="80"/>
        <v>0</v>
      </c>
      <c r="L371" s="93">
        <f t="shared" si="81"/>
        <v>0</v>
      </c>
      <c r="M371" s="94">
        <v>10</v>
      </c>
      <c r="N371" s="95" t="s">
        <v>289</v>
      </c>
      <c r="O371" s="93">
        <f t="shared" si="84"/>
        <v>0</v>
      </c>
      <c r="P371" s="93">
        <f t="shared" si="85"/>
        <v>0</v>
      </c>
      <c r="Q371" s="93">
        <f t="shared" si="86"/>
        <v>0</v>
      </c>
      <c r="R371" s="93">
        <f t="shared" si="87"/>
        <v>83</v>
      </c>
      <c r="S371" s="93">
        <f t="shared" si="88"/>
        <v>0</v>
      </c>
      <c r="T371" s="93">
        <f t="shared" si="79"/>
        <v>83</v>
      </c>
      <c r="U371" s="312">
        <f t="shared" si="82"/>
        <v>1590.55</v>
      </c>
      <c r="V371" s="93">
        <f t="shared" si="83"/>
        <v>0</v>
      </c>
    </row>
    <row r="372" spans="1:22" ht="18" customHeight="1" x14ac:dyDescent="0.2">
      <c r="A372" s="110" t="s">
        <v>814</v>
      </c>
      <c r="B372" s="111"/>
      <c r="C372" s="201" t="s">
        <v>815</v>
      </c>
      <c r="D372" s="91">
        <v>42716</v>
      </c>
      <c r="E372" s="92"/>
      <c r="F372" s="93"/>
      <c r="G372" s="93"/>
      <c r="H372" s="93">
        <v>14640</v>
      </c>
      <c r="I372" s="93">
        <v>11234</v>
      </c>
      <c r="J372" s="93"/>
      <c r="K372" s="93">
        <f t="shared" si="80"/>
        <v>0</v>
      </c>
      <c r="L372" s="93">
        <f t="shared" si="81"/>
        <v>0</v>
      </c>
      <c r="M372" s="94">
        <v>10</v>
      </c>
      <c r="N372" s="95" t="s">
        <v>289</v>
      </c>
      <c r="O372" s="93">
        <f t="shared" si="84"/>
        <v>0</v>
      </c>
      <c r="P372" s="93">
        <f t="shared" si="85"/>
        <v>0</v>
      </c>
      <c r="Q372" s="93">
        <f t="shared" si="86"/>
        <v>0</v>
      </c>
      <c r="R372" s="93">
        <f t="shared" si="87"/>
        <v>561</v>
      </c>
      <c r="S372" s="93">
        <f t="shared" si="88"/>
        <v>0</v>
      </c>
      <c r="T372" s="93">
        <f t="shared" ref="T372:T435" si="96">+R372+S372+Q372</f>
        <v>561</v>
      </c>
      <c r="U372" s="312">
        <f t="shared" si="82"/>
        <v>10673</v>
      </c>
      <c r="V372" s="93">
        <f t="shared" si="83"/>
        <v>0</v>
      </c>
    </row>
    <row r="373" spans="1:22" ht="18" customHeight="1" x14ac:dyDescent="0.2">
      <c r="A373" s="110" t="s">
        <v>816</v>
      </c>
      <c r="B373" s="111"/>
      <c r="C373" s="201" t="s">
        <v>815</v>
      </c>
      <c r="D373" s="91">
        <v>42716</v>
      </c>
      <c r="E373" s="92"/>
      <c r="F373" s="93"/>
      <c r="G373" s="93"/>
      <c r="H373" s="93">
        <v>14640</v>
      </c>
      <c r="I373" s="93">
        <v>11234</v>
      </c>
      <c r="J373" s="93"/>
      <c r="K373" s="93">
        <f t="shared" si="80"/>
        <v>0</v>
      </c>
      <c r="L373" s="93">
        <f t="shared" si="81"/>
        <v>0</v>
      </c>
      <c r="M373" s="94">
        <v>10</v>
      </c>
      <c r="N373" s="95" t="s">
        <v>289</v>
      </c>
      <c r="O373" s="93">
        <f t="shared" si="84"/>
        <v>0</v>
      </c>
      <c r="P373" s="93">
        <f t="shared" si="85"/>
        <v>0</v>
      </c>
      <c r="Q373" s="93">
        <f t="shared" si="86"/>
        <v>0</v>
      </c>
      <c r="R373" s="93">
        <f t="shared" si="87"/>
        <v>561</v>
      </c>
      <c r="S373" s="93">
        <f t="shared" si="88"/>
        <v>0</v>
      </c>
      <c r="T373" s="93">
        <f t="shared" si="96"/>
        <v>561</v>
      </c>
      <c r="U373" s="312">
        <f t="shared" si="82"/>
        <v>10673</v>
      </c>
      <c r="V373" s="93">
        <f t="shared" si="83"/>
        <v>0</v>
      </c>
    </row>
    <row r="374" spans="1:22" ht="18" customHeight="1" x14ac:dyDescent="0.2">
      <c r="A374" s="110" t="s">
        <v>817</v>
      </c>
      <c r="B374" s="111"/>
      <c r="C374" s="201" t="s">
        <v>818</v>
      </c>
      <c r="D374" s="91">
        <v>42775</v>
      </c>
      <c r="E374" s="92"/>
      <c r="F374" s="93"/>
      <c r="G374" s="93"/>
      <c r="H374" s="93">
        <v>23446.77</v>
      </c>
      <c r="I374" s="93">
        <v>13999.77</v>
      </c>
      <c r="J374" s="93"/>
      <c r="K374" s="93">
        <f t="shared" si="80"/>
        <v>0</v>
      </c>
      <c r="L374" s="93">
        <f t="shared" si="81"/>
        <v>0</v>
      </c>
      <c r="M374" s="94">
        <v>20</v>
      </c>
      <c r="N374" s="95" t="s">
        <v>289</v>
      </c>
      <c r="O374" s="93">
        <f t="shared" si="84"/>
        <v>0</v>
      </c>
      <c r="P374" s="93">
        <f t="shared" si="85"/>
        <v>0</v>
      </c>
      <c r="Q374" s="93">
        <f t="shared" si="86"/>
        <v>0</v>
      </c>
      <c r="R374" s="93">
        <f t="shared" si="87"/>
        <v>1399</v>
      </c>
      <c r="S374" s="93">
        <f t="shared" si="88"/>
        <v>0</v>
      </c>
      <c r="T374" s="93">
        <f t="shared" si="96"/>
        <v>1399</v>
      </c>
      <c r="U374" s="312">
        <f t="shared" si="82"/>
        <v>12600.77</v>
      </c>
      <c r="V374" s="93">
        <f t="shared" si="83"/>
        <v>0</v>
      </c>
    </row>
    <row r="375" spans="1:22" ht="18" customHeight="1" x14ac:dyDescent="0.2">
      <c r="A375" s="110" t="s">
        <v>819</v>
      </c>
      <c r="B375" s="111"/>
      <c r="C375" s="201" t="s">
        <v>820</v>
      </c>
      <c r="D375" s="91">
        <v>42781</v>
      </c>
      <c r="E375" s="92"/>
      <c r="F375" s="93"/>
      <c r="G375" s="93"/>
      <c r="H375" s="93">
        <v>2440</v>
      </c>
      <c r="I375" s="93">
        <v>1907</v>
      </c>
      <c r="J375" s="93"/>
      <c r="K375" s="93">
        <f t="shared" si="80"/>
        <v>0</v>
      </c>
      <c r="L375" s="93">
        <f t="shared" si="81"/>
        <v>0</v>
      </c>
      <c r="M375" s="94">
        <v>10</v>
      </c>
      <c r="N375" s="95" t="s">
        <v>289</v>
      </c>
      <c r="O375" s="93">
        <f t="shared" si="84"/>
        <v>0</v>
      </c>
      <c r="P375" s="93">
        <f t="shared" si="85"/>
        <v>0</v>
      </c>
      <c r="Q375" s="93">
        <f t="shared" si="86"/>
        <v>0</v>
      </c>
      <c r="R375" s="93">
        <f t="shared" si="87"/>
        <v>95</v>
      </c>
      <c r="S375" s="93">
        <f t="shared" si="88"/>
        <v>0</v>
      </c>
      <c r="T375" s="93">
        <f t="shared" si="96"/>
        <v>95</v>
      </c>
      <c r="U375" s="312">
        <f t="shared" si="82"/>
        <v>1812</v>
      </c>
      <c r="V375" s="93">
        <f t="shared" si="83"/>
        <v>0</v>
      </c>
    </row>
    <row r="376" spans="1:22" ht="18" customHeight="1" x14ac:dyDescent="0.2">
      <c r="A376" s="110" t="s">
        <v>821</v>
      </c>
      <c r="B376" s="111"/>
      <c r="C376" s="201" t="s">
        <v>822</v>
      </c>
      <c r="D376" s="91">
        <v>42796</v>
      </c>
      <c r="E376" s="92"/>
      <c r="F376" s="93"/>
      <c r="G376" s="93"/>
      <c r="H376" s="93">
        <v>8960</v>
      </c>
      <c r="I376" s="93">
        <v>7035</v>
      </c>
      <c r="J376" s="93"/>
      <c r="K376" s="93">
        <f t="shared" si="80"/>
        <v>0</v>
      </c>
      <c r="L376" s="93">
        <f t="shared" si="81"/>
        <v>0</v>
      </c>
      <c r="M376" s="94">
        <v>10</v>
      </c>
      <c r="N376" s="95" t="s">
        <v>289</v>
      </c>
      <c r="O376" s="93">
        <f t="shared" si="84"/>
        <v>0</v>
      </c>
      <c r="P376" s="93">
        <f t="shared" si="85"/>
        <v>0</v>
      </c>
      <c r="Q376" s="93">
        <f t="shared" si="86"/>
        <v>0</v>
      </c>
      <c r="R376" s="93">
        <f t="shared" si="87"/>
        <v>351</v>
      </c>
      <c r="S376" s="93">
        <f t="shared" si="88"/>
        <v>0</v>
      </c>
      <c r="T376" s="93">
        <f t="shared" si="96"/>
        <v>351</v>
      </c>
      <c r="U376" s="312">
        <f t="shared" si="82"/>
        <v>6684</v>
      </c>
      <c r="V376" s="93">
        <f t="shared" si="83"/>
        <v>0</v>
      </c>
    </row>
    <row r="377" spans="1:22" ht="18" customHeight="1" x14ac:dyDescent="0.2">
      <c r="A377" s="110" t="s">
        <v>823</v>
      </c>
      <c r="B377" s="111"/>
      <c r="C377" s="201" t="s">
        <v>824</v>
      </c>
      <c r="D377" s="91">
        <v>42866</v>
      </c>
      <c r="E377" s="92"/>
      <c r="F377" s="93"/>
      <c r="G377" s="93"/>
      <c r="H377" s="93">
        <v>4585.37</v>
      </c>
      <c r="I377" s="93">
        <v>2886.37</v>
      </c>
      <c r="J377" s="93"/>
      <c r="K377" s="93">
        <f t="shared" si="80"/>
        <v>0</v>
      </c>
      <c r="L377" s="93">
        <f t="shared" si="81"/>
        <v>0</v>
      </c>
      <c r="M377" s="94">
        <v>20</v>
      </c>
      <c r="N377" s="95" t="s">
        <v>289</v>
      </c>
      <c r="O377" s="93">
        <f t="shared" si="84"/>
        <v>0</v>
      </c>
      <c r="P377" s="93">
        <f t="shared" si="85"/>
        <v>0</v>
      </c>
      <c r="Q377" s="93">
        <f t="shared" si="86"/>
        <v>0</v>
      </c>
      <c r="R377" s="93">
        <f t="shared" si="87"/>
        <v>288</v>
      </c>
      <c r="S377" s="93">
        <f t="shared" si="88"/>
        <v>0</v>
      </c>
      <c r="T377" s="93">
        <f t="shared" si="96"/>
        <v>288</v>
      </c>
      <c r="U377" s="312">
        <f t="shared" si="82"/>
        <v>2598.37</v>
      </c>
      <c r="V377" s="93">
        <f t="shared" si="83"/>
        <v>0</v>
      </c>
    </row>
    <row r="378" spans="1:22" ht="18" customHeight="1" x14ac:dyDescent="0.2">
      <c r="A378" s="110" t="s">
        <v>825</v>
      </c>
      <c r="B378" s="111"/>
      <c r="C378" s="90" t="s">
        <v>826</v>
      </c>
      <c r="D378" s="91">
        <v>42553</v>
      </c>
      <c r="E378" s="92"/>
      <c r="F378" s="93"/>
      <c r="G378" s="93"/>
      <c r="H378" s="93">
        <v>3135</v>
      </c>
      <c r="I378" s="93">
        <v>1626</v>
      </c>
      <c r="J378" s="93"/>
      <c r="K378" s="93">
        <f t="shared" si="80"/>
        <v>0</v>
      </c>
      <c r="L378" s="93">
        <f t="shared" si="81"/>
        <v>0</v>
      </c>
      <c r="M378" s="94">
        <v>20</v>
      </c>
      <c r="N378" s="95" t="s">
        <v>289</v>
      </c>
      <c r="O378" s="93">
        <f t="shared" si="84"/>
        <v>0</v>
      </c>
      <c r="P378" s="93">
        <f t="shared" si="85"/>
        <v>0</v>
      </c>
      <c r="Q378" s="93">
        <f t="shared" si="86"/>
        <v>0</v>
      </c>
      <c r="R378" s="93">
        <f t="shared" si="87"/>
        <v>162</v>
      </c>
      <c r="S378" s="93">
        <f t="shared" si="88"/>
        <v>0</v>
      </c>
      <c r="T378" s="93">
        <f t="shared" si="96"/>
        <v>162</v>
      </c>
      <c r="U378" s="312">
        <f t="shared" si="82"/>
        <v>1464</v>
      </c>
      <c r="V378" s="93">
        <f t="shared" si="83"/>
        <v>0</v>
      </c>
    </row>
    <row r="379" spans="1:22" ht="18" customHeight="1" x14ac:dyDescent="0.2">
      <c r="A379" s="110" t="s">
        <v>827</v>
      </c>
      <c r="B379" s="111"/>
      <c r="C379" s="201" t="s">
        <v>828</v>
      </c>
      <c r="D379" s="91">
        <v>42773</v>
      </c>
      <c r="E379" s="92"/>
      <c r="F379" s="93"/>
      <c r="G379" s="93"/>
      <c r="H379" s="93">
        <v>1365</v>
      </c>
      <c r="I379" s="93">
        <v>976</v>
      </c>
      <c r="J379" s="93"/>
      <c r="K379" s="93">
        <f t="shared" si="80"/>
        <v>0</v>
      </c>
      <c r="L379" s="93">
        <f t="shared" si="81"/>
        <v>0</v>
      </c>
      <c r="M379" s="94">
        <v>13.33</v>
      </c>
      <c r="N379" s="95" t="s">
        <v>289</v>
      </c>
      <c r="O379" s="93">
        <f t="shared" si="84"/>
        <v>0</v>
      </c>
      <c r="P379" s="93">
        <f t="shared" si="85"/>
        <v>0</v>
      </c>
      <c r="Q379" s="93">
        <f t="shared" si="86"/>
        <v>0</v>
      </c>
      <c r="R379" s="93">
        <f t="shared" si="87"/>
        <v>65</v>
      </c>
      <c r="S379" s="93">
        <f t="shared" si="88"/>
        <v>0</v>
      </c>
      <c r="T379" s="93">
        <f t="shared" si="96"/>
        <v>65</v>
      </c>
      <c r="U379" s="312">
        <f t="shared" si="82"/>
        <v>911</v>
      </c>
      <c r="V379" s="93">
        <f t="shared" si="83"/>
        <v>0</v>
      </c>
    </row>
    <row r="380" spans="1:22" ht="18" customHeight="1" x14ac:dyDescent="0.2">
      <c r="A380" s="110" t="s">
        <v>829</v>
      </c>
      <c r="B380" s="111"/>
      <c r="C380" s="201" t="s">
        <v>830</v>
      </c>
      <c r="D380" s="91">
        <v>42826</v>
      </c>
      <c r="E380" s="92"/>
      <c r="F380" s="93"/>
      <c r="G380" s="93"/>
      <c r="H380" s="93">
        <v>20425.25</v>
      </c>
      <c r="I380" s="93">
        <v>14901.25</v>
      </c>
      <c r="J380" s="93"/>
      <c r="K380" s="93">
        <f t="shared" si="80"/>
        <v>0</v>
      </c>
      <c r="L380" s="93">
        <f t="shared" si="81"/>
        <v>0</v>
      </c>
      <c r="M380" s="94">
        <v>13.33</v>
      </c>
      <c r="N380" s="95" t="s">
        <v>289</v>
      </c>
      <c r="O380" s="93">
        <f t="shared" si="84"/>
        <v>0</v>
      </c>
      <c r="P380" s="93">
        <f t="shared" si="85"/>
        <v>0</v>
      </c>
      <c r="Q380" s="93">
        <f t="shared" si="86"/>
        <v>0</v>
      </c>
      <c r="R380" s="93">
        <f t="shared" si="87"/>
        <v>993</v>
      </c>
      <c r="S380" s="93">
        <f t="shared" si="88"/>
        <v>0</v>
      </c>
      <c r="T380" s="93">
        <f t="shared" si="96"/>
        <v>993</v>
      </c>
      <c r="U380" s="312">
        <f t="shared" si="82"/>
        <v>13908.25</v>
      </c>
      <c r="V380" s="93">
        <f t="shared" si="83"/>
        <v>0</v>
      </c>
    </row>
    <row r="381" spans="1:22" ht="18" customHeight="1" x14ac:dyDescent="0.2">
      <c r="A381" s="110" t="s">
        <v>831</v>
      </c>
      <c r="B381" s="111"/>
      <c r="C381" s="201" t="s">
        <v>830</v>
      </c>
      <c r="D381" s="91">
        <v>42826</v>
      </c>
      <c r="E381" s="92"/>
      <c r="F381" s="93"/>
      <c r="G381" s="93"/>
      <c r="H381" s="93">
        <v>20425.25</v>
      </c>
      <c r="I381" s="93">
        <v>14901.25</v>
      </c>
      <c r="J381" s="93"/>
      <c r="K381" s="93">
        <f t="shared" si="80"/>
        <v>0</v>
      </c>
      <c r="L381" s="93">
        <f t="shared" si="81"/>
        <v>0</v>
      </c>
      <c r="M381" s="94">
        <v>13.33</v>
      </c>
      <c r="N381" s="95" t="s">
        <v>289</v>
      </c>
      <c r="O381" s="93">
        <f t="shared" si="84"/>
        <v>0</v>
      </c>
      <c r="P381" s="93">
        <f t="shared" si="85"/>
        <v>0</v>
      </c>
      <c r="Q381" s="93">
        <f t="shared" si="86"/>
        <v>0</v>
      </c>
      <c r="R381" s="93">
        <f t="shared" si="87"/>
        <v>993</v>
      </c>
      <c r="S381" s="93">
        <f t="shared" si="88"/>
        <v>0</v>
      </c>
      <c r="T381" s="93">
        <f t="shared" si="96"/>
        <v>993</v>
      </c>
      <c r="U381" s="312">
        <f t="shared" si="82"/>
        <v>13908.25</v>
      </c>
      <c r="V381" s="93">
        <f t="shared" si="83"/>
        <v>0</v>
      </c>
    </row>
    <row r="382" spans="1:22" ht="18" customHeight="1" x14ac:dyDescent="0.2">
      <c r="A382" s="110" t="s">
        <v>832</v>
      </c>
      <c r="B382" s="111"/>
      <c r="C382" s="201" t="s">
        <v>833</v>
      </c>
      <c r="D382" s="91">
        <v>42826</v>
      </c>
      <c r="E382" s="92"/>
      <c r="F382" s="93"/>
      <c r="G382" s="93"/>
      <c r="H382" s="93">
        <v>20425.25</v>
      </c>
      <c r="I382" s="93">
        <v>14901.25</v>
      </c>
      <c r="J382" s="93"/>
      <c r="K382" s="93">
        <f t="shared" si="80"/>
        <v>0</v>
      </c>
      <c r="L382" s="93">
        <f t="shared" si="81"/>
        <v>0</v>
      </c>
      <c r="M382" s="94">
        <v>13.33</v>
      </c>
      <c r="N382" s="95" t="s">
        <v>289</v>
      </c>
      <c r="O382" s="93">
        <f t="shared" si="84"/>
        <v>0</v>
      </c>
      <c r="P382" s="93">
        <f t="shared" si="85"/>
        <v>0</v>
      </c>
      <c r="Q382" s="93">
        <f t="shared" si="86"/>
        <v>0</v>
      </c>
      <c r="R382" s="93">
        <f t="shared" si="87"/>
        <v>993</v>
      </c>
      <c r="S382" s="93">
        <f t="shared" si="88"/>
        <v>0</v>
      </c>
      <c r="T382" s="93">
        <f t="shared" si="96"/>
        <v>993</v>
      </c>
      <c r="U382" s="312">
        <f t="shared" si="82"/>
        <v>13908.25</v>
      </c>
      <c r="V382" s="93">
        <f t="shared" si="83"/>
        <v>0</v>
      </c>
    </row>
    <row r="383" spans="1:22" ht="18" customHeight="1" x14ac:dyDescent="0.2">
      <c r="A383" s="110" t="s">
        <v>834</v>
      </c>
      <c r="B383" s="111"/>
      <c r="C383" s="201" t="s">
        <v>833</v>
      </c>
      <c r="D383" s="91">
        <v>42826</v>
      </c>
      <c r="E383" s="92"/>
      <c r="F383" s="93"/>
      <c r="G383" s="93"/>
      <c r="H383" s="93">
        <v>20425.25</v>
      </c>
      <c r="I383" s="93">
        <v>14901.25</v>
      </c>
      <c r="J383" s="93"/>
      <c r="K383" s="93">
        <f t="shared" si="80"/>
        <v>0</v>
      </c>
      <c r="L383" s="93">
        <f t="shared" si="81"/>
        <v>0</v>
      </c>
      <c r="M383" s="94">
        <v>13.33</v>
      </c>
      <c r="N383" s="95" t="s">
        <v>289</v>
      </c>
      <c r="O383" s="93">
        <f t="shared" si="84"/>
        <v>0</v>
      </c>
      <c r="P383" s="93">
        <f t="shared" si="85"/>
        <v>0</v>
      </c>
      <c r="Q383" s="93">
        <f t="shared" si="86"/>
        <v>0</v>
      </c>
      <c r="R383" s="93">
        <f t="shared" si="87"/>
        <v>993</v>
      </c>
      <c r="S383" s="93">
        <f t="shared" si="88"/>
        <v>0</v>
      </c>
      <c r="T383" s="93">
        <f t="shared" si="96"/>
        <v>993</v>
      </c>
      <c r="U383" s="312">
        <f t="shared" si="82"/>
        <v>13908.25</v>
      </c>
      <c r="V383" s="93">
        <f t="shared" si="83"/>
        <v>0</v>
      </c>
    </row>
    <row r="384" spans="1:22" ht="18" customHeight="1" x14ac:dyDescent="0.2">
      <c r="A384" s="110" t="s">
        <v>835</v>
      </c>
      <c r="B384" s="111"/>
      <c r="C384" s="201" t="s">
        <v>836</v>
      </c>
      <c r="D384" s="91">
        <v>42837</v>
      </c>
      <c r="E384" s="92"/>
      <c r="F384" s="93"/>
      <c r="G384" s="93"/>
      <c r="H384" s="93">
        <v>6600</v>
      </c>
      <c r="I384" s="93">
        <v>4836</v>
      </c>
      <c r="J384" s="93"/>
      <c r="K384" s="93">
        <f t="shared" si="80"/>
        <v>0</v>
      </c>
      <c r="L384" s="93">
        <f t="shared" si="81"/>
        <v>0</v>
      </c>
      <c r="M384" s="94">
        <v>13.33</v>
      </c>
      <c r="N384" s="95" t="s">
        <v>289</v>
      </c>
      <c r="O384" s="93">
        <f t="shared" si="84"/>
        <v>0</v>
      </c>
      <c r="P384" s="93">
        <f t="shared" si="85"/>
        <v>0</v>
      </c>
      <c r="Q384" s="93">
        <f t="shared" si="86"/>
        <v>0</v>
      </c>
      <c r="R384" s="93">
        <f t="shared" si="87"/>
        <v>322</v>
      </c>
      <c r="S384" s="93">
        <f t="shared" si="88"/>
        <v>0</v>
      </c>
      <c r="T384" s="93">
        <f t="shared" si="96"/>
        <v>322</v>
      </c>
      <c r="U384" s="312">
        <f t="shared" si="82"/>
        <v>4514</v>
      </c>
      <c r="V384" s="93">
        <f t="shared" si="83"/>
        <v>0</v>
      </c>
    </row>
    <row r="385" spans="1:22" ht="18" customHeight="1" x14ac:dyDescent="0.2">
      <c r="A385" s="110" t="s">
        <v>837</v>
      </c>
      <c r="B385" s="111"/>
      <c r="C385" s="201" t="s">
        <v>838</v>
      </c>
      <c r="D385" s="91">
        <v>42846</v>
      </c>
      <c r="E385" s="92"/>
      <c r="F385" s="93"/>
      <c r="G385" s="93"/>
      <c r="H385" s="93">
        <v>14900</v>
      </c>
      <c r="I385" s="93">
        <v>10953</v>
      </c>
      <c r="J385" s="93"/>
      <c r="K385" s="93">
        <f t="shared" si="80"/>
        <v>0</v>
      </c>
      <c r="L385" s="93">
        <f t="shared" si="81"/>
        <v>0</v>
      </c>
      <c r="M385" s="94">
        <v>13.33</v>
      </c>
      <c r="N385" s="95" t="s">
        <v>289</v>
      </c>
      <c r="O385" s="93">
        <f t="shared" si="84"/>
        <v>0</v>
      </c>
      <c r="P385" s="93">
        <f t="shared" si="85"/>
        <v>0</v>
      </c>
      <c r="Q385" s="93">
        <f t="shared" si="86"/>
        <v>0</v>
      </c>
      <c r="R385" s="93">
        <f t="shared" si="87"/>
        <v>730</v>
      </c>
      <c r="S385" s="93">
        <f t="shared" si="88"/>
        <v>0</v>
      </c>
      <c r="T385" s="93">
        <f t="shared" si="96"/>
        <v>730</v>
      </c>
      <c r="U385" s="312">
        <f t="shared" si="82"/>
        <v>10223</v>
      </c>
      <c r="V385" s="93">
        <f t="shared" si="83"/>
        <v>0</v>
      </c>
    </row>
    <row r="386" spans="1:22" ht="18" customHeight="1" x14ac:dyDescent="0.2">
      <c r="A386" s="110" t="s">
        <v>839</v>
      </c>
      <c r="B386" s="111"/>
      <c r="C386" s="201" t="s">
        <v>840</v>
      </c>
      <c r="D386" s="91">
        <v>42559</v>
      </c>
      <c r="E386" s="92"/>
      <c r="F386" s="93"/>
      <c r="G386" s="93"/>
      <c r="H386" s="93">
        <v>14332.02</v>
      </c>
      <c r="I386" s="93">
        <v>9402.02</v>
      </c>
      <c r="J386" s="93"/>
      <c r="K386" s="93">
        <f t="shared" si="80"/>
        <v>0</v>
      </c>
      <c r="L386" s="93">
        <f t="shared" si="81"/>
        <v>0</v>
      </c>
      <c r="M386" s="94">
        <v>13.33</v>
      </c>
      <c r="N386" s="95" t="s">
        <v>289</v>
      </c>
      <c r="O386" s="93">
        <f t="shared" si="84"/>
        <v>0</v>
      </c>
      <c r="P386" s="93">
        <f t="shared" si="85"/>
        <v>0</v>
      </c>
      <c r="Q386" s="93">
        <f t="shared" si="86"/>
        <v>0</v>
      </c>
      <c r="R386" s="93">
        <f t="shared" si="87"/>
        <v>626</v>
      </c>
      <c r="S386" s="93">
        <f t="shared" si="88"/>
        <v>0</v>
      </c>
      <c r="T386" s="93">
        <f t="shared" si="96"/>
        <v>626</v>
      </c>
      <c r="U386" s="312">
        <f t="shared" si="82"/>
        <v>8776.02</v>
      </c>
      <c r="V386" s="93">
        <f t="shared" si="83"/>
        <v>0</v>
      </c>
    </row>
    <row r="387" spans="1:22" ht="18" customHeight="1" x14ac:dyDescent="0.2">
      <c r="A387" s="110" t="s">
        <v>841</v>
      </c>
      <c r="B387" s="111"/>
      <c r="C387" s="201" t="s">
        <v>842</v>
      </c>
      <c r="D387" s="91">
        <v>42559</v>
      </c>
      <c r="E387" s="92"/>
      <c r="F387" s="93"/>
      <c r="G387" s="93"/>
      <c r="H387" s="93">
        <v>14332.02</v>
      </c>
      <c r="I387" s="93">
        <v>9402.02</v>
      </c>
      <c r="J387" s="93"/>
      <c r="K387" s="93">
        <f t="shared" si="80"/>
        <v>0</v>
      </c>
      <c r="L387" s="93">
        <f t="shared" si="81"/>
        <v>0</v>
      </c>
      <c r="M387" s="94">
        <v>13.33</v>
      </c>
      <c r="N387" s="95" t="s">
        <v>289</v>
      </c>
      <c r="O387" s="93">
        <f t="shared" si="84"/>
        <v>0</v>
      </c>
      <c r="P387" s="93">
        <f t="shared" si="85"/>
        <v>0</v>
      </c>
      <c r="Q387" s="93">
        <f t="shared" si="86"/>
        <v>0</v>
      </c>
      <c r="R387" s="93">
        <f t="shared" si="87"/>
        <v>626</v>
      </c>
      <c r="S387" s="93">
        <f t="shared" si="88"/>
        <v>0</v>
      </c>
      <c r="T387" s="93">
        <f t="shared" si="96"/>
        <v>626</v>
      </c>
      <c r="U387" s="312">
        <f t="shared" si="82"/>
        <v>8776.02</v>
      </c>
      <c r="V387" s="93">
        <f t="shared" si="83"/>
        <v>0</v>
      </c>
    </row>
    <row r="388" spans="1:22" ht="18" customHeight="1" x14ac:dyDescent="0.2">
      <c r="A388" s="110" t="s">
        <v>843</v>
      </c>
      <c r="B388" s="111"/>
      <c r="C388" s="201" t="s">
        <v>842</v>
      </c>
      <c r="D388" s="91">
        <v>42559</v>
      </c>
      <c r="E388" s="92"/>
      <c r="F388" s="93"/>
      <c r="G388" s="93"/>
      <c r="H388" s="93">
        <v>14332.03</v>
      </c>
      <c r="I388" s="93">
        <v>9402.0300000000007</v>
      </c>
      <c r="J388" s="93"/>
      <c r="K388" s="93">
        <f t="shared" si="80"/>
        <v>0</v>
      </c>
      <c r="L388" s="93">
        <f t="shared" si="81"/>
        <v>0</v>
      </c>
      <c r="M388" s="94">
        <v>13.33</v>
      </c>
      <c r="N388" s="95" t="s">
        <v>289</v>
      </c>
      <c r="O388" s="93">
        <f t="shared" si="84"/>
        <v>0</v>
      </c>
      <c r="P388" s="93">
        <f t="shared" si="85"/>
        <v>0</v>
      </c>
      <c r="Q388" s="93">
        <f t="shared" si="86"/>
        <v>0</v>
      </c>
      <c r="R388" s="93">
        <f t="shared" si="87"/>
        <v>626</v>
      </c>
      <c r="S388" s="93">
        <f t="shared" si="88"/>
        <v>0</v>
      </c>
      <c r="T388" s="93">
        <f t="shared" si="96"/>
        <v>626</v>
      </c>
      <c r="U388" s="312">
        <f t="shared" si="82"/>
        <v>8776.0300000000007</v>
      </c>
      <c r="V388" s="93">
        <f t="shared" si="83"/>
        <v>0</v>
      </c>
    </row>
    <row r="389" spans="1:22" ht="18" customHeight="1" x14ac:dyDescent="0.2">
      <c r="A389" s="110" t="s">
        <v>844</v>
      </c>
      <c r="B389" s="111"/>
      <c r="C389" s="201" t="s">
        <v>845</v>
      </c>
      <c r="D389" s="91">
        <v>42559</v>
      </c>
      <c r="E389" s="92"/>
      <c r="F389" s="93"/>
      <c r="G389" s="93"/>
      <c r="H389" s="93">
        <v>10781.01</v>
      </c>
      <c r="I389" s="93">
        <v>7072.01</v>
      </c>
      <c r="J389" s="93"/>
      <c r="K389" s="93">
        <f t="shared" si="80"/>
        <v>0</v>
      </c>
      <c r="L389" s="93">
        <f t="shared" si="81"/>
        <v>0</v>
      </c>
      <c r="M389" s="94">
        <v>13.33</v>
      </c>
      <c r="N389" s="95" t="s">
        <v>289</v>
      </c>
      <c r="O389" s="93">
        <f t="shared" si="84"/>
        <v>0</v>
      </c>
      <c r="P389" s="93">
        <f t="shared" si="85"/>
        <v>0</v>
      </c>
      <c r="Q389" s="93">
        <f t="shared" si="86"/>
        <v>0</v>
      </c>
      <c r="R389" s="93">
        <f t="shared" si="87"/>
        <v>471</v>
      </c>
      <c r="S389" s="93">
        <f t="shared" si="88"/>
        <v>0</v>
      </c>
      <c r="T389" s="93">
        <f t="shared" si="96"/>
        <v>471</v>
      </c>
      <c r="U389" s="312">
        <f t="shared" si="82"/>
        <v>6601.01</v>
      </c>
      <c r="V389" s="93">
        <f t="shared" si="83"/>
        <v>0</v>
      </c>
    </row>
    <row r="390" spans="1:22" ht="18" customHeight="1" x14ac:dyDescent="0.2">
      <c r="A390" s="110" t="s">
        <v>846</v>
      </c>
      <c r="B390" s="111"/>
      <c r="C390" s="201" t="s">
        <v>845</v>
      </c>
      <c r="D390" s="91">
        <v>42559</v>
      </c>
      <c r="E390" s="92"/>
      <c r="F390" s="93"/>
      <c r="G390" s="93"/>
      <c r="H390" s="93">
        <v>10781.01</v>
      </c>
      <c r="I390" s="93">
        <v>7072.01</v>
      </c>
      <c r="J390" s="93"/>
      <c r="K390" s="93">
        <f t="shared" si="80"/>
        <v>0</v>
      </c>
      <c r="L390" s="93">
        <f t="shared" si="81"/>
        <v>0</v>
      </c>
      <c r="M390" s="94">
        <v>13.33</v>
      </c>
      <c r="N390" s="95" t="s">
        <v>289</v>
      </c>
      <c r="O390" s="93">
        <f t="shared" si="84"/>
        <v>0</v>
      </c>
      <c r="P390" s="93">
        <f t="shared" si="85"/>
        <v>0</v>
      </c>
      <c r="Q390" s="93">
        <f t="shared" si="86"/>
        <v>0</v>
      </c>
      <c r="R390" s="93">
        <f t="shared" si="87"/>
        <v>471</v>
      </c>
      <c r="S390" s="93">
        <f t="shared" si="88"/>
        <v>0</v>
      </c>
      <c r="T390" s="93">
        <f t="shared" si="96"/>
        <v>471</v>
      </c>
      <c r="U390" s="312">
        <f t="shared" si="82"/>
        <v>6601.01</v>
      </c>
      <c r="V390" s="93">
        <f t="shared" si="83"/>
        <v>0</v>
      </c>
    </row>
    <row r="391" spans="1:22" ht="18" customHeight="1" x14ac:dyDescent="0.2">
      <c r="A391" s="110" t="s">
        <v>847</v>
      </c>
      <c r="B391" s="111"/>
      <c r="C391" s="201" t="s">
        <v>845</v>
      </c>
      <c r="D391" s="91">
        <v>42559</v>
      </c>
      <c r="E391" s="92"/>
      <c r="F391" s="93"/>
      <c r="G391" s="93"/>
      <c r="H391" s="93">
        <v>10781.01</v>
      </c>
      <c r="I391" s="93">
        <v>7072.01</v>
      </c>
      <c r="J391" s="93"/>
      <c r="K391" s="93">
        <f t="shared" si="80"/>
        <v>0</v>
      </c>
      <c r="L391" s="93">
        <f t="shared" si="81"/>
        <v>0</v>
      </c>
      <c r="M391" s="94">
        <v>13.33</v>
      </c>
      <c r="N391" s="95" t="s">
        <v>289</v>
      </c>
      <c r="O391" s="93">
        <f t="shared" si="84"/>
        <v>0</v>
      </c>
      <c r="P391" s="93">
        <f t="shared" si="85"/>
        <v>0</v>
      </c>
      <c r="Q391" s="93">
        <f t="shared" si="86"/>
        <v>0</v>
      </c>
      <c r="R391" s="93">
        <f t="shared" si="87"/>
        <v>471</v>
      </c>
      <c r="S391" s="93">
        <f t="shared" si="88"/>
        <v>0</v>
      </c>
      <c r="T391" s="93">
        <f t="shared" si="96"/>
        <v>471</v>
      </c>
      <c r="U391" s="312">
        <f t="shared" si="82"/>
        <v>6601.01</v>
      </c>
      <c r="V391" s="93">
        <f t="shared" si="83"/>
        <v>0</v>
      </c>
    </row>
    <row r="392" spans="1:22" ht="18" customHeight="1" x14ac:dyDescent="0.2">
      <c r="A392" s="110" t="s">
        <v>848</v>
      </c>
      <c r="B392" s="111"/>
      <c r="C392" s="201" t="s">
        <v>845</v>
      </c>
      <c r="D392" s="91">
        <v>42559</v>
      </c>
      <c r="E392" s="92"/>
      <c r="F392" s="93"/>
      <c r="G392" s="93"/>
      <c r="H392" s="93">
        <v>10781.01</v>
      </c>
      <c r="I392" s="93">
        <v>7072.01</v>
      </c>
      <c r="J392" s="93"/>
      <c r="K392" s="93">
        <f t="shared" si="80"/>
        <v>0</v>
      </c>
      <c r="L392" s="93">
        <f t="shared" si="81"/>
        <v>0</v>
      </c>
      <c r="M392" s="94">
        <v>13.33</v>
      </c>
      <c r="N392" s="95" t="s">
        <v>289</v>
      </c>
      <c r="O392" s="93">
        <f t="shared" si="84"/>
        <v>0</v>
      </c>
      <c r="P392" s="93">
        <f t="shared" si="85"/>
        <v>0</v>
      </c>
      <c r="Q392" s="93">
        <f t="shared" si="86"/>
        <v>0</v>
      </c>
      <c r="R392" s="93">
        <f t="shared" si="87"/>
        <v>471</v>
      </c>
      <c r="S392" s="93">
        <f t="shared" si="88"/>
        <v>0</v>
      </c>
      <c r="T392" s="93">
        <f t="shared" si="96"/>
        <v>471</v>
      </c>
      <c r="U392" s="312">
        <f t="shared" si="82"/>
        <v>6601.01</v>
      </c>
      <c r="V392" s="93">
        <f t="shared" si="83"/>
        <v>0</v>
      </c>
    </row>
    <row r="393" spans="1:22" ht="18" customHeight="1" x14ac:dyDescent="0.2">
      <c r="A393" s="110" t="s">
        <v>849</v>
      </c>
      <c r="B393" s="111"/>
      <c r="C393" s="201" t="s">
        <v>845</v>
      </c>
      <c r="D393" s="91">
        <v>42559</v>
      </c>
      <c r="E393" s="92"/>
      <c r="F393" s="93"/>
      <c r="G393" s="93"/>
      <c r="H393" s="93">
        <v>10781.01</v>
      </c>
      <c r="I393" s="93">
        <v>7072.01</v>
      </c>
      <c r="J393" s="93"/>
      <c r="K393" s="93">
        <f t="shared" si="80"/>
        <v>0</v>
      </c>
      <c r="L393" s="93">
        <f t="shared" si="81"/>
        <v>0</v>
      </c>
      <c r="M393" s="94">
        <v>13.33</v>
      </c>
      <c r="N393" s="95" t="s">
        <v>289</v>
      </c>
      <c r="O393" s="93">
        <f t="shared" si="84"/>
        <v>0</v>
      </c>
      <c r="P393" s="93">
        <f t="shared" si="85"/>
        <v>0</v>
      </c>
      <c r="Q393" s="93">
        <f t="shared" si="86"/>
        <v>0</v>
      </c>
      <c r="R393" s="93">
        <f t="shared" si="87"/>
        <v>471</v>
      </c>
      <c r="S393" s="93">
        <f t="shared" si="88"/>
        <v>0</v>
      </c>
      <c r="T393" s="93">
        <f t="shared" si="96"/>
        <v>471</v>
      </c>
      <c r="U393" s="312">
        <f t="shared" si="82"/>
        <v>6601.01</v>
      </c>
      <c r="V393" s="93">
        <f t="shared" si="83"/>
        <v>0</v>
      </c>
    </row>
    <row r="394" spans="1:22" ht="18" customHeight="1" x14ac:dyDescent="0.2">
      <c r="A394" s="110" t="s">
        <v>850</v>
      </c>
      <c r="B394" s="111"/>
      <c r="C394" s="201" t="s">
        <v>845</v>
      </c>
      <c r="D394" s="91">
        <v>42559</v>
      </c>
      <c r="E394" s="92"/>
      <c r="F394" s="93"/>
      <c r="G394" s="93"/>
      <c r="H394" s="93">
        <v>10781.01</v>
      </c>
      <c r="I394" s="93">
        <v>7072.01</v>
      </c>
      <c r="J394" s="93"/>
      <c r="K394" s="93">
        <f t="shared" si="80"/>
        <v>0</v>
      </c>
      <c r="L394" s="93">
        <f t="shared" si="81"/>
        <v>0</v>
      </c>
      <c r="M394" s="94">
        <v>13.33</v>
      </c>
      <c r="N394" s="95" t="s">
        <v>289</v>
      </c>
      <c r="O394" s="93">
        <f t="shared" si="84"/>
        <v>0</v>
      </c>
      <c r="P394" s="93">
        <f t="shared" si="85"/>
        <v>0</v>
      </c>
      <c r="Q394" s="93">
        <f t="shared" si="86"/>
        <v>0</v>
      </c>
      <c r="R394" s="93">
        <f t="shared" si="87"/>
        <v>471</v>
      </c>
      <c r="S394" s="93">
        <f t="shared" si="88"/>
        <v>0</v>
      </c>
      <c r="T394" s="93">
        <f t="shared" si="96"/>
        <v>471</v>
      </c>
      <c r="U394" s="312">
        <f t="shared" si="82"/>
        <v>6601.01</v>
      </c>
      <c r="V394" s="93">
        <f t="shared" si="83"/>
        <v>0</v>
      </c>
    </row>
    <row r="395" spans="1:22" ht="18" customHeight="1" x14ac:dyDescent="0.2">
      <c r="A395" s="110" t="s">
        <v>851</v>
      </c>
      <c r="B395" s="111"/>
      <c r="C395" s="201" t="s">
        <v>845</v>
      </c>
      <c r="D395" s="91">
        <v>42559</v>
      </c>
      <c r="E395" s="92"/>
      <c r="F395" s="93"/>
      <c r="G395" s="93"/>
      <c r="H395" s="93">
        <v>10781.01</v>
      </c>
      <c r="I395" s="93">
        <v>7072.01</v>
      </c>
      <c r="J395" s="93"/>
      <c r="K395" s="93">
        <f t="shared" si="80"/>
        <v>0</v>
      </c>
      <c r="L395" s="93">
        <f t="shared" si="81"/>
        <v>0</v>
      </c>
      <c r="M395" s="94">
        <v>13.33</v>
      </c>
      <c r="N395" s="95" t="s">
        <v>289</v>
      </c>
      <c r="O395" s="93">
        <f t="shared" si="84"/>
        <v>0</v>
      </c>
      <c r="P395" s="93">
        <f t="shared" si="85"/>
        <v>0</v>
      </c>
      <c r="Q395" s="93">
        <f t="shared" si="86"/>
        <v>0</v>
      </c>
      <c r="R395" s="93">
        <f t="shared" si="87"/>
        <v>471</v>
      </c>
      <c r="S395" s="93">
        <f t="shared" si="88"/>
        <v>0</v>
      </c>
      <c r="T395" s="93">
        <f t="shared" si="96"/>
        <v>471</v>
      </c>
      <c r="U395" s="312">
        <f t="shared" si="82"/>
        <v>6601.01</v>
      </c>
      <c r="V395" s="93">
        <f t="shared" si="83"/>
        <v>0</v>
      </c>
    </row>
    <row r="396" spans="1:22" ht="18" customHeight="1" x14ac:dyDescent="0.2">
      <c r="A396" s="110" t="s">
        <v>852</v>
      </c>
      <c r="B396" s="111"/>
      <c r="C396" s="201" t="s">
        <v>845</v>
      </c>
      <c r="D396" s="91">
        <v>42559</v>
      </c>
      <c r="E396" s="92"/>
      <c r="F396" s="93"/>
      <c r="G396" s="93"/>
      <c r="H396" s="93">
        <v>10781.01</v>
      </c>
      <c r="I396" s="93">
        <v>7072.01</v>
      </c>
      <c r="J396" s="93"/>
      <c r="K396" s="93">
        <f t="shared" si="80"/>
        <v>0</v>
      </c>
      <c r="L396" s="93">
        <f t="shared" si="81"/>
        <v>0</v>
      </c>
      <c r="M396" s="94">
        <v>13.33</v>
      </c>
      <c r="N396" s="95" t="s">
        <v>289</v>
      </c>
      <c r="O396" s="93">
        <f t="shared" si="84"/>
        <v>0</v>
      </c>
      <c r="P396" s="93">
        <f t="shared" si="85"/>
        <v>0</v>
      </c>
      <c r="Q396" s="93">
        <f t="shared" si="86"/>
        <v>0</v>
      </c>
      <c r="R396" s="93">
        <f t="shared" si="87"/>
        <v>471</v>
      </c>
      <c r="S396" s="93">
        <f t="shared" si="88"/>
        <v>0</v>
      </c>
      <c r="T396" s="93">
        <f t="shared" si="96"/>
        <v>471</v>
      </c>
      <c r="U396" s="312">
        <f t="shared" si="82"/>
        <v>6601.01</v>
      </c>
      <c r="V396" s="93">
        <f t="shared" si="83"/>
        <v>0</v>
      </c>
    </row>
    <row r="397" spans="1:22" ht="18" customHeight="1" x14ac:dyDescent="0.2">
      <c r="A397" s="110" t="s">
        <v>853</v>
      </c>
      <c r="B397" s="111"/>
      <c r="C397" s="201" t="s">
        <v>845</v>
      </c>
      <c r="D397" s="91">
        <v>42559</v>
      </c>
      <c r="E397" s="92"/>
      <c r="F397" s="93"/>
      <c r="G397" s="93"/>
      <c r="H397" s="93">
        <v>10781.01</v>
      </c>
      <c r="I397" s="93">
        <v>7072.01</v>
      </c>
      <c r="J397" s="93"/>
      <c r="K397" s="93">
        <f t="shared" si="80"/>
        <v>0</v>
      </c>
      <c r="L397" s="93">
        <f t="shared" si="81"/>
        <v>0</v>
      </c>
      <c r="M397" s="94">
        <v>13.33</v>
      </c>
      <c r="N397" s="95" t="s">
        <v>289</v>
      </c>
      <c r="O397" s="93">
        <f t="shared" si="84"/>
        <v>0</v>
      </c>
      <c r="P397" s="93">
        <f t="shared" si="85"/>
        <v>0</v>
      </c>
      <c r="Q397" s="93">
        <f t="shared" si="86"/>
        <v>0</v>
      </c>
      <c r="R397" s="93">
        <f t="shared" si="87"/>
        <v>471</v>
      </c>
      <c r="S397" s="93">
        <f t="shared" si="88"/>
        <v>0</v>
      </c>
      <c r="T397" s="93">
        <f t="shared" si="96"/>
        <v>471</v>
      </c>
      <c r="U397" s="312">
        <f t="shared" si="82"/>
        <v>6601.01</v>
      </c>
      <c r="V397" s="93">
        <f t="shared" si="83"/>
        <v>0</v>
      </c>
    </row>
    <row r="398" spans="1:22" ht="18" customHeight="1" x14ac:dyDescent="0.2">
      <c r="A398" s="110" t="s">
        <v>854</v>
      </c>
      <c r="B398" s="111"/>
      <c r="C398" s="201" t="s">
        <v>845</v>
      </c>
      <c r="D398" s="91">
        <v>42559</v>
      </c>
      <c r="E398" s="92"/>
      <c r="F398" s="93"/>
      <c r="G398" s="93"/>
      <c r="H398" s="93">
        <v>10781.01</v>
      </c>
      <c r="I398" s="93">
        <v>7072.01</v>
      </c>
      <c r="J398" s="93"/>
      <c r="K398" s="93">
        <f t="shared" si="80"/>
        <v>0</v>
      </c>
      <c r="L398" s="93">
        <f t="shared" si="81"/>
        <v>0</v>
      </c>
      <c r="M398" s="94">
        <v>13.33</v>
      </c>
      <c r="N398" s="95" t="s">
        <v>289</v>
      </c>
      <c r="O398" s="93">
        <f t="shared" si="84"/>
        <v>0</v>
      </c>
      <c r="P398" s="93">
        <f t="shared" si="85"/>
        <v>0</v>
      </c>
      <c r="Q398" s="93">
        <f t="shared" si="86"/>
        <v>0</v>
      </c>
      <c r="R398" s="93">
        <f t="shared" si="87"/>
        <v>471</v>
      </c>
      <c r="S398" s="93">
        <f t="shared" si="88"/>
        <v>0</v>
      </c>
      <c r="T398" s="93">
        <f t="shared" si="96"/>
        <v>471</v>
      </c>
      <c r="U398" s="312">
        <f t="shared" si="82"/>
        <v>6601.01</v>
      </c>
      <c r="V398" s="93">
        <f t="shared" si="83"/>
        <v>0</v>
      </c>
    </row>
    <row r="399" spans="1:22" ht="18" customHeight="1" x14ac:dyDescent="0.2">
      <c r="A399" s="110" t="s">
        <v>855</v>
      </c>
      <c r="B399" s="111"/>
      <c r="C399" s="201" t="s">
        <v>845</v>
      </c>
      <c r="D399" s="91">
        <v>42559</v>
      </c>
      <c r="E399" s="92"/>
      <c r="F399" s="93"/>
      <c r="G399" s="93"/>
      <c r="H399" s="93">
        <v>10781.01</v>
      </c>
      <c r="I399" s="93">
        <v>7072.01</v>
      </c>
      <c r="J399" s="93"/>
      <c r="K399" s="93">
        <f t="shared" si="80"/>
        <v>0</v>
      </c>
      <c r="L399" s="93">
        <f t="shared" si="81"/>
        <v>0</v>
      </c>
      <c r="M399" s="94">
        <v>13.33</v>
      </c>
      <c r="N399" s="95" t="s">
        <v>289</v>
      </c>
      <c r="O399" s="93">
        <f t="shared" si="84"/>
        <v>0</v>
      </c>
      <c r="P399" s="93">
        <f t="shared" si="85"/>
        <v>0</v>
      </c>
      <c r="Q399" s="93">
        <f t="shared" si="86"/>
        <v>0</v>
      </c>
      <c r="R399" s="93">
        <f t="shared" si="87"/>
        <v>471</v>
      </c>
      <c r="S399" s="93">
        <f t="shared" si="88"/>
        <v>0</v>
      </c>
      <c r="T399" s="93">
        <f t="shared" si="96"/>
        <v>471</v>
      </c>
      <c r="U399" s="312">
        <f t="shared" si="82"/>
        <v>6601.01</v>
      </c>
      <c r="V399" s="93">
        <f t="shared" si="83"/>
        <v>0</v>
      </c>
    </row>
    <row r="400" spans="1:22" ht="18" customHeight="1" x14ac:dyDescent="0.2">
      <c r="A400" s="110" t="s">
        <v>856</v>
      </c>
      <c r="B400" s="111"/>
      <c r="C400" s="201" t="s">
        <v>845</v>
      </c>
      <c r="D400" s="91">
        <v>42559</v>
      </c>
      <c r="E400" s="92"/>
      <c r="F400" s="93"/>
      <c r="G400" s="93"/>
      <c r="H400" s="93">
        <v>10781.04</v>
      </c>
      <c r="I400" s="93">
        <v>7072.04</v>
      </c>
      <c r="J400" s="93"/>
      <c r="K400" s="93">
        <f t="shared" si="80"/>
        <v>0</v>
      </c>
      <c r="L400" s="93">
        <f t="shared" si="81"/>
        <v>0</v>
      </c>
      <c r="M400" s="94">
        <v>13.33</v>
      </c>
      <c r="N400" s="95" t="s">
        <v>289</v>
      </c>
      <c r="O400" s="93">
        <f t="shared" si="84"/>
        <v>0</v>
      </c>
      <c r="P400" s="93">
        <f t="shared" si="85"/>
        <v>0</v>
      </c>
      <c r="Q400" s="93">
        <f t="shared" si="86"/>
        <v>0</v>
      </c>
      <c r="R400" s="93">
        <f t="shared" si="87"/>
        <v>471</v>
      </c>
      <c r="S400" s="93">
        <f t="shared" si="88"/>
        <v>0</v>
      </c>
      <c r="T400" s="93">
        <f t="shared" si="96"/>
        <v>471</v>
      </c>
      <c r="U400" s="312">
        <f t="shared" si="82"/>
        <v>6601.04</v>
      </c>
      <c r="V400" s="93">
        <f t="shared" si="83"/>
        <v>0</v>
      </c>
    </row>
    <row r="401" spans="1:22" ht="18" customHeight="1" x14ac:dyDescent="0.2">
      <c r="A401" s="110" t="s">
        <v>857</v>
      </c>
      <c r="B401" s="111"/>
      <c r="C401" s="201" t="s">
        <v>858</v>
      </c>
      <c r="D401" s="91">
        <v>42559</v>
      </c>
      <c r="E401" s="92"/>
      <c r="F401" s="93"/>
      <c r="G401" s="93"/>
      <c r="H401" s="93">
        <v>12100.24</v>
      </c>
      <c r="I401" s="93">
        <v>7937.24</v>
      </c>
      <c r="J401" s="93"/>
      <c r="K401" s="93">
        <f t="shared" si="80"/>
        <v>0</v>
      </c>
      <c r="L401" s="93">
        <f t="shared" si="81"/>
        <v>0</v>
      </c>
      <c r="M401" s="94">
        <v>13.33</v>
      </c>
      <c r="N401" s="95" t="s">
        <v>289</v>
      </c>
      <c r="O401" s="93">
        <f t="shared" si="84"/>
        <v>0</v>
      </c>
      <c r="P401" s="93">
        <f t="shared" si="85"/>
        <v>0</v>
      </c>
      <c r="Q401" s="93">
        <f t="shared" si="86"/>
        <v>0</v>
      </c>
      <c r="R401" s="93">
        <f t="shared" si="87"/>
        <v>529</v>
      </c>
      <c r="S401" s="93">
        <f t="shared" si="88"/>
        <v>0</v>
      </c>
      <c r="T401" s="93">
        <f t="shared" si="96"/>
        <v>529</v>
      </c>
      <c r="U401" s="312">
        <f t="shared" si="82"/>
        <v>7408.24</v>
      </c>
      <c r="V401" s="93">
        <f t="shared" si="83"/>
        <v>0</v>
      </c>
    </row>
    <row r="402" spans="1:22" ht="18" customHeight="1" x14ac:dyDescent="0.2">
      <c r="A402" s="110" t="s">
        <v>859</v>
      </c>
      <c r="B402" s="111"/>
      <c r="C402" s="201" t="s">
        <v>860</v>
      </c>
      <c r="D402" s="91">
        <v>42559</v>
      </c>
      <c r="E402" s="92"/>
      <c r="F402" s="93"/>
      <c r="G402" s="93"/>
      <c r="H402" s="93">
        <v>12063.04</v>
      </c>
      <c r="I402" s="93">
        <v>7912.0400000000009</v>
      </c>
      <c r="J402" s="93"/>
      <c r="K402" s="93">
        <f t="shared" si="80"/>
        <v>0</v>
      </c>
      <c r="L402" s="93">
        <f t="shared" si="81"/>
        <v>0</v>
      </c>
      <c r="M402" s="94">
        <v>13.33</v>
      </c>
      <c r="N402" s="95" t="s">
        <v>289</v>
      </c>
      <c r="O402" s="93">
        <f t="shared" si="84"/>
        <v>0</v>
      </c>
      <c r="P402" s="93">
        <f t="shared" si="85"/>
        <v>0</v>
      </c>
      <c r="Q402" s="93">
        <f t="shared" si="86"/>
        <v>0</v>
      </c>
      <c r="R402" s="93">
        <f t="shared" si="87"/>
        <v>527</v>
      </c>
      <c r="S402" s="93">
        <f t="shared" si="88"/>
        <v>0</v>
      </c>
      <c r="T402" s="93">
        <f t="shared" si="96"/>
        <v>527</v>
      </c>
      <c r="U402" s="312">
        <f t="shared" si="82"/>
        <v>7385.0400000000009</v>
      </c>
      <c r="V402" s="93">
        <f t="shared" si="83"/>
        <v>0</v>
      </c>
    </row>
    <row r="403" spans="1:22" ht="18" customHeight="1" x14ac:dyDescent="0.2">
      <c r="A403" s="110" t="s">
        <v>861</v>
      </c>
      <c r="B403" s="111"/>
      <c r="C403" s="201" t="s">
        <v>862</v>
      </c>
      <c r="D403" s="91">
        <v>42559</v>
      </c>
      <c r="E403" s="92"/>
      <c r="F403" s="93"/>
      <c r="G403" s="93"/>
      <c r="H403" s="93">
        <v>9762.02</v>
      </c>
      <c r="I403" s="93">
        <v>6404.02</v>
      </c>
      <c r="J403" s="93"/>
      <c r="K403" s="93">
        <f t="shared" si="80"/>
        <v>0</v>
      </c>
      <c r="L403" s="93">
        <f t="shared" si="81"/>
        <v>0</v>
      </c>
      <c r="M403" s="94">
        <v>13.33</v>
      </c>
      <c r="N403" s="95" t="s">
        <v>289</v>
      </c>
      <c r="O403" s="93">
        <f t="shared" si="84"/>
        <v>0</v>
      </c>
      <c r="P403" s="93">
        <f t="shared" si="85"/>
        <v>0</v>
      </c>
      <c r="Q403" s="93">
        <f t="shared" si="86"/>
        <v>0</v>
      </c>
      <c r="R403" s="93">
        <f t="shared" si="87"/>
        <v>426</v>
      </c>
      <c r="S403" s="93">
        <f t="shared" si="88"/>
        <v>0</v>
      </c>
      <c r="T403" s="93">
        <f t="shared" si="96"/>
        <v>426</v>
      </c>
      <c r="U403" s="312">
        <f t="shared" si="82"/>
        <v>5978.02</v>
      </c>
      <c r="V403" s="93">
        <f t="shared" si="83"/>
        <v>0</v>
      </c>
    </row>
    <row r="404" spans="1:22" ht="18" customHeight="1" x14ac:dyDescent="0.2">
      <c r="A404" s="110" t="s">
        <v>863</v>
      </c>
      <c r="B404" s="111"/>
      <c r="C404" s="201" t="s">
        <v>864</v>
      </c>
      <c r="D404" s="91">
        <v>42559</v>
      </c>
      <c r="E404" s="92"/>
      <c r="F404" s="93"/>
      <c r="G404" s="93"/>
      <c r="H404" s="93">
        <v>14643.04</v>
      </c>
      <c r="I404" s="93">
        <v>9605.0400000000009</v>
      </c>
      <c r="J404" s="93"/>
      <c r="K404" s="93">
        <f t="shared" si="80"/>
        <v>0</v>
      </c>
      <c r="L404" s="93">
        <f t="shared" si="81"/>
        <v>0</v>
      </c>
      <c r="M404" s="94">
        <v>13.33</v>
      </c>
      <c r="N404" s="95" t="s">
        <v>289</v>
      </c>
      <c r="O404" s="93">
        <f t="shared" si="84"/>
        <v>0</v>
      </c>
      <c r="P404" s="93">
        <f t="shared" si="85"/>
        <v>0</v>
      </c>
      <c r="Q404" s="93">
        <f t="shared" si="86"/>
        <v>0</v>
      </c>
      <c r="R404" s="93">
        <f t="shared" si="87"/>
        <v>640</v>
      </c>
      <c r="S404" s="93">
        <f t="shared" si="88"/>
        <v>0</v>
      </c>
      <c r="T404" s="93">
        <f t="shared" si="96"/>
        <v>640</v>
      </c>
      <c r="U404" s="312">
        <f t="shared" si="82"/>
        <v>8965.0400000000009</v>
      </c>
      <c r="V404" s="93">
        <f t="shared" si="83"/>
        <v>0</v>
      </c>
    </row>
    <row r="405" spans="1:22" ht="18" customHeight="1" x14ac:dyDescent="0.2">
      <c r="A405" s="110" t="s">
        <v>865</v>
      </c>
      <c r="B405" s="111"/>
      <c r="C405" s="201" t="s">
        <v>866</v>
      </c>
      <c r="D405" s="91">
        <v>42559</v>
      </c>
      <c r="E405" s="92"/>
      <c r="F405" s="93"/>
      <c r="G405" s="93"/>
      <c r="H405" s="93">
        <v>15141.01</v>
      </c>
      <c r="I405" s="93">
        <v>12340.01</v>
      </c>
      <c r="J405" s="93"/>
      <c r="K405" s="93">
        <f t="shared" si="80"/>
        <v>0</v>
      </c>
      <c r="L405" s="93">
        <f t="shared" si="81"/>
        <v>0</v>
      </c>
      <c r="M405" s="94">
        <v>6.67</v>
      </c>
      <c r="N405" s="95" t="s">
        <v>289</v>
      </c>
      <c r="O405" s="93">
        <f t="shared" si="84"/>
        <v>0</v>
      </c>
      <c r="P405" s="93">
        <f t="shared" si="85"/>
        <v>0</v>
      </c>
      <c r="Q405" s="93">
        <f t="shared" si="86"/>
        <v>0</v>
      </c>
      <c r="R405" s="93">
        <f t="shared" si="87"/>
        <v>411</v>
      </c>
      <c r="S405" s="93">
        <f t="shared" si="88"/>
        <v>0</v>
      </c>
      <c r="T405" s="93">
        <f t="shared" si="96"/>
        <v>411</v>
      </c>
      <c r="U405" s="312">
        <f t="shared" si="82"/>
        <v>11929.01</v>
      </c>
      <c r="V405" s="93">
        <f t="shared" si="83"/>
        <v>0</v>
      </c>
    </row>
    <row r="406" spans="1:22" ht="18" customHeight="1" x14ac:dyDescent="0.2">
      <c r="A406" s="110" t="s">
        <v>867</v>
      </c>
      <c r="B406" s="111"/>
      <c r="C406" s="201" t="s">
        <v>866</v>
      </c>
      <c r="D406" s="91">
        <v>42559</v>
      </c>
      <c r="E406" s="92"/>
      <c r="F406" s="93"/>
      <c r="G406" s="93"/>
      <c r="H406" s="93">
        <v>15141.01</v>
      </c>
      <c r="I406" s="93">
        <v>7881.01</v>
      </c>
      <c r="J406" s="93"/>
      <c r="K406" s="93">
        <f t="shared" si="80"/>
        <v>0</v>
      </c>
      <c r="L406" s="93">
        <f t="shared" si="81"/>
        <v>0</v>
      </c>
      <c r="M406" s="94">
        <v>20</v>
      </c>
      <c r="N406" s="95" t="s">
        <v>289</v>
      </c>
      <c r="O406" s="93">
        <f t="shared" si="84"/>
        <v>0</v>
      </c>
      <c r="P406" s="93">
        <f t="shared" si="85"/>
        <v>0</v>
      </c>
      <c r="Q406" s="93">
        <f t="shared" si="86"/>
        <v>0</v>
      </c>
      <c r="R406" s="93">
        <f t="shared" si="87"/>
        <v>788</v>
      </c>
      <c r="S406" s="93">
        <f t="shared" si="88"/>
        <v>0</v>
      </c>
      <c r="T406" s="93">
        <f t="shared" si="96"/>
        <v>788</v>
      </c>
      <c r="U406" s="312">
        <f t="shared" si="82"/>
        <v>7093.01</v>
      </c>
      <c r="V406" s="93">
        <f t="shared" si="83"/>
        <v>0</v>
      </c>
    </row>
    <row r="407" spans="1:22" ht="18" customHeight="1" x14ac:dyDescent="0.2">
      <c r="A407" s="110" t="s">
        <v>868</v>
      </c>
      <c r="B407" s="111"/>
      <c r="C407" s="201" t="s">
        <v>866</v>
      </c>
      <c r="D407" s="91">
        <v>42559</v>
      </c>
      <c r="E407" s="92"/>
      <c r="F407" s="93"/>
      <c r="G407" s="93"/>
      <c r="H407" s="93">
        <v>15141.01</v>
      </c>
      <c r="I407" s="93">
        <v>12340.01</v>
      </c>
      <c r="J407" s="93"/>
      <c r="K407" s="93">
        <f t="shared" si="80"/>
        <v>0</v>
      </c>
      <c r="L407" s="93">
        <f t="shared" si="81"/>
        <v>0</v>
      </c>
      <c r="M407" s="94">
        <v>6.67</v>
      </c>
      <c r="N407" s="95" t="s">
        <v>289</v>
      </c>
      <c r="O407" s="93">
        <f t="shared" si="84"/>
        <v>0</v>
      </c>
      <c r="P407" s="93">
        <f t="shared" si="85"/>
        <v>0</v>
      </c>
      <c r="Q407" s="93">
        <f t="shared" si="86"/>
        <v>0</v>
      </c>
      <c r="R407" s="93">
        <f t="shared" si="87"/>
        <v>411</v>
      </c>
      <c r="S407" s="93">
        <f t="shared" si="88"/>
        <v>0</v>
      </c>
      <c r="T407" s="93">
        <f t="shared" si="96"/>
        <v>411</v>
      </c>
      <c r="U407" s="312">
        <f t="shared" si="82"/>
        <v>11929.01</v>
      </c>
      <c r="V407" s="93">
        <f t="shared" si="83"/>
        <v>0</v>
      </c>
    </row>
    <row r="408" spans="1:22" ht="18" customHeight="1" x14ac:dyDescent="0.2">
      <c r="A408" s="110" t="s">
        <v>869</v>
      </c>
      <c r="B408" s="111"/>
      <c r="C408" s="201" t="s">
        <v>866</v>
      </c>
      <c r="D408" s="91">
        <v>42559</v>
      </c>
      <c r="E408" s="92"/>
      <c r="F408" s="93"/>
      <c r="G408" s="93"/>
      <c r="H408" s="93">
        <v>15141.01</v>
      </c>
      <c r="I408" s="93">
        <v>12340.01</v>
      </c>
      <c r="J408" s="93"/>
      <c r="K408" s="93">
        <f t="shared" si="80"/>
        <v>0</v>
      </c>
      <c r="L408" s="93">
        <f t="shared" si="81"/>
        <v>0</v>
      </c>
      <c r="M408" s="94">
        <v>6.67</v>
      </c>
      <c r="N408" s="95" t="s">
        <v>289</v>
      </c>
      <c r="O408" s="93">
        <f t="shared" si="84"/>
        <v>0</v>
      </c>
      <c r="P408" s="93">
        <f t="shared" si="85"/>
        <v>0</v>
      </c>
      <c r="Q408" s="93">
        <f t="shared" si="86"/>
        <v>0</v>
      </c>
      <c r="R408" s="93">
        <f t="shared" si="87"/>
        <v>411</v>
      </c>
      <c r="S408" s="93">
        <f t="shared" si="88"/>
        <v>0</v>
      </c>
      <c r="T408" s="93">
        <f t="shared" si="96"/>
        <v>411</v>
      </c>
      <c r="U408" s="312">
        <f t="shared" si="82"/>
        <v>11929.01</v>
      </c>
      <c r="V408" s="93">
        <f t="shared" si="83"/>
        <v>0</v>
      </c>
    </row>
    <row r="409" spans="1:22" ht="18" customHeight="1" x14ac:dyDescent="0.2">
      <c r="A409" s="110" t="s">
        <v>870</v>
      </c>
      <c r="B409" s="111"/>
      <c r="C409" s="201" t="s">
        <v>866</v>
      </c>
      <c r="D409" s="91">
        <v>42559</v>
      </c>
      <c r="E409" s="92"/>
      <c r="F409" s="93"/>
      <c r="G409" s="93"/>
      <c r="H409" s="93">
        <v>15141.02</v>
      </c>
      <c r="I409" s="93">
        <v>12340.02</v>
      </c>
      <c r="J409" s="93"/>
      <c r="K409" s="93">
        <f t="shared" si="80"/>
        <v>0</v>
      </c>
      <c r="L409" s="93">
        <f t="shared" si="81"/>
        <v>0</v>
      </c>
      <c r="M409" s="94">
        <v>6.67</v>
      </c>
      <c r="N409" s="95" t="s">
        <v>289</v>
      </c>
      <c r="O409" s="93">
        <f t="shared" si="84"/>
        <v>0</v>
      </c>
      <c r="P409" s="93">
        <f t="shared" si="85"/>
        <v>0</v>
      </c>
      <c r="Q409" s="93">
        <f t="shared" si="86"/>
        <v>0</v>
      </c>
      <c r="R409" s="93">
        <f t="shared" si="87"/>
        <v>411</v>
      </c>
      <c r="S409" s="93">
        <f t="shared" si="88"/>
        <v>0</v>
      </c>
      <c r="T409" s="93">
        <f t="shared" si="96"/>
        <v>411</v>
      </c>
      <c r="U409" s="312">
        <f t="shared" si="82"/>
        <v>11929.02</v>
      </c>
      <c r="V409" s="93">
        <f t="shared" si="83"/>
        <v>0</v>
      </c>
    </row>
    <row r="410" spans="1:22" ht="18" customHeight="1" x14ac:dyDescent="0.2">
      <c r="A410" s="110" t="s">
        <v>871</v>
      </c>
      <c r="B410" s="111"/>
      <c r="C410" s="201" t="s">
        <v>872</v>
      </c>
      <c r="D410" s="91">
        <v>42559</v>
      </c>
      <c r="E410" s="92"/>
      <c r="F410" s="93"/>
      <c r="G410" s="93"/>
      <c r="H410" s="93">
        <v>20581.010000000002</v>
      </c>
      <c r="I410" s="93">
        <v>16773.010000000002</v>
      </c>
      <c r="J410" s="93"/>
      <c r="K410" s="93">
        <f t="shared" si="80"/>
        <v>0</v>
      </c>
      <c r="L410" s="93">
        <f t="shared" si="81"/>
        <v>0</v>
      </c>
      <c r="M410" s="94">
        <v>6.67</v>
      </c>
      <c r="N410" s="95" t="s">
        <v>289</v>
      </c>
      <c r="O410" s="93">
        <f t="shared" si="84"/>
        <v>0</v>
      </c>
      <c r="P410" s="93">
        <f t="shared" si="85"/>
        <v>0</v>
      </c>
      <c r="Q410" s="93">
        <f t="shared" si="86"/>
        <v>0</v>
      </c>
      <c r="R410" s="93">
        <f t="shared" si="87"/>
        <v>559</v>
      </c>
      <c r="S410" s="93">
        <f t="shared" si="88"/>
        <v>0</v>
      </c>
      <c r="T410" s="93">
        <f t="shared" si="96"/>
        <v>559</v>
      </c>
      <c r="U410" s="312">
        <f t="shared" si="82"/>
        <v>16214.010000000002</v>
      </c>
      <c r="V410" s="93">
        <f t="shared" si="83"/>
        <v>0</v>
      </c>
    </row>
    <row r="411" spans="1:22" ht="18" customHeight="1" x14ac:dyDescent="0.2">
      <c r="A411" s="110" t="s">
        <v>873</v>
      </c>
      <c r="B411" s="111"/>
      <c r="C411" s="201" t="s">
        <v>872</v>
      </c>
      <c r="D411" s="91">
        <v>42559</v>
      </c>
      <c r="E411" s="92"/>
      <c r="F411" s="93"/>
      <c r="G411" s="93"/>
      <c r="H411" s="93">
        <v>20581.010000000002</v>
      </c>
      <c r="I411" s="93">
        <v>16773.010000000002</v>
      </c>
      <c r="J411" s="93"/>
      <c r="K411" s="93">
        <f t="shared" si="80"/>
        <v>0</v>
      </c>
      <c r="L411" s="93">
        <f t="shared" si="81"/>
        <v>0</v>
      </c>
      <c r="M411" s="94">
        <v>6.67</v>
      </c>
      <c r="N411" s="95" t="s">
        <v>289</v>
      </c>
      <c r="O411" s="93">
        <f t="shared" si="84"/>
        <v>0</v>
      </c>
      <c r="P411" s="93">
        <f t="shared" si="85"/>
        <v>0</v>
      </c>
      <c r="Q411" s="93">
        <f t="shared" si="86"/>
        <v>0</v>
      </c>
      <c r="R411" s="93">
        <f t="shared" si="87"/>
        <v>559</v>
      </c>
      <c r="S411" s="93">
        <f t="shared" si="88"/>
        <v>0</v>
      </c>
      <c r="T411" s="93">
        <f t="shared" si="96"/>
        <v>559</v>
      </c>
      <c r="U411" s="312">
        <f t="shared" si="82"/>
        <v>16214.010000000002</v>
      </c>
      <c r="V411" s="93">
        <f t="shared" si="83"/>
        <v>0</v>
      </c>
    </row>
    <row r="412" spans="1:22" ht="18" customHeight="1" x14ac:dyDescent="0.2">
      <c r="A412" s="110" t="s">
        <v>874</v>
      </c>
      <c r="B412" s="111"/>
      <c r="C412" s="201" t="s">
        <v>872</v>
      </c>
      <c r="D412" s="91">
        <v>42559</v>
      </c>
      <c r="E412" s="92"/>
      <c r="F412" s="93"/>
      <c r="G412" s="93"/>
      <c r="H412" s="93">
        <v>20581.010000000002</v>
      </c>
      <c r="I412" s="93">
        <v>16773.010000000002</v>
      </c>
      <c r="J412" s="93"/>
      <c r="K412" s="93">
        <f t="shared" si="80"/>
        <v>0</v>
      </c>
      <c r="L412" s="93">
        <f t="shared" si="81"/>
        <v>0</v>
      </c>
      <c r="M412" s="94">
        <v>6.67</v>
      </c>
      <c r="N412" s="95" t="s">
        <v>289</v>
      </c>
      <c r="O412" s="93">
        <f t="shared" si="84"/>
        <v>0</v>
      </c>
      <c r="P412" s="93">
        <f t="shared" si="85"/>
        <v>0</v>
      </c>
      <c r="Q412" s="93">
        <f t="shared" si="86"/>
        <v>0</v>
      </c>
      <c r="R412" s="93">
        <f t="shared" si="87"/>
        <v>559</v>
      </c>
      <c r="S412" s="93">
        <f t="shared" si="88"/>
        <v>0</v>
      </c>
      <c r="T412" s="93">
        <f t="shared" si="96"/>
        <v>559</v>
      </c>
      <c r="U412" s="312">
        <f t="shared" si="82"/>
        <v>16214.010000000002</v>
      </c>
      <c r="V412" s="93">
        <f t="shared" si="83"/>
        <v>0</v>
      </c>
    </row>
    <row r="413" spans="1:22" ht="18" customHeight="1" x14ac:dyDescent="0.2">
      <c r="A413" s="110" t="s">
        <v>875</v>
      </c>
      <c r="B413" s="111"/>
      <c r="C413" s="201" t="s">
        <v>872</v>
      </c>
      <c r="D413" s="91">
        <v>42559</v>
      </c>
      <c r="E413" s="92"/>
      <c r="F413" s="93"/>
      <c r="G413" s="93"/>
      <c r="H413" s="93">
        <v>20581.010000000002</v>
      </c>
      <c r="I413" s="93">
        <v>16773.010000000002</v>
      </c>
      <c r="J413" s="93"/>
      <c r="K413" s="93">
        <f t="shared" si="80"/>
        <v>0</v>
      </c>
      <c r="L413" s="93">
        <f t="shared" si="81"/>
        <v>0</v>
      </c>
      <c r="M413" s="94">
        <v>6.67</v>
      </c>
      <c r="N413" s="95" t="s">
        <v>289</v>
      </c>
      <c r="O413" s="93">
        <f t="shared" si="84"/>
        <v>0</v>
      </c>
      <c r="P413" s="93">
        <f t="shared" si="85"/>
        <v>0</v>
      </c>
      <c r="Q413" s="93">
        <f t="shared" si="86"/>
        <v>0</v>
      </c>
      <c r="R413" s="93">
        <f t="shared" si="87"/>
        <v>559</v>
      </c>
      <c r="S413" s="93">
        <f t="shared" si="88"/>
        <v>0</v>
      </c>
      <c r="T413" s="93">
        <f t="shared" si="96"/>
        <v>559</v>
      </c>
      <c r="U413" s="312">
        <f t="shared" si="82"/>
        <v>16214.010000000002</v>
      </c>
      <c r="V413" s="93">
        <f t="shared" si="83"/>
        <v>0</v>
      </c>
    </row>
    <row r="414" spans="1:22" ht="18" customHeight="1" x14ac:dyDescent="0.2">
      <c r="A414" s="110" t="s">
        <v>876</v>
      </c>
      <c r="B414" s="111"/>
      <c r="C414" s="201" t="s">
        <v>872</v>
      </c>
      <c r="D414" s="91">
        <v>42559</v>
      </c>
      <c r="E414" s="92"/>
      <c r="F414" s="93"/>
      <c r="G414" s="93"/>
      <c r="H414" s="93">
        <v>20581.010000000002</v>
      </c>
      <c r="I414" s="93">
        <v>16773.010000000002</v>
      </c>
      <c r="J414" s="93"/>
      <c r="K414" s="93">
        <f t="shared" si="80"/>
        <v>0</v>
      </c>
      <c r="L414" s="93">
        <f t="shared" si="81"/>
        <v>0</v>
      </c>
      <c r="M414" s="94">
        <v>6.67</v>
      </c>
      <c r="N414" s="95" t="s">
        <v>289</v>
      </c>
      <c r="O414" s="93">
        <f t="shared" si="84"/>
        <v>0</v>
      </c>
      <c r="P414" s="93">
        <f t="shared" si="85"/>
        <v>0</v>
      </c>
      <c r="Q414" s="93">
        <f t="shared" si="86"/>
        <v>0</v>
      </c>
      <c r="R414" s="93">
        <f t="shared" si="87"/>
        <v>559</v>
      </c>
      <c r="S414" s="93">
        <f t="shared" si="88"/>
        <v>0</v>
      </c>
      <c r="T414" s="93">
        <f t="shared" si="96"/>
        <v>559</v>
      </c>
      <c r="U414" s="312">
        <f t="shared" si="82"/>
        <v>16214.010000000002</v>
      </c>
      <c r="V414" s="93">
        <f t="shared" si="83"/>
        <v>0</v>
      </c>
    </row>
    <row r="415" spans="1:22" ht="18" customHeight="1" x14ac:dyDescent="0.2">
      <c r="A415" s="110" t="s">
        <v>877</v>
      </c>
      <c r="B415" s="111"/>
      <c r="C415" s="201" t="s">
        <v>872</v>
      </c>
      <c r="D415" s="91">
        <v>42559</v>
      </c>
      <c r="E415" s="92"/>
      <c r="F415" s="93"/>
      <c r="G415" s="93"/>
      <c r="H415" s="93">
        <v>20581.010000000002</v>
      </c>
      <c r="I415" s="93">
        <v>16773.010000000002</v>
      </c>
      <c r="J415" s="93"/>
      <c r="K415" s="93">
        <f t="shared" ref="K415:K478" si="97">INT(IF($E415&gt;0,IF(+F415-I415+Q415&lt;0,0,+F415-I415+Q415),0))</f>
        <v>0</v>
      </c>
      <c r="L415" s="93">
        <f t="shared" ref="L415:L478" si="98">INT(IF($E415&gt;0,IF(K415=0,-F415+I415-Q415,0),0))</f>
        <v>0</v>
      </c>
      <c r="M415" s="94">
        <v>6.67</v>
      </c>
      <c r="N415" s="95" t="s">
        <v>289</v>
      </c>
      <c r="O415" s="93">
        <f t="shared" si="84"/>
        <v>0</v>
      </c>
      <c r="P415" s="93">
        <f t="shared" si="85"/>
        <v>0</v>
      </c>
      <c r="Q415" s="93">
        <f t="shared" si="86"/>
        <v>0</v>
      </c>
      <c r="R415" s="93">
        <f t="shared" si="87"/>
        <v>559</v>
      </c>
      <c r="S415" s="93">
        <f t="shared" si="88"/>
        <v>0</v>
      </c>
      <c r="T415" s="93">
        <f t="shared" si="96"/>
        <v>559</v>
      </c>
      <c r="U415" s="312">
        <f t="shared" ref="U415:U478" si="99">+I415+J415-T415-F415+K415-L415</f>
        <v>16214.010000000002</v>
      </c>
      <c r="V415" s="93">
        <f t="shared" ref="V415:V478" si="100">IF(E415&gt;0,+H415+J415,0)</f>
        <v>0</v>
      </c>
    </row>
    <row r="416" spans="1:22" ht="18" customHeight="1" x14ac:dyDescent="0.2">
      <c r="A416" s="110" t="s">
        <v>878</v>
      </c>
      <c r="B416" s="111"/>
      <c r="C416" s="201" t="s">
        <v>872</v>
      </c>
      <c r="D416" s="91">
        <v>42559</v>
      </c>
      <c r="E416" s="92"/>
      <c r="F416" s="93"/>
      <c r="G416" s="93"/>
      <c r="H416" s="93">
        <v>20581.010000000002</v>
      </c>
      <c r="I416" s="93">
        <v>16773.010000000002</v>
      </c>
      <c r="J416" s="93"/>
      <c r="K416" s="93">
        <f t="shared" si="97"/>
        <v>0</v>
      </c>
      <c r="L416" s="93">
        <f t="shared" si="98"/>
        <v>0</v>
      </c>
      <c r="M416" s="94">
        <v>6.67</v>
      </c>
      <c r="N416" s="95" t="s">
        <v>289</v>
      </c>
      <c r="O416" s="93">
        <f t="shared" ref="O416:O479" si="101">IF(E416&gt;0,INT(IF($N416="D",IF($D416&lt;$H$3,$I416*($M416/100)*((E416-$H$3)/365),$J416*($M416/100)*($J$3-$D416)/365),0)),0)</f>
        <v>0</v>
      </c>
      <c r="P416" s="93">
        <f t="shared" ref="P416:P479" si="102">IF(E416&gt;0,INT(IF($N416="P",IF($D416&lt;$H$3,$H416*($M416/100)*(E416-$H$3)/365,$J416*($M416/100)*($J$3-$D416)/365),0)),0)</f>
        <v>0</v>
      </c>
      <c r="Q416" s="93">
        <f t="shared" ref="Q416:Q479" si="103">+O416+P416</f>
        <v>0</v>
      </c>
      <c r="R416" s="93">
        <f t="shared" ref="R416:R479" si="104">INT(IF($E416&gt;0,0,(IF($N416="D",IF($D416&lt;$H$3,$I416*($M416/100)*$U$3/12,$J416*($M416/100)*($J$3-$D416)/365),0))))</f>
        <v>559</v>
      </c>
      <c r="S416" s="93">
        <f t="shared" ref="S416:S479" si="105">INT(IF($E416&gt;0,0,(IF($N416="P",IF($D416&lt;$H$3,$H416*($M416/100)*$U$3/12,$J416*($M416/100)*($J$3-$D416)/365),0))))</f>
        <v>0</v>
      </c>
      <c r="T416" s="93">
        <f t="shared" si="96"/>
        <v>559</v>
      </c>
      <c r="U416" s="312">
        <f t="shared" si="99"/>
        <v>16214.010000000002</v>
      </c>
      <c r="V416" s="93">
        <f t="shared" si="100"/>
        <v>0</v>
      </c>
    </row>
    <row r="417" spans="1:22" ht="18" customHeight="1" x14ac:dyDescent="0.2">
      <c r="A417" s="110" t="s">
        <v>879</v>
      </c>
      <c r="B417" s="111"/>
      <c r="C417" s="201" t="s">
        <v>872</v>
      </c>
      <c r="D417" s="91">
        <v>42559</v>
      </c>
      <c r="E417" s="92"/>
      <c r="F417" s="93"/>
      <c r="G417" s="93"/>
      <c r="H417" s="93">
        <v>20581.010000000002</v>
      </c>
      <c r="I417" s="93">
        <v>16773.010000000002</v>
      </c>
      <c r="J417" s="93"/>
      <c r="K417" s="93">
        <f t="shared" si="97"/>
        <v>0</v>
      </c>
      <c r="L417" s="93">
        <f t="shared" si="98"/>
        <v>0</v>
      </c>
      <c r="M417" s="94">
        <v>6.67</v>
      </c>
      <c r="N417" s="95" t="s">
        <v>289</v>
      </c>
      <c r="O417" s="93">
        <f t="shared" si="101"/>
        <v>0</v>
      </c>
      <c r="P417" s="93">
        <f t="shared" si="102"/>
        <v>0</v>
      </c>
      <c r="Q417" s="93">
        <f t="shared" si="103"/>
        <v>0</v>
      </c>
      <c r="R417" s="93">
        <f t="shared" si="104"/>
        <v>559</v>
      </c>
      <c r="S417" s="93">
        <f t="shared" si="105"/>
        <v>0</v>
      </c>
      <c r="T417" s="93">
        <f t="shared" si="96"/>
        <v>559</v>
      </c>
      <c r="U417" s="312">
        <f t="shared" si="99"/>
        <v>16214.010000000002</v>
      </c>
      <c r="V417" s="93">
        <f t="shared" si="100"/>
        <v>0</v>
      </c>
    </row>
    <row r="418" spans="1:22" ht="18" customHeight="1" x14ac:dyDescent="0.2">
      <c r="A418" s="110" t="s">
        <v>880</v>
      </c>
      <c r="B418" s="111"/>
      <c r="C418" s="201" t="s">
        <v>872</v>
      </c>
      <c r="D418" s="91">
        <v>42559</v>
      </c>
      <c r="E418" s="92"/>
      <c r="F418" s="93"/>
      <c r="G418" s="93"/>
      <c r="H418" s="93">
        <v>20581.010000000002</v>
      </c>
      <c r="I418" s="93">
        <v>16773.010000000002</v>
      </c>
      <c r="J418" s="93"/>
      <c r="K418" s="93">
        <f t="shared" si="97"/>
        <v>0</v>
      </c>
      <c r="L418" s="93">
        <f t="shared" si="98"/>
        <v>0</v>
      </c>
      <c r="M418" s="94">
        <v>6.67</v>
      </c>
      <c r="N418" s="95" t="s">
        <v>289</v>
      </c>
      <c r="O418" s="93">
        <f t="shared" si="101"/>
        <v>0</v>
      </c>
      <c r="P418" s="93">
        <f t="shared" si="102"/>
        <v>0</v>
      </c>
      <c r="Q418" s="93">
        <f t="shared" si="103"/>
        <v>0</v>
      </c>
      <c r="R418" s="93">
        <f t="shared" si="104"/>
        <v>559</v>
      </c>
      <c r="S418" s="93">
        <f t="shared" si="105"/>
        <v>0</v>
      </c>
      <c r="T418" s="93">
        <f t="shared" si="96"/>
        <v>559</v>
      </c>
      <c r="U418" s="312">
        <f t="shared" si="99"/>
        <v>16214.010000000002</v>
      </c>
      <c r="V418" s="93">
        <f t="shared" si="100"/>
        <v>0</v>
      </c>
    </row>
    <row r="419" spans="1:22" ht="18" customHeight="1" x14ac:dyDescent="0.2">
      <c r="A419" s="110" t="s">
        <v>881</v>
      </c>
      <c r="B419" s="111"/>
      <c r="C419" s="201" t="s">
        <v>872</v>
      </c>
      <c r="D419" s="91">
        <v>42559</v>
      </c>
      <c r="E419" s="92"/>
      <c r="F419" s="93"/>
      <c r="G419" s="93"/>
      <c r="H419" s="93">
        <v>20581.03</v>
      </c>
      <c r="I419" s="93">
        <v>16773.03</v>
      </c>
      <c r="J419" s="93"/>
      <c r="K419" s="93">
        <f t="shared" si="97"/>
        <v>0</v>
      </c>
      <c r="L419" s="93">
        <f t="shared" si="98"/>
        <v>0</v>
      </c>
      <c r="M419" s="94">
        <v>6.67</v>
      </c>
      <c r="N419" s="95" t="s">
        <v>289</v>
      </c>
      <c r="O419" s="93">
        <f t="shared" si="101"/>
        <v>0</v>
      </c>
      <c r="P419" s="93">
        <f t="shared" si="102"/>
        <v>0</v>
      </c>
      <c r="Q419" s="93">
        <f t="shared" si="103"/>
        <v>0</v>
      </c>
      <c r="R419" s="93">
        <f t="shared" si="104"/>
        <v>559</v>
      </c>
      <c r="S419" s="93">
        <f t="shared" si="105"/>
        <v>0</v>
      </c>
      <c r="T419" s="93">
        <f t="shared" si="96"/>
        <v>559</v>
      </c>
      <c r="U419" s="312">
        <f t="shared" si="99"/>
        <v>16214.029999999999</v>
      </c>
      <c r="V419" s="93">
        <f t="shared" si="100"/>
        <v>0</v>
      </c>
    </row>
    <row r="420" spans="1:22" ht="18" customHeight="1" x14ac:dyDescent="0.2">
      <c r="A420" s="110" t="s">
        <v>882</v>
      </c>
      <c r="B420" s="111"/>
      <c r="C420" s="201" t="s">
        <v>872</v>
      </c>
      <c r="D420" s="91">
        <v>42559</v>
      </c>
      <c r="E420" s="92"/>
      <c r="F420" s="93"/>
      <c r="G420" s="93"/>
      <c r="H420" s="93">
        <v>16011.01</v>
      </c>
      <c r="I420" s="93">
        <v>13048.01</v>
      </c>
      <c r="J420" s="93"/>
      <c r="K420" s="93">
        <f t="shared" si="97"/>
        <v>0</v>
      </c>
      <c r="L420" s="93">
        <f t="shared" si="98"/>
        <v>0</v>
      </c>
      <c r="M420" s="94">
        <v>6.67</v>
      </c>
      <c r="N420" s="95" t="s">
        <v>289</v>
      </c>
      <c r="O420" s="93">
        <f t="shared" si="101"/>
        <v>0</v>
      </c>
      <c r="P420" s="93">
        <f t="shared" si="102"/>
        <v>0</v>
      </c>
      <c r="Q420" s="93">
        <f t="shared" si="103"/>
        <v>0</v>
      </c>
      <c r="R420" s="93">
        <f t="shared" si="104"/>
        <v>435</v>
      </c>
      <c r="S420" s="93">
        <f t="shared" si="105"/>
        <v>0</v>
      </c>
      <c r="T420" s="93">
        <f t="shared" si="96"/>
        <v>435</v>
      </c>
      <c r="U420" s="312">
        <f t="shared" si="99"/>
        <v>12613.01</v>
      </c>
      <c r="V420" s="93">
        <f t="shared" si="100"/>
        <v>0</v>
      </c>
    </row>
    <row r="421" spans="1:22" ht="18" customHeight="1" x14ac:dyDescent="0.2">
      <c r="A421" s="110" t="s">
        <v>883</v>
      </c>
      <c r="B421" s="111"/>
      <c r="C421" s="201" t="s">
        <v>872</v>
      </c>
      <c r="D421" s="91">
        <v>42559</v>
      </c>
      <c r="E421" s="92"/>
      <c r="F421" s="93"/>
      <c r="G421" s="93"/>
      <c r="H421" s="93">
        <v>16011.01</v>
      </c>
      <c r="I421" s="93">
        <v>13048.01</v>
      </c>
      <c r="J421" s="93"/>
      <c r="K421" s="93">
        <f t="shared" si="97"/>
        <v>0</v>
      </c>
      <c r="L421" s="93">
        <f t="shared" si="98"/>
        <v>0</v>
      </c>
      <c r="M421" s="94">
        <v>6.67</v>
      </c>
      <c r="N421" s="95" t="s">
        <v>289</v>
      </c>
      <c r="O421" s="93">
        <f t="shared" si="101"/>
        <v>0</v>
      </c>
      <c r="P421" s="93">
        <f t="shared" si="102"/>
        <v>0</v>
      </c>
      <c r="Q421" s="93">
        <f t="shared" si="103"/>
        <v>0</v>
      </c>
      <c r="R421" s="93">
        <f t="shared" si="104"/>
        <v>435</v>
      </c>
      <c r="S421" s="93">
        <f t="shared" si="105"/>
        <v>0</v>
      </c>
      <c r="T421" s="93">
        <f t="shared" si="96"/>
        <v>435</v>
      </c>
      <c r="U421" s="312">
        <f t="shared" si="99"/>
        <v>12613.01</v>
      </c>
      <c r="V421" s="93">
        <f t="shared" si="100"/>
        <v>0</v>
      </c>
    </row>
    <row r="422" spans="1:22" ht="18" customHeight="1" x14ac:dyDescent="0.2">
      <c r="A422" s="110" t="s">
        <v>884</v>
      </c>
      <c r="B422" s="111"/>
      <c r="C422" s="201" t="s">
        <v>872</v>
      </c>
      <c r="D422" s="91">
        <v>42559</v>
      </c>
      <c r="E422" s="92"/>
      <c r="F422" s="93"/>
      <c r="G422" s="93"/>
      <c r="H422" s="93">
        <v>16011.01</v>
      </c>
      <c r="I422" s="93">
        <v>13048.01</v>
      </c>
      <c r="J422" s="93"/>
      <c r="K422" s="93">
        <f t="shared" si="97"/>
        <v>0</v>
      </c>
      <c r="L422" s="93">
        <f t="shared" si="98"/>
        <v>0</v>
      </c>
      <c r="M422" s="94">
        <v>6.67</v>
      </c>
      <c r="N422" s="95" t="s">
        <v>289</v>
      </c>
      <c r="O422" s="93">
        <f t="shared" si="101"/>
        <v>0</v>
      </c>
      <c r="P422" s="93">
        <f t="shared" si="102"/>
        <v>0</v>
      </c>
      <c r="Q422" s="93">
        <f t="shared" si="103"/>
        <v>0</v>
      </c>
      <c r="R422" s="93">
        <f t="shared" si="104"/>
        <v>435</v>
      </c>
      <c r="S422" s="93">
        <f t="shared" si="105"/>
        <v>0</v>
      </c>
      <c r="T422" s="93">
        <f t="shared" si="96"/>
        <v>435</v>
      </c>
      <c r="U422" s="312">
        <f t="shared" si="99"/>
        <v>12613.01</v>
      </c>
      <c r="V422" s="93">
        <f t="shared" si="100"/>
        <v>0</v>
      </c>
    </row>
    <row r="423" spans="1:22" ht="18" customHeight="1" x14ac:dyDescent="0.2">
      <c r="A423" s="110" t="s">
        <v>885</v>
      </c>
      <c r="B423" s="111"/>
      <c r="C423" s="201" t="s">
        <v>872</v>
      </c>
      <c r="D423" s="91">
        <v>42559</v>
      </c>
      <c r="E423" s="92"/>
      <c r="F423" s="93"/>
      <c r="G423" s="93"/>
      <c r="H423" s="93">
        <v>16011.01</v>
      </c>
      <c r="I423" s="93">
        <v>13048.01</v>
      </c>
      <c r="J423" s="93"/>
      <c r="K423" s="93">
        <f t="shared" si="97"/>
        <v>0</v>
      </c>
      <c r="L423" s="93">
        <f t="shared" si="98"/>
        <v>0</v>
      </c>
      <c r="M423" s="94">
        <v>6.67</v>
      </c>
      <c r="N423" s="95" t="s">
        <v>289</v>
      </c>
      <c r="O423" s="93">
        <f t="shared" si="101"/>
        <v>0</v>
      </c>
      <c r="P423" s="93">
        <f t="shared" si="102"/>
        <v>0</v>
      </c>
      <c r="Q423" s="93">
        <f t="shared" si="103"/>
        <v>0</v>
      </c>
      <c r="R423" s="93">
        <f t="shared" si="104"/>
        <v>435</v>
      </c>
      <c r="S423" s="93">
        <f t="shared" si="105"/>
        <v>0</v>
      </c>
      <c r="T423" s="93">
        <f t="shared" si="96"/>
        <v>435</v>
      </c>
      <c r="U423" s="312">
        <f t="shared" si="99"/>
        <v>12613.01</v>
      </c>
      <c r="V423" s="93">
        <f t="shared" si="100"/>
        <v>0</v>
      </c>
    </row>
    <row r="424" spans="1:22" ht="18" customHeight="1" x14ac:dyDescent="0.2">
      <c r="A424" s="110" t="s">
        <v>886</v>
      </c>
      <c r="B424" s="111"/>
      <c r="C424" s="201" t="s">
        <v>872</v>
      </c>
      <c r="D424" s="91">
        <v>42559</v>
      </c>
      <c r="E424" s="92"/>
      <c r="F424" s="93"/>
      <c r="G424" s="93"/>
      <c r="H424" s="93">
        <v>16011.01</v>
      </c>
      <c r="I424" s="93">
        <v>13048.01</v>
      </c>
      <c r="J424" s="93"/>
      <c r="K424" s="93">
        <f t="shared" si="97"/>
        <v>0</v>
      </c>
      <c r="L424" s="93">
        <f t="shared" si="98"/>
        <v>0</v>
      </c>
      <c r="M424" s="94">
        <v>6.67</v>
      </c>
      <c r="N424" s="95" t="s">
        <v>289</v>
      </c>
      <c r="O424" s="93">
        <f t="shared" si="101"/>
        <v>0</v>
      </c>
      <c r="P424" s="93">
        <f t="shared" si="102"/>
        <v>0</v>
      </c>
      <c r="Q424" s="93">
        <f t="shared" si="103"/>
        <v>0</v>
      </c>
      <c r="R424" s="93">
        <f t="shared" si="104"/>
        <v>435</v>
      </c>
      <c r="S424" s="93">
        <f t="shared" si="105"/>
        <v>0</v>
      </c>
      <c r="T424" s="93">
        <f t="shared" si="96"/>
        <v>435</v>
      </c>
      <c r="U424" s="312">
        <f t="shared" si="99"/>
        <v>12613.01</v>
      </c>
      <c r="V424" s="93">
        <f t="shared" si="100"/>
        <v>0</v>
      </c>
    </row>
    <row r="425" spans="1:22" ht="18" customHeight="1" x14ac:dyDescent="0.2">
      <c r="A425" s="110" t="s">
        <v>887</v>
      </c>
      <c r="B425" s="111"/>
      <c r="C425" s="201" t="s">
        <v>872</v>
      </c>
      <c r="D425" s="91">
        <v>42559</v>
      </c>
      <c r="E425" s="92"/>
      <c r="F425" s="93"/>
      <c r="G425" s="93"/>
      <c r="H425" s="93">
        <v>16011.01</v>
      </c>
      <c r="I425" s="93">
        <v>13048.01</v>
      </c>
      <c r="J425" s="93"/>
      <c r="K425" s="93">
        <f t="shared" si="97"/>
        <v>0</v>
      </c>
      <c r="L425" s="93">
        <f t="shared" si="98"/>
        <v>0</v>
      </c>
      <c r="M425" s="94">
        <v>6.67</v>
      </c>
      <c r="N425" s="95" t="s">
        <v>289</v>
      </c>
      <c r="O425" s="93">
        <f t="shared" si="101"/>
        <v>0</v>
      </c>
      <c r="P425" s="93">
        <f t="shared" si="102"/>
        <v>0</v>
      </c>
      <c r="Q425" s="93">
        <f t="shared" si="103"/>
        <v>0</v>
      </c>
      <c r="R425" s="93">
        <f t="shared" si="104"/>
        <v>435</v>
      </c>
      <c r="S425" s="93">
        <f t="shared" si="105"/>
        <v>0</v>
      </c>
      <c r="T425" s="93">
        <f t="shared" si="96"/>
        <v>435</v>
      </c>
      <c r="U425" s="312">
        <f t="shared" si="99"/>
        <v>12613.01</v>
      </c>
      <c r="V425" s="93">
        <f t="shared" si="100"/>
        <v>0</v>
      </c>
    </row>
    <row r="426" spans="1:22" ht="18" customHeight="1" x14ac:dyDescent="0.2">
      <c r="A426" s="110" t="s">
        <v>888</v>
      </c>
      <c r="B426" s="111"/>
      <c r="C426" s="201" t="s">
        <v>872</v>
      </c>
      <c r="D426" s="91">
        <v>42559</v>
      </c>
      <c r="E426" s="92"/>
      <c r="F426" s="93"/>
      <c r="G426" s="93"/>
      <c r="H426" s="93">
        <v>16011.01</v>
      </c>
      <c r="I426" s="93">
        <v>13048.01</v>
      </c>
      <c r="J426" s="93"/>
      <c r="K426" s="93">
        <f t="shared" si="97"/>
        <v>0</v>
      </c>
      <c r="L426" s="93">
        <f t="shared" si="98"/>
        <v>0</v>
      </c>
      <c r="M426" s="94">
        <v>6.67</v>
      </c>
      <c r="N426" s="95" t="s">
        <v>289</v>
      </c>
      <c r="O426" s="93">
        <f t="shared" si="101"/>
        <v>0</v>
      </c>
      <c r="P426" s="93">
        <f t="shared" si="102"/>
        <v>0</v>
      </c>
      <c r="Q426" s="93">
        <f t="shared" si="103"/>
        <v>0</v>
      </c>
      <c r="R426" s="93">
        <f t="shared" si="104"/>
        <v>435</v>
      </c>
      <c r="S426" s="93">
        <f t="shared" si="105"/>
        <v>0</v>
      </c>
      <c r="T426" s="93">
        <f t="shared" si="96"/>
        <v>435</v>
      </c>
      <c r="U426" s="312">
        <f t="shared" si="99"/>
        <v>12613.01</v>
      </c>
      <c r="V426" s="93">
        <f t="shared" si="100"/>
        <v>0</v>
      </c>
    </row>
    <row r="427" spans="1:22" ht="18" customHeight="1" x14ac:dyDescent="0.2">
      <c r="A427" s="110" t="s">
        <v>889</v>
      </c>
      <c r="B427" s="111"/>
      <c r="C427" s="201" t="s">
        <v>872</v>
      </c>
      <c r="D427" s="91">
        <v>42559</v>
      </c>
      <c r="E427" s="92"/>
      <c r="F427" s="93"/>
      <c r="G427" s="93"/>
      <c r="H427" s="93">
        <v>16011.01</v>
      </c>
      <c r="I427" s="93">
        <v>13048.01</v>
      </c>
      <c r="J427" s="93"/>
      <c r="K427" s="93">
        <f t="shared" si="97"/>
        <v>0</v>
      </c>
      <c r="L427" s="93">
        <f t="shared" si="98"/>
        <v>0</v>
      </c>
      <c r="M427" s="94">
        <v>6.67</v>
      </c>
      <c r="N427" s="95" t="s">
        <v>289</v>
      </c>
      <c r="O427" s="93">
        <f t="shared" si="101"/>
        <v>0</v>
      </c>
      <c r="P427" s="93">
        <f t="shared" si="102"/>
        <v>0</v>
      </c>
      <c r="Q427" s="93">
        <f t="shared" si="103"/>
        <v>0</v>
      </c>
      <c r="R427" s="93">
        <f t="shared" si="104"/>
        <v>435</v>
      </c>
      <c r="S427" s="93">
        <f t="shared" si="105"/>
        <v>0</v>
      </c>
      <c r="T427" s="93">
        <f t="shared" si="96"/>
        <v>435</v>
      </c>
      <c r="U427" s="312">
        <f t="shared" si="99"/>
        <v>12613.01</v>
      </c>
      <c r="V427" s="93">
        <f t="shared" si="100"/>
        <v>0</v>
      </c>
    </row>
    <row r="428" spans="1:22" ht="18" customHeight="1" x14ac:dyDescent="0.2">
      <c r="A428" s="110" t="s">
        <v>890</v>
      </c>
      <c r="B428" s="111"/>
      <c r="C428" s="201" t="s">
        <v>872</v>
      </c>
      <c r="D428" s="91">
        <v>42559</v>
      </c>
      <c r="E428" s="92"/>
      <c r="F428" s="93"/>
      <c r="G428" s="93"/>
      <c r="H428" s="93">
        <v>16011.01</v>
      </c>
      <c r="I428" s="93">
        <v>13048.01</v>
      </c>
      <c r="J428" s="93"/>
      <c r="K428" s="93">
        <f t="shared" si="97"/>
        <v>0</v>
      </c>
      <c r="L428" s="93">
        <f t="shared" si="98"/>
        <v>0</v>
      </c>
      <c r="M428" s="94">
        <v>6.67</v>
      </c>
      <c r="N428" s="95" t="s">
        <v>289</v>
      </c>
      <c r="O428" s="93">
        <f t="shared" si="101"/>
        <v>0</v>
      </c>
      <c r="P428" s="93">
        <f t="shared" si="102"/>
        <v>0</v>
      </c>
      <c r="Q428" s="93">
        <f t="shared" si="103"/>
        <v>0</v>
      </c>
      <c r="R428" s="93">
        <f t="shared" si="104"/>
        <v>435</v>
      </c>
      <c r="S428" s="93">
        <f t="shared" si="105"/>
        <v>0</v>
      </c>
      <c r="T428" s="93">
        <f t="shared" si="96"/>
        <v>435</v>
      </c>
      <c r="U428" s="312">
        <f t="shared" si="99"/>
        <v>12613.01</v>
      </c>
      <c r="V428" s="93">
        <f t="shared" si="100"/>
        <v>0</v>
      </c>
    </row>
    <row r="429" spans="1:22" ht="18" customHeight="1" x14ac:dyDescent="0.2">
      <c r="A429" s="110" t="s">
        <v>891</v>
      </c>
      <c r="B429" s="111"/>
      <c r="C429" s="201" t="s">
        <v>872</v>
      </c>
      <c r="D429" s="91">
        <v>42559</v>
      </c>
      <c r="E429" s="92"/>
      <c r="F429" s="93"/>
      <c r="G429" s="93"/>
      <c r="H429" s="93">
        <v>16011.03</v>
      </c>
      <c r="I429" s="93">
        <v>13048.03</v>
      </c>
      <c r="J429" s="93"/>
      <c r="K429" s="93">
        <f t="shared" si="97"/>
        <v>0</v>
      </c>
      <c r="L429" s="93">
        <f t="shared" si="98"/>
        <v>0</v>
      </c>
      <c r="M429" s="94">
        <v>6.67</v>
      </c>
      <c r="N429" s="95" t="s">
        <v>289</v>
      </c>
      <c r="O429" s="93">
        <f t="shared" si="101"/>
        <v>0</v>
      </c>
      <c r="P429" s="93">
        <f t="shared" si="102"/>
        <v>0</v>
      </c>
      <c r="Q429" s="93">
        <f t="shared" si="103"/>
        <v>0</v>
      </c>
      <c r="R429" s="93">
        <f t="shared" si="104"/>
        <v>435</v>
      </c>
      <c r="S429" s="93">
        <f t="shared" si="105"/>
        <v>0</v>
      </c>
      <c r="T429" s="93">
        <f t="shared" si="96"/>
        <v>435</v>
      </c>
      <c r="U429" s="312">
        <f t="shared" si="99"/>
        <v>12613.03</v>
      </c>
      <c r="V429" s="93">
        <f t="shared" si="100"/>
        <v>0</v>
      </c>
    </row>
    <row r="430" spans="1:22" ht="18" customHeight="1" x14ac:dyDescent="0.2">
      <c r="A430" s="110" t="s">
        <v>892</v>
      </c>
      <c r="B430" s="111"/>
      <c r="C430" s="201" t="s">
        <v>893</v>
      </c>
      <c r="D430" s="91">
        <v>42559</v>
      </c>
      <c r="E430" s="92"/>
      <c r="F430" s="93"/>
      <c r="G430" s="93"/>
      <c r="H430" s="93">
        <v>14261.01</v>
      </c>
      <c r="I430" s="93">
        <v>11621.01</v>
      </c>
      <c r="J430" s="93"/>
      <c r="K430" s="93">
        <f t="shared" si="97"/>
        <v>0</v>
      </c>
      <c r="L430" s="93">
        <f t="shared" si="98"/>
        <v>0</v>
      </c>
      <c r="M430" s="94">
        <v>6.67</v>
      </c>
      <c r="N430" s="95" t="s">
        <v>289</v>
      </c>
      <c r="O430" s="93">
        <f t="shared" si="101"/>
        <v>0</v>
      </c>
      <c r="P430" s="93">
        <f t="shared" si="102"/>
        <v>0</v>
      </c>
      <c r="Q430" s="93">
        <f t="shared" si="103"/>
        <v>0</v>
      </c>
      <c r="R430" s="93">
        <f t="shared" si="104"/>
        <v>387</v>
      </c>
      <c r="S430" s="93">
        <f t="shared" si="105"/>
        <v>0</v>
      </c>
      <c r="T430" s="93">
        <f t="shared" si="96"/>
        <v>387</v>
      </c>
      <c r="U430" s="312">
        <f t="shared" si="99"/>
        <v>11234.01</v>
      </c>
      <c r="V430" s="93">
        <f t="shared" si="100"/>
        <v>0</v>
      </c>
    </row>
    <row r="431" spans="1:22" ht="18" customHeight="1" x14ac:dyDescent="0.2">
      <c r="A431" s="110" t="s">
        <v>894</v>
      </c>
      <c r="B431" s="111"/>
      <c r="C431" s="201" t="s">
        <v>895</v>
      </c>
      <c r="D431" s="91">
        <v>42634</v>
      </c>
      <c r="E431" s="92"/>
      <c r="F431" s="93"/>
      <c r="G431" s="93"/>
      <c r="H431" s="93">
        <v>7161.01</v>
      </c>
      <c r="I431" s="93">
        <v>4846.01</v>
      </c>
      <c r="J431" s="93"/>
      <c r="K431" s="93">
        <f t="shared" si="97"/>
        <v>0</v>
      </c>
      <c r="L431" s="93">
        <f t="shared" si="98"/>
        <v>0</v>
      </c>
      <c r="M431" s="94">
        <v>13.33</v>
      </c>
      <c r="N431" s="95" t="s">
        <v>289</v>
      </c>
      <c r="O431" s="93">
        <f t="shared" si="101"/>
        <v>0</v>
      </c>
      <c r="P431" s="93">
        <f t="shared" si="102"/>
        <v>0</v>
      </c>
      <c r="Q431" s="93">
        <f t="shared" si="103"/>
        <v>0</v>
      </c>
      <c r="R431" s="93">
        <f t="shared" si="104"/>
        <v>322</v>
      </c>
      <c r="S431" s="93">
        <f t="shared" si="105"/>
        <v>0</v>
      </c>
      <c r="T431" s="93">
        <f t="shared" si="96"/>
        <v>322</v>
      </c>
      <c r="U431" s="312">
        <f t="shared" si="99"/>
        <v>4524.01</v>
      </c>
      <c r="V431" s="93">
        <f t="shared" si="100"/>
        <v>0</v>
      </c>
    </row>
    <row r="432" spans="1:22" ht="18" customHeight="1" x14ac:dyDescent="0.2">
      <c r="A432" s="110" t="s">
        <v>896</v>
      </c>
      <c r="B432" s="111"/>
      <c r="C432" s="201" t="s">
        <v>897</v>
      </c>
      <c r="D432" s="91">
        <v>42782</v>
      </c>
      <c r="E432" s="92"/>
      <c r="F432" s="93"/>
      <c r="G432" s="93"/>
      <c r="H432" s="93">
        <v>4493.01</v>
      </c>
      <c r="I432" s="93">
        <v>3822.01</v>
      </c>
      <c r="J432" s="93"/>
      <c r="K432" s="93">
        <f t="shared" si="97"/>
        <v>0</v>
      </c>
      <c r="L432" s="93">
        <f t="shared" si="98"/>
        <v>0</v>
      </c>
      <c r="M432" s="94">
        <v>6.67</v>
      </c>
      <c r="N432" s="95" t="s">
        <v>289</v>
      </c>
      <c r="O432" s="93">
        <f t="shared" si="101"/>
        <v>0</v>
      </c>
      <c r="P432" s="93">
        <f t="shared" si="102"/>
        <v>0</v>
      </c>
      <c r="Q432" s="93">
        <f t="shared" si="103"/>
        <v>0</v>
      </c>
      <c r="R432" s="93">
        <f t="shared" si="104"/>
        <v>127</v>
      </c>
      <c r="S432" s="93">
        <f t="shared" si="105"/>
        <v>0</v>
      </c>
      <c r="T432" s="93">
        <f t="shared" si="96"/>
        <v>127</v>
      </c>
      <c r="U432" s="312">
        <f t="shared" si="99"/>
        <v>3695.01</v>
      </c>
      <c r="V432" s="93">
        <f t="shared" si="100"/>
        <v>0</v>
      </c>
    </row>
    <row r="433" spans="1:22" ht="18" customHeight="1" x14ac:dyDescent="0.2">
      <c r="A433" s="110" t="s">
        <v>898</v>
      </c>
      <c r="B433" s="111"/>
      <c r="C433" s="201" t="s">
        <v>899</v>
      </c>
      <c r="D433" s="91">
        <v>42782</v>
      </c>
      <c r="E433" s="92"/>
      <c r="F433" s="93"/>
      <c r="G433" s="93"/>
      <c r="H433" s="93">
        <v>10161.01</v>
      </c>
      <c r="I433" s="93">
        <v>7290.01</v>
      </c>
      <c r="J433" s="93"/>
      <c r="K433" s="93">
        <f t="shared" si="97"/>
        <v>0</v>
      </c>
      <c r="L433" s="93">
        <f t="shared" si="98"/>
        <v>0</v>
      </c>
      <c r="M433" s="94">
        <v>13.33</v>
      </c>
      <c r="N433" s="95" t="s">
        <v>289</v>
      </c>
      <c r="O433" s="93">
        <f t="shared" si="101"/>
        <v>0</v>
      </c>
      <c r="P433" s="93">
        <f t="shared" si="102"/>
        <v>0</v>
      </c>
      <c r="Q433" s="93">
        <f t="shared" si="103"/>
        <v>0</v>
      </c>
      <c r="R433" s="93">
        <f t="shared" si="104"/>
        <v>485</v>
      </c>
      <c r="S433" s="93">
        <f t="shared" si="105"/>
        <v>0</v>
      </c>
      <c r="T433" s="93">
        <f t="shared" si="96"/>
        <v>485</v>
      </c>
      <c r="U433" s="312">
        <f t="shared" si="99"/>
        <v>6805.01</v>
      </c>
      <c r="V433" s="93">
        <f t="shared" si="100"/>
        <v>0</v>
      </c>
    </row>
    <row r="434" spans="1:22" ht="18" customHeight="1" x14ac:dyDescent="0.2">
      <c r="A434" s="110" t="s">
        <v>900</v>
      </c>
      <c r="B434" s="111"/>
      <c r="C434" s="201" t="s">
        <v>899</v>
      </c>
      <c r="D434" s="91">
        <v>42782</v>
      </c>
      <c r="E434" s="92"/>
      <c r="F434" s="93"/>
      <c r="G434" s="93"/>
      <c r="H434" s="93">
        <v>10161.01</v>
      </c>
      <c r="I434" s="93">
        <v>7290.01</v>
      </c>
      <c r="J434" s="93"/>
      <c r="K434" s="93">
        <f t="shared" si="97"/>
        <v>0</v>
      </c>
      <c r="L434" s="93">
        <f t="shared" si="98"/>
        <v>0</v>
      </c>
      <c r="M434" s="94">
        <v>13.33</v>
      </c>
      <c r="N434" s="95" t="s">
        <v>289</v>
      </c>
      <c r="O434" s="93">
        <f t="shared" si="101"/>
        <v>0</v>
      </c>
      <c r="P434" s="93">
        <f t="shared" si="102"/>
        <v>0</v>
      </c>
      <c r="Q434" s="93">
        <f t="shared" si="103"/>
        <v>0</v>
      </c>
      <c r="R434" s="93">
        <f t="shared" si="104"/>
        <v>485</v>
      </c>
      <c r="S434" s="93">
        <f t="shared" si="105"/>
        <v>0</v>
      </c>
      <c r="T434" s="93">
        <f t="shared" si="96"/>
        <v>485</v>
      </c>
      <c r="U434" s="312">
        <f t="shared" si="99"/>
        <v>6805.01</v>
      </c>
      <c r="V434" s="93">
        <f t="shared" si="100"/>
        <v>0</v>
      </c>
    </row>
    <row r="435" spans="1:22" ht="18" customHeight="1" x14ac:dyDescent="0.2">
      <c r="A435" s="110" t="s">
        <v>901</v>
      </c>
      <c r="B435" s="111"/>
      <c r="C435" s="201" t="s">
        <v>899</v>
      </c>
      <c r="D435" s="91">
        <v>42782</v>
      </c>
      <c r="E435" s="92"/>
      <c r="F435" s="93"/>
      <c r="G435" s="93"/>
      <c r="H435" s="93">
        <v>10161.02</v>
      </c>
      <c r="I435" s="93">
        <v>7290.02</v>
      </c>
      <c r="J435" s="93"/>
      <c r="K435" s="93">
        <f t="shared" si="97"/>
        <v>0</v>
      </c>
      <c r="L435" s="93">
        <f t="shared" si="98"/>
        <v>0</v>
      </c>
      <c r="M435" s="94">
        <v>13.33</v>
      </c>
      <c r="N435" s="95" t="s">
        <v>289</v>
      </c>
      <c r="O435" s="93">
        <f t="shared" si="101"/>
        <v>0</v>
      </c>
      <c r="P435" s="93">
        <f t="shared" si="102"/>
        <v>0</v>
      </c>
      <c r="Q435" s="93">
        <f t="shared" si="103"/>
        <v>0</v>
      </c>
      <c r="R435" s="93">
        <f t="shared" si="104"/>
        <v>485</v>
      </c>
      <c r="S435" s="93">
        <f t="shared" si="105"/>
        <v>0</v>
      </c>
      <c r="T435" s="93">
        <f t="shared" si="96"/>
        <v>485</v>
      </c>
      <c r="U435" s="312">
        <f t="shared" si="99"/>
        <v>6805.02</v>
      </c>
      <c r="V435" s="93">
        <f t="shared" si="100"/>
        <v>0</v>
      </c>
    </row>
    <row r="436" spans="1:22" ht="18" customHeight="1" x14ac:dyDescent="0.2">
      <c r="A436" s="110" t="s">
        <v>902</v>
      </c>
      <c r="B436" s="111"/>
      <c r="C436" s="201" t="s">
        <v>903</v>
      </c>
      <c r="D436" s="91">
        <v>42879</v>
      </c>
      <c r="E436" s="92"/>
      <c r="F436" s="93"/>
      <c r="G436" s="93"/>
      <c r="H436" s="93">
        <v>103895.25</v>
      </c>
      <c r="I436" s="93">
        <v>83482.25</v>
      </c>
      <c r="J436" s="93"/>
      <c r="K436" s="93">
        <f t="shared" si="97"/>
        <v>0</v>
      </c>
      <c r="L436" s="93">
        <f t="shared" si="98"/>
        <v>0</v>
      </c>
      <c r="M436" s="94">
        <v>10</v>
      </c>
      <c r="N436" s="95" t="s">
        <v>289</v>
      </c>
      <c r="O436" s="93">
        <f t="shared" si="101"/>
        <v>0</v>
      </c>
      <c r="P436" s="93">
        <f t="shared" si="102"/>
        <v>0</v>
      </c>
      <c r="Q436" s="93">
        <f t="shared" si="103"/>
        <v>0</v>
      </c>
      <c r="R436" s="93">
        <f t="shared" si="104"/>
        <v>4174</v>
      </c>
      <c r="S436" s="93">
        <f t="shared" si="105"/>
        <v>0</v>
      </c>
      <c r="T436" s="93">
        <f t="shared" ref="T436:T499" si="106">+R436+S436+Q436</f>
        <v>4174</v>
      </c>
      <c r="U436" s="312">
        <f t="shared" si="99"/>
        <v>79308.25</v>
      </c>
      <c r="V436" s="93">
        <f t="shared" si="100"/>
        <v>0</v>
      </c>
    </row>
    <row r="437" spans="1:22" ht="18" customHeight="1" x14ac:dyDescent="0.2">
      <c r="A437" s="110" t="s">
        <v>904</v>
      </c>
      <c r="B437" s="111"/>
      <c r="C437" s="201" t="s">
        <v>905</v>
      </c>
      <c r="D437" s="91">
        <v>42698</v>
      </c>
      <c r="E437" s="92"/>
      <c r="F437" s="93"/>
      <c r="G437" s="93"/>
      <c r="H437" s="93">
        <v>190864.32</v>
      </c>
      <c r="I437" s="93">
        <v>132504.32000000001</v>
      </c>
      <c r="J437" s="93"/>
      <c r="K437" s="93">
        <f t="shared" si="97"/>
        <v>0</v>
      </c>
      <c r="L437" s="93">
        <f t="shared" si="98"/>
        <v>0</v>
      </c>
      <c r="M437" s="94">
        <v>13.33</v>
      </c>
      <c r="N437" s="95" t="s">
        <v>289</v>
      </c>
      <c r="O437" s="93">
        <f t="shared" si="101"/>
        <v>0</v>
      </c>
      <c r="P437" s="93">
        <f t="shared" si="102"/>
        <v>0</v>
      </c>
      <c r="Q437" s="93">
        <f t="shared" si="103"/>
        <v>0</v>
      </c>
      <c r="R437" s="93">
        <f t="shared" si="104"/>
        <v>8831</v>
      </c>
      <c r="S437" s="93">
        <f t="shared" si="105"/>
        <v>0</v>
      </c>
      <c r="T437" s="93">
        <f t="shared" si="106"/>
        <v>8831</v>
      </c>
      <c r="U437" s="312">
        <f t="shared" si="99"/>
        <v>123673.32</v>
      </c>
      <c r="V437" s="93">
        <f t="shared" si="100"/>
        <v>0</v>
      </c>
    </row>
    <row r="438" spans="1:22" ht="18" customHeight="1" x14ac:dyDescent="0.2">
      <c r="A438" s="110" t="s">
        <v>906</v>
      </c>
      <c r="B438" s="111"/>
      <c r="C438" s="201" t="s">
        <v>907</v>
      </c>
      <c r="D438" s="91">
        <v>42611</v>
      </c>
      <c r="E438" s="92"/>
      <c r="F438" s="93"/>
      <c r="G438" s="93"/>
      <c r="H438" s="93">
        <v>24295.25</v>
      </c>
      <c r="I438" s="93">
        <v>16285.25</v>
      </c>
      <c r="J438" s="93"/>
      <c r="K438" s="93">
        <f t="shared" si="97"/>
        <v>0</v>
      </c>
      <c r="L438" s="93">
        <f t="shared" si="98"/>
        <v>0</v>
      </c>
      <c r="M438" s="94">
        <v>13.33</v>
      </c>
      <c r="N438" s="95" t="s">
        <v>289</v>
      </c>
      <c r="O438" s="93">
        <f t="shared" si="101"/>
        <v>0</v>
      </c>
      <c r="P438" s="93">
        <f t="shared" si="102"/>
        <v>0</v>
      </c>
      <c r="Q438" s="93">
        <f t="shared" si="103"/>
        <v>0</v>
      </c>
      <c r="R438" s="93">
        <f t="shared" si="104"/>
        <v>1085</v>
      </c>
      <c r="S438" s="93">
        <f t="shared" si="105"/>
        <v>0</v>
      </c>
      <c r="T438" s="93">
        <f t="shared" si="106"/>
        <v>1085</v>
      </c>
      <c r="U438" s="312">
        <f t="shared" si="99"/>
        <v>15200.25</v>
      </c>
      <c r="V438" s="93">
        <f t="shared" si="100"/>
        <v>0</v>
      </c>
    </row>
    <row r="439" spans="1:22" ht="18" customHeight="1" x14ac:dyDescent="0.2">
      <c r="A439" s="110" t="s">
        <v>908</v>
      </c>
      <c r="B439" s="111"/>
      <c r="C439" s="201" t="s">
        <v>909</v>
      </c>
      <c r="D439" s="91">
        <v>42829</v>
      </c>
      <c r="E439" s="92"/>
      <c r="F439" s="93"/>
      <c r="G439" s="93"/>
      <c r="H439" s="93">
        <v>27978.93</v>
      </c>
      <c r="I439" s="93">
        <v>20434.93</v>
      </c>
      <c r="J439" s="93"/>
      <c r="K439" s="93">
        <f t="shared" si="97"/>
        <v>0</v>
      </c>
      <c r="L439" s="93">
        <f t="shared" si="98"/>
        <v>0</v>
      </c>
      <c r="M439" s="94">
        <v>13.33</v>
      </c>
      <c r="N439" s="95" t="s">
        <v>289</v>
      </c>
      <c r="O439" s="93">
        <f t="shared" si="101"/>
        <v>0</v>
      </c>
      <c r="P439" s="93">
        <f t="shared" si="102"/>
        <v>0</v>
      </c>
      <c r="Q439" s="93">
        <f t="shared" si="103"/>
        <v>0</v>
      </c>
      <c r="R439" s="93">
        <f t="shared" si="104"/>
        <v>1361</v>
      </c>
      <c r="S439" s="93">
        <f t="shared" si="105"/>
        <v>0</v>
      </c>
      <c r="T439" s="93">
        <f t="shared" si="106"/>
        <v>1361</v>
      </c>
      <c r="U439" s="312">
        <f t="shared" si="99"/>
        <v>19073.93</v>
      </c>
      <c r="V439" s="93">
        <f t="shared" si="100"/>
        <v>0</v>
      </c>
    </row>
    <row r="440" spans="1:22" ht="18" customHeight="1" x14ac:dyDescent="0.2">
      <c r="A440" s="110" t="s">
        <v>910</v>
      </c>
      <c r="B440" s="111"/>
      <c r="C440" s="90" t="s">
        <v>911</v>
      </c>
      <c r="D440" s="91">
        <v>42735</v>
      </c>
      <c r="E440" s="92"/>
      <c r="F440" s="93"/>
      <c r="G440" s="93"/>
      <c r="H440" s="93">
        <v>26028</v>
      </c>
      <c r="I440" s="93">
        <v>15171</v>
      </c>
      <c r="J440" s="93"/>
      <c r="K440" s="93">
        <f t="shared" si="97"/>
        <v>0</v>
      </c>
      <c r="L440" s="93">
        <f t="shared" si="98"/>
        <v>0</v>
      </c>
      <c r="M440" s="94">
        <v>20</v>
      </c>
      <c r="N440" s="95" t="s">
        <v>289</v>
      </c>
      <c r="O440" s="93">
        <f t="shared" si="101"/>
        <v>0</v>
      </c>
      <c r="P440" s="93">
        <f t="shared" si="102"/>
        <v>0</v>
      </c>
      <c r="Q440" s="93">
        <f t="shared" si="103"/>
        <v>0</v>
      </c>
      <c r="R440" s="93">
        <f t="shared" si="104"/>
        <v>1517</v>
      </c>
      <c r="S440" s="93">
        <f t="shared" si="105"/>
        <v>0</v>
      </c>
      <c r="T440" s="93">
        <f t="shared" si="106"/>
        <v>1517</v>
      </c>
      <c r="U440" s="312">
        <f t="shared" si="99"/>
        <v>13654</v>
      </c>
      <c r="V440" s="93">
        <f t="shared" si="100"/>
        <v>0</v>
      </c>
    </row>
    <row r="441" spans="1:22" ht="18" customHeight="1" x14ac:dyDescent="0.2">
      <c r="A441" s="110" t="s">
        <v>912</v>
      </c>
      <c r="B441" s="111"/>
      <c r="C441" s="201" t="s">
        <v>913</v>
      </c>
      <c r="D441" s="91">
        <v>42792</v>
      </c>
      <c r="E441" s="92"/>
      <c r="F441" s="93"/>
      <c r="G441" s="93"/>
      <c r="H441" s="93">
        <v>2180</v>
      </c>
      <c r="I441" s="93">
        <v>1316</v>
      </c>
      <c r="J441" s="93"/>
      <c r="K441" s="93">
        <f t="shared" si="97"/>
        <v>0</v>
      </c>
      <c r="L441" s="93">
        <f t="shared" si="98"/>
        <v>0</v>
      </c>
      <c r="M441" s="94">
        <v>20</v>
      </c>
      <c r="N441" s="95" t="s">
        <v>289</v>
      </c>
      <c r="O441" s="93">
        <f t="shared" si="101"/>
        <v>0</v>
      </c>
      <c r="P441" s="93">
        <f t="shared" si="102"/>
        <v>0</v>
      </c>
      <c r="Q441" s="93">
        <f t="shared" si="103"/>
        <v>0</v>
      </c>
      <c r="R441" s="93">
        <f t="shared" si="104"/>
        <v>131</v>
      </c>
      <c r="S441" s="93">
        <f t="shared" si="105"/>
        <v>0</v>
      </c>
      <c r="T441" s="93">
        <f t="shared" si="106"/>
        <v>131</v>
      </c>
      <c r="U441" s="312">
        <f t="shared" si="99"/>
        <v>1185</v>
      </c>
      <c r="V441" s="93">
        <f t="shared" si="100"/>
        <v>0</v>
      </c>
    </row>
    <row r="442" spans="1:22" ht="18" customHeight="1" x14ac:dyDescent="0.2">
      <c r="A442" s="110" t="s">
        <v>914</v>
      </c>
      <c r="B442" s="111"/>
      <c r="C442" s="201" t="s">
        <v>915</v>
      </c>
      <c r="D442" s="91">
        <v>42792</v>
      </c>
      <c r="E442" s="92"/>
      <c r="F442" s="93"/>
      <c r="G442" s="93"/>
      <c r="H442" s="93">
        <v>2740</v>
      </c>
      <c r="I442" s="93">
        <v>1653</v>
      </c>
      <c r="J442" s="93"/>
      <c r="K442" s="93">
        <f t="shared" si="97"/>
        <v>0</v>
      </c>
      <c r="L442" s="93">
        <f t="shared" si="98"/>
        <v>0</v>
      </c>
      <c r="M442" s="94">
        <v>20</v>
      </c>
      <c r="N442" s="95" t="s">
        <v>289</v>
      </c>
      <c r="O442" s="93">
        <f t="shared" si="101"/>
        <v>0</v>
      </c>
      <c r="P442" s="93">
        <f t="shared" si="102"/>
        <v>0</v>
      </c>
      <c r="Q442" s="93">
        <f t="shared" si="103"/>
        <v>0</v>
      </c>
      <c r="R442" s="93">
        <f t="shared" si="104"/>
        <v>165</v>
      </c>
      <c r="S442" s="93">
        <f t="shared" si="105"/>
        <v>0</v>
      </c>
      <c r="T442" s="93">
        <f t="shared" si="106"/>
        <v>165</v>
      </c>
      <c r="U442" s="312">
        <f t="shared" si="99"/>
        <v>1488</v>
      </c>
      <c r="V442" s="93">
        <f t="shared" si="100"/>
        <v>0</v>
      </c>
    </row>
    <row r="443" spans="1:22" ht="18" customHeight="1" x14ac:dyDescent="0.2">
      <c r="A443" s="110" t="s">
        <v>916</v>
      </c>
      <c r="B443" s="111"/>
      <c r="C443" s="90" t="s">
        <v>917</v>
      </c>
      <c r="D443" s="91">
        <v>42792</v>
      </c>
      <c r="E443" s="92"/>
      <c r="F443" s="93"/>
      <c r="G443" s="93"/>
      <c r="H443" s="93">
        <v>2000</v>
      </c>
      <c r="I443" s="93">
        <v>1206</v>
      </c>
      <c r="J443" s="93"/>
      <c r="K443" s="93">
        <f t="shared" si="97"/>
        <v>0</v>
      </c>
      <c r="L443" s="93">
        <f t="shared" si="98"/>
        <v>0</v>
      </c>
      <c r="M443" s="94">
        <v>20</v>
      </c>
      <c r="N443" s="95" t="s">
        <v>289</v>
      </c>
      <c r="O443" s="93">
        <f t="shared" si="101"/>
        <v>0</v>
      </c>
      <c r="P443" s="93">
        <f t="shared" si="102"/>
        <v>0</v>
      </c>
      <c r="Q443" s="93">
        <f t="shared" si="103"/>
        <v>0</v>
      </c>
      <c r="R443" s="93">
        <f t="shared" si="104"/>
        <v>120</v>
      </c>
      <c r="S443" s="93">
        <f t="shared" si="105"/>
        <v>0</v>
      </c>
      <c r="T443" s="93">
        <f t="shared" si="106"/>
        <v>120</v>
      </c>
      <c r="U443" s="312">
        <f t="shared" si="99"/>
        <v>1086</v>
      </c>
      <c r="V443" s="93">
        <f t="shared" si="100"/>
        <v>0</v>
      </c>
    </row>
    <row r="444" spans="1:22" ht="18" customHeight="1" x14ac:dyDescent="0.2">
      <c r="A444" s="110" t="s">
        <v>918</v>
      </c>
      <c r="B444" s="111"/>
      <c r="C444" s="201" t="s">
        <v>919</v>
      </c>
      <c r="D444" s="91">
        <v>42818</v>
      </c>
      <c r="E444" s="92"/>
      <c r="F444" s="93"/>
      <c r="G444" s="93"/>
      <c r="H444" s="93">
        <v>5512</v>
      </c>
      <c r="I444" s="93">
        <v>3375</v>
      </c>
      <c r="J444" s="93"/>
      <c r="K444" s="93">
        <f t="shared" si="97"/>
        <v>0</v>
      </c>
      <c r="L444" s="93">
        <f t="shared" si="98"/>
        <v>0</v>
      </c>
      <c r="M444" s="94">
        <v>20</v>
      </c>
      <c r="N444" s="95" t="s">
        <v>289</v>
      </c>
      <c r="O444" s="93">
        <f t="shared" si="101"/>
        <v>0</v>
      </c>
      <c r="P444" s="93">
        <f t="shared" si="102"/>
        <v>0</v>
      </c>
      <c r="Q444" s="93">
        <f t="shared" si="103"/>
        <v>0</v>
      </c>
      <c r="R444" s="93">
        <f t="shared" si="104"/>
        <v>337</v>
      </c>
      <c r="S444" s="93">
        <f t="shared" si="105"/>
        <v>0</v>
      </c>
      <c r="T444" s="93">
        <f t="shared" si="106"/>
        <v>337</v>
      </c>
      <c r="U444" s="312">
        <f t="shared" si="99"/>
        <v>3038</v>
      </c>
      <c r="V444" s="93">
        <f t="shared" si="100"/>
        <v>0</v>
      </c>
    </row>
    <row r="445" spans="1:22" ht="18" customHeight="1" x14ac:dyDescent="0.2">
      <c r="A445" s="110" t="s">
        <v>920</v>
      </c>
      <c r="B445" s="111"/>
      <c r="C445" s="201" t="s">
        <v>921</v>
      </c>
      <c r="D445" s="91">
        <v>42816</v>
      </c>
      <c r="E445" s="92"/>
      <c r="F445" s="93"/>
      <c r="G445" s="93"/>
      <c r="H445" s="93">
        <v>4772</v>
      </c>
      <c r="I445" s="93">
        <v>1625</v>
      </c>
      <c r="J445" s="93"/>
      <c r="K445" s="93">
        <f t="shared" si="97"/>
        <v>0</v>
      </c>
      <c r="L445" s="93">
        <f t="shared" si="98"/>
        <v>0</v>
      </c>
      <c r="M445" s="94">
        <v>40</v>
      </c>
      <c r="N445" s="95" t="s">
        <v>289</v>
      </c>
      <c r="O445" s="93">
        <f t="shared" si="101"/>
        <v>0</v>
      </c>
      <c r="P445" s="93">
        <f t="shared" si="102"/>
        <v>0</v>
      </c>
      <c r="Q445" s="93">
        <f t="shared" si="103"/>
        <v>0</v>
      </c>
      <c r="R445" s="93">
        <f t="shared" si="104"/>
        <v>325</v>
      </c>
      <c r="S445" s="93">
        <f t="shared" si="105"/>
        <v>0</v>
      </c>
      <c r="T445" s="93">
        <f t="shared" si="106"/>
        <v>325</v>
      </c>
      <c r="U445" s="312">
        <f t="shared" si="99"/>
        <v>1300</v>
      </c>
      <c r="V445" s="93">
        <f t="shared" si="100"/>
        <v>0</v>
      </c>
    </row>
    <row r="446" spans="1:22" ht="18" customHeight="1" x14ac:dyDescent="0.2">
      <c r="A446" s="110" t="s">
        <v>922</v>
      </c>
      <c r="B446" s="111"/>
      <c r="C446" s="201" t="s">
        <v>923</v>
      </c>
      <c r="D446" s="91">
        <v>42822</v>
      </c>
      <c r="E446" s="92"/>
      <c r="F446" s="93"/>
      <c r="G446" s="93"/>
      <c r="H446" s="93">
        <v>19447.55</v>
      </c>
      <c r="I446" s="93">
        <v>14166.550000000001</v>
      </c>
      <c r="J446" s="93"/>
      <c r="K446" s="93">
        <f t="shared" si="97"/>
        <v>0</v>
      </c>
      <c r="L446" s="93">
        <f t="shared" si="98"/>
        <v>0</v>
      </c>
      <c r="M446" s="94">
        <v>13.33</v>
      </c>
      <c r="N446" s="95" t="s">
        <v>289</v>
      </c>
      <c r="O446" s="93">
        <f t="shared" si="101"/>
        <v>0</v>
      </c>
      <c r="P446" s="93">
        <f t="shared" si="102"/>
        <v>0</v>
      </c>
      <c r="Q446" s="93">
        <f t="shared" si="103"/>
        <v>0</v>
      </c>
      <c r="R446" s="93">
        <f t="shared" si="104"/>
        <v>944</v>
      </c>
      <c r="S446" s="93">
        <f t="shared" si="105"/>
        <v>0</v>
      </c>
      <c r="T446" s="93">
        <f t="shared" si="106"/>
        <v>944</v>
      </c>
      <c r="U446" s="312">
        <f t="shared" si="99"/>
        <v>13222.550000000001</v>
      </c>
      <c r="V446" s="93">
        <f t="shared" si="100"/>
        <v>0</v>
      </c>
    </row>
    <row r="447" spans="1:22" ht="18" customHeight="1" x14ac:dyDescent="0.2">
      <c r="A447" s="110" t="s">
        <v>924</v>
      </c>
      <c r="B447" s="111"/>
      <c r="C447" s="201" t="s">
        <v>923</v>
      </c>
      <c r="D447" s="91">
        <v>42822</v>
      </c>
      <c r="E447" s="92"/>
      <c r="F447" s="93"/>
      <c r="G447" s="93"/>
      <c r="H447" s="93">
        <v>19447.560000000001</v>
      </c>
      <c r="I447" s="93">
        <v>14166.56</v>
      </c>
      <c r="J447" s="93"/>
      <c r="K447" s="93">
        <f t="shared" si="97"/>
        <v>0</v>
      </c>
      <c r="L447" s="93">
        <f t="shared" si="98"/>
        <v>0</v>
      </c>
      <c r="M447" s="94">
        <v>13.33</v>
      </c>
      <c r="N447" s="95" t="s">
        <v>289</v>
      </c>
      <c r="O447" s="93">
        <f t="shared" si="101"/>
        <v>0</v>
      </c>
      <c r="P447" s="93">
        <f t="shared" si="102"/>
        <v>0</v>
      </c>
      <c r="Q447" s="93">
        <f t="shared" si="103"/>
        <v>0</v>
      </c>
      <c r="R447" s="93">
        <f t="shared" si="104"/>
        <v>944</v>
      </c>
      <c r="S447" s="93">
        <f t="shared" si="105"/>
        <v>0</v>
      </c>
      <c r="T447" s="93">
        <f t="shared" si="106"/>
        <v>944</v>
      </c>
      <c r="U447" s="312">
        <f t="shared" si="99"/>
        <v>13222.56</v>
      </c>
      <c r="V447" s="93">
        <f t="shared" si="100"/>
        <v>0</v>
      </c>
    </row>
    <row r="448" spans="1:22" ht="18" customHeight="1" x14ac:dyDescent="0.2">
      <c r="A448" s="110" t="s">
        <v>925</v>
      </c>
      <c r="B448" s="111"/>
      <c r="C448" s="201" t="s">
        <v>926</v>
      </c>
      <c r="D448" s="91">
        <v>42873</v>
      </c>
      <c r="E448" s="92"/>
      <c r="F448" s="93"/>
      <c r="G448" s="93"/>
      <c r="H448" s="93">
        <v>5826.29</v>
      </c>
      <c r="I448" s="93">
        <v>2123.29</v>
      </c>
      <c r="J448" s="93"/>
      <c r="K448" s="93">
        <f t="shared" si="97"/>
        <v>0</v>
      </c>
      <c r="L448" s="93">
        <f t="shared" si="98"/>
        <v>0</v>
      </c>
      <c r="M448" s="94">
        <v>40</v>
      </c>
      <c r="N448" s="95" t="s">
        <v>289</v>
      </c>
      <c r="O448" s="93">
        <f t="shared" si="101"/>
        <v>0</v>
      </c>
      <c r="P448" s="93">
        <f t="shared" si="102"/>
        <v>0</v>
      </c>
      <c r="Q448" s="93">
        <f t="shared" si="103"/>
        <v>0</v>
      </c>
      <c r="R448" s="93">
        <f t="shared" si="104"/>
        <v>424</v>
      </c>
      <c r="S448" s="93">
        <f t="shared" si="105"/>
        <v>0</v>
      </c>
      <c r="T448" s="93">
        <f t="shared" si="106"/>
        <v>424</v>
      </c>
      <c r="U448" s="312">
        <f t="shared" si="99"/>
        <v>1699.29</v>
      </c>
      <c r="V448" s="93">
        <f t="shared" si="100"/>
        <v>0</v>
      </c>
    </row>
    <row r="449" spans="1:22" ht="18" customHeight="1" x14ac:dyDescent="0.2">
      <c r="A449" s="110" t="s">
        <v>927</v>
      </c>
      <c r="B449" s="111"/>
      <c r="C449" s="201" t="s">
        <v>928</v>
      </c>
      <c r="D449" s="91">
        <v>42552</v>
      </c>
      <c r="E449" s="92"/>
      <c r="F449" s="93"/>
      <c r="G449" s="93"/>
      <c r="H449" s="93">
        <v>893.86</v>
      </c>
      <c r="I449" s="93">
        <v>43.86</v>
      </c>
      <c r="J449" s="93"/>
      <c r="K449" s="93">
        <f t="shared" si="97"/>
        <v>0</v>
      </c>
      <c r="L449" s="93">
        <f t="shared" si="98"/>
        <v>0</v>
      </c>
      <c r="M449" s="94">
        <v>66.67</v>
      </c>
      <c r="N449" s="95" t="s">
        <v>289</v>
      </c>
      <c r="O449" s="93">
        <f t="shared" si="101"/>
        <v>0</v>
      </c>
      <c r="P449" s="93">
        <f t="shared" si="102"/>
        <v>0</v>
      </c>
      <c r="Q449" s="93">
        <f t="shared" si="103"/>
        <v>0</v>
      </c>
      <c r="R449" s="93">
        <f t="shared" si="104"/>
        <v>14</v>
      </c>
      <c r="S449" s="93">
        <f t="shared" si="105"/>
        <v>0</v>
      </c>
      <c r="T449" s="93">
        <f t="shared" si="106"/>
        <v>14</v>
      </c>
      <c r="U449" s="312">
        <f t="shared" si="99"/>
        <v>29.86</v>
      </c>
      <c r="V449" s="93">
        <f t="shared" si="100"/>
        <v>0</v>
      </c>
    </row>
    <row r="450" spans="1:22" ht="18" customHeight="1" x14ac:dyDescent="0.2">
      <c r="A450" s="110" t="s">
        <v>929</v>
      </c>
      <c r="B450" s="111"/>
      <c r="C450" s="201" t="s">
        <v>2270</v>
      </c>
      <c r="D450" s="91">
        <v>42590</v>
      </c>
      <c r="E450" s="92"/>
      <c r="F450" s="93"/>
      <c r="G450" s="93"/>
      <c r="H450" s="93">
        <v>30000</v>
      </c>
      <c r="I450" s="93">
        <v>16969</v>
      </c>
      <c r="J450" s="93"/>
      <c r="K450" s="93">
        <f t="shared" si="97"/>
        <v>0</v>
      </c>
      <c r="L450" s="93">
        <f t="shared" si="98"/>
        <v>0</v>
      </c>
      <c r="M450" s="94">
        <v>18.18</v>
      </c>
      <c r="N450" s="95" t="s">
        <v>289</v>
      </c>
      <c r="O450" s="93">
        <f t="shared" si="101"/>
        <v>0</v>
      </c>
      <c r="P450" s="93">
        <f t="shared" si="102"/>
        <v>0</v>
      </c>
      <c r="Q450" s="93">
        <f t="shared" si="103"/>
        <v>0</v>
      </c>
      <c r="R450" s="93">
        <f t="shared" si="104"/>
        <v>1542</v>
      </c>
      <c r="S450" s="93">
        <f t="shared" si="105"/>
        <v>0</v>
      </c>
      <c r="T450" s="93">
        <f t="shared" si="106"/>
        <v>1542</v>
      </c>
      <c r="U450" s="312">
        <f t="shared" si="99"/>
        <v>15427</v>
      </c>
      <c r="V450" s="93">
        <f t="shared" si="100"/>
        <v>0</v>
      </c>
    </row>
    <row r="451" spans="1:22" ht="18" customHeight="1" x14ac:dyDescent="0.2">
      <c r="A451" s="110" t="s">
        <v>931</v>
      </c>
      <c r="B451" s="111"/>
      <c r="C451" s="90" t="s">
        <v>932</v>
      </c>
      <c r="D451" s="91">
        <v>42641</v>
      </c>
      <c r="E451" s="92"/>
      <c r="F451" s="93"/>
      <c r="G451" s="93"/>
      <c r="H451" s="93">
        <v>6750</v>
      </c>
      <c r="I451" s="93">
        <v>3710</v>
      </c>
      <c r="J451" s="93"/>
      <c r="K451" s="93">
        <f t="shared" si="97"/>
        <v>0</v>
      </c>
      <c r="L451" s="93">
        <f t="shared" si="98"/>
        <v>0</v>
      </c>
      <c r="M451" s="94">
        <v>20</v>
      </c>
      <c r="N451" s="95" t="s">
        <v>289</v>
      </c>
      <c r="O451" s="93">
        <f t="shared" si="101"/>
        <v>0</v>
      </c>
      <c r="P451" s="93">
        <f t="shared" si="102"/>
        <v>0</v>
      </c>
      <c r="Q451" s="93">
        <f t="shared" si="103"/>
        <v>0</v>
      </c>
      <c r="R451" s="93">
        <f t="shared" si="104"/>
        <v>371</v>
      </c>
      <c r="S451" s="93">
        <f t="shared" si="105"/>
        <v>0</v>
      </c>
      <c r="T451" s="93">
        <f t="shared" si="106"/>
        <v>371</v>
      </c>
      <c r="U451" s="312">
        <f t="shared" si="99"/>
        <v>3339</v>
      </c>
      <c r="V451" s="93">
        <f t="shared" si="100"/>
        <v>0</v>
      </c>
    </row>
    <row r="452" spans="1:22" ht="18" customHeight="1" x14ac:dyDescent="0.2">
      <c r="A452" s="110" t="s">
        <v>933</v>
      </c>
      <c r="B452" s="111"/>
      <c r="C452" s="201" t="s">
        <v>934</v>
      </c>
      <c r="D452" s="91">
        <v>42648</v>
      </c>
      <c r="E452" s="92"/>
      <c r="F452" s="93"/>
      <c r="G452" s="93"/>
      <c r="H452" s="93">
        <v>4500</v>
      </c>
      <c r="I452" s="93">
        <v>3385</v>
      </c>
      <c r="J452" s="93"/>
      <c r="K452" s="93">
        <f t="shared" si="97"/>
        <v>0</v>
      </c>
      <c r="L452" s="93">
        <f t="shared" si="98"/>
        <v>0</v>
      </c>
      <c r="M452" s="94">
        <v>10</v>
      </c>
      <c r="N452" s="95" t="s">
        <v>289</v>
      </c>
      <c r="O452" s="93">
        <f t="shared" si="101"/>
        <v>0</v>
      </c>
      <c r="P452" s="93">
        <f t="shared" si="102"/>
        <v>0</v>
      </c>
      <c r="Q452" s="93">
        <f t="shared" si="103"/>
        <v>0</v>
      </c>
      <c r="R452" s="93">
        <f t="shared" si="104"/>
        <v>169</v>
      </c>
      <c r="S452" s="93">
        <f t="shared" si="105"/>
        <v>0</v>
      </c>
      <c r="T452" s="93">
        <f t="shared" si="106"/>
        <v>169</v>
      </c>
      <c r="U452" s="312">
        <f t="shared" si="99"/>
        <v>3216</v>
      </c>
      <c r="V452" s="93">
        <f t="shared" si="100"/>
        <v>0</v>
      </c>
    </row>
    <row r="453" spans="1:22" ht="18" customHeight="1" x14ac:dyDescent="0.2">
      <c r="A453" s="110" t="s">
        <v>935</v>
      </c>
      <c r="B453" s="111"/>
      <c r="C453" s="201" t="s">
        <v>936</v>
      </c>
      <c r="D453" s="91">
        <v>42664</v>
      </c>
      <c r="E453" s="92"/>
      <c r="F453" s="93"/>
      <c r="G453" s="93"/>
      <c r="H453" s="93">
        <v>817.27</v>
      </c>
      <c r="I453" s="93">
        <v>456.27</v>
      </c>
      <c r="J453" s="93"/>
      <c r="K453" s="93">
        <f t="shared" si="97"/>
        <v>0</v>
      </c>
      <c r="L453" s="93">
        <f t="shared" si="98"/>
        <v>0</v>
      </c>
      <c r="M453" s="94">
        <v>20</v>
      </c>
      <c r="N453" s="95" t="s">
        <v>289</v>
      </c>
      <c r="O453" s="93">
        <f t="shared" si="101"/>
        <v>0</v>
      </c>
      <c r="P453" s="93">
        <f t="shared" si="102"/>
        <v>0</v>
      </c>
      <c r="Q453" s="93">
        <f t="shared" si="103"/>
        <v>0</v>
      </c>
      <c r="R453" s="93">
        <f t="shared" si="104"/>
        <v>45</v>
      </c>
      <c r="S453" s="93">
        <f t="shared" si="105"/>
        <v>0</v>
      </c>
      <c r="T453" s="93">
        <f t="shared" si="106"/>
        <v>45</v>
      </c>
      <c r="U453" s="312">
        <f t="shared" si="99"/>
        <v>411.27</v>
      </c>
      <c r="V453" s="93">
        <f t="shared" si="100"/>
        <v>0</v>
      </c>
    </row>
    <row r="454" spans="1:22" ht="18" customHeight="1" x14ac:dyDescent="0.2">
      <c r="A454" s="110" t="s">
        <v>937</v>
      </c>
      <c r="B454" s="111"/>
      <c r="C454" s="201" t="s">
        <v>938</v>
      </c>
      <c r="D454" s="91">
        <v>42677</v>
      </c>
      <c r="E454" s="92"/>
      <c r="F454" s="93"/>
      <c r="G454" s="93"/>
      <c r="H454" s="93">
        <v>754.38</v>
      </c>
      <c r="I454" s="93">
        <v>424.38</v>
      </c>
      <c r="J454" s="93"/>
      <c r="K454" s="93">
        <f t="shared" si="97"/>
        <v>0</v>
      </c>
      <c r="L454" s="93">
        <f t="shared" si="98"/>
        <v>0</v>
      </c>
      <c r="M454" s="94">
        <v>20</v>
      </c>
      <c r="N454" s="95" t="s">
        <v>289</v>
      </c>
      <c r="O454" s="93">
        <f t="shared" si="101"/>
        <v>0</v>
      </c>
      <c r="P454" s="93">
        <f t="shared" si="102"/>
        <v>0</v>
      </c>
      <c r="Q454" s="93">
        <f t="shared" si="103"/>
        <v>0</v>
      </c>
      <c r="R454" s="93">
        <f t="shared" si="104"/>
        <v>42</v>
      </c>
      <c r="S454" s="93">
        <f t="shared" si="105"/>
        <v>0</v>
      </c>
      <c r="T454" s="93">
        <f t="shared" si="106"/>
        <v>42</v>
      </c>
      <c r="U454" s="312">
        <f t="shared" si="99"/>
        <v>382.38</v>
      </c>
      <c r="V454" s="93">
        <f t="shared" si="100"/>
        <v>0</v>
      </c>
    </row>
    <row r="455" spans="1:22" ht="18" customHeight="1" x14ac:dyDescent="0.2">
      <c r="A455" s="110" t="s">
        <v>939</v>
      </c>
      <c r="B455" s="111"/>
      <c r="C455" s="201" t="s">
        <v>940</v>
      </c>
      <c r="D455" s="91">
        <v>42744</v>
      </c>
      <c r="E455" s="92"/>
      <c r="F455" s="93"/>
      <c r="G455" s="93"/>
      <c r="H455" s="93">
        <v>4545.45</v>
      </c>
      <c r="I455" s="93">
        <v>1410.45</v>
      </c>
      <c r="J455" s="93"/>
      <c r="K455" s="93">
        <f t="shared" si="97"/>
        <v>0</v>
      </c>
      <c r="L455" s="93">
        <f t="shared" si="98"/>
        <v>0</v>
      </c>
      <c r="M455" s="94">
        <v>40</v>
      </c>
      <c r="N455" s="95" t="s">
        <v>289</v>
      </c>
      <c r="O455" s="93">
        <f t="shared" si="101"/>
        <v>0</v>
      </c>
      <c r="P455" s="93">
        <f t="shared" si="102"/>
        <v>0</v>
      </c>
      <c r="Q455" s="93">
        <f t="shared" si="103"/>
        <v>0</v>
      </c>
      <c r="R455" s="93">
        <f t="shared" si="104"/>
        <v>282</v>
      </c>
      <c r="S455" s="93">
        <f t="shared" si="105"/>
        <v>0</v>
      </c>
      <c r="T455" s="93">
        <f t="shared" si="106"/>
        <v>282</v>
      </c>
      <c r="U455" s="312">
        <f t="shared" si="99"/>
        <v>1128.45</v>
      </c>
      <c r="V455" s="93">
        <f t="shared" si="100"/>
        <v>0</v>
      </c>
    </row>
    <row r="456" spans="1:22" ht="18" customHeight="1" x14ac:dyDescent="0.2">
      <c r="A456" s="110" t="s">
        <v>941</v>
      </c>
      <c r="B456" s="111"/>
      <c r="C456" s="201" t="s">
        <v>942</v>
      </c>
      <c r="D456" s="91">
        <v>42766</v>
      </c>
      <c r="E456" s="92"/>
      <c r="F456" s="93"/>
      <c r="G456" s="93"/>
      <c r="H456" s="93">
        <v>2208.23</v>
      </c>
      <c r="I456" s="93">
        <v>1311.23</v>
      </c>
      <c r="J456" s="93"/>
      <c r="K456" s="93">
        <f t="shared" si="97"/>
        <v>0</v>
      </c>
      <c r="L456" s="93">
        <f t="shared" si="98"/>
        <v>0</v>
      </c>
      <c r="M456" s="94">
        <v>20</v>
      </c>
      <c r="N456" s="95" t="s">
        <v>289</v>
      </c>
      <c r="O456" s="93">
        <f t="shared" si="101"/>
        <v>0</v>
      </c>
      <c r="P456" s="93">
        <f t="shared" si="102"/>
        <v>0</v>
      </c>
      <c r="Q456" s="93">
        <f t="shared" si="103"/>
        <v>0</v>
      </c>
      <c r="R456" s="93">
        <f t="shared" si="104"/>
        <v>131</v>
      </c>
      <c r="S456" s="93">
        <f t="shared" si="105"/>
        <v>0</v>
      </c>
      <c r="T456" s="93">
        <f t="shared" si="106"/>
        <v>131</v>
      </c>
      <c r="U456" s="312">
        <f t="shared" si="99"/>
        <v>1180.23</v>
      </c>
      <c r="V456" s="93">
        <f t="shared" si="100"/>
        <v>0</v>
      </c>
    </row>
    <row r="457" spans="1:22" ht="18" customHeight="1" x14ac:dyDescent="0.2">
      <c r="A457" s="110" t="s">
        <v>943</v>
      </c>
      <c r="B457" s="111"/>
      <c r="C457" s="201" t="s">
        <v>944</v>
      </c>
      <c r="D457" s="91">
        <v>42775</v>
      </c>
      <c r="E457" s="92"/>
      <c r="F457" s="93"/>
      <c r="G457" s="93"/>
      <c r="H457" s="93">
        <v>14147.26</v>
      </c>
      <c r="I457" s="93">
        <v>11041.26</v>
      </c>
      <c r="J457" s="93"/>
      <c r="K457" s="93">
        <f t="shared" si="97"/>
        <v>0</v>
      </c>
      <c r="L457" s="93">
        <f t="shared" si="98"/>
        <v>0</v>
      </c>
      <c r="M457" s="94">
        <v>10</v>
      </c>
      <c r="N457" s="95" t="s">
        <v>289</v>
      </c>
      <c r="O457" s="93">
        <f t="shared" si="101"/>
        <v>0</v>
      </c>
      <c r="P457" s="93">
        <f t="shared" si="102"/>
        <v>0</v>
      </c>
      <c r="Q457" s="93">
        <f t="shared" si="103"/>
        <v>0</v>
      </c>
      <c r="R457" s="93">
        <f t="shared" si="104"/>
        <v>552</v>
      </c>
      <c r="S457" s="93">
        <f t="shared" si="105"/>
        <v>0</v>
      </c>
      <c r="T457" s="93">
        <f t="shared" si="106"/>
        <v>552</v>
      </c>
      <c r="U457" s="312">
        <f t="shared" si="99"/>
        <v>10489.26</v>
      </c>
      <c r="V457" s="93">
        <f t="shared" si="100"/>
        <v>0</v>
      </c>
    </row>
    <row r="458" spans="1:22" ht="18" customHeight="1" x14ac:dyDescent="0.2">
      <c r="A458" s="110" t="s">
        <v>945</v>
      </c>
      <c r="B458" s="111"/>
      <c r="C458" s="201" t="s">
        <v>946</v>
      </c>
      <c r="D458" s="91">
        <v>42837</v>
      </c>
      <c r="E458" s="92"/>
      <c r="F458" s="93"/>
      <c r="G458" s="93"/>
      <c r="H458" s="93">
        <v>5000</v>
      </c>
      <c r="I458" s="93">
        <v>2456</v>
      </c>
      <c r="J458" s="93"/>
      <c r="K458" s="93">
        <f t="shared" si="97"/>
        <v>0</v>
      </c>
      <c r="L458" s="93">
        <f t="shared" si="98"/>
        <v>0</v>
      </c>
      <c r="M458" s="94">
        <v>28.57</v>
      </c>
      <c r="N458" s="95" t="s">
        <v>289</v>
      </c>
      <c r="O458" s="93">
        <f t="shared" si="101"/>
        <v>0</v>
      </c>
      <c r="P458" s="93">
        <f t="shared" si="102"/>
        <v>0</v>
      </c>
      <c r="Q458" s="93">
        <f t="shared" si="103"/>
        <v>0</v>
      </c>
      <c r="R458" s="93">
        <f t="shared" si="104"/>
        <v>350</v>
      </c>
      <c r="S458" s="93">
        <f t="shared" si="105"/>
        <v>0</v>
      </c>
      <c r="T458" s="93">
        <f t="shared" si="106"/>
        <v>350</v>
      </c>
      <c r="U458" s="312">
        <f t="shared" si="99"/>
        <v>2106</v>
      </c>
      <c r="V458" s="93">
        <f t="shared" si="100"/>
        <v>0</v>
      </c>
    </row>
    <row r="459" spans="1:22" ht="18" customHeight="1" x14ac:dyDescent="0.2">
      <c r="A459" s="110" t="s">
        <v>947</v>
      </c>
      <c r="B459" s="111"/>
      <c r="C459" s="201" t="s">
        <v>948</v>
      </c>
      <c r="D459" s="91">
        <v>42905</v>
      </c>
      <c r="E459" s="92"/>
      <c r="F459" s="93"/>
      <c r="G459" s="93"/>
      <c r="H459" s="93">
        <v>3505.09</v>
      </c>
      <c r="I459" s="93">
        <v>1325.0900000000001</v>
      </c>
      <c r="J459" s="93"/>
      <c r="K459" s="93">
        <f t="shared" si="97"/>
        <v>0</v>
      </c>
      <c r="L459" s="93">
        <f t="shared" si="98"/>
        <v>0</v>
      </c>
      <c r="M459" s="94">
        <v>40</v>
      </c>
      <c r="N459" s="95" t="s">
        <v>289</v>
      </c>
      <c r="O459" s="93">
        <f t="shared" si="101"/>
        <v>0</v>
      </c>
      <c r="P459" s="93">
        <f t="shared" si="102"/>
        <v>0</v>
      </c>
      <c r="Q459" s="93">
        <f t="shared" si="103"/>
        <v>0</v>
      </c>
      <c r="R459" s="93">
        <f t="shared" si="104"/>
        <v>265</v>
      </c>
      <c r="S459" s="93">
        <f t="shared" si="105"/>
        <v>0</v>
      </c>
      <c r="T459" s="93">
        <f t="shared" si="106"/>
        <v>265</v>
      </c>
      <c r="U459" s="312">
        <f t="shared" si="99"/>
        <v>1060.0900000000001</v>
      </c>
      <c r="V459" s="93">
        <f t="shared" si="100"/>
        <v>0</v>
      </c>
    </row>
    <row r="460" spans="1:22" ht="18" customHeight="1" x14ac:dyDescent="0.2">
      <c r="A460" s="110" t="s">
        <v>949</v>
      </c>
      <c r="B460" s="111"/>
      <c r="C460" s="201" t="s">
        <v>950</v>
      </c>
      <c r="D460" s="91">
        <v>42916</v>
      </c>
      <c r="E460" s="92"/>
      <c r="F460" s="93"/>
      <c r="G460" s="93"/>
      <c r="H460" s="93">
        <v>3906</v>
      </c>
      <c r="I460" s="93">
        <v>2947</v>
      </c>
      <c r="J460" s="93"/>
      <c r="K460" s="93">
        <f t="shared" si="97"/>
        <v>0</v>
      </c>
      <c r="L460" s="93">
        <f t="shared" si="98"/>
        <v>0</v>
      </c>
      <c r="M460" s="94">
        <v>13.33</v>
      </c>
      <c r="N460" s="95" t="s">
        <v>289</v>
      </c>
      <c r="O460" s="93">
        <f t="shared" si="101"/>
        <v>0</v>
      </c>
      <c r="P460" s="93">
        <f t="shared" si="102"/>
        <v>0</v>
      </c>
      <c r="Q460" s="93">
        <f t="shared" si="103"/>
        <v>0</v>
      </c>
      <c r="R460" s="93">
        <f t="shared" si="104"/>
        <v>196</v>
      </c>
      <c r="S460" s="93">
        <f t="shared" si="105"/>
        <v>0</v>
      </c>
      <c r="T460" s="93">
        <f t="shared" si="106"/>
        <v>196</v>
      </c>
      <c r="U460" s="312">
        <f t="shared" si="99"/>
        <v>2751</v>
      </c>
      <c r="V460" s="93">
        <f t="shared" si="100"/>
        <v>0</v>
      </c>
    </row>
    <row r="461" spans="1:22" ht="18" customHeight="1" x14ac:dyDescent="0.2">
      <c r="A461" s="110" t="s">
        <v>951</v>
      </c>
      <c r="B461" s="111"/>
      <c r="C461" s="201" t="s">
        <v>952</v>
      </c>
      <c r="D461" s="91">
        <v>42864</v>
      </c>
      <c r="E461" s="92"/>
      <c r="F461" s="93"/>
      <c r="G461" s="93"/>
      <c r="H461" s="93">
        <v>9572.5</v>
      </c>
      <c r="I461" s="93">
        <v>6018.5</v>
      </c>
      <c r="J461" s="93"/>
      <c r="K461" s="93">
        <f t="shared" si="97"/>
        <v>0</v>
      </c>
      <c r="L461" s="93">
        <f t="shared" si="98"/>
        <v>0</v>
      </c>
      <c r="M461" s="94">
        <v>20</v>
      </c>
      <c r="N461" s="95" t="s">
        <v>289</v>
      </c>
      <c r="O461" s="93">
        <f t="shared" si="101"/>
        <v>0</v>
      </c>
      <c r="P461" s="93">
        <f t="shared" si="102"/>
        <v>0</v>
      </c>
      <c r="Q461" s="93">
        <f t="shared" si="103"/>
        <v>0</v>
      </c>
      <c r="R461" s="93">
        <f t="shared" si="104"/>
        <v>601</v>
      </c>
      <c r="S461" s="93">
        <f t="shared" si="105"/>
        <v>0</v>
      </c>
      <c r="T461" s="93">
        <f t="shared" si="106"/>
        <v>601</v>
      </c>
      <c r="U461" s="312">
        <f t="shared" si="99"/>
        <v>5417.5</v>
      </c>
      <c r="V461" s="93">
        <f t="shared" si="100"/>
        <v>0</v>
      </c>
    </row>
    <row r="462" spans="1:22" ht="18" customHeight="1" x14ac:dyDescent="0.2">
      <c r="A462" s="110" t="s">
        <v>953</v>
      </c>
      <c r="B462" s="111"/>
      <c r="C462" s="201" t="s">
        <v>954</v>
      </c>
      <c r="D462" s="91">
        <v>42803</v>
      </c>
      <c r="E462" s="92"/>
      <c r="F462" s="93"/>
      <c r="G462" s="93"/>
      <c r="H462" s="93">
        <v>1170</v>
      </c>
      <c r="I462" s="93">
        <v>392</v>
      </c>
      <c r="J462" s="93"/>
      <c r="K462" s="93">
        <f t="shared" si="97"/>
        <v>0</v>
      </c>
      <c r="L462" s="93">
        <f t="shared" si="98"/>
        <v>0</v>
      </c>
      <c r="M462" s="94">
        <v>40</v>
      </c>
      <c r="N462" s="95" t="s">
        <v>289</v>
      </c>
      <c r="O462" s="93">
        <f t="shared" si="101"/>
        <v>0</v>
      </c>
      <c r="P462" s="93">
        <f t="shared" si="102"/>
        <v>0</v>
      </c>
      <c r="Q462" s="93">
        <f t="shared" si="103"/>
        <v>0</v>
      </c>
      <c r="R462" s="93">
        <f t="shared" si="104"/>
        <v>78</v>
      </c>
      <c r="S462" s="93">
        <f t="shared" si="105"/>
        <v>0</v>
      </c>
      <c r="T462" s="93">
        <f t="shared" si="106"/>
        <v>78</v>
      </c>
      <c r="U462" s="312">
        <f t="shared" si="99"/>
        <v>314</v>
      </c>
      <c r="V462" s="93">
        <f t="shared" si="100"/>
        <v>0</v>
      </c>
    </row>
    <row r="463" spans="1:22" ht="18" customHeight="1" x14ac:dyDescent="0.2">
      <c r="A463" s="110" t="s">
        <v>955</v>
      </c>
      <c r="B463" s="111"/>
      <c r="C463" s="201" t="s">
        <v>956</v>
      </c>
      <c r="D463" s="91">
        <v>42803</v>
      </c>
      <c r="E463" s="92"/>
      <c r="F463" s="93"/>
      <c r="G463" s="93"/>
      <c r="H463" s="93">
        <v>1320</v>
      </c>
      <c r="I463" s="93">
        <v>443</v>
      </c>
      <c r="J463" s="93"/>
      <c r="K463" s="93">
        <f t="shared" si="97"/>
        <v>0</v>
      </c>
      <c r="L463" s="93">
        <f t="shared" si="98"/>
        <v>0</v>
      </c>
      <c r="M463" s="94">
        <v>40</v>
      </c>
      <c r="N463" s="95" t="s">
        <v>289</v>
      </c>
      <c r="O463" s="93">
        <f t="shared" si="101"/>
        <v>0</v>
      </c>
      <c r="P463" s="93">
        <f t="shared" si="102"/>
        <v>0</v>
      </c>
      <c r="Q463" s="93">
        <f t="shared" si="103"/>
        <v>0</v>
      </c>
      <c r="R463" s="93">
        <f t="shared" si="104"/>
        <v>88</v>
      </c>
      <c r="S463" s="93">
        <f t="shared" si="105"/>
        <v>0</v>
      </c>
      <c r="T463" s="93">
        <f t="shared" si="106"/>
        <v>88</v>
      </c>
      <c r="U463" s="312">
        <f t="shared" si="99"/>
        <v>355</v>
      </c>
      <c r="V463" s="93">
        <f t="shared" si="100"/>
        <v>0</v>
      </c>
    </row>
    <row r="464" spans="1:22" ht="18" customHeight="1" x14ac:dyDescent="0.2">
      <c r="A464" s="110" t="s">
        <v>957</v>
      </c>
      <c r="B464" s="111"/>
      <c r="C464" s="201" t="s">
        <v>958</v>
      </c>
      <c r="D464" s="91">
        <v>42803</v>
      </c>
      <c r="E464" s="92"/>
      <c r="F464" s="93"/>
      <c r="G464" s="93"/>
      <c r="H464" s="93">
        <v>1192.5</v>
      </c>
      <c r="I464" s="93">
        <v>400.5</v>
      </c>
      <c r="J464" s="93"/>
      <c r="K464" s="93">
        <f t="shared" si="97"/>
        <v>0</v>
      </c>
      <c r="L464" s="93">
        <f t="shared" si="98"/>
        <v>0</v>
      </c>
      <c r="M464" s="94">
        <v>40</v>
      </c>
      <c r="N464" s="95" t="s">
        <v>289</v>
      </c>
      <c r="O464" s="93">
        <f t="shared" si="101"/>
        <v>0</v>
      </c>
      <c r="P464" s="93">
        <f t="shared" si="102"/>
        <v>0</v>
      </c>
      <c r="Q464" s="93">
        <f t="shared" si="103"/>
        <v>0</v>
      </c>
      <c r="R464" s="93">
        <f t="shared" si="104"/>
        <v>80</v>
      </c>
      <c r="S464" s="93">
        <f t="shared" si="105"/>
        <v>0</v>
      </c>
      <c r="T464" s="93">
        <f t="shared" si="106"/>
        <v>80</v>
      </c>
      <c r="U464" s="312">
        <f t="shared" si="99"/>
        <v>320.5</v>
      </c>
      <c r="V464" s="93">
        <f t="shared" si="100"/>
        <v>0</v>
      </c>
    </row>
    <row r="465" spans="1:22" ht="18" customHeight="1" x14ac:dyDescent="0.2">
      <c r="A465" s="110" t="s">
        <v>959</v>
      </c>
      <c r="B465" s="111"/>
      <c r="C465" s="201" t="s">
        <v>960</v>
      </c>
      <c r="D465" s="91">
        <v>42978</v>
      </c>
      <c r="E465" s="92"/>
      <c r="F465" s="93"/>
      <c r="G465" s="93"/>
      <c r="H465" s="93">
        <v>3300</v>
      </c>
      <c r="I465" s="93">
        <v>2555</v>
      </c>
      <c r="J465" s="93"/>
      <c r="K465" s="93">
        <f t="shared" si="97"/>
        <v>0</v>
      </c>
      <c r="L465" s="93">
        <f t="shared" si="98"/>
        <v>0</v>
      </c>
      <c r="M465" s="94">
        <v>13.33</v>
      </c>
      <c r="N465" s="95" t="s">
        <v>289</v>
      </c>
      <c r="O465" s="93">
        <f t="shared" si="101"/>
        <v>0</v>
      </c>
      <c r="P465" s="93">
        <f t="shared" si="102"/>
        <v>0</v>
      </c>
      <c r="Q465" s="93">
        <f t="shared" si="103"/>
        <v>0</v>
      </c>
      <c r="R465" s="93">
        <f t="shared" si="104"/>
        <v>170</v>
      </c>
      <c r="S465" s="93">
        <f t="shared" si="105"/>
        <v>0</v>
      </c>
      <c r="T465" s="93">
        <f t="shared" si="106"/>
        <v>170</v>
      </c>
      <c r="U465" s="312">
        <f t="shared" si="99"/>
        <v>2385</v>
      </c>
      <c r="V465" s="93">
        <f t="shared" si="100"/>
        <v>0</v>
      </c>
    </row>
    <row r="466" spans="1:22" ht="18" customHeight="1" x14ac:dyDescent="0.2">
      <c r="A466" s="110" t="s">
        <v>961</v>
      </c>
      <c r="B466" s="111"/>
      <c r="C466" s="201" t="s">
        <v>962</v>
      </c>
      <c r="D466" s="91">
        <v>43057</v>
      </c>
      <c r="E466" s="92"/>
      <c r="F466" s="93"/>
      <c r="G466" s="93"/>
      <c r="H466" s="93">
        <v>7000</v>
      </c>
      <c r="I466" s="93">
        <v>5595</v>
      </c>
      <c r="J466" s="93"/>
      <c r="K466" s="93">
        <f t="shared" si="97"/>
        <v>0</v>
      </c>
      <c r="L466" s="93">
        <f t="shared" si="98"/>
        <v>0</v>
      </c>
      <c r="M466" s="94">
        <v>13.33</v>
      </c>
      <c r="N466" s="95" t="s">
        <v>289</v>
      </c>
      <c r="O466" s="93">
        <f t="shared" si="101"/>
        <v>0</v>
      </c>
      <c r="P466" s="93">
        <f t="shared" si="102"/>
        <v>0</v>
      </c>
      <c r="Q466" s="93">
        <f t="shared" si="103"/>
        <v>0</v>
      </c>
      <c r="R466" s="93">
        <f t="shared" si="104"/>
        <v>372</v>
      </c>
      <c r="S466" s="93">
        <f t="shared" si="105"/>
        <v>0</v>
      </c>
      <c r="T466" s="93">
        <f t="shared" si="106"/>
        <v>372</v>
      </c>
      <c r="U466" s="312">
        <f t="shared" si="99"/>
        <v>5223</v>
      </c>
      <c r="V466" s="93">
        <f t="shared" si="100"/>
        <v>0</v>
      </c>
    </row>
    <row r="467" spans="1:22" ht="18" customHeight="1" x14ac:dyDescent="0.2">
      <c r="A467" s="110" t="s">
        <v>963</v>
      </c>
      <c r="B467" s="111"/>
      <c r="C467" s="201" t="s">
        <v>964</v>
      </c>
      <c r="D467" s="91">
        <v>43088</v>
      </c>
      <c r="E467" s="92"/>
      <c r="F467" s="93"/>
      <c r="G467" s="93"/>
      <c r="H467" s="93">
        <v>30000</v>
      </c>
      <c r="I467" s="93">
        <v>24270</v>
      </c>
      <c r="J467" s="93"/>
      <c r="K467" s="93">
        <f t="shared" si="97"/>
        <v>0</v>
      </c>
      <c r="L467" s="93">
        <f t="shared" si="98"/>
        <v>0</v>
      </c>
      <c r="M467" s="94">
        <v>13.33</v>
      </c>
      <c r="N467" s="95" t="s">
        <v>289</v>
      </c>
      <c r="O467" s="93">
        <f t="shared" si="101"/>
        <v>0</v>
      </c>
      <c r="P467" s="93">
        <f t="shared" si="102"/>
        <v>0</v>
      </c>
      <c r="Q467" s="93">
        <f t="shared" si="103"/>
        <v>0</v>
      </c>
      <c r="R467" s="93">
        <f t="shared" si="104"/>
        <v>1617</v>
      </c>
      <c r="S467" s="93">
        <f t="shared" si="105"/>
        <v>0</v>
      </c>
      <c r="T467" s="93">
        <f t="shared" si="106"/>
        <v>1617</v>
      </c>
      <c r="U467" s="312">
        <f t="shared" si="99"/>
        <v>22653</v>
      </c>
      <c r="V467" s="93">
        <f t="shared" si="100"/>
        <v>0</v>
      </c>
    </row>
    <row r="468" spans="1:22" ht="18" customHeight="1" x14ac:dyDescent="0.2">
      <c r="A468" s="110" t="s">
        <v>965</v>
      </c>
      <c r="B468" s="111"/>
      <c r="C468" s="201" t="s">
        <v>966</v>
      </c>
      <c r="D468" s="91">
        <v>43147</v>
      </c>
      <c r="E468" s="92"/>
      <c r="F468" s="93"/>
      <c r="G468" s="93"/>
      <c r="H468" s="93">
        <v>10000</v>
      </c>
      <c r="I468" s="93">
        <v>8279</v>
      </c>
      <c r="J468" s="93"/>
      <c r="K468" s="93">
        <f t="shared" si="97"/>
        <v>0</v>
      </c>
      <c r="L468" s="93">
        <f t="shared" si="98"/>
        <v>0</v>
      </c>
      <c r="M468" s="94">
        <v>13.33</v>
      </c>
      <c r="N468" s="95" t="s">
        <v>289</v>
      </c>
      <c r="O468" s="93">
        <f t="shared" si="101"/>
        <v>0</v>
      </c>
      <c r="P468" s="93">
        <f t="shared" si="102"/>
        <v>0</v>
      </c>
      <c r="Q468" s="93">
        <f t="shared" si="103"/>
        <v>0</v>
      </c>
      <c r="R468" s="93">
        <f t="shared" si="104"/>
        <v>551</v>
      </c>
      <c r="S468" s="93">
        <f t="shared" si="105"/>
        <v>0</v>
      </c>
      <c r="T468" s="93">
        <f t="shared" si="106"/>
        <v>551</v>
      </c>
      <c r="U468" s="312">
        <f t="shared" si="99"/>
        <v>7728</v>
      </c>
      <c r="V468" s="93">
        <f t="shared" si="100"/>
        <v>0</v>
      </c>
    </row>
    <row r="469" spans="1:22" ht="18" customHeight="1" x14ac:dyDescent="0.2">
      <c r="A469" s="110" t="s">
        <v>967</v>
      </c>
      <c r="B469" s="111"/>
      <c r="C469" s="201" t="s">
        <v>968</v>
      </c>
      <c r="D469" s="91">
        <v>43223</v>
      </c>
      <c r="E469" s="92"/>
      <c r="F469" s="93"/>
      <c r="G469" s="93"/>
      <c r="H469" s="93">
        <v>12717</v>
      </c>
      <c r="I469" s="93">
        <v>10835</v>
      </c>
      <c r="J469" s="93"/>
      <c r="K469" s="93">
        <f t="shared" si="97"/>
        <v>0</v>
      </c>
      <c r="L469" s="93">
        <f t="shared" si="98"/>
        <v>0</v>
      </c>
      <c r="M469" s="94">
        <v>13.33</v>
      </c>
      <c r="N469" s="95" t="s">
        <v>289</v>
      </c>
      <c r="O469" s="93">
        <f t="shared" si="101"/>
        <v>0</v>
      </c>
      <c r="P469" s="93">
        <f t="shared" si="102"/>
        <v>0</v>
      </c>
      <c r="Q469" s="93">
        <f t="shared" si="103"/>
        <v>0</v>
      </c>
      <c r="R469" s="93">
        <f t="shared" si="104"/>
        <v>722</v>
      </c>
      <c r="S469" s="93">
        <f t="shared" si="105"/>
        <v>0</v>
      </c>
      <c r="T469" s="93">
        <f t="shared" si="106"/>
        <v>722</v>
      </c>
      <c r="U469" s="312">
        <f t="shared" si="99"/>
        <v>10113</v>
      </c>
      <c r="V469" s="93">
        <f t="shared" si="100"/>
        <v>0</v>
      </c>
    </row>
    <row r="470" spans="1:22" ht="18" customHeight="1" x14ac:dyDescent="0.2">
      <c r="A470" s="110" t="s">
        <v>971</v>
      </c>
      <c r="B470" s="111"/>
      <c r="C470" s="201" t="s">
        <v>972</v>
      </c>
      <c r="D470" s="91">
        <v>42917</v>
      </c>
      <c r="E470" s="92"/>
      <c r="F470" s="93"/>
      <c r="G470" s="93"/>
      <c r="H470" s="93">
        <v>1000</v>
      </c>
      <c r="I470" s="93">
        <v>872</v>
      </c>
      <c r="J470" s="93"/>
      <c r="K470" s="93">
        <f t="shared" si="97"/>
        <v>0</v>
      </c>
      <c r="L470" s="93">
        <f t="shared" si="98"/>
        <v>0</v>
      </c>
      <c r="M470" s="94">
        <v>6.67</v>
      </c>
      <c r="N470" s="95" t="s">
        <v>289</v>
      </c>
      <c r="O470" s="93">
        <f t="shared" si="101"/>
        <v>0</v>
      </c>
      <c r="P470" s="93">
        <f t="shared" si="102"/>
        <v>0</v>
      </c>
      <c r="Q470" s="93">
        <f t="shared" si="103"/>
        <v>0</v>
      </c>
      <c r="R470" s="93">
        <f t="shared" si="104"/>
        <v>29</v>
      </c>
      <c r="S470" s="93">
        <f t="shared" si="105"/>
        <v>0</v>
      </c>
      <c r="T470" s="93">
        <f t="shared" si="106"/>
        <v>29</v>
      </c>
      <c r="U470" s="312">
        <f t="shared" si="99"/>
        <v>843</v>
      </c>
      <c r="V470" s="93">
        <f t="shared" si="100"/>
        <v>0</v>
      </c>
    </row>
    <row r="471" spans="1:22" ht="18" customHeight="1" x14ac:dyDescent="0.2">
      <c r="A471" s="110" t="s">
        <v>973</v>
      </c>
      <c r="B471" s="111"/>
      <c r="C471" s="201" t="s">
        <v>974</v>
      </c>
      <c r="D471" s="91">
        <v>42917</v>
      </c>
      <c r="E471" s="92"/>
      <c r="F471" s="93"/>
      <c r="G471" s="93"/>
      <c r="H471" s="93">
        <v>2240</v>
      </c>
      <c r="I471" s="93">
        <v>1954</v>
      </c>
      <c r="J471" s="93"/>
      <c r="K471" s="93">
        <f t="shared" si="97"/>
        <v>0</v>
      </c>
      <c r="L471" s="93">
        <f t="shared" si="98"/>
        <v>0</v>
      </c>
      <c r="M471" s="94">
        <v>6.67</v>
      </c>
      <c r="N471" s="95" t="s">
        <v>289</v>
      </c>
      <c r="O471" s="93">
        <f t="shared" si="101"/>
        <v>0</v>
      </c>
      <c r="P471" s="93">
        <f t="shared" si="102"/>
        <v>0</v>
      </c>
      <c r="Q471" s="93">
        <f t="shared" si="103"/>
        <v>0</v>
      </c>
      <c r="R471" s="93">
        <f t="shared" si="104"/>
        <v>65</v>
      </c>
      <c r="S471" s="93">
        <f t="shared" si="105"/>
        <v>0</v>
      </c>
      <c r="T471" s="93">
        <f t="shared" si="106"/>
        <v>65</v>
      </c>
      <c r="U471" s="312">
        <f t="shared" si="99"/>
        <v>1889</v>
      </c>
      <c r="V471" s="93">
        <f t="shared" si="100"/>
        <v>0</v>
      </c>
    </row>
    <row r="472" spans="1:22" ht="18" customHeight="1" x14ac:dyDescent="0.2">
      <c r="A472" s="110" t="s">
        <v>975</v>
      </c>
      <c r="B472" s="111"/>
      <c r="C472" s="201" t="s">
        <v>976</v>
      </c>
      <c r="D472" s="91">
        <v>43008</v>
      </c>
      <c r="E472" s="92"/>
      <c r="F472" s="93"/>
      <c r="G472" s="93"/>
      <c r="H472" s="93">
        <v>1858.5</v>
      </c>
      <c r="I472" s="93">
        <v>1457.5</v>
      </c>
      <c r="J472" s="93"/>
      <c r="K472" s="93">
        <f t="shared" si="97"/>
        <v>0</v>
      </c>
      <c r="L472" s="93">
        <f t="shared" si="98"/>
        <v>0</v>
      </c>
      <c r="M472" s="94">
        <v>13.33</v>
      </c>
      <c r="N472" s="95" t="s">
        <v>289</v>
      </c>
      <c r="O472" s="93">
        <f t="shared" si="101"/>
        <v>0</v>
      </c>
      <c r="P472" s="93">
        <f t="shared" si="102"/>
        <v>0</v>
      </c>
      <c r="Q472" s="93">
        <f t="shared" si="103"/>
        <v>0</v>
      </c>
      <c r="R472" s="93">
        <f t="shared" si="104"/>
        <v>97</v>
      </c>
      <c r="S472" s="93">
        <f t="shared" si="105"/>
        <v>0</v>
      </c>
      <c r="T472" s="93">
        <f t="shared" si="106"/>
        <v>97</v>
      </c>
      <c r="U472" s="312">
        <f t="shared" si="99"/>
        <v>1360.5</v>
      </c>
      <c r="V472" s="93">
        <f t="shared" si="100"/>
        <v>0</v>
      </c>
    </row>
    <row r="473" spans="1:22" ht="18" customHeight="1" x14ac:dyDescent="0.2">
      <c r="A473" s="110" t="s">
        <v>977</v>
      </c>
      <c r="B473" s="111"/>
      <c r="C473" s="201" t="s">
        <v>978</v>
      </c>
      <c r="D473" s="91">
        <v>43069</v>
      </c>
      <c r="E473" s="92"/>
      <c r="F473" s="93"/>
      <c r="G473" s="93"/>
      <c r="H473" s="93">
        <v>3843</v>
      </c>
      <c r="I473" s="93">
        <v>3086</v>
      </c>
      <c r="J473" s="93"/>
      <c r="K473" s="93">
        <f t="shared" si="97"/>
        <v>0</v>
      </c>
      <c r="L473" s="93">
        <f t="shared" si="98"/>
        <v>0</v>
      </c>
      <c r="M473" s="94">
        <v>13.33</v>
      </c>
      <c r="N473" s="95" t="s">
        <v>289</v>
      </c>
      <c r="O473" s="93">
        <f t="shared" si="101"/>
        <v>0</v>
      </c>
      <c r="P473" s="93">
        <f t="shared" si="102"/>
        <v>0</v>
      </c>
      <c r="Q473" s="93">
        <f t="shared" si="103"/>
        <v>0</v>
      </c>
      <c r="R473" s="93">
        <f t="shared" si="104"/>
        <v>205</v>
      </c>
      <c r="S473" s="93">
        <f t="shared" si="105"/>
        <v>0</v>
      </c>
      <c r="T473" s="93">
        <f t="shared" si="106"/>
        <v>205</v>
      </c>
      <c r="U473" s="312">
        <f t="shared" si="99"/>
        <v>2881</v>
      </c>
      <c r="V473" s="93">
        <f t="shared" si="100"/>
        <v>0</v>
      </c>
    </row>
    <row r="474" spans="1:22" ht="18" customHeight="1" x14ac:dyDescent="0.2">
      <c r="A474" s="110" t="s">
        <v>979</v>
      </c>
      <c r="B474" s="111"/>
      <c r="C474" s="228" t="s">
        <v>980</v>
      </c>
      <c r="D474" s="91">
        <v>43131</v>
      </c>
      <c r="E474" s="92"/>
      <c r="F474" s="93"/>
      <c r="G474" s="209"/>
      <c r="H474" s="93">
        <v>3024</v>
      </c>
      <c r="I474" s="93">
        <v>2245</v>
      </c>
      <c r="J474" s="93"/>
      <c r="K474" s="93">
        <f t="shared" si="97"/>
        <v>0</v>
      </c>
      <c r="L474" s="93">
        <f t="shared" si="98"/>
        <v>0</v>
      </c>
      <c r="M474" s="94">
        <v>20</v>
      </c>
      <c r="N474" s="95" t="s">
        <v>289</v>
      </c>
      <c r="O474" s="93">
        <f t="shared" si="101"/>
        <v>0</v>
      </c>
      <c r="P474" s="93">
        <f t="shared" si="102"/>
        <v>0</v>
      </c>
      <c r="Q474" s="93">
        <f t="shared" si="103"/>
        <v>0</v>
      </c>
      <c r="R474" s="93">
        <f t="shared" si="104"/>
        <v>224</v>
      </c>
      <c r="S474" s="93">
        <f t="shared" si="105"/>
        <v>0</v>
      </c>
      <c r="T474" s="93">
        <f t="shared" si="106"/>
        <v>224</v>
      </c>
      <c r="U474" s="312">
        <f t="shared" si="99"/>
        <v>2021</v>
      </c>
      <c r="V474" s="93">
        <f t="shared" si="100"/>
        <v>0</v>
      </c>
    </row>
    <row r="475" spans="1:22" ht="18" customHeight="1" x14ac:dyDescent="0.2">
      <c r="A475" s="110" t="s">
        <v>981</v>
      </c>
      <c r="B475" s="111"/>
      <c r="C475" s="201" t="s">
        <v>982</v>
      </c>
      <c r="D475" s="91">
        <v>43131</v>
      </c>
      <c r="E475" s="92"/>
      <c r="F475" s="93"/>
      <c r="G475" s="93"/>
      <c r="H475" s="93">
        <v>1386</v>
      </c>
      <c r="I475" s="93">
        <v>1029</v>
      </c>
      <c r="J475" s="93"/>
      <c r="K475" s="93">
        <f t="shared" si="97"/>
        <v>0</v>
      </c>
      <c r="L475" s="93">
        <f t="shared" si="98"/>
        <v>0</v>
      </c>
      <c r="M475" s="94">
        <v>20</v>
      </c>
      <c r="N475" s="95" t="s">
        <v>289</v>
      </c>
      <c r="O475" s="93">
        <f t="shared" si="101"/>
        <v>0</v>
      </c>
      <c r="P475" s="93">
        <f t="shared" si="102"/>
        <v>0</v>
      </c>
      <c r="Q475" s="93">
        <f t="shared" si="103"/>
        <v>0</v>
      </c>
      <c r="R475" s="93">
        <f t="shared" si="104"/>
        <v>102</v>
      </c>
      <c r="S475" s="93">
        <f t="shared" si="105"/>
        <v>0</v>
      </c>
      <c r="T475" s="93">
        <f t="shared" si="106"/>
        <v>102</v>
      </c>
      <c r="U475" s="312">
        <f t="shared" si="99"/>
        <v>927</v>
      </c>
      <c r="V475" s="93">
        <f t="shared" si="100"/>
        <v>0</v>
      </c>
    </row>
    <row r="476" spans="1:22" ht="18" customHeight="1" x14ac:dyDescent="0.2">
      <c r="A476" s="110" t="s">
        <v>983</v>
      </c>
      <c r="B476" s="111"/>
      <c r="C476" s="201" t="s">
        <v>984</v>
      </c>
      <c r="D476" s="91">
        <v>43145</v>
      </c>
      <c r="E476" s="92"/>
      <c r="F476" s="93"/>
      <c r="G476" s="93"/>
      <c r="H476" s="93">
        <v>13800</v>
      </c>
      <c r="I476" s="93">
        <v>11414</v>
      </c>
      <c r="J476" s="93"/>
      <c r="K476" s="93">
        <f t="shared" si="97"/>
        <v>0</v>
      </c>
      <c r="L476" s="93">
        <f t="shared" si="98"/>
        <v>0</v>
      </c>
      <c r="M476" s="94">
        <v>13.33</v>
      </c>
      <c r="N476" s="95" t="s">
        <v>289</v>
      </c>
      <c r="O476" s="93">
        <f t="shared" si="101"/>
        <v>0</v>
      </c>
      <c r="P476" s="93">
        <f t="shared" si="102"/>
        <v>0</v>
      </c>
      <c r="Q476" s="93">
        <f t="shared" si="103"/>
        <v>0</v>
      </c>
      <c r="R476" s="93">
        <f t="shared" si="104"/>
        <v>760</v>
      </c>
      <c r="S476" s="93">
        <f t="shared" si="105"/>
        <v>0</v>
      </c>
      <c r="T476" s="93">
        <f t="shared" si="106"/>
        <v>760</v>
      </c>
      <c r="U476" s="312">
        <f t="shared" si="99"/>
        <v>10654</v>
      </c>
      <c r="V476" s="93">
        <f t="shared" si="100"/>
        <v>0</v>
      </c>
    </row>
    <row r="477" spans="1:22" ht="18" customHeight="1" x14ac:dyDescent="0.2">
      <c r="A477" s="110" t="s">
        <v>985</v>
      </c>
      <c r="B477" s="111"/>
      <c r="C477" s="201" t="s">
        <v>986</v>
      </c>
      <c r="D477" s="91">
        <v>43145</v>
      </c>
      <c r="E477" s="92"/>
      <c r="F477" s="93"/>
      <c r="G477" s="93"/>
      <c r="H477" s="93">
        <v>4469.54</v>
      </c>
      <c r="I477" s="93">
        <v>3697.54</v>
      </c>
      <c r="J477" s="93"/>
      <c r="K477" s="93">
        <f t="shared" si="97"/>
        <v>0</v>
      </c>
      <c r="L477" s="93">
        <f t="shared" si="98"/>
        <v>0</v>
      </c>
      <c r="M477" s="94">
        <v>13.33</v>
      </c>
      <c r="N477" s="95" t="s">
        <v>289</v>
      </c>
      <c r="O477" s="93">
        <f t="shared" si="101"/>
        <v>0</v>
      </c>
      <c r="P477" s="93">
        <f t="shared" si="102"/>
        <v>0</v>
      </c>
      <c r="Q477" s="93">
        <f t="shared" si="103"/>
        <v>0</v>
      </c>
      <c r="R477" s="93">
        <f t="shared" si="104"/>
        <v>246</v>
      </c>
      <c r="S477" s="93">
        <f t="shared" si="105"/>
        <v>0</v>
      </c>
      <c r="T477" s="93">
        <f t="shared" si="106"/>
        <v>246</v>
      </c>
      <c r="U477" s="312">
        <f t="shared" si="99"/>
        <v>3451.54</v>
      </c>
      <c r="V477" s="93">
        <f t="shared" si="100"/>
        <v>0</v>
      </c>
    </row>
    <row r="478" spans="1:22" ht="18" customHeight="1" x14ac:dyDescent="0.2">
      <c r="A478" s="110" t="s">
        <v>987</v>
      </c>
      <c r="B478" s="111"/>
      <c r="C478" s="201" t="s">
        <v>988</v>
      </c>
      <c r="D478" s="91">
        <v>43145</v>
      </c>
      <c r="E478" s="92"/>
      <c r="F478" s="93"/>
      <c r="G478" s="93"/>
      <c r="H478" s="93">
        <v>7285.6</v>
      </c>
      <c r="I478" s="93">
        <v>6025.6</v>
      </c>
      <c r="J478" s="93"/>
      <c r="K478" s="93">
        <f t="shared" si="97"/>
        <v>0</v>
      </c>
      <c r="L478" s="93">
        <f t="shared" si="98"/>
        <v>0</v>
      </c>
      <c r="M478" s="94">
        <v>13.33</v>
      </c>
      <c r="N478" s="95" t="s">
        <v>289</v>
      </c>
      <c r="O478" s="93">
        <f t="shared" si="101"/>
        <v>0</v>
      </c>
      <c r="P478" s="93">
        <f t="shared" si="102"/>
        <v>0</v>
      </c>
      <c r="Q478" s="93">
        <f t="shared" si="103"/>
        <v>0</v>
      </c>
      <c r="R478" s="93">
        <f t="shared" si="104"/>
        <v>401</v>
      </c>
      <c r="S478" s="93">
        <f t="shared" si="105"/>
        <v>0</v>
      </c>
      <c r="T478" s="93">
        <f t="shared" si="106"/>
        <v>401</v>
      </c>
      <c r="U478" s="312">
        <f t="shared" si="99"/>
        <v>5624.6</v>
      </c>
      <c r="V478" s="93">
        <f t="shared" si="100"/>
        <v>0</v>
      </c>
    </row>
    <row r="479" spans="1:22" ht="18" customHeight="1" x14ac:dyDescent="0.2">
      <c r="A479" s="110" t="s">
        <v>989</v>
      </c>
      <c r="B479" s="111"/>
      <c r="C479" s="201" t="s">
        <v>990</v>
      </c>
      <c r="D479" s="91">
        <v>43158</v>
      </c>
      <c r="E479" s="92"/>
      <c r="F479" s="93"/>
      <c r="G479" s="93"/>
      <c r="H479" s="93">
        <v>2072.7200000000003</v>
      </c>
      <c r="I479" s="93">
        <v>1722.72</v>
      </c>
      <c r="J479" s="93"/>
      <c r="K479" s="93">
        <f t="shared" ref="K479:K543" si="107">INT(IF($E479&gt;0,IF(+F479-I479+Q479&lt;0,0,+F479-I479+Q479),0))</f>
        <v>0</v>
      </c>
      <c r="L479" s="93">
        <f t="shared" ref="L479:L543" si="108">INT(IF($E479&gt;0,IF(K479=0,-F479+I479-Q479,0),0))</f>
        <v>0</v>
      </c>
      <c r="M479" s="94">
        <v>13.33</v>
      </c>
      <c r="N479" s="95" t="s">
        <v>289</v>
      </c>
      <c r="O479" s="93">
        <f t="shared" si="101"/>
        <v>0</v>
      </c>
      <c r="P479" s="93">
        <f t="shared" si="102"/>
        <v>0</v>
      </c>
      <c r="Q479" s="93">
        <f t="shared" si="103"/>
        <v>0</v>
      </c>
      <c r="R479" s="93">
        <f t="shared" si="104"/>
        <v>114</v>
      </c>
      <c r="S479" s="93">
        <f t="shared" si="105"/>
        <v>0</v>
      </c>
      <c r="T479" s="93">
        <f t="shared" si="106"/>
        <v>114</v>
      </c>
      <c r="U479" s="312">
        <f t="shared" ref="U479:U545" si="109">+I479+J479-T479-F479+K479-L479</f>
        <v>1608.72</v>
      </c>
      <c r="V479" s="93">
        <f t="shared" ref="V479:V543" si="110">IF(E479&gt;0,+H479+J479,0)</f>
        <v>0</v>
      </c>
    </row>
    <row r="480" spans="1:22" ht="18" customHeight="1" x14ac:dyDescent="0.2">
      <c r="A480" s="110" t="s">
        <v>991</v>
      </c>
      <c r="B480" s="111"/>
      <c r="C480" s="90" t="s">
        <v>992</v>
      </c>
      <c r="D480" s="91">
        <v>43159</v>
      </c>
      <c r="E480" s="92"/>
      <c r="F480" s="93"/>
      <c r="G480" s="93"/>
      <c r="H480" s="93">
        <v>2976</v>
      </c>
      <c r="I480" s="93">
        <v>2246</v>
      </c>
      <c r="J480" s="93"/>
      <c r="K480" s="93">
        <f t="shared" si="107"/>
        <v>0</v>
      </c>
      <c r="L480" s="93">
        <f t="shared" si="108"/>
        <v>0</v>
      </c>
      <c r="M480" s="94">
        <v>20</v>
      </c>
      <c r="N480" s="95" t="s">
        <v>289</v>
      </c>
      <c r="O480" s="93">
        <f t="shared" ref="O480:O541" si="111">IF(E480&gt;0,INT(IF($N480="D",IF($D480&lt;$H$3,$I480*($M480/100)*((E480-$H$3)/365),$J480*($M480/100)*($J$3-$D480)/365),0)),0)</f>
        <v>0</v>
      </c>
      <c r="P480" s="93">
        <f t="shared" ref="P480:P541" si="112">IF(E480&gt;0,INT(IF($N480="P",IF($D480&lt;$H$3,$H480*($M480/100)*(E480-$H$3)/365,$J480*($M480/100)*($J$3-$D480)/365),0)),0)</f>
        <v>0</v>
      </c>
      <c r="Q480" s="93">
        <f t="shared" ref="Q480:Q541" si="113">+O480+P480</f>
        <v>0</v>
      </c>
      <c r="R480" s="93">
        <f t="shared" ref="R480:R541" si="114">INT(IF($E480&gt;0,0,(IF($N480="D",IF($D480&lt;$H$3,$I480*($M480/100)*$U$3/12,$J480*($M480/100)*($J$3-$D480)/365),0))))</f>
        <v>224</v>
      </c>
      <c r="S480" s="93">
        <f t="shared" ref="S480:S541" si="115">INT(IF($E480&gt;0,0,(IF($N480="P",IF($D480&lt;$H$3,$H480*($M480/100)*$U$3/12,$J480*($M480/100)*($J$3-$D480)/365),0))))</f>
        <v>0</v>
      </c>
      <c r="T480" s="93">
        <f t="shared" si="106"/>
        <v>224</v>
      </c>
      <c r="U480" s="312">
        <f t="shared" si="109"/>
        <v>2022</v>
      </c>
      <c r="V480" s="93">
        <f t="shared" si="110"/>
        <v>0</v>
      </c>
    </row>
    <row r="481" spans="1:22" ht="18" customHeight="1" x14ac:dyDescent="0.2">
      <c r="A481" s="110" t="s">
        <v>993</v>
      </c>
      <c r="B481" s="111"/>
      <c r="C481" s="90" t="s">
        <v>994</v>
      </c>
      <c r="D481" s="91">
        <v>43159</v>
      </c>
      <c r="E481" s="92"/>
      <c r="F481" s="93"/>
      <c r="G481" s="93"/>
      <c r="H481" s="93">
        <v>1860</v>
      </c>
      <c r="I481" s="93">
        <v>1405</v>
      </c>
      <c r="J481" s="93"/>
      <c r="K481" s="93">
        <f t="shared" si="107"/>
        <v>0</v>
      </c>
      <c r="L481" s="93">
        <f t="shared" si="108"/>
        <v>0</v>
      </c>
      <c r="M481" s="94">
        <v>20</v>
      </c>
      <c r="N481" s="95" t="s">
        <v>289</v>
      </c>
      <c r="O481" s="93">
        <f t="shared" si="111"/>
        <v>0</v>
      </c>
      <c r="P481" s="93">
        <f t="shared" si="112"/>
        <v>0</v>
      </c>
      <c r="Q481" s="93">
        <f t="shared" si="113"/>
        <v>0</v>
      </c>
      <c r="R481" s="93">
        <f t="shared" si="114"/>
        <v>140</v>
      </c>
      <c r="S481" s="93">
        <f t="shared" si="115"/>
        <v>0</v>
      </c>
      <c r="T481" s="93">
        <f t="shared" si="106"/>
        <v>140</v>
      </c>
      <c r="U481" s="312">
        <f t="shared" si="109"/>
        <v>1265</v>
      </c>
      <c r="V481" s="93">
        <f t="shared" si="110"/>
        <v>0</v>
      </c>
    </row>
    <row r="482" spans="1:22" ht="18" customHeight="1" x14ac:dyDescent="0.2">
      <c r="A482" s="110" t="s">
        <v>995</v>
      </c>
      <c r="B482" s="111"/>
      <c r="C482" s="90" t="s">
        <v>996</v>
      </c>
      <c r="D482" s="91">
        <v>43159</v>
      </c>
      <c r="E482" s="92"/>
      <c r="F482" s="93"/>
      <c r="G482" s="93"/>
      <c r="H482" s="93">
        <v>5650</v>
      </c>
      <c r="I482" s="93">
        <v>5161</v>
      </c>
      <c r="J482" s="93"/>
      <c r="K482" s="93">
        <f t="shared" si="107"/>
        <v>0</v>
      </c>
      <c r="L482" s="93">
        <f t="shared" si="108"/>
        <v>0</v>
      </c>
      <c r="M482" s="94">
        <v>6.67</v>
      </c>
      <c r="N482" s="95" t="s">
        <v>289</v>
      </c>
      <c r="O482" s="93">
        <f t="shared" si="111"/>
        <v>0</v>
      </c>
      <c r="P482" s="93">
        <f t="shared" si="112"/>
        <v>0</v>
      </c>
      <c r="Q482" s="93">
        <f t="shared" si="113"/>
        <v>0</v>
      </c>
      <c r="R482" s="93">
        <f t="shared" si="114"/>
        <v>172</v>
      </c>
      <c r="S482" s="93">
        <f t="shared" si="115"/>
        <v>0</v>
      </c>
      <c r="T482" s="93">
        <f t="shared" si="106"/>
        <v>172</v>
      </c>
      <c r="U482" s="312">
        <f t="shared" si="109"/>
        <v>4989</v>
      </c>
      <c r="V482" s="93">
        <f t="shared" si="110"/>
        <v>0</v>
      </c>
    </row>
    <row r="483" spans="1:22" ht="18" customHeight="1" x14ac:dyDescent="0.2">
      <c r="A483" s="110" t="s">
        <v>997</v>
      </c>
      <c r="B483" s="111"/>
      <c r="C483" s="90" t="s">
        <v>996</v>
      </c>
      <c r="D483" s="91">
        <v>43159</v>
      </c>
      <c r="E483" s="92"/>
      <c r="F483" s="93"/>
      <c r="G483" s="93"/>
      <c r="H483" s="93">
        <v>9300</v>
      </c>
      <c r="I483" s="93">
        <v>8494</v>
      </c>
      <c r="J483" s="93"/>
      <c r="K483" s="93">
        <f t="shared" si="107"/>
        <v>0</v>
      </c>
      <c r="L483" s="93">
        <f t="shared" si="108"/>
        <v>0</v>
      </c>
      <c r="M483" s="94">
        <v>6.67</v>
      </c>
      <c r="N483" s="95" t="s">
        <v>289</v>
      </c>
      <c r="O483" s="93">
        <f t="shared" si="111"/>
        <v>0</v>
      </c>
      <c r="P483" s="93">
        <f t="shared" si="112"/>
        <v>0</v>
      </c>
      <c r="Q483" s="93">
        <f t="shared" si="113"/>
        <v>0</v>
      </c>
      <c r="R483" s="93">
        <f t="shared" si="114"/>
        <v>283</v>
      </c>
      <c r="S483" s="93">
        <f t="shared" si="115"/>
        <v>0</v>
      </c>
      <c r="T483" s="93">
        <f t="shared" si="106"/>
        <v>283</v>
      </c>
      <c r="U483" s="312">
        <f t="shared" si="109"/>
        <v>8211</v>
      </c>
      <c r="V483" s="93">
        <f t="shared" si="110"/>
        <v>0</v>
      </c>
    </row>
    <row r="484" spans="1:22" ht="18" customHeight="1" x14ac:dyDescent="0.2">
      <c r="A484" s="110" t="s">
        <v>998</v>
      </c>
      <c r="B484" s="111"/>
      <c r="C484" s="201" t="s">
        <v>999</v>
      </c>
      <c r="D484" s="91">
        <v>43189</v>
      </c>
      <c r="E484" s="92"/>
      <c r="F484" s="93"/>
      <c r="G484" s="93"/>
      <c r="H484" s="93">
        <v>2542</v>
      </c>
      <c r="I484" s="93">
        <v>1953</v>
      </c>
      <c r="J484" s="93"/>
      <c r="K484" s="93">
        <f t="shared" si="107"/>
        <v>0</v>
      </c>
      <c r="L484" s="93">
        <f t="shared" si="108"/>
        <v>0</v>
      </c>
      <c r="M484" s="94">
        <v>20</v>
      </c>
      <c r="N484" s="95" t="s">
        <v>289</v>
      </c>
      <c r="O484" s="93">
        <f t="shared" si="111"/>
        <v>0</v>
      </c>
      <c r="P484" s="93">
        <f t="shared" si="112"/>
        <v>0</v>
      </c>
      <c r="Q484" s="93">
        <f t="shared" si="113"/>
        <v>0</v>
      </c>
      <c r="R484" s="93">
        <f t="shared" si="114"/>
        <v>195</v>
      </c>
      <c r="S484" s="93">
        <f t="shared" si="115"/>
        <v>0</v>
      </c>
      <c r="T484" s="93">
        <f t="shared" si="106"/>
        <v>195</v>
      </c>
      <c r="U484" s="312">
        <f t="shared" si="109"/>
        <v>1758</v>
      </c>
      <c r="V484" s="93">
        <f t="shared" si="110"/>
        <v>0</v>
      </c>
    </row>
    <row r="485" spans="1:22" ht="18" customHeight="1" x14ac:dyDescent="0.2">
      <c r="A485" s="110" t="s">
        <v>1000</v>
      </c>
      <c r="B485" s="111"/>
      <c r="C485" s="201" t="s">
        <v>1001</v>
      </c>
      <c r="D485" s="91">
        <v>43258</v>
      </c>
      <c r="E485" s="92"/>
      <c r="F485" s="93"/>
      <c r="G485" s="93"/>
      <c r="H485" s="93">
        <v>158048</v>
      </c>
      <c r="I485" s="93">
        <v>136406</v>
      </c>
      <c r="J485" s="93"/>
      <c r="K485" s="93">
        <f t="shared" si="107"/>
        <v>0</v>
      </c>
      <c r="L485" s="93">
        <f t="shared" si="108"/>
        <v>0</v>
      </c>
      <c r="M485" s="94">
        <v>13.33</v>
      </c>
      <c r="N485" s="95" t="s">
        <v>289</v>
      </c>
      <c r="O485" s="93">
        <f t="shared" si="111"/>
        <v>0</v>
      </c>
      <c r="P485" s="93">
        <f t="shared" si="112"/>
        <v>0</v>
      </c>
      <c r="Q485" s="93">
        <f t="shared" si="113"/>
        <v>0</v>
      </c>
      <c r="R485" s="93">
        <f t="shared" si="114"/>
        <v>9091</v>
      </c>
      <c r="S485" s="93">
        <f t="shared" si="115"/>
        <v>0</v>
      </c>
      <c r="T485" s="93">
        <f t="shared" si="106"/>
        <v>9091</v>
      </c>
      <c r="U485" s="312">
        <f t="shared" si="109"/>
        <v>127315</v>
      </c>
      <c r="V485" s="93">
        <f t="shared" si="110"/>
        <v>0</v>
      </c>
    </row>
    <row r="486" spans="1:22" ht="18" customHeight="1" x14ac:dyDescent="0.2">
      <c r="A486" s="110" t="s">
        <v>1002</v>
      </c>
      <c r="B486" s="111"/>
      <c r="C486" s="201" t="s">
        <v>1003</v>
      </c>
      <c r="D486" s="91">
        <v>42924</v>
      </c>
      <c r="E486" s="92"/>
      <c r="F486" s="93"/>
      <c r="G486" s="93"/>
      <c r="H486" s="93">
        <v>1092.0999999999999</v>
      </c>
      <c r="I486" s="93">
        <v>711.1</v>
      </c>
      <c r="J486" s="93"/>
      <c r="K486" s="93">
        <f t="shared" si="107"/>
        <v>0</v>
      </c>
      <c r="L486" s="93">
        <f t="shared" si="108"/>
        <v>0</v>
      </c>
      <c r="M486" s="94">
        <v>20</v>
      </c>
      <c r="N486" s="95" t="s">
        <v>289</v>
      </c>
      <c r="O486" s="93">
        <f t="shared" si="111"/>
        <v>0</v>
      </c>
      <c r="P486" s="93">
        <f t="shared" si="112"/>
        <v>0</v>
      </c>
      <c r="Q486" s="93">
        <f t="shared" si="113"/>
        <v>0</v>
      </c>
      <c r="R486" s="93">
        <f t="shared" si="114"/>
        <v>71</v>
      </c>
      <c r="S486" s="93">
        <f t="shared" si="115"/>
        <v>0</v>
      </c>
      <c r="T486" s="93">
        <f t="shared" si="106"/>
        <v>71</v>
      </c>
      <c r="U486" s="312">
        <f t="shared" si="109"/>
        <v>640.1</v>
      </c>
      <c r="V486" s="93">
        <f t="shared" si="110"/>
        <v>0</v>
      </c>
    </row>
    <row r="487" spans="1:22" ht="18" customHeight="1" x14ac:dyDescent="0.2">
      <c r="A487" s="110" t="s">
        <v>1004</v>
      </c>
      <c r="B487" s="111"/>
      <c r="C487" s="201" t="s">
        <v>1005</v>
      </c>
      <c r="D487" s="91">
        <v>42933</v>
      </c>
      <c r="E487" s="92"/>
      <c r="F487" s="93"/>
      <c r="G487" s="93"/>
      <c r="H487" s="93">
        <v>2876.54</v>
      </c>
      <c r="I487" s="93">
        <v>1883.54</v>
      </c>
      <c r="J487" s="93"/>
      <c r="K487" s="93">
        <f t="shared" si="107"/>
        <v>0</v>
      </c>
      <c r="L487" s="93">
        <f t="shared" si="108"/>
        <v>0</v>
      </c>
      <c r="M487" s="94">
        <v>20</v>
      </c>
      <c r="N487" s="95" t="s">
        <v>289</v>
      </c>
      <c r="O487" s="93">
        <f t="shared" si="111"/>
        <v>0</v>
      </c>
      <c r="P487" s="93">
        <f t="shared" si="112"/>
        <v>0</v>
      </c>
      <c r="Q487" s="93">
        <f t="shared" si="113"/>
        <v>0</v>
      </c>
      <c r="R487" s="93">
        <f t="shared" si="114"/>
        <v>188</v>
      </c>
      <c r="S487" s="93">
        <f t="shared" si="115"/>
        <v>0</v>
      </c>
      <c r="T487" s="93">
        <f t="shared" si="106"/>
        <v>188</v>
      </c>
      <c r="U487" s="312">
        <f t="shared" si="109"/>
        <v>1695.54</v>
      </c>
      <c r="V487" s="93">
        <f t="shared" si="110"/>
        <v>0</v>
      </c>
    </row>
    <row r="488" spans="1:22" ht="18" customHeight="1" x14ac:dyDescent="0.2">
      <c r="A488" s="110" t="s">
        <v>1006</v>
      </c>
      <c r="B488" s="111"/>
      <c r="C488" s="201" t="s">
        <v>1007</v>
      </c>
      <c r="D488" s="91">
        <v>42961</v>
      </c>
      <c r="E488" s="92"/>
      <c r="F488" s="93"/>
      <c r="G488" s="93"/>
      <c r="H488" s="93">
        <v>4662</v>
      </c>
      <c r="I488" s="93">
        <v>3110</v>
      </c>
      <c r="J488" s="93"/>
      <c r="K488" s="93">
        <f t="shared" si="107"/>
        <v>0</v>
      </c>
      <c r="L488" s="93">
        <f t="shared" si="108"/>
        <v>0</v>
      </c>
      <c r="M488" s="94">
        <v>20</v>
      </c>
      <c r="N488" s="95" t="s">
        <v>289</v>
      </c>
      <c r="O488" s="93">
        <f t="shared" si="111"/>
        <v>0</v>
      </c>
      <c r="P488" s="93">
        <f t="shared" si="112"/>
        <v>0</v>
      </c>
      <c r="Q488" s="93">
        <f t="shared" si="113"/>
        <v>0</v>
      </c>
      <c r="R488" s="93">
        <f t="shared" si="114"/>
        <v>311</v>
      </c>
      <c r="S488" s="93">
        <f t="shared" si="115"/>
        <v>0</v>
      </c>
      <c r="T488" s="93">
        <f t="shared" si="106"/>
        <v>311</v>
      </c>
      <c r="U488" s="312">
        <f t="shared" si="109"/>
        <v>2799</v>
      </c>
      <c r="V488" s="93">
        <f t="shared" si="110"/>
        <v>0</v>
      </c>
    </row>
    <row r="489" spans="1:22" ht="18" customHeight="1" x14ac:dyDescent="0.2">
      <c r="A489" s="110" t="s">
        <v>1008</v>
      </c>
      <c r="B489" s="111"/>
      <c r="C489" s="201" t="s">
        <v>1009</v>
      </c>
      <c r="D489" s="91">
        <v>43140</v>
      </c>
      <c r="E489" s="92"/>
      <c r="F489" s="93"/>
      <c r="G489" s="93"/>
      <c r="H489" s="93">
        <v>12750</v>
      </c>
      <c r="I489" s="93">
        <v>11056</v>
      </c>
      <c r="J489" s="93"/>
      <c r="K489" s="93">
        <f t="shared" si="107"/>
        <v>0</v>
      </c>
      <c r="L489" s="93">
        <f t="shared" si="108"/>
        <v>0</v>
      </c>
      <c r="M489" s="94">
        <v>10</v>
      </c>
      <c r="N489" s="95" t="s">
        <v>289</v>
      </c>
      <c r="O489" s="93">
        <f t="shared" si="111"/>
        <v>0</v>
      </c>
      <c r="P489" s="93">
        <f t="shared" si="112"/>
        <v>0</v>
      </c>
      <c r="Q489" s="93">
        <f t="shared" si="113"/>
        <v>0</v>
      </c>
      <c r="R489" s="93">
        <f t="shared" si="114"/>
        <v>552</v>
      </c>
      <c r="S489" s="93">
        <f t="shared" si="115"/>
        <v>0</v>
      </c>
      <c r="T489" s="93">
        <f t="shared" si="106"/>
        <v>552</v>
      </c>
      <c r="U489" s="312">
        <f t="shared" si="109"/>
        <v>10504</v>
      </c>
      <c r="V489" s="93">
        <f t="shared" si="110"/>
        <v>0</v>
      </c>
    </row>
    <row r="490" spans="1:22" ht="18" customHeight="1" x14ac:dyDescent="0.2">
      <c r="A490" s="110" t="s">
        <v>1010</v>
      </c>
      <c r="B490" s="111"/>
      <c r="C490" s="201" t="s">
        <v>1011</v>
      </c>
      <c r="D490" s="91">
        <v>42978</v>
      </c>
      <c r="E490" s="92"/>
      <c r="F490" s="93"/>
      <c r="G490" s="93"/>
      <c r="H490" s="93">
        <v>1638</v>
      </c>
      <c r="I490" s="93">
        <v>1106</v>
      </c>
      <c r="J490" s="93"/>
      <c r="K490" s="93">
        <f t="shared" si="107"/>
        <v>0</v>
      </c>
      <c r="L490" s="93">
        <f t="shared" si="108"/>
        <v>0</v>
      </c>
      <c r="M490" s="94">
        <v>20</v>
      </c>
      <c r="N490" s="95" t="s">
        <v>289</v>
      </c>
      <c r="O490" s="93">
        <f t="shared" si="111"/>
        <v>0</v>
      </c>
      <c r="P490" s="93">
        <f t="shared" si="112"/>
        <v>0</v>
      </c>
      <c r="Q490" s="93">
        <f t="shared" si="113"/>
        <v>0</v>
      </c>
      <c r="R490" s="93">
        <f t="shared" si="114"/>
        <v>110</v>
      </c>
      <c r="S490" s="93">
        <f t="shared" si="115"/>
        <v>0</v>
      </c>
      <c r="T490" s="93">
        <f t="shared" si="106"/>
        <v>110</v>
      </c>
      <c r="U490" s="312">
        <f t="shared" si="109"/>
        <v>996</v>
      </c>
      <c r="V490" s="93">
        <f t="shared" si="110"/>
        <v>0</v>
      </c>
    </row>
    <row r="491" spans="1:22" ht="18" customHeight="1" x14ac:dyDescent="0.2">
      <c r="A491" s="110" t="s">
        <v>1012</v>
      </c>
      <c r="B491" s="111"/>
      <c r="C491" s="201" t="s">
        <v>1013</v>
      </c>
      <c r="D491" s="91">
        <v>42978</v>
      </c>
      <c r="E491" s="92"/>
      <c r="F491" s="93"/>
      <c r="G491" s="93"/>
      <c r="H491" s="93">
        <v>104498.59</v>
      </c>
      <c r="I491" s="93">
        <v>86426.59</v>
      </c>
      <c r="J491" s="93"/>
      <c r="K491" s="93">
        <f t="shared" si="107"/>
        <v>0</v>
      </c>
      <c r="L491" s="93">
        <f t="shared" si="108"/>
        <v>0</v>
      </c>
      <c r="M491" s="94">
        <v>10</v>
      </c>
      <c r="N491" s="95" t="s">
        <v>289</v>
      </c>
      <c r="O491" s="93">
        <f t="shared" si="111"/>
        <v>0</v>
      </c>
      <c r="P491" s="93">
        <f t="shared" si="112"/>
        <v>0</v>
      </c>
      <c r="Q491" s="93">
        <f t="shared" si="113"/>
        <v>0</v>
      </c>
      <c r="R491" s="93">
        <f t="shared" si="114"/>
        <v>4321</v>
      </c>
      <c r="S491" s="93">
        <f t="shared" si="115"/>
        <v>0</v>
      </c>
      <c r="T491" s="93">
        <f t="shared" si="106"/>
        <v>4321</v>
      </c>
      <c r="U491" s="312">
        <f t="shared" si="109"/>
        <v>82105.59</v>
      </c>
      <c r="V491" s="93">
        <f t="shared" si="110"/>
        <v>0</v>
      </c>
    </row>
    <row r="492" spans="1:22" ht="18" customHeight="1" x14ac:dyDescent="0.2">
      <c r="A492" s="110" t="s">
        <v>1014</v>
      </c>
      <c r="B492" s="111"/>
      <c r="C492" s="90" t="s">
        <v>1015</v>
      </c>
      <c r="D492" s="91">
        <v>43100</v>
      </c>
      <c r="E492" s="92"/>
      <c r="F492" s="93"/>
      <c r="G492" s="93"/>
      <c r="H492" s="93">
        <v>1953</v>
      </c>
      <c r="I492" s="93">
        <v>1424</v>
      </c>
      <c r="J492" s="93"/>
      <c r="K492" s="93">
        <f t="shared" si="107"/>
        <v>0</v>
      </c>
      <c r="L492" s="93">
        <f t="shared" si="108"/>
        <v>0</v>
      </c>
      <c r="M492" s="94">
        <v>20</v>
      </c>
      <c r="N492" s="95" t="s">
        <v>289</v>
      </c>
      <c r="O492" s="93">
        <f t="shared" si="111"/>
        <v>0</v>
      </c>
      <c r="P492" s="93">
        <f t="shared" si="112"/>
        <v>0</v>
      </c>
      <c r="Q492" s="93">
        <f t="shared" si="113"/>
        <v>0</v>
      </c>
      <c r="R492" s="93">
        <f t="shared" si="114"/>
        <v>142</v>
      </c>
      <c r="S492" s="93">
        <f t="shared" si="115"/>
        <v>0</v>
      </c>
      <c r="T492" s="93">
        <f t="shared" si="106"/>
        <v>142</v>
      </c>
      <c r="U492" s="312">
        <f t="shared" si="109"/>
        <v>1282</v>
      </c>
      <c r="V492" s="93">
        <f t="shared" si="110"/>
        <v>0</v>
      </c>
    </row>
    <row r="493" spans="1:22" ht="18" customHeight="1" x14ac:dyDescent="0.2">
      <c r="A493" s="110" t="s">
        <v>1016</v>
      </c>
      <c r="B493" s="111"/>
      <c r="C493" s="201" t="s">
        <v>1017</v>
      </c>
      <c r="D493" s="91">
        <v>43188</v>
      </c>
      <c r="E493" s="92"/>
      <c r="F493" s="93"/>
      <c r="G493" s="93"/>
      <c r="H493" s="93">
        <v>1143.76</v>
      </c>
      <c r="I493" s="93">
        <v>878.76</v>
      </c>
      <c r="J493" s="93"/>
      <c r="K493" s="93">
        <f t="shared" si="107"/>
        <v>0</v>
      </c>
      <c r="L493" s="93">
        <f t="shared" si="108"/>
        <v>0</v>
      </c>
      <c r="M493" s="94">
        <v>20</v>
      </c>
      <c r="N493" s="95" t="s">
        <v>289</v>
      </c>
      <c r="O493" s="93">
        <f t="shared" si="111"/>
        <v>0</v>
      </c>
      <c r="P493" s="93">
        <f t="shared" si="112"/>
        <v>0</v>
      </c>
      <c r="Q493" s="93">
        <f t="shared" si="113"/>
        <v>0</v>
      </c>
      <c r="R493" s="93">
        <f t="shared" si="114"/>
        <v>87</v>
      </c>
      <c r="S493" s="93">
        <f t="shared" si="115"/>
        <v>0</v>
      </c>
      <c r="T493" s="93">
        <f t="shared" si="106"/>
        <v>87</v>
      </c>
      <c r="U493" s="312">
        <f t="shared" si="109"/>
        <v>791.76</v>
      </c>
      <c r="V493" s="93">
        <f t="shared" si="110"/>
        <v>0</v>
      </c>
    </row>
    <row r="494" spans="1:22" ht="18" customHeight="1" x14ac:dyDescent="0.2">
      <c r="A494" s="110" t="s">
        <v>1018</v>
      </c>
      <c r="B494" s="111"/>
      <c r="C494" s="201" t="s">
        <v>1019</v>
      </c>
      <c r="D494" s="91">
        <v>43189</v>
      </c>
      <c r="E494" s="92"/>
      <c r="F494" s="93"/>
      <c r="G494" s="93"/>
      <c r="H494" s="93">
        <v>1798</v>
      </c>
      <c r="I494" s="93">
        <v>1381</v>
      </c>
      <c r="J494" s="93"/>
      <c r="K494" s="93">
        <f t="shared" si="107"/>
        <v>0</v>
      </c>
      <c r="L494" s="93">
        <f t="shared" si="108"/>
        <v>0</v>
      </c>
      <c r="M494" s="94">
        <v>20</v>
      </c>
      <c r="N494" s="95" t="s">
        <v>289</v>
      </c>
      <c r="O494" s="93">
        <f t="shared" si="111"/>
        <v>0</v>
      </c>
      <c r="P494" s="93">
        <f t="shared" si="112"/>
        <v>0</v>
      </c>
      <c r="Q494" s="93">
        <f t="shared" si="113"/>
        <v>0</v>
      </c>
      <c r="R494" s="93">
        <f t="shared" si="114"/>
        <v>138</v>
      </c>
      <c r="S494" s="93">
        <f t="shared" si="115"/>
        <v>0</v>
      </c>
      <c r="T494" s="93">
        <f t="shared" si="106"/>
        <v>138</v>
      </c>
      <c r="U494" s="312">
        <f t="shared" si="109"/>
        <v>1243</v>
      </c>
      <c r="V494" s="93">
        <f t="shared" si="110"/>
        <v>0</v>
      </c>
    </row>
    <row r="495" spans="1:22" ht="18" customHeight="1" x14ac:dyDescent="0.2">
      <c r="A495" s="110" t="s">
        <v>1020</v>
      </c>
      <c r="B495" s="111"/>
      <c r="C495" s="201" t="s">
        <v>1021</v>
      </c>
      <c r="D495" s="91">
        <v>43281</v>
      </c>
      <c r="E495" s="92"/>
      <c r="F495" s="93"/>
      <c r="G495" s="93"/>
      <c r="H495" s="93">
        <v>1240</v>
      </c>
      <c r="I495" s="93">
        <v>1118</v>
      </c>
      <c r="J495" s="93"/>
      <c r="K495" s="93">
        <f t="shared" si="107"/>
        <v>0</v>
      </c>
      <c r="L495" s="93">
        <f t="shared" si="108"/>
        <v>0</v>
      </c>
      <c r="M495" s="94">
        <v>10</v>
      </c>
      <c r="N495" s="95" t="s">
        <v>289</v>
      </c>
      <c r="O495" s="93">
        <f t="shared" si="111"/>
        <v>0</v>
      </c>
      <c r="P495" s="93">
        <f t="shared" si="112"/>
        <v>0</v>
      </c>
      <c r="Q495" s="93">
        <f t="shared" si="113"/>
        <v>0</v>
      </c>
      <c r="R495" s="93">
        <f t="shared" si="114"/>
        <v>55</v>
      </c>
      <c r="S495" s="93">
        <f t="shared" si="115"/>
        <v>0</v>
      </c>
      <c r="T495" s="93">
        <f t="shared" si="106"/>
        <v>55</v>
      </c>
      <c r="U495" s="312">
        <f t="shared" si="109"/>
        <v>1063</v>
      </c>
      <c r="V495" s="93">
        <f t="shared" si="110"/>
        <v>0</v>
      </c>
    </row>
    <row r="496" spans="1:22" ht="18" customHeight="1" x14ac:dyDescent="0.2">
      <c r="A496" s="110" t="s">
        <v>1022</v>
      </c>
      <c r="B496" s="111"/>
      <c r="C496" s="90" t="s">
        <v>1023</v>
      </c>
      <c r="D496" s="91">
        <v>43251</v>
      </c>
      <c r="E496" s="92"/>
      <c r="F496" s="93"/>
      <c r="G496" s="93"/>
      <c r="H496" s="93">
        <v>1178</v>
      </c>
      <c r="I496" s="93">
        <v>938</v>
      </c>
      <c r="J496" s="93"/>
      <c r="K496" s="93">
        <f t="shared" si="107"/>
        <v>0</v>
      </c>
      <c r="L496" s="93">
        <f t="shared" si="108"/>
        <v>0</v>
      </c>
      <c r="M496" s="94">
        <v>20</v>
      </c>
      <c r="N496" s="95" t="s">
        <v>289</v>
      </c>
      <c r="O496" s="93">
        <f t="shared" si="111"/>
        <v>0</v>
      </c>
      <c r="P496" s="93">
        <f t="shared" si="112"/>
        <v>0</v>
      </c>
      <c r="Q496" s="93">
        <f t="shared" si="113"/>
        <v>0</v>
      </c>
      <c r="R496" s="93">
        <f t="shared" si="114"/>
        <v>93</v>
      </c>
      <c r="S496" s="93">
        <f t="shared" si="115"/>
        <v>0</v>
      </c>
      <c r="T496" s="93">
        <f t="shared" si="106"/>
        <v>93</v>
      </c>
      <c r="U496" s="312">
        <f t="shared" si="109"/>
        <v>845</v>
      </c>
      <c r="V496" s="93">
        <f t="shared" si="110"/>
        <v>0</v>
      </c>
    </row>
    <row r="497" spans="1:22" ht="18" customHeight="1" x14ac:dyDescent="0.2">
      <c r="A497" s="110" t="s">
        <v>1024</v>
      </c>
      <c r="B497" s="111"/>
      <c r="C497" s="201" t="s">
        <v>1025</v>
      </c>
      <c r="D497" s="91">
        <v>43014</v>
      </c>
      <c r="E497" s="92"/>
      <c r="F497" s="93"/>
      <c r="G497" s="93"/>
      <c r="H497" s="93">
        <v>7187.29</v>
      </c>
      <c r="I497" s="93">
        <v>4963.29</v>
      </c>
      <c r="J497" s="93"/>
      <c r="K497" s="93">
        <f t="shared" si="107"/>
        <v>0</v>
      </c>
      <c r="L497" s="93">
        <f t="shared" si="108"/>
        <v>0</v>
      </c>
      <c r="M497" s="94">
        <v>20</v>
      </c>
      <c r="N497" s="95" t="s">
        <v>289</v>
      </c>
      <c r="O497" s="93">
        <f t="shared" si="111"/>
        <v>0</v>
      </c>
      <c r="P497" s="93">
        <f t="shared" si="112"/>
        <v>0</v>
      </c>
      <c r="Q497" s="93">
        <f t="shared" si="113"/>
        <v>0</v>
      </c>
      <c r="R497" s="93">
        <f t="shared" si="114"/>
        <v>496</v>
      </c>
      <c r="S497" s="93">
        <f t="shared" si="115"/>
        <v>0</v>
      </c>
      <c r="T497" s="93">
        <f t="shared" si="106"/>
        <v>496</v>
      </c>
      <c r="U497" s="312">
        <f t="shared" si="109"/>
        <v>4467.29</v>
      </c>
      <c r="V497" s="93">
        <f t="shared" si="110"/>
        <v>0</v>
      </c>
    </row>
    <row r="498" spans="1:22" ht="18" customHeight="1" x14ac:dyDescent="0.2">
      <c r="A498" s="110" t="s">
        <v>1026</v>
      </c>
      <c r="B498" s="111"/>
      <c r="C498" s="201" t="s">
        <v>1027</v>
      </c>
      <c r="D498" s="91">
        <v>43022</v>
      </c>
      <c r="E498" s="92"/>
      <c r="F498" s="93"/>
      <c r="G498" s="93"/>
      <c r="H498" s="93">
        <v>4195.2</v>
      </c>
      <c r="I498" s="93">
        <v>2911.2000000000003</v>
      </c>
      <c r="J498" s="93"/>
      <c r="K498" s="93">
        <f t="shared" si="107"/>
        <v>0</v>
      </c>
      <c r="L498" s="93">
        <f t="shared" si="108"/>
        <v>0</v>
      </c>
      <c r="M498" s="94">
        <v>20</v>
      </c>
      <c r="N498" s="95" t="s">
        <v>289</v>
      </c>
      <c r="O498" s="93">
        <f t="shared" si="111"/>
        <v>0</v>
      </c>
      <c r="P498" s="93">
        <f t="shared" si="112"/>
        <v>0</v>
      </c>
      <c r="Q498" s="93">
        <f t="shared" si="113"/>
        <v>0</v>
      </c>
      <c r="R498" s="93">
        <f t="shared" si="114"/>
        <v>291</v>
      </c>
      <c r="S498" s="93">
        <f t="shared" si="115"/>
        <v>0</v>
      </c>
      <c r="T498" s="93">
        <f t="shared" si="106"/>
        <v>291</v>
      </c>
      <c r="U498" s="312">
        <f t="shared" si="109"/>
        <v>2620.2000000000003</v>
      </c>
      <c r="V498" s="93">
        <f t="shared" si="110"/>
        <v>0</v>
      </c>
    </row>
    <row r="499" spans="1:22" ht="18" customHeight="1" x14ac:dyDescent="0.2">
      <c r="A499" s="110" t="s">
        <v>1028</v>
      </c>
      <c r="B499" s="111"/>
      <c r="C499" s="201" t="s">
        <v>1029</v>
      </c>
      <c r="D499" s="91">
        <v>43188</v>
      </c>
      <c r="E499" s="92"/>
      <c r="F499" s="93"/>
      <c r="G499" s="93"/>
      <c r="H499" s="93">
        <v>1128</v>
      </c>
      <c r="I499" s="93">
        <v>866</v>
      </c>
      <c r="J499" s="93"/>
      <c r="K499" s="93">
        <f t="shared" si="107"/>
        <v>0</v>
      </c>
      <c r="L499" s="93">
        <f t="shared" si="108"/>
        <v>0</v>
      </c>
      <c r="M499" s="94">
        <v>20</v>
      </c>
      <c r="N499" s="95" t="s">
        <v>289</v>
      </c>
      <c r="O499" s="93">
        <f t="shared" si="111"/>
        <v>0</v>
      </c>
      <c r="P499" s="93">
        <f t="shared" si="112"/>
        <v>0</v>
      </c>
      <c r="Q499" s="93">
        <f t="shared" si="113"/>
        <v>0</v>
      </c>
      <c r="R499" s="93">
        <f t="shared" si="114"/>
        <v>86</v>
      </c>
      <c r="S499" s="93">
        <f t="shared" si="115"/>
        <v>0</v>
      </c>
      <c r="T499" s="93">
        <f t="shared" si="106"/>
        <v>86</v>
      </c>
      <c r="U499" s="312">
        <f t="shared" si="109"/>
        <v>780</v>
      </c>
      <c r="V499" s="93">
        <f t="shared" si="110"/>
        <v>0</v>
      </c>
    </row>
    <row r="500" spans="1:22" ht="18" customHeight="1" x14ac:dyDescent="0.2">
      <c r="A500" s="110" t="s">
        <v>1030</v>
      </c>
      <c r="B500" s="111"/>
      <c r="C500" s="201" t="s">
        <v>1031</v>
      </c>
      <c r="D500" s="91">
        <v>43191</v>
      </c>
      <c r="E500" s="92"/>
      <c r="F500" s="93"/>
      <c r="G500" s="93"/>
      <c r="H500" s="93">
        <v>5451</v>
      </c>
      <c r="I500" s="93">
        <v>4192</v>
      </c>
      <c r="J500" s="93"/>
      <c r="K500" s="93">
        <f t="shared" si="107"/>
        <v>0</v>
      </c>
      <c r="L500" s="93">
        <f t="shared" si="108"/>
        <v>0</v>
      </c>
      <c r="M500" s="94">
        <v>20</v>
      </c>
      <c r="N500" s="95" t="s">
        <v>289</v>
      </c>
      <c r="O500" s="93">
        <f t="shared" si="111"/>
        <v>0</v>
      </c>
      <c r="P500" s="93">
        <f t="shared" si="112"/>
        <v>0</v>
      </c>
      <c r="Q500" s="93">
        <f t="shared" si="113"/>
        <v>0</v>
      </c>
      <c r="R500" s="93">
        <f t="shared" si="114"/>
        <v>419</v>
      </c>
      <c r="S500" s="93">
        <f t="shared" si="115"/>
        <v>0</v>
      </c>
      <c r="T500" s="93">
        <f t="shared" ref="T500:T557" si="116">+R500+S500+Q500</f>
        <v>419</v>
      </c>
      <c r="U500" s="312">
        <f t="shared" si="109"/>
        <v>3773</v>
      </c>
      <c r="V500" s="93">
        <f t="shared" si="110"/>
        <v>0</v>
      </c>
    </row>
    <row r="501" spans="1:22" ht="18" customHeight="1" x14ac:dyDescent="0.2">
      <c r="A501" s="110" t="s">
        <v>1032</v>
      </c>
      <c r="B501" s="111"/>
      <c r="C501" s="201" t="s">
        <v>2152</v>
      </c>
      <c r="D501" s="91">
        <v>43108</v>
      </c>
      <c r="E501" s="92"/>
      <c r="F501" s="93"/>
      <c r="G501" s="93"/>
      <c r="H501" s="93">
        <v>7000</v>
      </c>
      <c r="I501" s="93">
        <v>5126.2222222222217</v>
      </c>
      <c r="J501" s="93"/>
      <c r="K501" s="93">
        <f t="shared" si="107"/>
        <v>0</v>
      </c>
      <c r="L501" s="93">
        <f t="shared" si="108"/>
        <v>0</v>
      </c>
      <c r="M501" s="94">
        <v>20</v>
      </c>
      <c r="N501" s="95" t="s">
        <v>289</v>
      </c>
      <c r="O501" s="93">
        <f t="shared" si="111"/>
        <v>0</v>
      </c>
      <c r="P501" s="93">
        <f t="shared" si="112"/>
        <v>0</v>
      </c>
      <c r="Q501" s="93">
        <f t="shared" si="113"/>
        <v>0</v>
      </c>
      <c r="R501" s="93">
        <f t="shared" si="114"/>
        <v>512</v>
      </c>
      <c r="S501" s="93">
        <f t="shared" si="115"/>
        <v>0</v>
      </c>
      <c r="T501" s="93">
        <f t="shared" si="116"/>
        <v>512</v>
      </c>
      <c r="U501" s="312">
        <f t="shared" si="109"/>
        <v>4614.2222222222217</v>
      </c>
      <c r="V501" s="93">
        <f t="shared" si="110"/>
        <v>0</v>
      </c>
    </row>
    <row r="502" spans="1:22" ht="18" customHeight="1" x14ac:dyDescent="0.2">
      <c r="A502" s="110" t="s">
        <v>2150</v>
      </c>
      <c r="B502" s="111"/>
      <c r="C502" s="201" t="s">
        <v>2151</v>
      </c>
      <c r="D502" s="91">
        <v>43108</v>
      </c>
      <c r="E502" s="92">
        <v>43710</v>
      </c>
      <c r="F502" s="93">
        <v>300</v>
      </c>
      <c r="G502" s="93"/>
      <c r="H502" s="93">
        <v>200</v>
      </c>
      <c r="I502" s="93">
        <v>145.77777777777777</v>
      </c>
      <c r="J502" s="93"/>
      <c r="K502" s="93">
        <f t="shared" ref="K502" si="117">INT(IF($E502&gt;0,IF(+F502-I502+Q502&lt;0,0,+F502-I502+Q502),0))</f>
        <v>159</v>
      </c>
      <c r="L502" s="93">
        <f t="shared" ref="L502" si="118">INT(IF($E502&gt;0,IF(K502=0,-F502+I502-Q502,0),0))</f>
        <v>0</v>
      </c>
      <c r="M502" s="94">
        <v>20</v>
      </c>
      <c r="N502" s="95" t="s">
        <v>289</v>
      </c>
      <c r="O502" s="93">
        <f t="shared" ref="O502" si="119">IF(E502&gt;0,INT(IF($N502="D",IF($D502&lt;$H$3,$I502*($M502/100)*((E502-$H$3)/365),$J502*($M502/100)*($J$3-$D502)/365),0)),0)</f>
        <v>5</v>
      </c>
      <c r="P502" s="93">
        <f t="shared" ref="P502" si="120">IF(E502&gt;0,INT(IF($N502="P",IF($D502&lt;$H$3,$H502*($M502/100)*(E502-$H$3)/365,$J502*($M502/100)*($J$3-$D502)/365),0)),0)</f>
        <v>0</v>
      </c>
      <c r="Q502" s="93">
        <f t="shared" ref="Q502" si="121">+O502+P502</f>
        <v>5</v>
      </c>
      <c r="R502" s="93">
        <f t="shared" si="114"/>
        <v>0</v>
      </c>
      <c r="S502" s="93">
        <f t="shared" si="115"/>
        <v>0</v>
      </c>
      <c r="T502" s="93">
        <f>+R502+S502+Q502</f>
        <v>5</v>
      </c>
      <c r="U502" s="312">
        <f t="shared" ref="U502" si="122">+I502+J502-T502-F502+K502-L502</f>
        <v>-0.22222222222222854</v>
      </c>
      <c r="V502" s="93">
        <f t="shared" ref="V502" si="123">IF(E502&gt;0,+H502+J502,0)</f>
        <v>200</v>
      </c>
    </row>
    <row r="503" spans="1:22" ht="18" customHeight="1" x14ac:dyDescent="0.2">
      <c r="A503" s="110" t="s">
        <v>1034</v>
      </c>
      <c r="B503" s="111"/>
      <c r="C503" s="201" t="s">
        <v>1035</v>
      </c>
      <c r="D503" s="91">
        <v>43145</v>
      </c>
      <c r="E503" s="92"/>
      <c r="F503" s="93"/>
      <c r="G503" s="93"/>
      <c r="H503" s="93">
        <v>4000</v>
      </c>
      <c r="I503" s="93">
        <v>2995</v>
      </c>
      <c r="J503" s="93"/>
      <c r="K503" s="93">
        <f t="shared" si="107"/>
        <v>0</v>
      </c>
      <c r="L503" s="93">
        <f t="shared" si="108"/>
        <v>0</v>
      </c>
      <c r="M503" s="94">
        <v>20</v>
      </c>
      <c r="N503" s="95" t="s">
        <v>289</v>
      </c>
      <c r="O503" s="93">
        <f t="shared" si="111"/>
        <v>0</v>
      </c>
      <c r="P503" s="93">
        <f t="shared" si="112"/>
        <v>0</v>
      </c>
      <c r="Q503" s="93">
        <f t="shared" si="113"/>
        <v>0</v>
      </c>
      <c r="R503" s="93">
        <f t="shared" si="114"/>
        <v>299</v>
      </c>
      <c r="S503" s="93">
        <f t="shared" si="115"/>
        <v>0</v>
      </c>
      <c r="T503" s="93">
        <f t="shared" si="116"/>
        <v>299</v>
      </c>
      <c r="U503" s="312">
        <f t="shared" si="109"/>
        <v>2696</v>
      </c>
      <c r="V503" s="93">
        <f t="shared" si="110"/>
        <v>0</v>
      </c>
    </row>
    <row r="504" spans="1:22" ht="18" customHeight="1" x14ac:dyDescent="0.2">
      <c r="A504" s="110" t="s">
        <v>1036</v>
      </c>
      <c r="B504" s="111"/>
      <c r="C504" s="201" t="s">
        <v>1037</v>
      </c>
      <c r="D504" s="91">
        <v>43273</v>
      </c>
      <c r="E504" s="92"/>
      <c r="F504" s="93"/>
      <c r="G504" s="93"/>
      <c r="H504" s="93">
        <v>4727.2700000000004</v>
      </c>
      <c r="I504" s="93">
        <v>3808.2700000000004</v>
      </c>
      <c r="J504" s="93"/>
      <c r="K504" s="93">
        <f t="shared" si="107"/>
        <v>0</v>
      </c>
      <c r="L504" s="93">
        <f t="shared" si="108"/>
        <v>0</v>
      </c>
      <c r="M504" s="94">
        <v>20</v>
      </c>
      <c r="N504" s="95" t="s">
        <v>289</v>
      </c>
      <c r="O504" s="93">
        <f t="shared" si="111"/>
        <v>0</v>
      </c>
      <c r="P504" s="93">
        <f t="shared" si="112"/>
        <v>0</v>
      </c>
      <c r="Q504" s="93">
        <f t="shared" si="113"/>
        <v>0</v>
      </c>
      <c r="R504" s="93">
        <f t="shared" si="114"/>
        <v>380</v>
      </c>
      <c r="S504" s="93">
        <f t="shared" si="115"/>
        <v>0</v>
      </c>
      <c r="T504" s="93">
        <f t="shared" si="116"/>
        <v>380</v>
      </c>
      <c r="U504" s="312">
        <f t="shared" si="109"/>
        <v>3428.2700000000004</v>
      </c>
      <c r="V504" s="93">
        <f t="shared" si="110"/>
        <v>0</v>
      </c>
    </row>
    <row r="505" spans="1:22" ht="18" customHeight="1" x14ac:dyDescent="0.2">
      <c r="A505" s="110" t="s">
        <v>1038</v>
      </c>
      <c r="B505" s="111"/>
      <c r="C505" s="201" t="s">
        <v>1039</v>
      </c>
      <c r="D505" s="91">
        <v>43213</v>
      </c>
      <c r="E505" s="92"/>
      <c r="F505" s="93"/>
      <c r="G505" s="93"/>
      <c r="H505" s="93">
        <v>1186.04</v>
      </c>
      <c r="I505" s="93">
        <v>924.04</v>
      </c>
      <c r="J505" s="93"/>
      <c r="K505" s="93">
        <f t="shared" si="107"/>
        <v>0</v>
      </c>
      <c r="L505" s="93">
        <f t="shared" si="108"/>
        <v>0</v>
      </c>
      <c r="M505" s="94">
        <v>20</v>
      </c>
      <c r="N505" s="95" t="s">
        <v>289</v>
      </c>
      <c r="O505" s="93">
        <f t="shared" si="111"/>
        <v>0</v>
      </c>
      <c r="P505" s="93">
        <f t="shared" si="112"/>
        <v>0</v>
      </c>
      <c r="Q505" s="93">
        <f t="shared" si="113"/>
        <v>0</v>
      </c>
      <c r="R505" s="93">
        <f t="shared" si="114"/>
        <v>92</v>
      </c>
      <c r="S505" s="93">
        <f t="shared" si="115"/>
        <v>0</v>
      </c>
      <c r="T505" s="93">
        <f t="shared" si="116"/>
        <v>92</v>
      </c>
      <c r="U505" s="312">
        <f t="shared" si="109"/>
        <v>832.04</v>
      </c>
      <c r="V505" s="93">
        <f t="shared" si="110"/>
        <v>0</v>
      </c>
    </row>
    <row r="506" spans="1:22" ht="18" customHeight="1" x14ac:dyDescent="0.2">
      <c r="A506" s="110" t="s">
        <v>1040</v>
      </c>
      <c r="B506" s="111"/>
      <c r="C506" s="90" t="s">
        <v>1041</v>
      </c>
      <c r="D506" s="91">
        <v>42956</v>
      </c>
      <c r="E506" s="92"/>
      <c r="F506" s="93"/>
      <c r="G506" s="93"/>
      <c r="H506" s="93">
        <v>5700</v>
      </c>
      <c r="I506" s="93">
        <v>4683</v>
      </c>
      <c r="J506" s="93"/>
      <c r="K506" s="93">
        <f t="shared" si="107"/>
        <v>0</v>
      </c>
      <c r="L506" s="93">
        <f t="shared" si="108"/>
        <v>0</v>
      </c>
      <c r="M506" s="94">
        <v>10</v>
      </c>
      <c r="N506" s="95" t="s">
        <v>289</v>
      </c>
      <c r="O506" s="93">
        <f t="shared" si="111"/>
        <v>0</v>
      </c>
      <c r="P506" s="93">
        <f t="shared" si="112"/>
        <v>0</v>
      </c>
      <c r="Q506" s="93">
        <f t="shared" si="113"/>
        <v>0</v>
      </c>
      <c r="R506" s="93">
        <f t="shared" si="114"/>
        <v>234</v>
      </c>
      <c r="S506" s="93">
        <f t="shared" si="115"/>
        <v>0</v>
      </c>
      <c r="T506" s="93">
        <f t="shared" si="116"/>
        <v>234</v>
      </c>
      <c r="U506" s="312">
        <f t="shared" si="109"/>
        <v>4449</v>
      </c>
      <c r="V506" s="93">
        <f t="shared" si="110"/>
        <v>0</v>
      </c>
    </row>
    <row r="507" spans="1:22" ht="18" customHeight="1" x14ac:dyDescent="0.2">
      <c r="A507" s="110" t="s">
        <v>1042</v>
      </c>
      <c r="B507" s="111"/>
      <c r="C507" s="201" t="s">
        <v>1043</v>
      </c>
      <c r="D507" s="91">
        <v>43047</v>
      </c>
      <c r="E507" s="92"/>
      <c r="F507" s="93"/>
      <c r="G507" s="93"/>
      <c r="H507" s="93">
        <v>21755.040000000001</v>
      </c>
      <c r="I507" s="93">
        <v>18364.04</v>
      </c>
      <c r="J507" s="93"/>
      <c r="K507" s="93">
        <f t="shared" si="107"/>
        <v>0</v>
      </c>
      <c r="L507" s="93">
        <f t="shared" si="108"/>
        <v>0</v>
      </c>
      <c r="M507" s="94">
        <v>10</v>
      </c>
      <c r="N507" s="95" t="s">
        <v>289</v>
      </c>
      <c r="O507" s="93">
        <f t="shared" si="111"/>
        <v>0</v>
      </c>
      <c r="P507" s="93">
        <f t="shared" si="112"/>
        <v>0</v>
      </c>
      <c r="Q507" s="93">
        <f t="shared" si="113"/>
        <v>0</v>
      </c>
      <c r="R507" s="93">
        <f t="shared" si="114"/>
        <v>918</v>
      </c>
      <c r="S507" s="93">
        <f t="shared" si="115"/>
        <v>0</v>
      </c>
      <c r="T507" s="93">
        <f t="shared" si="116"/>
        <v>918</v>
      </c>
      <c r="U507" s="312">
        <f t="shared" si="109"/>
        <v>17446.04</v>
      </c>
      <c r="V507" s="93">
        <f t="shared" si="110"/>
        <v>0</v>
      </c>
    </row>
    <row r="508" spans="1:22" ht="18" customHeight="1" x14ac:dyDescent="0.2">
      <c r="A508" s="110" t="s">
        <v>1044</v>
      </c>
      <c r="B508" s="111"/>
      <c r="C508" s="201" t="s">
        <v>1045</v>
      </c>
      <c r="D508" s="91">
        <v>43154</v>
      </c>
      <c r="E508" s="92"/>
      <c r="F508" s="93"/>
      <c r="G508" s="93"/>
      <c r="H508" s="93">
        <v>2305</v>
      </c>
      <c r="I508" s="93">
        <v>2007</v>
      </c>
      <c r="J508" s="93"/>
      <c r="K508" s="93">
        <f t="shared" si="107"/>
        <v>0</v>
      </c>
      <c r="L508" s="93">
        <f t="shared" si="108"/>
        <v>0</v>
      </c>
      <c r="M508" s="94">
        <v>10</v>
      </c>
      <c r="N508" s="95" t="s">
        <v>289</v>
      </c>
      <c r="O508" s="93">
        <f t="shared" si="111"/>
        <v>0</v>
      </c>
      <c r="P508" s="93">
        <f t="shared" si="112"/>
        <v>0</v>
      </c>
      <c r="Q508" s="93">
        <f t="shared" si="113"/>
        <v>0</v>
      </c>
      <c r="R508" s="93">
        <f t="shared" si="114"/>
        <v>100</v>
      </c>
      <c r="S508" s="93">
        <f t="shared" si="115"/>
        <v>0</v>
      </c>
      <c r="T508" s="93">
        <f t="shared" si="116"/>
        <v>100</v>
      </c>
      <c r="U508" s="312">
        <f t="shared" si="109"/>
        <v>1907</v>
      </c>
      <c r="V508" s="93">
        <f t="shared" si="110"/>
        <v>0</v>
      </c>
    </row>
    <row r="509" spans="1:22" ht="18" customHeight="1" x14ac:dyDescent="0.2">
      <c r="A509" s="110" t="s">
        <v>1046</v>
      </c>
      <c r="B509" s="111"/>
      <c r="C509" s="201" t="s">
        <v>1047</v>
      </c>
      <c r="D509" s="91">
        <v>43159</v>
      </c>
      <c r="E509" s="92"/>
      <c r="F509" s="93"/>
      <c r="G509" s="93"/>
      <c r="H509" s="93">
        <v>1408</v>
      </c>
      <c r="I509" s="93">
        <v>1063</v>
      </c>
      <c r="J509" s="93"/>
      <c r="K509" s="93">
        <f t="shared" si="107"/>
        <v>0</v>
      </c>
      <c r="L509" s="93">
        <f t="shared" si="108"/>
        <v>0</v>
      </c>
      <c r="M509" s="94">
        <v>20</v>
      </c>
      <c r="N509" s="95" t="s">
        <v>289</v>
      </c>
      <c r="O509" s="93">
        <f t="shared" si="111"/>
        <v>0</v>
      </c>
      <c r="P509" s="93">
        <f t="shared" si="112"/>
        <v>0</v>
      </c>
      <c r="Q509" s="93">
        <f t="shared" si="113"/>
        <v>0</v>
      </c>
      <c r="R509" s="93">
        <f t="shared" si="114"/>
        <v>106</v>
      </c>
      <c r="S509" s="93">
        <f t="shared" si="115"/>
        <v>0</v>
      </c>
      <c r="T509" s="93">
        <f t="shared" si="116"/>
        <v>106</v>
      </c>
      <c r="U509" s="312">
        <f t="shared" si="109"/>
        <v>957</v>
      </c>
      <c r="V509" s="93">
        <f t="shared" si="110"/>
        <v>0</v>
      </c>
    </row>
    <row r="510" spans="1:22" ht="18" customHeight="1" x14ac:dyDescent="0.2">
      <c r="A510" s="110" t="s">
        <v>1048</v>
      </c>
      <c r="B510" s="111"/>
      <c r="C510" s="201" t="s">
        <v>1045</v>
      </c>
      <c r="D510" s="91">
        <v>43173</v>
      </c>
      <c r="E510" s="92"/>
      <c r="F510" s="93"/>
      <c r="G510" s="93"/>
      <c r="H510" s="93">
        <v>2305</v>
      </c>
      <c r="I510" s="93">
        <v>2018</v>
      </c>
      <c r="J510" s="93"/>
      <c r="K510" s="93">
        <f t="shared" si="107"/>
        <v>0</v>
      </c>
      <c r="L510" s="93">
        <f t="shared" si="108"/>
        <v>0</v>
      </c>
      <c r="M510" s="94">
        <v>10</v>
      </c>
      <c r="N510" s="95" t="s">
        <v>289</v>
      </c>
      <c r="O510" s="93">
        <f t="shared" si="111"/>
        <v>0</v>
      </c>
      <c r="P510" s="93">
        <f t="shared" si="112"/>
        <v>0</v>
      </c>
      <c r="Q510" s="93">
        <f t="shared" si="113"/>
        <v>0</v>
      </c>
      <c r="R510" s="93">
        <f t="shared" si="114"/>
        <v>100</v>
      </c>
      <c r="S510" s="93">
        <f t="shared" si="115"/>
        <v>0</v>
      </c>
      <c r="T510" s="93">
        <f t="shared" si="116"/>
        <v>100</v>
      </c>
      <c r="U510" s="312">
        <f t="shared" si="109"/>
        <v>1918</v>
      </c>
      <c r="V510" s="93">
        <f t="shared" si="110"/>
        <v>0</v>
      </c>
    </row>
    <row r="511" spans="1:22" ht="18" customHeight="1" x14ac:dyDescent="0.2">
      <c r="A511" s="110" t="s">
        <v>1049</v>
      </c>
      <c r="B511" s="111"/>
      <c r="C511" s="201" t="s">
        <v>1050</v>
      </c>
      <c r="D511" s="91">
        <v>43241</v>
      </c>
      <c r="E511" s="92"/>
      <c r="F511" s="93"/>
      <c r="G511" s="93"/>
      <c r="H511" s="93">
        <v>18636.36</v>
      </c>
      <c r="I511" s="93">
        <v>14743.36</v>
      </c>
      <c r="J511" s="93"/>
      <c r="K511" s="93">
        <f t="shared" si="107"/>
        <v>0</v>
      </c>
      <c r="L511" s="93">
        <f t="shared" si="108"/>
        <v>0</v>
      </c>
      <c r="M511" s="94">
        <v>20</v>
      </c>
      <c r="N511" s="95" t="s">
        <v>289</v>
      </c>
      <c r="O511" s="93">
        <f t="shared" si="111"/>
        <v>0</v>
      </c>
      <c r="P511" s="93">
        <f t="shared" si="112"/>
        <v>0</v>
      </c>
      <c r="Q511" s="93">
        <f t="shared" si="113"/>
        <v>0</v>
      </c>
      <c r="R511" s="93">
        <f t="shared" si="114"/>
        <v>1474</v>
      </c>
      <c r="S511" s="93">
        <f t="shared" si="115"/>
        <v>0</v>
      </c>
      <c r="T511" s="93">
        <f t="shared" si="116"/>
        <v>1474</v>
      </c>
      <c r="U511" s="312">
        <f t="shared" si="109"/>
        <v>13269.36</v>
      </c>
      <c r="V511" s="93">
        <f t="shared" si="110"/>
        <v>0</v>
      </c>
    </row>
    <row r="512" spans="1:22" ht="18" customHeight="1" x14ac:dyDescent="0.2">
      <c r="A512" s="110" t="s">
        <v>1051</v>
      </c>
      <c r="B512" s="111"/>
      <c r="C512" s="201" t="s">
        <v>1052</v>
      </c>
      <c r="D512" s="91">
        <v>43264</v>
      </c>
      <c r="E512" s="92"/>
      <c r="F512" s="93"/>
      <c r="G512" s="93"/>
      <c r="H512" s="93">
        <v>50099</v>
      </c>
      <c r="I512" s="93">
        <v>44976</v>
      </c>
      <c r="J512" s="93"/>
      <c r="K512" s="93">
        <f t="shared" si="107"/>
        <v>0</v>
      </c>
      <c r="L512" s="93">
        <f t="shared" si="108"/>
        <v>0</v>
      </c>
      <c r="M512" s="94">
        <v>10</v>
      </c>
      <c r="N512" s="95" t="s">
        <v>289</v>
      </c>
      <c r="O512" s="93">
        <f t="shared" si="111"/>
        <v>0</v>
      </c>
      <c r="P512" s="93">
        <f t="shared" si="112"/>
        <v>0</v>
      </c>
      <c r="Q512" s="93">
        <f t="shared" si="113"/>
        <v>0</v>
      </c>
      <c r="R512" s="93">
        <f t="shared" si="114"/>
        <v>2248</v>
      </c>
      <c r="S512" s="93">
        <f t="shared" si="115"/>
        <v>0</v>
      </c>
      <c r="T512" s="93">
        <f t="shared" si="116"/>
        <v>2248</v>
      </c>
      <c r="U512" s="312">
        <f t="shared" si="109"/>
        <v>42728</v>
      </c>
      <c r="V512" s="93">
        <f t="shared" si="110"/>
        <v>0</v>
      </c>
    </row>
    <row r="513" spans="1:22" ht="18" customHeight="1" x14ac:dyDescent="0.2">
      <c r="A513" s="110" t="s">
        <v>1053</v>
      </c>
      <c r="B513" s="111"/>
      <c r="C513" s="201" t="s">
        <v>1054</v>
      </c>
      <c r="D513" s="91">
        <v>43146</v>
      </c>
      <c r="E513" s="92"/>
      <c r="F513" s="93"/>
      <c r="G513" s="93"/>
      <c r="H513" s="93">
        <v>2340</v>
      </c>
      <c r="I513" s="93">
        <v>1753</v>
      </c>
      <c r="J513" s="93"/>
      <c r="K513" s="93">
        <f t="shared" si="107"/>
        <v>0</v>
      </c>
      <c r="L513" s="93">
        <f t="shared" si="108"/>
        <v>0</v>
      </c>
      <c r="M513" s="94">
        <v>20</v>
      </c>
      <c r="N513" s="95" t="s">
        <v>289</v>
      </c>
      <c r="O513" s="93">
        <f t="shared" si="111"/>
        <v>0</v>
      </c>
      <c r="P513" s="93">
        <f t="shared" si="112"/>
        <v>0</v>
      </c>
      <c r="Q513" s="93">
        <f t="shared" si="113"/>
        <v>0</v>
      </c>
      <c r="R513" s="93">
        <f t="shared" si="114"/>
        <v>175</v>
      </c>
      <c r="S513" s="93">
        <f t="shared" si="115"/>
        <v>0</v>
      </c>
      <c r="T513" s="93">
        <f t="shared" si="116"/>
        <v>175</v>
      </c>
      <c r="U513" s="312">
        <f t="shared" si="109"/>
        <v>1578</v>
      </c>
      <c r="V513" s="93">
        <f t="shared" si="110"/>
        <v>0</v>
      </c>
    </row>
    <row r="514" spans="1:22" ht="18" customHeight="1" x14ac:dyDescent="0.2">
      <c r="A514" s="110" t="s">
        <v>1055</v>
      </c>
      <c r="B514" s="111"/>
      <c r="C514" s="201" t="s">
        <v>1056</v>
      </c>
      <c r="D514" s="91">
        <v>43146</v>
      </c>
      <c r="E514" s="92"/>
      <c r="F514" s="93"/>
      <c r="G514" s="93"/>
      <c r="H514" s="93">
        <v>3960</v>
      </c>
      <c r="I514" s="93">
        <v>2967</v>
      </c>
      <c r="J514" s="93"/>
      <c r="K514" s="93">
        <f t="shared" si="107"/>
        <v>0</v>
      </c>
      <c r="L514" s="93">
        <f t="shared" si="108"/>
        <v>0</v>
      </c>
      <c r="M514" s="94">
        <v>20</v>
      </c>
      <c r="N514" s="95" t="s">
        <v>289</v>
      </c>
      <c r="O514" s="93">
        <f t="shared" si="111"/>
        <v>0</v>
      </c>
      <c r="P514" s="93">
        <f t="shared" si="112"/>
        <v>0</v>
      </c>
      <c r="Q514" s="93">
        <f t="shared" si="113"/>
        <v>0</v>
      </c>
      <c r="R514" s="93">
        <f t="shared" si="114"/>
        <v>296</v>
      </c>
      <c r="S514" s="93">
        <f t="shared" si="115"/>
        <v>0</v>
      </c>
      <c r="T514" s="93">
        <f t="shared" si="116"/>
        <v>296</v>
      </c>
      <c r="U514" s="312">
        <f t="shared" si="109"/>
        <v>2671</v>
      </c>
      <c r="V514" s="93">
        <f t="shared" si="110"/>
        <v>0</v>
      </c>
    </row>
    <row r="515" spans="1:22" ht="18" customHeight="1" x14ac:dyDescent="0.2">
      <c r="A515" s="110" t="s">
        <v>1057</v>
      </c>
      <c r="B515" s="111"/>
      <c r="C515" s="229" t="s">
        <v>1058</v>
      </c>
      <c r="D515" s="91">
        <v>43318</v>
      </c>
      <c r="E515" s="92"/>
      <c r="F515" s="93"/>
      <c r="G515" s="93"/>
      <c r="H515" s="93">
        <v>25000</v>
      </c>
      <c r="I515" s="93">
        <v>22072</v>
      </c>
      <c r="J515" s="93"/>
      <c r="K515" s="93">
        <f t="shared" si="107"/>
        <v>0</v>
      </c>
      <c r="L515" s="93">
        <f t="shared" si="108"/>
        <v>0</v>
      </c>
      <c r="M515" s="94">
        <v>13.33</v>
      </c>
      <c r="N515" s="95" t="s">
        <v>289</v>
      </c>
      <c r="O515" s="93">
        <f t="shared" si="111"/>
        <v>0</v>
      </c>
      <c r="P515" s="93">
        <f t="shared" si="112"/>
        <v>0</v>
      </c>
      <c r="Q515" s="93">
        <f t="shared" si="113"/>
        <v>0</v>
      </c>
      <c r="R515" s="93">
        <f t="shared" si="114"/>
        <v>1471</v>
      </c>
      <c r="S515" s="93">
        <f t="shared" si="115"/>
        <v>0</v>
      </c>
      <c r="T515" s="93">
        <f t="shared" si="116"/>
        <v>1471</v>
      </c>
      <c r="U515" s="312">
        <f t="shared" si="109"/>
        <v>20601</v>
      </c>
      <c r="V515" s="93">
        <f t="shared" si="110"/>
        <v>0</v>
      </c>
    </row>
    <row r="516" spans="1:22" ht="18" customHeight="1" x14ac:dyDescent="0.2">
      <c r="A516" s="110" t="s">
        <v>1059</v>
      </c>
      <c r="B516" s="111"/>
      <c r="C516" s="230" t="s">
        <v>1060</v>
      </c>
      <c r="D516" s="91">
        <v>43342</v>
      </c>
      <c r="E516" s="92"/>
      <c r="F516" s="93"/>
      <c r="G516" s="93"/>
      <c r="H516" s="93">
        <v>361854</v>
      </c>
      <c r="I516" s="93">
        <v>341865</v>
      </c>
      <c r="J516" s="93"/>
      <c r="K516" s="93">
        <f t="shared" si="107"/>
        <v>0</v>
      </c>
      <c r="L516" s="93">
        <f t="shared" si="108"/>
        <v>0</v>
      </c>
      <c r="M516" s="94">
        <v>6.67</v>
      </c>
      <c r="N516" s="95" t="s">
        <v>289</v>
      </c>
      <c r="O516" s="93">
        <f t="shared" si="111"/>
        <v>0</v>
      </c>
      <c r="P516" s="93">
        <f t="shared" si="112"/>
        <v>0</v>
      </c>
      <c r="Q516" s="93">
        <f t="shared" si="113"/>
        <v>0</v>
      </c>
      <c r="R516" s="93">
        <f t="shared" si="114"/>
        <v>11401</v>
      </c>
      <c r="S516" s="93">
        <f t="shared" si="115"/>
        <v>0</v>
      </c>
      <c r="T516" s="93">
        <f t="shared" si="116"/>
        <v>11401</v>
      </c>
      <c r="U516" s="312">
        <f t="shared" si="109"/>
        <v>330464</v>
      </c>
      <c r="V516" s="93">
        <f t="shared" si="110"/>
        <v>0</v>
      </c>
    </row>
    <row r="517" spans="1:22" ht="18" customHeight="1" x14ac:dyDescent="0.2">
      <c r="A517" s="110" t="s">
        <v>1061</v>
      </c>
      <c r="B517" s="111"/>
      <c r="C517" s="201" t="s">
        <v>1062</v>
      </c>
      <c r="D517" s="91">
        <v>43342</v>
      </c>
      <c r="E517" s="92"/>
      <c r="F517" s="93"/>
      <c r="G517" s="93"/>
      <c r="H517" s="93">
        <v>33926</v>
      </c>
      <c r="I517" s="93">
        <v>32052</v>
      </c>
      <c r="J517" s="93"/>
      <c r="K517" s="93">
        <f t="shared" si="107"/>
        <v>0</v>
      </c>
      <c r="L517" s="93">
        <f t="shared" si="108"/>
        <v>0</v>
      </c>
      <c r="M517" s="94">
        <v>6.67</v>
      </c>
      <c r="N517" s="95" t="s">
        <v>289</v>
      </c>
      <c r="O517" s="93">
        <f t="shared" si="111"/>
        <v>0</v>
      </c>
      <c r="P517" s="93">
        <f t="shared" si="112"/>
        <v>0</v>
      </c>
      <c r="Q517" s="93">
        <f t="shared" si="113"/>
        <v>0</v>
      </c>
      <c r="R517" s="93">
        <f t="shared" si="114"/>
        <v>1068</v>
      </c>
      <c r="S517" s="93">
        <f t="shared" si="115"/>
        <v>0</v>
      </c>
      <c r="T517" s="93">
        <f t="shared" si="116"/>
        <v>1068</v>
      </c>
      <c r="U517" s="312">
        <f t="shared" si="109"/>
        <v>30984</v>
      </c>
      <c r="V517" s="93">
        <f t="shared" si="110"/>
        <v>0</v>
      </c>
    </row>
    <row r="518" spans="1:22" ht="18" customHeight="1" x14ac:dyDescent="0.2">
      <c r="A518" s="110" t="s">
        <v>1063</v>
      </c>
      <c r="B518" s="111"/>
      <c r="C518" s="201" t="s">
        <v>1064</v>
      </c>
      <c r="D518" s="91">
        <v>43342</v>
      </c>
      <c r="E518" s="92"/>
      <c r="F518" s="93"/>
      <c r="G518" s="93"/>
      <c r="H518" s="93">
        <v>26846</v>
      </c>
      <c r="I518" s="93">
        <v>25364</v>
      </c>
      <c r="J518" s="93"/>
      <c r="K518" s="93">
        <f t="shared" si="107"/>
        <v>0</v>
      </c>
      <c r="L518" s="93">
        <f t="shared" si="108"/>
        <v>0</v>
      </c>
      <c r="M518" s="94">
        <v>6.67</v>
      </c>
      <c r="N518" s="95" t="s">
        <v>289</v>
      </c>
      <c r="O518" s="93">
        <f t="shared" si="111"/>
        <v>0</v>
      </c>
      <c r="P518" s="93">
        <f t="shared" si="112"/>
        <v>0</v>
      </c>
      <c r="Q518" s="93">
        <f t="shared" si="113"/>
        <v>0</v>
      </c>
      <c r="R518" s="93">
        <f t="shared" si="114"/>
        <v>845</v>
      </c>
      <c r="S518" s="93">
        <f t="shared" si="115"/>
        <v>0</v>
      </c>
      <c r="T518" s="93">
        <f t="shared" si="116"/>
        <v>845</v>
      </c>
      <c r="U518" s="312">
        <f t="shared" si="109"/>
        <v>24519</v>
      </c>
      <c r="V518" s="93">
        <f t="shared" si="110"/>
        <v>0</v>
      </c>
    </row>
    <row r="519" spans="1:22" ht="18" customHeight="1" x14ac:dyDescent="0.2">
      <c r="A519" s="110" t="s">
        <v>1065</v>
      </c>
      <c r="B519" s="111"/>
      <c r="C519" s="201" t="s">
        <v>1066</v>
      </c>
      <c r="D519" s="91">
        <v>43342</v>
      </c>
      <c r="E519" s="92"/>
      <c r="F519" s="93"/>
      <c r="G519" s="93"/>
      <c r="H519" s="93">
        <v>53006</v>
      </c>
      <c r="I519" s="93">
        <v>50078</v>
      </c>
      <c r="J519" s="93"/>
      <c r="K519" s="93">
        <f t="shared" si="107"/>
        <v>0</v>
      </c>
      <c r="L519" s="93">
        <f t="shared" si="108"/>
        <v>0</v>
      </c>
      <c r="M519" s="94">
        <v>6.67</v>
      </c>
      <c r="N519" s="95" t="s">
        <v>289</v>
      </c>
      <c r="O519" s="93">
        <f t="shared" si="111"/>
        <v>0</v>
      </c>
      <c r="P519" s="93">
        <f t="shared" si="112"/>
        <v>0</v>
      </c>
      <c r="Q519" s="93">
        <f t="shared" si="113"/>
        <v>0</v>
      </c>
      <c r="R519" s="93">
        <f t="shared" si="114"/>
        <v>1670</v>
      </c>
      <c r="S519" s="93">
        <f t="shared" si="115"/>
        <v>0</v>
      </c>
      <c r="T519" s="93">
        <f t="shared" si="116"/>
        <v>1670</v>
      </c>
      <c r="U519" s="312">
        <f t="shared" si="109"/>
        <v>48408</v>
      </c>
      <c r="V519" s="93">
        <f t="shared" si="110"/>
        <v>0</v>
      </c>
    </row>
    <row r="520" spans="1:22" ht="18" customHeight="1" x14ac:dyDescent="0.2">
      <c r="A520" s="110" t="s">
        <v>2046</v>
      </c>
      <c r="B520" s="111"/>
      <c r="C520" s="231" t="s">
        <v>2056</v>
      </c>
      <c r="D520" s="91">
        <v>43497</v>
      </c>
      <c r="E520" s="92"/>
      <c r="F520" s="93"/>
      <c r="G520" s="93"/>
      <c r="H520" s="93">
        <v>17684.939999999999</v>
      </c>
      <c r="I520" s="93">
        <v>17203.939999999999</v>
      </c>
      <c r="J520" s="93"/>
      <c r="K520" s="93">
        <f>INT(IF($E520&gt;0,IF(+F520-I520+Q520&lt;0,0,+F520-I520+Q520),0))</f>
        <v>0</v>
      </c>
      <c r="L520" s="93">
        <f>INT(IF($E520&gt;0,IF(K520=0,-F520+I520-Q520,0),0))</f>
        <v>0</v>
      </c>
      <c r="M520" s="94">
        <v>6.67</v>
      </c>
      <c r="N520" s="95" t="s">
        <v>289</v>
      </c>
      <c r="O520" s="93">
        <f>IF(E520&gt;0,INT(IF($N520="D",IF($D520&lt;$H$3,$I520*($M520/100)*((E520-$H$3)/365),$J520*($M520/100)*($J$3-$D520)/365),0)),0)</f>
        <v>0</v>
      </c>
      <c r="P520" s="93">
        <f>IF(E520&gt;0,INT(IF($N520="P",IF($D520&lt;$H$3,$H520*($M520/100)*(E520-$H$3)/365,$J520*($M520/100)*($J$3-$D520)/365),0)),0)</f>
        <v>0</v>
      </c>
      <c r="Q520" s="93">
        <f>+O520+P520</f>
        <v>0</v>
      </c>
      <c r="R520" s="93">
        <f t="shared" si="114"/>
        <v>573</v>
      </c>
      <c r="S520" s="93">
        <f t="shared" si="115"/>
        <v>0</v>
      </c>
      <c r="T520" s="93">
        <f>+R520+S520+Q520</f>
        <v>573</v>
      </c>
      <c r="U520" s="312">
        <f>+I520+J520-T520-F520+K520-L520</f>
        <v>16630.939999999999</v>
      </c>
      <c r="V520" s="93">
        <f t="shared" si="110"/>
        <v>0</v>
      </c>
    </row>
    <row r="521" spans="1:22" ht="18" customHeight="1" x14ac:dyDescent="0.2">
      <c r="A521" s="110" t="s">
        <v>1067</v>
      </c>
      <c r="B521" s="111"/>
      <c r="C521" s="232" t="s">
        <v>1068</v>
      </c>
      <c r="D521" s="91">
        <v>43374</v>
      </c>
      <c r="E521" s="92"/>
      <c r="F521" s="93"/>
      <c r="G521" s="93"/>
      <c r="H521" s="93">
        <v>74600</v>
      </c>
      <c r="I521" s="93">
        <v>67267</v>
      </c>
      <c r="J521" s="93"/>
      <c r="K521" s="93">
        <f t="shared" si="107"/>
        <v>0</v>
      </c>
      <c r="L521" s="93">
        <f t="shared" si="108"/>
        <v>0</v>
      </c>
      <c r="M521" s="94">
        <v>13.33</v>
      </c>
      <c r="N521" s="95" t="s">
        <v>289</v>
      </c>
      <c r="O521" s="93">
        <f t="shared" si="111"/>
        <v>0</v>
      </c>
      <c r="P521" s="93">
        <f t="shared" si="112"/>
        <v>0</v>
      </c>
      <c r="Q521" s="93">
        <f t="shared" si="113"/>
        <v>0</v>
      </c>
      <c r="R521" s="93">
        <f t="shared" si="114"/>
        <v>4483</v>
      </c>
      <c r="S521" s="93">
        <f t="shared" si="115"/>
        <v>0</v>
      </c>
      <c r="T521" s="93">
        <f t="shared" si="116"/>
        <v>4483</v>
      </c>
      <c r="U521" s="312">
        <f t="shared" si="109"/>
        <v>62784</v>
      </c>
      <c r="V521" s="93">
        <f t="shared" si="110"/>
        <v>0</v>
      </c>
    </row>
    <row r="522" spans="1:22" ht="18" customHeight="1" x14ac:dyDescent="0.2">
      <c r="A522" s="110" t="s">
        <v>1069</v>
      </c>
      <c r="B522" s="111"/>
      <c r="C522" s="201" t="s">
        <v>1070</v>
      </c>
      <c r="D522" s="91">
        <v>43374</v>
      </c>
      <c r="E522" s="92"/>
      <c r="F522" s="93"/>
      <c r="G522" s="93"/>
      <c r="H522" s="93">
        <v>80600</v>
      </c>
      <c r="I522" s="93">
        <v>72677</v>
      </c>
      <c r="J522" s="93"/>
      <c r="K522" s="93">
        <f t="shared" si="107"/>
        <v>0</v>
      </c>
      <c r="L522" s="93">
        <f t="shared" si="108"/>
        <v>0</v>
      </c>
      <c r="M522" s="94">
        <v>13.33</v>
      </c>
      <c r="N522" s="95" t="s">
        <v>289</v>
      </c>
      <c r="O522" s="93">
        <f t="shared" si="111"/>
        <v>0</v>
      </c>
      <c r="P522" s="93">
        <f t="shared" si="112"/>
        <v>0</v>
      </c>
      <c r="Q522" s="93">
        <f t="shared" si="113"/>
        <v>0</v>
      </c>
      <c r="R522" s="93">
        <f t="shared" si="114"/>
        <v>4843</v>
      </c>
      <c r="S522" s="93">
        <f t="shared" si="115"/>
        <v>0</v>
      </c>
      <c r="T522" s="93">
        <f t="shared" si="116"/>
        <v>4843</v>
      </c>
      <c r="U522" s="312">
        <f t="shared" si="109"/>
        <v>67834</v>
      </c>
      <c r="V522" s="93">
        <f t="shared" si="110"/>
        <v>0</v>
      </c>
    </row>
    <row r="523" spans="1:22" ht="18" customHeight="1" x14ac:dyDescent="0.2">
      <c r="A523" s="110" t="s">
        <v>2047</v>
      </c>
      <c r="B523" s="111"/>
      <c r="C523" s="201" t="s">
        <v>2057</v>
      </c>
      <c r="D523" s="91">
        <v>43572</v>
      </c>
      <c r="E523" s="92"/>
      <c r="F523" s="93"/>
      <c r="G523" s="93"/>
      <c r="H523" s="93">
        <v>18581.009999999998</v>
      </c>
      <c r="I523" s="93">
        <v>18079.009999999998</v>
      </c>
      <c r="J523" s="93"/>
      <c r="K523" s="93">
        <f>INT(IF($E523&gt;0,IF(+F523-I523+Q523&lt;0,0,+F523-I523+Q523),0))</f>
        <v>0</v>
      </c>
      <c r="L523" s="93">
        <f>INT(IF($E523&gt;0,IF(K523=0,-F523+I523-Q523,0),0))</f>
        <v>0</v>
      </c>
      <c r="M523" s="94">
        <v>13.33</v>
      </c>
      <c r="N523" s="95" t="s">
        <v>289</v>
      </c>
      <c r="O523" s="93">
        <f>IF(E523&gt;0,INT(IF($N523="D",IF($D523&lt;$H$3,$I523*($M523/100)*((E523-$H$3)/365),$J523*($M523/100)*($J$3-$D523)/365),0)),0)</f>
        <v>0</v>
      </c>
      <c r="P523" s="93">
        <f>IF(E523&gt;0,INT(IF($N523="P",IF($D523&lt;$H$3,$H523*($M523/100)*(E523-$H$3)/365,$J523*($M523/100)*($J$3-$D523)/365),0)),0)</f>
        <v>0</v>
      </c>
      <c r="Q523" s="93">
        <f>+O523+P523</f>
        <v>0</v>
      </c>
      <c r="R523" s="93">
        <f t="shared" si="114"/>
        <v>1204</v>
      </c>
      <c r="S523" s="93">
        <f t="shared" si="115"/>
        <v>0</v>
      </c>
      <c r="T523" s="93">
        <f>+R523+S523+Q523</f>
        <v>1204</v>
      </c>
      <c r="U523" s="312">
        <f>+I523+J523-T523-F523+K523-L523</f>
        <v>16875.009999999998</v>
      </c>
      <c r="V523" s="93">
        <f t="shared" si="110"/>
        <v>0</v>
      </c>
    </row>
    <row r="524" spans="1:22" ht="18" customHeight="1" x14ac:dyDescent="0.2">
      <c r="A524" s="110" t="s">
        <v>1071</v>
      </c>
      <c r="B524" s="111"/>
      <c r="C524" s="90" t="s">
        <v>1072</v>
      </c>
      <c r="D524" s="91">
        <v>43299</v>
      </c>
      <c r="E524" s="92"/>
      <c r="F524" s="93"/>
      <c r="G524" s="93"/>
      <c r="H524" s="93">
        <v>616</v>
      </c>
      <c r="I524" s="93">
        <v>504</v>
      </c>
      <c r="J524" s="93"/>
      <c r="K524" s="93">
        <f>INT(IF($E524&gt;0,IF(+F524-I524+Q524&lt;0,0,+F524-I524+Q524),0))</f>
        <v>0</v>
      </c>
      <c r="L524" s="93">
        <f>INT(IF($E524&gt;0,IF(K524=0,-F524+I524-Q524,0),0))</f>
        <v>0</v>
      </c>
      <c r="M524" s="94">
        <v>20</v>
      </c>
      <c r="N524" s="95" t="s">
        <v>289</v>
      </c>
      <c r="O524" s="93">
        <f t="shared" si="111"/>
        <v>0</v>
      </c>
      <c r="P524" s="93">
        <f t="shared" si="112"/>
        <v>0</v>
      </c>
      <c r="Q524" s="93">
        <f t="shared" si="113"/>
        <v>0</v>
      </c>
      <c r="R524" s="93">
        <f t="shared" si="114"/>
        <v>50</v>
      </c>
      <c r="S524" s="93">
        <f t="shared" si="115"/>
        <v>0</v>
      </c>
      <c r="T524" s="93">
        <f t="shared" si="116"/>
        <v>50</v>
      </c>
      <c r="U524" s="312">
        <f t="shared" si="109"/>
        <v>454</v>
      </c>
      <c r="V524" s="93">
        <f t="shared" si="110"/>
        <v>0</v>
      </c>
    </row>
    <row r="525" spans="1:22" ht="18" customHeight="1" x14ac:dyDescent="0.2">
      <c r="A525" s="110" t="s">
        <v>1073</v>
      </c>
      <c r="B525" s="111"/>
      <c r="C525" s="90" t="s">
        <v>1074</v>
      </c>
      <c r="D525" s="91">
        <v>43299</v>
      </c>
      <c r="E525" s="92"/>
      <c r="F525" s="93"/>
      <c r="G525" s="93"/>
      <c r="H525" s="93">
        <v>556</v>
      </c>
      <c r="I525" s="93">
        <v>455</v>
      </c>
      <c r="J525" s="93"/>
      <c r="K525" s="93">
        <f t="shared" si="107"/>
        <v>0</v>
      </c>
      <c r="L525" s="93">
        <f t="shared" si="108"/>
        <v>0</v>
      </c>
      <c r="M525" s="94">
        <v>20</v>
      </c>
      <c r="N525" s="95" t="s">
        <v>289</v>
      </c>
      <c r="O525" s="93">
        <f t="shared" si="111"/>
        <v>0</v>
      </c>
      <c r="P525" s="93">
        <f t="shared" si="112"/>
        <v>0</v>
      </c>
      <c r="Q525" s="93">
        <f t="shared" si="113"/>
        <v>0</v>
      </c>
      <c r="R525" s="93">
        <f t="shared" si="114"/>
        <v>45</v>
      </c>
      <c r="S525" s="93">
        <f t="shared" si="115"/>
        <v>0</v>
      </c>
      <c r="T525" s="93">
        <f t="shared" si="116"/>
        <v>45</v>
      </c>
      <c r="U525" s="312">
        <f t="shared" si="109"/>
        <v>410</v>
      </c>
      <c r="V525" s="93">
        <f t="shared" si="110"/>
        <v>0</v>
      </c>
    </row>
    <row r="526" spans="1:22" ht="18" customHeight="1" x14ac:dyDescent="0.2">
      <c r="A526" s="110" t="s">
        <v>1075</v>
      </c>
      <c r="B526" s="111"/>
      <c r="C526" s="201" t="s">
        <v>1076</v>
      </c>
      <c r="D526" s="91">
        <v>43312</v>
      </c>
      <c r="E526" s="92"/>
      <c r="F526" s="93"/>
      <c r="G526" s="93"/>
      <c r="H526" s="93">
        <v>434</v>
      </c>
      <c r="I526" s="93">
        <v>358</v>
      </c>
      <c r="J526" s="93"/>
      <c r="K526" s="93">
        <f t="shared" si="107"/>
        <v>0</v>
      </c>
      <c r="L526" s="93">
        <f t="shared" si="108"/>
        <v>0</v>
      </c>
      <c r="M526" s="94">
        <v>20</v>
      </c>
      <c r="N526" s="95" t="s">
        <v>289</v>
      </c>
      <c r="O526" s="93">
        <f t="shared" si="111"/>
        <v>0</v>
      </c>
      <c r="P526" s="93">
        <f t="shared" si="112"/>
        <v>0</v>
      </c>
      <c r="Q526" s="93">
        <f t="shared" si="113"/>
        <v>0</v>
      </c>
      <c r="R526" s="93">
        <f t="shared" si="114"/>
        <v>35</v>
      </c>
      <c r="S526" s="93">
        <f t="shared" si="115"/>
        <v>0</v>
      </c>
      <c r="T526" s="93">
        <f t="shared" si="116"/>
        <v>35</v>
      </c>
      <c r="U526" s="312">
        <f t="shared" si="109"/>
        <v>323</v>
      </c>
      <c r="V526" s="93">
        <f t="shared" si="110"/>
        <v>0</v>
      </c>
    </row>
    <row r="527" spans="1:22" ht="18" customHeight="1" x14ac:dyDescent="0.2">
      <c r="A527" s="110" t="s">
        <v>1077</v>
      </c>
      <c r="B527" s="111"/>
      <c r="C527" s="201" t="s">
        <v>1078</v>
      </c>
      <c r="D527" s="91">
        <v>43313</v>
      </c>
      <c r="E527" s="92"/>
      <c r="F527" s="93"/>
      <c r="G527" s="93"/>
      <c r="H527" s="93">
        <v>367.09000000000003</v>
      </c>
      <c r="I527" s="93">
        <v>324.09000000000003</v>
      </c>
      <c r="J527" s="93"/>
      <c r="K527" s="93">
        <f t="shared" si="107"/>
        <v>0</v>
      </c>
      <c r="L527" s="93">
        <f t="shared" si="108"/>
        <v>0</v>
      </c>
      <c r="M527" s="94">
        <v>13.33</v>
      </c>
      <c r="N527" s="95" t="s">
        <v>289</v>
      </c>
      <c r="O527" s="93">
        <f t="shared" si="111"/>
        <v>0</v>
      </c>
      <c r="P527" s="93">
        <f t="shared" si="112"/>
        <v>0</v>
      </c>
      <c r="Q527" s="93">
        <f t="shared" si="113"/>
        <v>0</v>
      </c>
      <c r="R527" s="93">
        <f t="shared" si="114"/>
        <v>21</v>
      </c>
      <c r="S527" s="93">
        <f t="shared" si="115"/>
        <v>0</v>
      </c>
      <c r="T527" s="93">
        <f t="shared" si="116"/>
        <v>21</v>
      </c>
      <c r="U527" s="312">
        <f t="shared" si="109"/>
        <v>303.09000000000003</v>
      </c>
      <c r="V527" s="93">
        <f t="shared" si="110"/>
        <v>0</v>
      </c>
    </row>
    <row r="528" spans="1:22" ht="18" customHeight="1" x14ac:dyDescent="0.2">
      <c r="A528" s="110" t="s">
        <v>1079</v>
      </c>
      <c r="B528" s="111"/>
      <c r="C528" s="201" t="s">
        <v>1080</v>
      </c>
      <c r="D528" s="91">
        <v>43326</v>
      </c>
      <c r="E528" s="92"/>
      <c r="F528" s="93"/>
      <c r="G528" s="93"/>
      <c r="H528" s="93">
        <v>20080.14</v>
      </c>
      <c r="I528" s="93">
        <v>17782.14</v>
      </c>
      <c r="J528" s="93"/>
      <c r="K528" s="93">
        <f t="shared" si="107"/>
        <v>0</v>
      </c>
      <c r="L528" s="93">
        <f t="shared" si="108"/>
        <v>0</v>
      </c>
      <c r="M528" s="94">
        <v>13.33</v>
      </c>
      <c r="N528" s="95" t="s">
        <v>289</v>
      </c>
      <c r="O528" s="93">
        <f t="shared" si="111"/>
        <v>0</v>
      </c>
      <c r="P528" s="93">
        <f t="shared" si="112"/>
        <v>0</v>
      </c>
      <c r="Q528" s="93">
        <f t="shared" si="113"/>
        <v>0</v>
      </c>
      <c r="R528" s="93">
        <f t="shared" si="114"/>
        <v>1185</v>
      </c>
      <c r="S528" s="93">
        <f t="shared" si="115"/>
        <v>0</v>
      </c>
      <c r="T528" s="93">
        <f t="shared" si="116"/>
        <v>1185</v>
      </c>
      <c r="U528" s="312">
        <f t="shared" si="109"/>
        <v>16597.14</v>
      </c>
      <c r="V528" s="93">
        <f t="shared" si="110"/>
        <v>0</v>
      </c>
    </row>
    <row r="529" spans="1:22" ht="18" customHeight="1" x14ac:dyDescent="0.2">
      <c r="A529" s="110" t="s">
        <v>1081</v>
      </c>
      <c r="B529" s="111"/>
      <c r="C529" s="201" t="s">
        <v>1082</v>
      </c>
      <c r="D529" s="91">
        <v>43339</v>
      </c>
      <c r="E529" s="92"/>
      <c r="F529" s="93"/>
      <c r="G529" s="93"/>
      <c r="H529" s="93">
        <v>975.30000000000007</v>
      </c>
      <c r="I529" s="93">
        <v>868.30000000000007</v>
      </c>
      <c r="J529" s="93"/>
      <c r="K529" s="93">
        <f t="shared" si="107"/>
        <v>0</v>
      </c>
      <c r="L529" s="93">
        <f t="shared" si="108"/>
        <v>0</v>
      </c>
      <c r="M529" s="94">
        <v>13.33</v>
      </c>
      <c r="N529" s="95" t="s">
        <v>289</v>
      </c>
      <c r="O529" s="93">
        <f t="shared" si="111"/>
        <v>0</v>
      </c>
      <c r="P529" s="93">
        <f t="shared" si="112"/>
        <v>0</v>
      </c>
      <c r="Q529" s="93">
        <f t="shared" si="113"/>
        <v>0</v>
      </c>
      <c r="R529" s="93">
        <f t="shared" si="114"/>
        <v>57</v>
      </c>
      <c r="S529" s="93">
        <f t="shared" si="115"/>
        <v>0</v>
      </c>
      <c r="T529" s="93">
        <f t="shared" si="116"/>
        <v>57</v>
      </c>
      <c r="U529" s="312">
        <f t="shared" si="109"/>
        <v>811.30000000000007</v>
      </c>
      <c r="V529" s="93">
        <f t="shared" si="110"/>
        <v>0</v>
      </c>
    </row>
    <row r="530" spans="1:22" ht="18" customHeight="1" x14ac:dyDescent="0.2">
      <c r="A530" s="110" t="s">
        <v>1083</v>
      </c>
      <c r="B530" s="111"/>
      <c r="C530" s="201" t="s">
        <v>1084</v>
      </c>
      <c r="D530" s="91">
        <v>43342</v>
      </c>
      <c r="E530" s="92"/>
      <c r="F530" s="93"/>
      <c r="G530" s="93"/>
      <c r="H530" s="93">
        <v>3844</v>
      </c>
      <c r="I530" s="93">
        <v>3425</v>
      </c>
      <c r="J530" s="93"/>
      <c r="K530" s="93">
        <f t="shared" si="107"/>
        <v>0</v>
      </c>
      <c r="L530" s="93">
        <f t="shared" si="108"/>
        <v>0</v>
      </c>
      <c r="M530" s="94">
        <v>13.33</v>
      </c>
      <c r="N530" s="95" t="s">
        <v>289</v>
      </c>
      <c r="O530" s="93">
        <f t="shared" si="111"/>
        <v>0</v>
      </c>
      <c r="P530" s="93">
        <f t="shared" si="112"/>
        <v>0</v>
      </c>
      <c r="Q530" s="93">
        <f t="shared" si="113"/>
        <v>0</v>
      </c>
      <c r="R530" s="93">
        <f t="shared" si="114"/>
        <v>228</v>
      </c>
      <c r="S530" s="93">
        <f t="shared" si="115"/>
        <v>0</v>
      </c>
      <c r="T530" s="93">
        <f t="shared" si="116"/>
        <v>228</v>
      </c>
      <c r="U530" s="312">
        <f t="shared" si="109"/>
        <v>3197</v>
      </c>
      <c r="V530" s="93">
        <f t="shared" si="110"/>
        <v>0</v>
      </c>
    </row>
    <row r="531" spans="1:22" ht="18" customHeight="1" x14ac:dyDescent="0.2">
      <c r="A531" s="110" t="s">
        <v>1085</v>
      </c>
      <c r="B531" s="111"/>
      <c r="C531" s="90" t="s">
        <v>1086</v>
      </c>
      <c r="D531" s="91">
        <v>43331</v>
      </c>
      <c r="E531" s="92"/>
      <c r="F531" s="93"/>
      <c r="G531" s="93"/>
      <c r="H531" s="93">
        <v>960</v>
      </c>
      <c r="I531" s="93">
        <v>853</v>
      </c>
      <c r="J531" s="93"/>
      <c r="K531" s="93">
        <f t="shared" si="107"/>
        <v>0</v>
      </c>
      <c r="L531" s="93">
        <f t="shared" si="108"/>
        <v>0</v>
      </c>
      <c r="M531" s="94">
        <v>13.33</v>
      </c>
      <c r="N531" s="95" t="s">
        <v>289</v>
      </c>
      <c r="O531" s="93">
        <f t="shared" si="111"/>
        <v>0</v>
      </c>
      <c r="P531" s="93">
        <f t="shared" si="112"/>
        <v>0</v>
      </c>
      <c r="Q531" s="93">
        <f t="shared" si="113"/>
        <v>0</v>
      </c>
      <c r="R531" s="93">
        <f t="shared" si="114"/>
        <v>56</v>
      </c>
      <c r="S531" s="93">
        <f t="shared" si="115"/>
        <v>0</v>
      </c>
      <c r="T531" s="93">
        <f t="shared" si="116"/>
        <v>56</v>
      </c>
      <c r="U531" s="312">
        <f t="shared" si="109"/>
        <v>797</v>
      </c>
      <c r="V531" s="93">
        <f t="shared" si="110"/>
        <v>0</v>
      </c>
    </row>
    <row r="532" spans="1:22" ht="18" customHeight="1" x14ac:dyDescent="0.2">
      <c r="A532" s="110" t="s">
        <v>1087</v>
      </c>
      <c r="B532" s="111"/>
      <c r="C532" s="201" t="s">
        <v>1088</v>
      </c>
      <c r="D532" s="91">
        <v>43312</v>
      </c>
      <c r="E532" s="92"/>
      <c r="F532" s="93"/>
      <c r="G532" s="93"/>
      <c r="H532" s="93">
        <v>1364</v>
      </c>
      <c r="I532" s="93">
        <v>1242</v>
      </c>
      <c r="J532" s="93"/>
      <c r="K532" s="93">
        <f t="shared" si="107"/>
        <v>0</v>
      </c>
      <c r="L532" s="93">
        <f t="shared" si="108"/>
        <v>0</v>
      </c>
      <c r="M532" s="94">
        <v>10</v>
      </c>
      <c r="N532" s="95" t="s">
        <v>289</v>
      </c>
      <c r="O532" s="93">
        <f t="shared" si="111"/>
        <v>0</v>
      </c>
      <c r="P532" s="93">
        <f t="shared" si="112"/>
        <v>0</v>
      </c>
      <c r="Q532" s="93">
        <f t="shared" si="113"/>
        <v>0</v>
      </c>
      <c r="R532" s="93">
        <f t="shared" si="114"/>
        <v>62</v>
      </c>
      <c r="S532" s="93">
        <f t="shared" si="115"/>
        <v>0</v>
      </c>
      <c r="T532" s="93">
        <f t="shared" si="116"/>
        <v>62</v>
      </c>
      <c r="U532" s="312">
        <f t="shared" si="109"/>
        <v>1180</v>
      </c>
      <c r="V532" s="93">
        <f t="shared" si="110"/>
        <v>0</v>
      </c>
    </row>
    <row r="533" spans="1:22" ht="18" customHeight="1" x14ac:dyDescent="0.2">
      <c r="A533" s="110" t="s">
        <v>1089</v>
      </c>
      <c r="B533" s="111"/>
      <c r="C533" s="201" t="s">
        <v>1090</v>
      </c>
      <c r="D533" s="91">
        <v>43343</v>
      </c>
      <c r="E533" s="92"/>
      <c r="F533" s="93"/>
      <c r="G533" s="93"/>
      <c r="H533" s="93">
        <v>4658</v>
      </c>
      <c r="I533" s="93">
        <v>4277</v>
      </c>
      <c r="J533" s="93"/>
      <c r="K533" s="93">
        <f t="shared" si="107"/>
        <v>0</v>
      </c>
      <c r="L533" s="93">
        <f t="shared" si="108"/>
        <v>0</v>
      </c>
      <c r="M533" s="94">
        <v>10</v>
      </c>
      <c r="N533" s="95" t="s">
        <v>289</v>
      </c>
      <c r="O533" s="93">
        <f t="shared" si="111"/>
        <v>0</v>
      </c>
      <c r="P533" s="93">
        <f t="shared" si="112"/>
        <v>0</v>
      </c>
      <c r="Q533" s="93">
        <f t="shared" si="113"/>
        <v>0</v>
      </c>
      <c r="R533" s="93">
        <f t="shared" si="114"/>
        <v>213</v>
      </c>
      <c r="S533" s="93">
        <f t="shared" si="115"/>
        <v>0</v>
      </c>
      <c r="T533" s="93">
        <f t="shared" si="116"/>
        <v>213</v>
      </c>
      <c r="U533" s="312">
        <f t="shared" si="109"/>
        <v>4064</v>
      </c>
      <c r="V533" s="93">
        <f t="shared" si="110"/>
        <v>0</v>
      </c>
    </row>
    <row r="534" spans="1:22" ht="18" customHeight="1" x14ac:dyDescent="0.2">
      <c r="A534" s="110" t="s">
        <v>1093</v>
      </c>
      <c r="B534" s="111"/>
      <c r="C534" s="201" t="s">
        <v>1094</v>
      </c>
      <c r="D534" s="91">
        <v>43290</v>
      </c>
      <c r="E534" s="92"/>
      <c r="F534" s="93"/>
      <c r="G534" s="93"/>
      <c r="H534" s="93">
        <v>10454.550000000001</v>
      </c>
      <c r="I534" s="93">
        <v>8501.5500000000011</v>
      </c>
      <c r="J534" s="93"/>
      <c r="K534" s="93">
        <f t="shared" si="107"/>
        <v>0</v>
      </c>
      <c r="L534" s="93">
        <f t="shared" si="108"/>
        <v>0</v>
      </c>
      <c r="M534" s="94">
        <v>20</v>
      </c>
      <c r="N534" s="95" t="s">
        <v>289</v>
      </c>
      <c r="O534" s="93">
        <f t="shared" si="111"/>
        <v>0</v>
      </c>
      <c r="P534" s="93">
        <f t="shared" si="112"/>
        <v>0</v>
      </c>
      <c r="Q534" s="93">
        <f t="shared" si="113"/>
        <v>0</v>
      </c>
      <c r="R534" s="93">
        <f t="shared" si="114"/>
        <v>850</v>
      </c>
      <c r="S534" s="93">
        <f t="shared" si="115"/>
        <v>0</v>
      </c>
      <c r="T534" s="93">
        <f t="shared" si="116"/>
        <v>850</v>
      </c>
      <c r="U534" s="312">
        <f t="shared" si="109"/>
        <v>7651.5500000000011</v>
      </c>
      <c r="V534" s="93">
        <f t="shared" si="110"/>
        <v>0</v>
      </c>
    </row>
    <row r="535" spans="1:22" ht="18" customHeight="1" x14ac:dyDescent="0.2">
      <c r="A535" s="110" t="s">
        <v>1095</v>
      </c>
      <c r="B535" s="111"/>
      <c r="C535" s="201" t="s">
        <v>1096</v>
      </c>
      <c r="D535" s="91">
        <v>43298</v>
      </c>
      <c r="E535" s="92"/>
      <c r="F535" s="93"/>
      <c r="G535" s="93"/>
      <c r="H535" s="93">
        <v>1512.73</v>
      </c>
      <c r="I535" s="93">
        <v>1235.73</v>
      </c>
      <c r="J535" s="93"/>
      <c r="K535" s="93">
        <f t="shared" si="107"/>
        <v>0</v>
      </c>
      <c r="L535" s="93">
        <f t="shared" si="108"/>
        <v>0</v>
      </c>
      <c r="M535" s="94">
        <v>20</v>
      </c>
      <c r="N535" s="95" t="s">
        <v>289</v>
      </c>
      <c r="O535" s="93">
        <f t="shared" si="111"/>
        <v>0</v>
      </c>
      <c r="P535" s="93">
        <f t="shared" si="112"/>
        <v>0</v>
      </c>
      <c r="Q535" s="93">
        <f t="shared" si="113"/>
        <v>0</v>
      </c>
      <c r="R535" s="93">
        <f t="shared" si="114"/>
        <v>123</v>
      </c>
      <c r="S535" s="93">
        <f t="shared" si="115"/>
        <v>0</v>
      </c>
      <c r="T535" s="93">
        <f t="shared" si="116"/>
        <v>123</v>
      </c>
      <c r="U535" s="312">
        <f t="shared" si="109"/>
        <v>1112.73</v>
      </c>
      <c r="V535" s="93">
        <f t="shared" si="110"/>
        <v>0</v>
      </c>
    </row>
    <row r="536" spans="1:22" ht="18" customHeight="1" x14ac:dyDescent="0.2">
      <c r="A536" s="110" t="s">
        <v>1097</v>
      </c>
      <c r="B536" s="111"/>
      <c r="C536" s="201" t="s">
        <v>1098</v>
      </c>
      <c r="D536" s="91">
        <v>43298</v>
      </c>
      <c r="E536" s="92"/>
      <c r="F536" s="93"/>
      <c r="G536" s="93"/>
      <c r="H536" s="93">
        <v>3528.1800000000003</v>
      </c>
      <c r="I536" s="93">
        <v>2883.1800000000003</v>
      </c>
      <c r="J536" s="93"/>
      <c r="K536" s="93">
        <f t="shared" si="107"/>
        <v>0</v>
      </c>
      <c r="L536" s="93">
        <f t="shared" si="108"/>
        <v>0</v>
      </c>
      <c r="M536" s="94">
        <v>20</v>
      </c>
      <c r="N536" s="95" t="s">
        <v>289</v>
      </c>
      <c r="O536" s="93">
        <f t="shared" si="111"/>
        <v>0</v>
      </c>
      <c r="P536" s="93">
        <f t="shared" si="112"/>
        <v>0</v>
      </c>
      <c r="Q536" s="93">
        <f t="shared" si="113"/>
        <v>0</v>
      </c>
      <c r="R536" s="93">
        <f t="shared" si="114"/>
        <v>288</v>
      </c>
      <c r="S536" s="93">
        <f t="shared" si="115"/>
        <v>0</v>
      </c>
      <c r="T536" s="93">
        <f t="shared" si="116"/>
        <v>288</v>
      </c>
      <c r="U536" s="312">
        <f t="shared" si="109"/>
        <v>2595.1800000000003</v>
      </c>
      <c r="V536" s="93">
        <f t="shared" si="110"/>
        <v>0</v>
      </c>
    </row>
    <row r="537" spans="1:22" ht="18" customHeight="1" x14ac:dyDescent="0.2">
      <c r="A537" s="110" t="s">
        <v>1099</v>
      </c>
      <c r="B537" s="111"/>
      <c r="C537" s="201" t="s">
        <v>1100</v>
      </c>
      <c r="D537" s="91">
        <v>43319</v>
      </c>
      <c r="E537" s="92"/>
      <c r="F537" s="93"/>
      <c r="G537" s="93"/>
      <c r="H537" s="93">
        <v>1747.32</v>
      </c>
      <c r="I537" s="93">
        <v>1446.32</v>
      </c>
      <c r="J537" s="93"/>
      <c r="K537" s="93">
        <f t="shared" si="107"/>
        <v>0</v>
      </c>
      <c r="L537" s="93">
        <f t="shared" si="108"/>
        <v>0</v>
      </c>
      <c r="M537" s="94">
        <v>20</v>
      </c>
      <c r="N537" s="95" t="s">
        <v>289</v>
      </c>
      <c r="O537" s="93">
        <f t="shared" si="111"/>
        <v>0</v>
      </c>
      <c r="P537" s="93">
        <f t="shared" si="112"/>
        <v>0</v>
      </c>
      <c r="Q537" s="93">
        <f t="shared" si="113"/>
        <v>0</v>
      </c>
      <c r="R537" s="93">
        <f t="shared" si="114"/>
        <v>144</v>
      </c>
      <c r="S537" s="93">
        <f t="shared" si="115"/>
        <v>0</v>
      </c>
      <c r="T537" s="93">
        <f t="shared" si="116"/>
        <v>144</v>
      </c>
      <c r="U537" s="312">
        <f t="shared" si="109"/>
        <v>1302.32</v>
      </c>
      <c r="V537" s="93">
        <f t="shared" si="110"/>
        <v>0</v>
      </c>
    </row>
    <row r="538" spans="1:22" ht="18" customHeight="1" x14ac:dyDescent="0.2">
      <c r="A538" s="110" t="s">
        <v>1101</v>
      </c>
      <c r="B538" s="111"/>
      <c r="C538" s="201" t="s">
        <v>1102</v>
      </c>
      <c r="D538" s="91">
        <v>43383</v>
      </c>
      <c r="E538" s="92"/>
      <c r="F538" s="93"/>
      <c r="G538" s="93"/>
      <c r="H538" s="93">
        <v>1715.45</v>
      </c>
      <c r="I538" s="93">
        <v>1472.45</v>
      </c>
      <c r="J538" s="93"/>
      <c r="K538" s="93">
        <f t="shared" si="107"/>
        <v>0</v>
      </c>
      <c r="L538" s="93">
        <f t="shared" si="108"/>
        <v>0</v>
      </c>
      <c r="M538" s="94">
        <v>20</v>
      </c>
      <c r="N538" s="95" t="s">
        <v>289</v>
      </c>
      <c r="O538" s="93">
        <f t="shared" si="111"/>
        <v>0</v>
      </c>
      <c r="P538" s="93">
        <f t="shared" si="112"/>
        <v>0</v>
      </c>
      <c r="Q538" s="93">
        <f t="shared" si="113"/>
        <v>0</v>
      </c>
      <c r="R538" s="93">
        <f t="shared" si="114"/>
        <v>147</v>
      </c>
      <c r="S538" s="93">
        <f t="shared" si="115"/>
        <v>0</v>
      </c>
      <c r="T538" s="93">
        <f t="shared" si="116"/>
        <v>147</v>
      </c>
      <c r="U538" s="312">
        <f t="shared" si="109"/>
        <v>1325.45</v>
      </c>
      <c r="V538" s="93">
        <f t="shared" si="110"/>
        <v>0</v>
      </c>
    </row>
    <row r="539" spans="1:22" ht="18" customHeight="1" x14ac:dyDescent="0.2">
      <c r="A539" s="110" t="s">
        <v>1103</v>
      </c>
      <c r="B539" s="111"/>
      <c r="C539" s="203" t="s">
        <v>1104</v>
      </c>
      <c r="D539" s="91">
        <v>43395</v>
      </c>
      <c r="E539" s="92"/>
      <c r="F539" s="93"/>
      <c r="G539" s="209"/>
      <c r="H539" s="93">
        <v>30000</v>
      </c>
      <c r="I539" s="93">
        <v>27941</v>
      </c>
      <c r="J539" s="93"/>
      <c r="K539" s="93">
        <f t="shared" si="107"/>
        <v>0</v>
      </c>
      <c r="L539" s="93">
        <f t="shared" si="108"/>
        <v>0</v>
      </c>
      <c r="M539" s="94">
        <v>10</v>
      </c>
      <c r="N539" s="95" t="s">
        <v>289</v>
      </c>
      <c r="O539" s="93">
        <f t="shared" si="111"/>
        <v>0</v>
      </c>
      <c r="P539" s="93">
        <f t="shared" si="112"/>
        <v>0</v>
      </c>
      <c r="Q539" s="93">
        <f t="shared" si="113"/>
        <v>0</v>
      </c>
      <c r="R539" s="93">
        <f t="shared" si="114"/>
        <v>1397</v>
      </c>
      <c r="S539" s="93">
        <f t="shared" si="115"/>
        <v>0</v>
      </c>
      <c r="T539" s="93">
        <f t="shared" si="116"/>
        <v>1397</v>
      </c>
      <c r="U539" s="312">
        <f t="shared" si="109"/>
        <v>26544</v>
      </c>
      <c r="V539" s="93">
        <f t="shared" si="110"/>
        <v>0</v>
      </c>
    </row>
    <row r="540" spans="1:22" ht="18" customHeight="1" x14ac:dyDescent="0.2">
      <c r="A540" s="110" t="s">
        <v>1105</v>
      </c>
      <c r="B540" s="111"/>
      <c r="C540" s="201" t="s">
        <v>1106</v>
      </c>
      <c r="D540" s="91">
        <v>43374</v>
      </c>
      <c r="E540" s="92"/>
      <c r="F540" s="93"/>
      <c r="G540" s="93"/>
      <c r="H540" s="93">
        <v>1060</v>
      </c>
      <c r="I540" s="93">
        <v>906</v>
      </c>
      <c r="J540" s="93"/>
      <c r="K540" s="93">
        <f t="shared" si="107"/>
        <v>0</v>
      </c>
      <c r="L540" s="93">
        <f t="shared" si="108"/>
        <v>0</v>
      </c>
      <c r="M540" s="94">
        <v>20</v>
      </c>
      <c r="N540" s="95" t="s">
        <v>289</v>
      </c>
      <c r="O540" s="93">
        <f t="shared" si="111"/>
        <v>0</v>
      </c>
      <c r="P540" s="93">
        <f t="shared" si="112"/>
        <v>0</v>
      </c>
      <c r="Q540" s="93">
        <f t="shared" si="113"/>
        <v>0</v>
      </c>
      <c r="R540" s="93">
        <f t="shared" si="114"/>
        <v>90</v>
      </c>
      <c r="S540" s="93">
        <f t="shared" si="115"/>
        <v>0</v>
      </c>
      <c r="T540" s="93">
        <f t="shared" si="116"/>
        <v>90</v>
      </c>
      <c r="U540" s="312">
        <f t="shared" si="109"/>
        <v>816</v>
      </c>
      <c r="V540" s="93">
        <f t="shared" si="110"/>
        <v>0</v>
      </c>
    </row>
    <row r="541" spans="1:22" ht="18" customHeight="1" x14ac:dyDescent="0.2">
      <c r="A541" s="110" t="s">
        <v>1107</v>
      </c>
      <c r="B541" s="111"/>
      <c r="C541" s="201" t="s">
        <v>1108</v>
      </c>
      <c r="D541" s="91">
        <v>43406</v>
      </c>
      <c r="E541" s="92"/>
      <c r="F541" s="93"/>
      <c r="G541" s="93"/>
      <c r="H541" s="93">
        <v>2036.3600000000001</v>
      </c>
      <c r="I541" s="93">
        <v>1771.3600000000001</v>
      </c>
      <c r="J541" s="93"/>
      <c r="K541" s="93">
        <f t="shared" si="107"/>
        <v>0</v>
      </c>
      <c r="L541" s="93">
        <f t="shared" si="108"/>
        <v>0</v>
      </c>
      <c r="M541" s="94">
        <v>20</v>
      </c>
      <c r="N541" s="95" t="s">
        <v>289</v>
      </c>
      <c r="O541" s="93">
        <f t="shared" si="111"/>
        <v>0</v>
      </c>
      <c r="P541" s="93">
        <f t="shared" si="112"/>
        <v>0</v>
      </c>
      <c r="Q541" s="93">
        <f t="shared" si="113"/>
        <v>0</v>
      </c>
      <c r="R541" s="93">
        <f t="shared" si="114"/>
        <v>177</v>
      </c>
      <c r="S541" s="93">
        <f t="shared" si="115"/>
        <v>0</v>
      </c>
      <c r="T541" s="93">
        <f t="shared" si="116"/>
        <v>177</v>
      </c>
      <c r="U541" s="312">
        <f t="shared" si="109"/>
        <v>1594.3600000000001</v>
      </c>
      <c r="V541" s="93">
        <f t="shared" si="110"/>
        <v>0</v>
      </c>
    </row>
    <row r="542" spans="1:22" ht="18" customHeight="1" x14ac:dyDescent="0.2">
      <c r="A542" s="110" t="s">
        <v>1109</v>
      </c>
      <c r="B542" s="111"/>
      <c r="C542" s="201" t="s">
        <v>1110</v>
      </c>
      <c r="D542" s="91">
        <v>43410</v>
      </c>
      <c r="E542" s="92"/>
      <c r="F542" s="93"/>
      <c r="G542" s="93"/>
      <c r="H542" s="93">
        <v>545.45000000000005</v>
      </c>
      <c r="I542" s="93">
        <v>476.45000000000005</v>
      </c>
      <c r="J542" s="93"/>
      <c r="K542" s="93">
        <f t="shared" si="107"/>
        <v>0</v>
      </c>
      <c r="L542" s="93">
        <f t="shared" si="108"/>
        <v>0</v>
      </c>
      <c r="M542" s="94">
        <v>20</v>
      </c>
      <c r="N542" s="95" t="s">
        <v>289</v>
      </c>
      <c r="O542" s="93">
        <f>IF(E542&gt;0,INT(IF($N542="D",IF($D542&lt;$H$3,$I542*($M542/100)*((E542-$H$3)/365),$J542*($M542/100)*($J$3-$D542)/365),0)),0)</f>
        <v>0</v>
      </c>
      <c r="P542" s="93">
        <f>IF(E542&gt;0,INT(IF($N542="P",IF($D542&lt;$H$3,$H542*($M542/100)*(E542-$H$3)/365,$J542*($M542/100)*($J$3-$D542)/365),0)),0)</f>
        <v>0</v>
      </c>
      <c r="Q542" s="93">
        <f>+O542+P542</f>
        <v>0</v>
      </c>
      <c r="R542" s="93">
        <f>INT(IF($E542&gt;0,0,(IF($N542="D",IF($D542&lt;$H$3,$I542*($M542/100)*$U$3/12,$J542*($M542/100)*($J$3-$D542)/365),0))))</f>
        <v>47</v>
      </c>
      <c r="S542" s="93">
        <f>INT(IF($E542&gt;0,0,(IF($N542="P",IF($D542&lt;$H$3,$H542*($M542/100)*$U$3/12,$J542*($M542/100)*($J$3-$D542)/365),0))))</f>
        <v>0</v>
      </c>
      <c r="T542" s="93">
        <f t="shared" si="116"/>
        <v>47</v>
      </c>
      <c r="U542" s="312">
        <f t="shared" si="109"/>
        <v>429.45000000000005</v>
      </c>
      <c r="V542" s="93">
        <f t="shared" si="110"/>
        <v>0</v>
      </c>
    </row>
    <row r="543" spans="1:22" ht="18" customHeight="1" x14ac:dyDescent="0.2">
      <c r="A543" s="110" t="s">
        <v>1111</v>
      </c>
      <c r="B543" s="111"/>
      <c r="C543" s="201" t="s">
        <v>1112</v>
      </c>
      <c r="D543" s="91">
        <v>43410</v>
      </c>
      <c r="E543" s="92"/>
      <c r="F543" s="93"/>
      <c r="G543" s="93"/>
      <c r="H543" s="93">
        <v>690.73</v>
      </c>
      <c r="I543" s="93">
        <v>602.73</v>
      </c>
      <c r="J543" s="93"/>
      <c r="K543" s="93">
        <f t="shared" si="107"/>
        <v>0</v>
      </c>
      <c r="L543" s="93">
        <f t="shared" si="108"/>
        <v>0</v>
      </c>
      <c r="M543" s="94">
        <v>20</v>
      </c>
      <c r="N543" s="95" t="s">
        <v>289</v>
      </c>
      <c r="O543" s="93">
        <f>IF(E543&gt;0,INT(IF($N543="D",IF($D543&lt;$H$3,$I543*($M543/100)*((E543-$H$3)/365),$J543*($M543/100)*($J$3-$D543)/365),0)),0)</f>
        <v>0</v>
      </c>
      <c r="P543" s="93">
        <f>IF(E543&gt;0,INT(IF($N543="P",IF($D543&lt;$H$3,$H543*($M543/100)*(E543-$H$3)/365,$J543*($M543/100)*($J$3-$D543)/365),0)),0)</f>
        <v>0</v>
      </c>
      <c r="Q543" s="93">
        <f>+O543+P543</f>
        <v>0</v>
      </c>
      <c r="R543" s="93">
        <f>INT(IF($E543&gt;0,0,(IF($N543="D",IF($D543&lt;$H$3,$I543*($M543/100)*$U$3/12,$J543*($M543/100)*($J$3-$D543)/365),0))))</f>
        <v>60</v>
      </c>
      <c r="S543" s="93">
        <f>INT(IF($E543&gt;0,0,(IF($N543="P",IF($D543&lt;$H$3,$H543*($M543/100)*$U$3/12,$J543*($M543/100)*($J$3-$D543)/365),0))))</f>
        <v>0</v>
      </c>
      <c r="T543" s="93">
        <f t="shared" si="116"/>
        <v>60</v>
      </c>
      <c r="U543" s="312">
        <f t="shared" si="109"/>
        <v>542.73</v>
      </c>
      <c r="V543" s="93">
        <f t="shared" si="110"/>
        <v>0</v>
      </c>
    </row>
    <row r="544" spans="1:22" ht="18" customHeight="1" x14ac:dyDescent="0.2">
      <c r="A544" s="110" t="s">
        <v>1113</v>
      </c>
      <c r="B544" s="111"/>
      <c r="C544" s="90" t="s">
        <v>1114</v>
      </c>
      <c r="D544" s="91">
        <v>43427</v>
      </c>
      <c r="E544" s="92"/>
      <c r="F544" s="93"/>
      <c r="G544" s="93"/>
      <c r="H544" s="93">
        <v>11137.12</v>
      </c>
      <c r="I544" s="93">
        <v>9795.1200000000008</v>
      </c>
      <c r="J544" s="93"/>
      <c r="K544" s="93">
        <f t="shared" ref="K544:K557" si="124">INT(IF($E544&gt;0,IF(+F544-I544+Q544&lt;0,0,+F544-I544+Q544),0))</f>
        <v>0</v>
      </c>
      <c r="L544" s="93">
        <f t="shared" ref="L544:L557" si="125">INT(IF($E544&gt;0,IF(K544=0,-F544+I544-Q544,0),0))</f>
        <v>0</v>
      </c>
      <c r="M544" s="94">
        <v>20</v>
      </c>
      <c r="N544" s="95" t="s">
        <v>289</v>
      </c>
      <c r="O544" s="93">
        <f>IF(E544&gt;0,INT(IF($N544="D",IF($D544&lt;$H$3,$I544*($M544/100)*((E544-$H$3)/365),$J544*($M544/100)*($J$3-$D544)/365),0)),0)</f>
        <v>0</v>
      </c>
      <c r="P544" s="93">
        <f>IF(E544&gt;0,INT(IF($N544="P",IF($D544&lt;$H$3,$H544*($M544/100)*(E544-$H$3)/365,$J544*($M544/100)*($J$3-$D544)/365),0)),0)</f>
        <v>0</v>
      </c>
      <c r="Q544" s="93">
        <f>+O544+P544</f>
        <v>0</v>
      </c>
      <c r="R544" s="93">
        <f>INT(IF($E544&gt;0,0,(IF($N544="D",IF($D544&lt;$H$3,$I544*($M544/100)*$U$3/12,$J544*($M544/100)*($J$3-$D544)/365),0))))</f>
        <v>979</v>
      </c>
      <c r="S544" s="93">
        <f>INT(IF($E544&gt;0,0,(IF($N544="P",IF($D544&lt;$H$3,$H544*($M544/100)*$U$3/12,$J544*($M544/100)*($J$3-$D544)/365),0))))</f>
        <v>0</v>
      </c>
      <c r="T544" s="93">
        <f t="shared" si="116"/>
        <v>979</v>
      </c>
      <c r="U544" s="312">
        <f t="shared" si="109"/>
        <v>8816.1200000000008</v>
      </c>
      <c r="V544" s="93">
        <f t="shared" ref="V544:V559" si="126">IF(E544&gt;0,+H544+J544,0)</f>
        <v>0</v>
      </c>
    </row>
    <row r="545" spans="1:22" ht="18" customHeight="1" x14ac:dyDescent="0.2">
      <c r="A545" s="110" t="s">
        <v>1115</v>
      </c>
      <c r="B545" s="111"/>
      <c r="C545" s="201" t="s">
        <v>1116</v>
      </c>
      <c r="D545" s="91">
        <v>43432</v>
      </c>
      <c r="E545" s="92"/>
      <c r="F545" s="93"/>
      <c r="G545" s="93"/>
      <c r="H545" s="93">
        <v>7168.75</v>
      </c>
      <c r="I545" s="93">
        <v>6322.75</v>
      </c>
      <c r="J545" s="93"/>
      <c r="K545" s="93">
        <f t="shared" si="124"/>
        <v>0</v>
      </c>
      <c r="L545" s="93">
        <f t="shared" si="125"/>
        <v>0</v>
      </c>
      <c r="M545" s="94">
        <v>20</v>
      </c>
      <c r="N545" s="95" t="s">
        <v>289</v>
      </c>
      <c r="O545" s="93">
        <f>IF(E545&gt;0,INT(IF($N545="D",IF($D545&lt;$H$3,$I545*($M545/100)*((E545-$H$3)/365),$J545*($M545/100)*($J$3-$D545)/365),0)),0)</f>
        <v>0</v>
      </c>
      <c r="P545" s="93">
        <f>IF(E545&gt;0,INT(IF($N545="P",IF($D545&lt;$H$3,$H545*($M545/100)*(E545-$H$3)/365,$J545*($M545/100)*($J$3-$D545)/365),0)),0)</f>
        <v>0</v>
      </c>
      <c r="Q545" s="93">
        <f>+O545+P545</f>
        <v>0</v>
      </c>
      <c r="R545" s="93">
        <f>INT(IF($E545&gt;0,0,(IF($N545="D",IF($D545&lt;$H$3,$I545*($M545/100)*$U$3/12,$J545*($M545/100)*($J$3-$D545)/365),0))))</f>
        <v>632</v>
      </c>
      <c r="S545" s="93">
        <f>INT(IF($E545&gt;0,0,(IF($N545="P",IF($D545&lt;$H$3,$H545*($M545/100)*$U$3/12,$J545*($M545/100)*($J$3-$D545)/365),0))))</f>
        <v>0</v>
      </c>
      <c r="T545" s="93">
        <f t="shared" si="116"/>
        <v>632</v>
      </c>
      <c r="U545" s="312">
        <f t="shared" si="109"/>
        <v>5690.75</v>
      </c>
      <c r="V545" s="93">
        <f t="shared" si="126"/>
        <v>0</v>
      </c>
    </row>
    <row r="546" spans="1:22" ht="18" customHeight="1" x14ac:dyDescent="0.2">
      <c r="A546" s="110" t="s">
        <v>2045</v>
      </c>
      <c r="B546" s="111"/>
      <c r="C546" s="201" t="s">
        <v>2055</v>
      </c>
      <c r="D546" s="91">
        <v>43585</v>
      </c>
      <c r="E546" s="92"/>
      <c r="F546" s="93"/>
      <c r="G546" s="93"/>
      <c r="H546" s="93">
        <v>54800</v>
      </c>
      <c r="I546" s="93">
        <v>54190</v>
      </c>
      <c r="J546" s="93"/>
      <c r="K546" s="93">
        <f t="shared" si="124"/>
        <v>0</v>
      </c>
      <c r="L546" s="93">
        <f t="shared" si="125"/>
        <v>0</v>
      </c>
      <c r="M546" s="94">
        <v>6.67</v>
      </c>
      <c r="N546" s="95" t="s">
        <v>289</v>
      </c>
      <c r="O546" s="93">
        <f t="shared" ref="O546:O557" si="127">IF(E546&gt;0,INT(IF($N546="D",IF($D546&lt;$H$3,$I546*($M546/100)*((E546-$H$3)/365),$J546*($M546/100)*($J$3-$D546)/365),0)),0)</f>
        <v>0</v>
      </c>
      <c r="P546" s="93">
        <f t="shared" ref="P546:P557" si="128">IF(E546&gt;0,INT(IF($N546="P",IF($D546&lt;$H$3,$H546*($M546/100)*(E546-$H$3)/365,$J546*($M546/100)*($J$3-$D546)/365),0)),0)</f>
        <v>0</v>
      </c>
      <c r="Q546" s="93">
        <f t="shared" ref="Q546:Q557" si="129">+O546+P546</f>
        <v>0</v>
      </c>
      <c r="R546" s="93">
        <f t="shared" ref="R546:R576" si="130">INT(IF($E546&gt;0,0,(IF($N546="D",IF($D546&lt;$H$3,$I546*($M546/100)*$U$3/12,$J546*($M546/100)*($J$3-$D546)/365),0))))</f>
        <v>1807</v>
      </c>
      <c r="S546" s="93">
        <f t="shared" ref="S546:S576" si="131">INT(IF($E546&gt;0,0,(IF($N546="P",IF($D546&lt;$H$3,$H546*($M546/100)*$U$3/12,$J546*($M546/100)*($J$3-$D546)/365),0))))</f>
        <v>0</v>
      </c>
      <c r="T546" s="93">
        <f t="shared" si="116"/>
        <v>1807</v>
      </c>
      <c r="U546" s="312">
        <f t="shared" ref="U546:U557" si="132">+I546+J546-T546-F546+K546-L546</f>
        <v>52383</v>
      </c>
      <c r="V546" s="93">
        <f t="shared" si="126"/>
        <v>0</v>
      </c>
    </row>
    <row r="547" spans="1:22" ht="18" customHeight="1" x14ac:dyDescent="0.2">
      <c r="A547" s="110" t="s">
        <v>2048</v>
      </c>
      <c r="B547" s="111"/>
      <c r="C547" s="201" t="s">
        <v>2058</v>
      </c>
      <c r="D547" s="91">
        <v>43538</v>
      </c>
      <c r="E547" s="92"/>
      <c r="F547" s="93"/>
      <c r="G547" s="93"/>
      <c r="H547" s="93">
        <v>14614</v>
      </c>
      <c r="I547" s="93">
        <v>14326</v>
      </c>
      <c r="J547" s="93"/>
      <c r="K547" s="93">
        <f t="shared" si="124"/>
        <v>0</v>
      </c>
      <c r="L547" s="93">
        <f t="shared" si="125"/>
        <v>0</v>
      </c>
      <c r="M547" s="94">
        <v>6.67</v>
      </c>
      <c r="N547" s="95" t="s">
        <v>289</v>
      </c>
      <c r="O547" s="93">
        <f t="shared" si="127"/>
        <v>0</v>
      </c>
      <c r="P547" s="93">
        <f t="shared" si="128"/>
        <v>0</v>
      </c>
      <c r="Q547" s="93">
        <f t="shared" si="129"/>
        <v>0</v>
      </c>
      <c r="R547" s="93">
        <f t="shared" si="130"/>
        <v>477</v>
      </c>
      <c r="S547" s="93">
        <f t="shared" si="131"/>
        <v>0</v>
      </c>
      <c r="T547" s="93">
        <f t="shared" si="116"/>
        <v>477</v>
      </c>
      <c r="U547" s="312">
        <f t="shared" si="132"/>
        <v>13849</v>
      </c>
      <c r="V547" s="93">
        <f t="shared" si="126"/>
        <v>0</v>
      </c>
    </row>
    <row r="548" spans="1:22" ht="18" customHeight="1" x14ac:dyDescent="0.2">
      <c r="A548" s="110" t="s">
        <v>2049</v>
      </c>
      <c r="B548" s="111"/>
      <c r="C548" s="201" t="s">
        <v>2059</v>
      </c>
      <c r="D548" s="91">
        <v>43555</v>
      </c>
      <c r="E548" s="92"/>
      <c r="F548" s="93"/>
      <c r="G548" s="93"/>
      <c r="H548" s="93">
        <v>65105</v>
      </c>
      <c r="I548" s="93">
        <v>63482</v>
      </c>
      <c r="J548" s="93"/>
      <c r="K548" s="93">
        <f t="shared" si="124"/>
        <v>0</v>
      </c>
      <c r="L548" s="93">
        <f t="shared" si="125"/>
        <v>0</v>
      </c>
      <c r="M548" s="94">
        <v>10</v>
      </c>
      <c r="N548" s="95" t="s">
        <v>289</v>
      </c>
      <c r="O548" s="93">
        <f t="shared" si="127"/>
        <v>0</v>
      </c>
      <c r="P548" s="93">
        <f t="shared" si="128"/>
        <v>0</v>
      </c>
      <c r="Q548" s="93">
        <f t="shared" si="129"/>
        <v>0</v>
      </c>
      <c r="R548" s="93">
        <f t="shared" si="130"/>
        <v>3174</v>
      </c>
      <c r="S548" s="93">
        <f t="shared" si="131"/>
        <v>0</v>
      </c>
      <c r="T548" s="93">
        <f t="shared" si="116"/>
        <v>3174</v>
      </c>
      <c r="U548" s="312">
        <f t="shared" si="132"/>
        <v>60308</v>
      </c>
      <c r="V548" s="93">
        <f t="shared" si="126"/>
        <v>0</v>
      </c>
    </row>
    <row r="549" spans="1:22" ht="18" customHeight="1" x14ac:dyDescent="0.2">
      <c r="A549" s="110" t="s">
        <v>2050</v>
      </c>
      <c r="B549" s="111"/>
      <c r="C549" s="201" t="s">
        <v>2060</v>
      </c>
      <c r="D549" s="91">
        <v>43524</v>
      </c>
      <c r="E549" s="92"/>
      <c r="F549" s="93"/>
      <c r="G549" s="93"/>
      <c r="H549" s="93">
        <v>42780</v>
      </c>
      <c r="I549" s="93">
        <v>41351</v>
      </c>
      <c r="J549" s="93"/>
      <c r="K549" s="93">
        <f>INT(IF($E549&gt;0,IF(+F549-I549+Q549&lt;0,0,+F549-I549+Q549),0))</f>
        <v>0</v>
      </c>
      <c r="L549" s="93">
        <f>INT(IF($E549&gt;0,IF(K549=0,-F549+I549-Q549,0),0))</f>
        <v>0</v>
      </c>
      <c r="M549" s="94">
        <v>10</v>
      </c>
      <c r="N549" s="95" t="s">
        <v>289</v>
      </c>
      <c r="O549" s="93">
        <f>IF(E549&gt;0,INT(IF($N549="D",IF($D549&lt;$H$3,$I549*($M549/100)*((E549-$H$3)/365),$J549*($M549/100)*($J$3-$D549)/365),0)),0)</f>
        <v>0</v>
      </c>
      <c r="P549" s="93">
        <f>IF(E549&gt;0,INT(IF($N549="P",IF($D549&lt;$H$3,$H549*($M549/100)*(E549-$H$3)/365,$J549*($M549/100)*($J$3-$D549)/365),0)),0)</f>
        <v>0</v>
      </c>
      <c r="Q549" s="93">
        <f>+O549+P549</f>
        <v>0</v>
      </c>
      <c r="R549" s="93">
        <f t="shared" si="130"/>
        <v>2067</v>
      </c>
      <c r="S549" s="93">
        <f t="shared" si="131"/>
        <v>0</v>
      </c>
      <c r="T549" s="93">
        <f>+R549+S549+Q549</f>
        <v>2067</v>
      </c>
      <c r="U549" s="312">
        <f>+I549+J549-T549-F549+K549-L549</f>
        <v>39284</v>
      </c>
      <c r="V549" s="93">
        <f t="shared" si="126"/>
        <v>0</v>
      </c>
    </row>
    <row r="550" spans="1:22" ht="18" customHeight="1" x14ac:dyDescent="0.2">
      <c r="A550" s="110" t="s">
        <v>2051</v>
      </c>
      <c r="B550" s="111"/>
      <c r="C550" s="201" t="s">
        <v>2037</v>
      </c>
      <c r="D550" s="91">
        <v>43487</v>
      </c>
      <c r="E550" s="92"/>
      <c r="F550" s="93"/>
      <c r="G550" s="93"/>
      <c r="H550" s="93">
        <v>33510</v>
      </c>
      <c r="I550" s="93">
        <v>30591</v>
      </c>
      <c r="J550" s="93"/>
      <c r="K550" s="93">
        <f t="shared" si="124"/>
        <v>0</v>
      </c>
      <c r="L550" s="93">
        <f t="shared" si="125"/>
        <v>0</v>
      </c>
      <c r="M550" s="94">
        <v>20</v>
      </c>
      <c r="N550" s="95" t="s">
        <v>289</v>
      </c>
      <c r="O550" s="93">
        <f t="shared" si="127"/>
        <v>0</v>
      </c>
      <c r="P550" s="93">
        <f t="shared" si="128"/>
        <v>0</v>
      </c>
      <c r="Q550" s="93">
        <f t="shared" si="129"/>
        <v>0</v>
      </c>
      <c r="R550" s="93">
        <f t="shared" si="130"/>
        <v>3059</v>
      </c>
      <c r="S550" s="93">
        <f t="shared" si="131"/>
        <v>0</v>
      </c>
      <c r="T550" s="93">
        <f t="shared" si="116"/>
        <v>3059</v>
      </c>
      <c r="U550" s="312">
        <f t="shared" si="132"/>
        <v>27532</v>
      </c>
      <c r="V550" s="93">
        <f t="shared" si="126"/>
        <v>0</v>
      </c>
    </row>
    <row r="551" spans="1:22" ht="18" customHeight="1" x14ac:dyDescent="0.2">
      <c r="A551" s="110" t="s">
        <v>2052</v>
      </c>
      <c r="B551" s="111"/>
      <c r="C551" s="201" t="s">
        <v>2062</v>
      </c>
      <c r="D551" s="91">
        <v>43524</v>
      </c>
      <c r="E551" s="92"/>
      <c r="F551" s="93"/>
      <c r="G551" s="93"/>
      <c r="H551" s="93">
        <v>10285.01</v>
      </c>
      <c r="I551" s="93">
        <v>9598.01</v>
      </c>
      <c r="J551" s="93"/>
      <c r="K551" s="93">
        <f t="shared" si="124"/>
        <v>0</v>
      </c>
      <c r="L551" s="93">
        <f t="shared" si="125"/>
        <v>0</v>
      </c>
      <c r="M551" s="94">
        <v>20</v>
      </c>
      <c r="N551" s="95" t="s">
        <v>289</v>
      </c>
      <c r="O551" s="93">
        <f t="shared" si="127"/>
        <v>0</v>
      </c>
      <c r="P551" s="93">
        <f t="shared" si="128"/>
        <v>0</v>
      </c>
      <c r="Q551" s="93">
        <f t="shared" si="129"/>
        <v>0</v>
      </c>
      <c r="R551" s="93">
        <f t="shared" si="130"/>
        <v>959</v>
      </c>
      <c r="S551" s="93">
        <f t="shared" si="131"/>
        <v>0</v>
      </c>
      <c r="T551" s="93">
        <f t="shared" si="116"/>
        <v>959</v>
      </c>
      <c r="U551" s="312">
        <f t="shared" si="132"/>
        <v>8639.01</v>
      </c>
      <c r="V551" s="93">
        <f t="shared" si="126"/>
        <v>0</v>
      </c>
    </row>
    <row r="552" spans="1:22" ht="18" customHeight="1" x14ac:dyDescent="0.2">
      <c r="A552" s="110" t="s">
        <v>2053</v>
      </c>
      <c r="B552" s="111"/>
      <c r="C552" s="201" t="s">
        <v>2073</v>
      </c>
      <c r="D552" s="91">
        <v>43461</v>
      </c>
      <c r="E552" s="92"/>
      <c r="F552" s="93"/>
      <c r="G552" s="93"/>
      <c r="H552" s="93">
        <v>2515</v>
      </c>
      <c r="I552" s="93">
        <v>2261</v>
      </c>
      <c r="J552" s="93"/>
      <c r="K552" s="93">
        <f t="shared" si="124"/>
        <v>0</v>
      </c>
      <c r="L552" s="93">
        <f t="shared" si="125"/>
        <v>0</v>
      </c>
      <c r="M552" s="94">
        <v>20</v>
      </c>
      <c r="N552" s="95" t="s">
        <v>289</v>
      </c>
      <c r="O552" s="93">
        <f t="shared" si="127"/>
        <v>0</v>
      </c>
      <c r="P552" s="93">
        <f t="shared" si="128"/>
        <v>0</v>
      </c>
      <c r="Q552" s="93">
        <f t="shared" si="129"/>
        <v>0</v>
      </c>
      <c r="R552" s="93">
        <f t="shared" si="130"/>
        <v>226</v>
      </c>
      <c r="S552" s="93">
        <f t="shared" si="131"/>
        <v>0</v>
      </c>
      <c r="T552" s="93">
        <f t="shared" si="116"/>
        <v>226</v>
      </c>
      <c r="U552" s="312">
        <f t="shared" si="132"/>
        <v>2035</v>
      </c>
      <c r="V552" s="93">
        <f t="shared" si="126"/>
        <v>0</v>
      </c>
    </row>
    <row r="553" spans="1:22" ht="18" customHeight="1" x14ac:dyDescent="0.2">
      <c r="A553" s="110" t="s">
        <v>2054</v>
      </c>
      <c r="B553" s="111"/>
      <c r="C553" s="201" t="s">
        <v>2069</v>
      </c>
      <c r="D553" s="91">
        <v>43466</v>
      </c>
      <c r="E553" s="92"/>
      <c r="F553" s="93"/>
      <c r="G553" s="93"/>
      <c r="H553" s="93">
        <v>2487.87</v>
      </c>
      <c r="I553" s="93">
        <v>2242.87</v>
      </c>
      <c r="J553" s="93"/>
      <c r="K553" s="93">
        <f t="shared" si="124"/>
        <v>0</v>
      </c>
      <c r="L553" s="93">
        <f t="shared" si="125"/>
        <v>0</v>
      </c>
      <c r="M553" s="94">
        <v>20</v>
      </c>
      <c r="N553" s="95" t="s">
        <v>289</v>
      </c>
      <c r="O553" s="93">
        <f t="shared" si="127"/>
        <v>0</v>
      </c>
      <c r="P553" s="93">
        <f t="shared" si="128"/>
        <v>0</v>
      </c>
      <c r="Q553" s="93">
        <f t="shared" si="129"/>
        <v>0</v>
      </c>
      <c r="R553" s="93">
        <f t="shared" si="130"/>
        <v>224</v>
      </c>
      <c r="S553" s="93">
        <f t="shared" si="131"/>
        <v>0</v>
      </c>
      <c r="T553" s="93">
        <f t="shared" si="116"/>
        <v>224</v>
      </c>
      <c r="U553" s="312">
        <f t="shared" si="132"/>
        <v>2018.87</v>
      </c>
      <c r="V553" s="93">
        <f t="shared" si="126"/>
        <v>0</v>
      </c>
    </row>
    <row r="554" spans="1:22" ht="18" customHeight="1" x14ac:dyDescent="0.2">
      <c r="A554" s="110" t="s">
        <v>2063</v>
      </c>
      <c r="B554" s="111"/>
      <c r="C554" s="201" t="s">
        <v>1932</v>
      </c>
      <c r="D554" s="91">
        <v>43476</v>
      </c>
      <c r="E554" s="92"/>
      <c r="F554" s="93"/>
      <c r="G554" s="93"/>
      <c r="H554" s="93">
        <v>2305</v>
      </c>
      <c r="I554" s="93">
        <v>2091</v>
      </c>
      <c r="J554" s="93"/>
      <c r="K554" s="93">
        <f t="shared" si="124"/>
        <v>0</v>
      </c>
      <c r="L554" s="93">
        <f t="shared" si="125"/>
        <v>0</v>
      </c>
      <c r="M554" s="94">
        <v>20</v>
      </c>
      <c r="N554" s="95" t="s">
        <v>289</v>
      </c>
      <c r="O554" s="93">
        <f t="shared" si="127"/>
        <v>0</v>
      </c>
      <c r="P554" s="93">
        <f t="shared" si="128"/>
        <v>0</v>
      </c>
      <c r="Q554" s="93">
        <f t="shared" si="129"/>
        <v>0</v>
      </c>
      <c r="R554" s="93">
        <f t="shared" si="130"/>
        <v>209</v>
      </c>
      <c r="S554" s="93">
        <f t="shared" si="131"/>
        <v>0</v>
      </c>
      <c r="T554" s="93">
        <f t="shared" si="116"/>
        <v>209</v>
      </c>
      <c r="U554" s="312">
        <f t="shared" si="132"/>
        <v>1882</v>
      </c>
      <c r="V554" s="93">
        <f t="shared" si="126"/>
        <v>0</v>
      </c>
    </row>
    <row r="555" spans="1:22" ht="18" customHeight="1" x14ac:dyDescent="0.2">
      <c r="A555" s="110" t="s">
        <v>2064</v>
      </c>
      <c r="B555" s="111"/>
      <c r="C555" s="201" t="s">
        <v>1935</v>
      </c>
      <c r="D555" s="91">
        <v>43497</v>
      </c>
      <c r="E555" s="92"/>
      <c r="F555" s="93"/>
      <c r="G555" s="93"/>
      <c r="H555" s="93">
        <v>1657.5</v>
      </c>
      <c r="I555" s="93">
        <v>1612.5</v>
      </c>
      <c r="J555" s="93"/>
      <c r="K555" s="93">
        <f t="shared" si="124"/>
        <v>0</v>
      </c>
      <c r="L555" s="93">
        <f t="shared" si="125"/>
        <v>0</v>
      </c>
      <c r="M555" s="94">
        <v>6.67</v>
      </c>
      <c r="N555" s="95" t="s">
        <v>289</v>
      </c>
      <c r="O555" s="93">
        <f t="shared" si="127"/>
        <v>0</v>
      </c>
      <c r="P555" s="93">
        <f t="shared" si="128"/>
        <v>0</v>
      </c>
      <c r="Q555" s="93">
        <f t="shared" si="129"/>
        <v>0</v>
      </c>
      <c r="R555" s="93">
        <f t="shared" si="130"/>
        <v>53</v>
      </c>
      <c r="S555" s="93">
        <f t="shared" si="131"/>
        <v>0</v>
      </c>
      <c r="T555" s="93">
        <f t="shared" si="116"/>
        <v>53</v>
      </c>
      <c r="U555" s="312">
        <f t="shared" si="132"/>
        <v>1559.5</v>
      </c>
      <c r="V555" s="93">
        <f t="shared" si="126"/>
        <v>0</v>
      </c>
    </row>
    <row r="556" spans="1:22" ht="18" customHeight="1" x14ac:dyDescent="0.2">
      <c r="A556" s="110" t="s">
        <v>2065</v>
      </c>
      <c r="B556" s="111"/>
      <c r="C556" s="201" t="s">
        <v>2068</v>
      </c>
      <c r="D556" s="91">
        <v>43466</v>
      </c>
      <c r="E556" s="92"/>
      <c r="F556" s="93"/>
      <c r="G556" s="93"/>
      <c r="H556" s="93">
        <v>6500</v>
      </c>
      <c r="I556" s="93">
        <v>6287</v>
      </c>
      <c r="J556" s="93"/>
      <c r="K556" s="93">
        <f t="shared" si="124"/>
        <v>0</v>
      </c>
      <c r="L556" s="93">
        <f t="shared" si="125"/>
        <v>0</v>
      </c>
      <c r="M556" s="94">
        <v>6.67</v>
      </c>
      <c r="N556" s="95" t="s">
        <v>289</v>
      </c>
      <c r="O556" s="93">
        <f t="shared" si="127"/>
        <v>0</v>
      </c>
      <c r="P556" s="93">
        <f t="shared" si="128"/>
        <v>0</v>
      </c>
      <c r="Q556" s="93">
        <f t="shared" si="129"/>
        <v>0</v>
      </c>
      <c r="R556" s="93">
        <f t="shared" si="130"/>
        <v>209</v>
      </c>
      <c r="S556" s="93">
        <f t="shared" si="131"/>
        <v>0</v>
      </c>
      <c r="T556" s="93">
        <f t="shared" si="116"/>
        <v>209</v>
      </c>
      <c r="U556" s="312">
        <f t="shared" si="132"/>
        <v>6078</v>
      </c>
      <c r="V556" s="93">
        <f t="shared" si="126"/>
        <v>0</v>
      </c>
    </row>
    <row r="557" spans="1:22" ht="18" customHeight="1" x14ac:dyDescent="0.2">
      <c r="A557" s="110" t="s">
        <v>2066</v>
      </c>
      <c r="B557" s="111"/>
      <c r="C557" s="201" t="s">
        <v>2068</v>
      </c>
      <c r="D557" s="91">
        <v>43525</v>
      </c>
      <c r="E557" s="92"/>
      <c r="F557" s="93"/>
      <c r="G557" s="93"/>
      <c r="H557" s="93">
        <v>6500</v>
      </c>
      <c r="I557" s="93">
        <v>6357</v>
      </c>
      <c r="J557" s="93"/>
      <c r="K557" s="93">
        <f t="shared" si="124"/>
        <v>0</v>
      </c>
      <c r="L557" s="93">
        <f t="shared" si="125"/>
        <v>0</v>
      </c>
      <c r="M557" s="94">
        <v>6.67</v>
      </c>
      <c r="N557" s="95" t="s">
        <v>289</v>
      </c>
      <c r="O557" s="93">
        <f t="shared" si="127"/>
        <v>0</v>
      </c>
      <c r="P557" s="93">
        <f t="shared" si="128"/>
        <v>0</v>
      </c>
      <c r="Q557" s="93">
        <f t="shared" si="129"/>
        <v>0</v>
      </c>
      <c r="R557" s="93">
        <f t="shared" si="130"/>
        <v>212</v>
      </c>
      <c r="S557" s="93">
        <f t="shared" si="131"/>
        <v>0</v>
      </c>
      <c r="T557" s="93">
        <f t="shared" si="116"/>
        <v>212</v>
      </c>
      <c r="U557" s="312">
        <f t="shared" si="132"/>
        <v>6145</v>
      </c>
      <c r="V557" s="93">
        <f t="shared" si="126"/>
        <v>0</v>
      </c>
    </row>
    <row r="558" spans="1:22" ht="18" customHeight="1" x14ac:dyDescent="0.2">
      <c r="A558" s="110" t="s">
        <v>2067</v>
      </c>
      <c r="B558" s="111"/>
      <c r="C558" s="201" t="s">
        <v>2071</v>
      </c>
      <c r="D558" s="91">
        <v>43487</v>
      </c>
      <c r="E558" s="92"/>
      <c r="F558" s="93"/>
      <c r="G558" s="93"/>
      <c r="H558" s="93">
        <v>1120.5999999999999</v>
      </c>
      <c r="I558" s="93">
        <v>1072.5999999999999</v>
      </c>
      <c r="J558" s="93"/>
      <c r="K558" s="93">
        <f>INT(IF($E558&gt;0,IF(+F558-I558+Q558&lt;0,0,+F558-I558+Q558),0))</f>
        <v>0</v>
      </c>
      <c r="L558" s="93">
        <f>INT(IF($E558&gt;0,IF(K558=0,-F558+I558-Q558,0),0))</f>
        <v>0</v>
      </c>
      <c r="M558" s="94">
        <v>10</v>
      </c>
      <c r="N558" s="95" t="s">
        <v>289</v>
      </c>
      <c r="O558" s="93">
        <f>IF(E558&gt;0,INT(IF($N558="D",IF($D558&lt;$H$3,$I558*($M558/100)*((E558-$H$3)/365),$J558*($M558/100)*($J$3-$D558)/365),0)),0)</f>
        <v>0</v>
      </c>
      <c r="P558" s="93">
        <f>IF(E558&gt;0,INT(IF($N558="P",IF($D558&lt;$H$3,$H558*($M558/100)*(E558-$H$3)/365,$J558*($M558/100)*($J$3-$D558)/365),0)),0)</f>
        <v>0</v>
      </c>
      <c r="Q558" s="93">
        <f>+O558+P558</f>
        <v>0</v>
      </c>
      <c r="R558" s="93">
        <f t="shared" si="130"/>
        <v>53</v>
      </c>
      <c r="S558" s="93">
        <f t="shared" si="131"/>
        <v>0</v>
      </c>
      <c r="T558" s="93">
        <f>+R558+S558+Q558</f>
        <v>53</v>
      </c>
      <c r="U558" s="312">
        <f>+I558+J558-T558-F558+K558-L558</f>
        <v>1019.5999999999999</v>
      </c>
      <c r="V558" s="93">
        <f t="shared" si="126"/>
        <v>0</v>
      </c>
    </row>
    <row r="559" spans="1:22" ht="18" customHeight="1" x14ac:dyDescent="0.2">
      <c r="A559" s="110" t="s">
        <v>2070</v>
      </c>
      <c r="B559" s="111"/>
      <c r="C559" s="201" t="s">
        <v>2072</v>
      </c>
      <c r="D559" s="91">
        <v>43509</v>
      </c>
      <c r="E559" s="92"/>
      <c r="F559" s="93"/>
      <c r="G559" s="93"/>
      <c r="H559" s="93">
        <v>4820</v>
      </c>
      <c r="I559" s="93">
        <v>4459</v>
      </c>
      <c r="J559" s="93"/>
      <c r="K559" s="93">
        <f>INT(IF($E559&gt;0,IF(+F559-I559+Q559&lt;0,0,+F559-I559+Q559),0))</f>
        <v>0</v>
      </c>
      <c r="L559" s="93">
        <f>INT(IF($E559&gt;0,IF(K559=0,-F559+I559-Q559,0),0))</f>
        <v>0</v>
      </c>
      <c r="M559" s="94">
        <v>20</v>
      </c>
      <c r="N559" s="95" t="s">
        <v>289</v>
      </c>
      <c r="O559" s="93">
        <f>IF(E559&gt;0,INT(IF($N559="D",IF($D559&lt;$H$3,$I559*($M559/100)*((E559-$H$3)/365),$J559*($M559/100)*($J$3-$D559)/365),0)),0)</f>
        <v>0</v>
      </c>
      <c r="P559" s="93">
        <f>IF(E559&gt;0,INT(IF($N559="P",IF($D559&lt;$H$3,$H559*($M559/100)*(E559-$H$3)/365,$J559*($M559/100)*($J$3-$D559)/365),0)),0)</f>
        <v>0</v>
      </c>
      <c r="Q559" s="93">
        <f>+O559+P559</f>
        <v>0</v>
      </c>
      <c r="R559" s="93">
        <f t="shared" si="130"/>
        <v>445</v>
      </c>
      <c r="S559" s="93">
        <f t="shared" si="131"/>
        <v>0</v>
      </c>
      <c r="T559" s="93">
        <f>+R559+S559+Q559</f>
        <v>445</v>
      </c>
      <c r="U559" s="312">
        <f>+I559+J559-T559-F559+K559-L559</f>
        <v>4014</v>
      </c>
      <c r="V559" s="93">
        <f t="shared" si="126"/>
        <v>0</v>
      </c>
    </row>
    <row r="560" spans="1:22" ht="18" customHeight="1" x14ac:dyDescent="0.2">
      <c r="A560" s="110" t="s">
        <v>2113</v>
      </c>
      <c r="B560" s="111"/>
      <c r="C560" s="201" t="s">
        <v>2121</v>
      </c>
      <c r="D560" s="91">
        <v>43650</v>
      </c>
      <c r="E560" s="92"/>
      <c r="F560" s="93"/>
      <c r="G560" s="93"/>
      <c r="H560" s="93"/>
      <c r="I560" s="93"/>
      <c r="J560" s="93">
        <v>2322.12</v>
      </c>
      <c r="K560" s="93">
        <f t="shared" ref="K560:K576" si="133">INT(IF($E560&gt;0,IF(+F560-I560+Q560&lt;0,0,+F560-I560+Q560),0))</f>
        <v>0</v>
      </c>
      <c r="L560" s="93">
        <f t="shared" ref="L560:L576" si="134">INT(IF($E560&gt;0,IF(K560=0,-F560+I560-Q560,0),0))</f>
        <v>0</v>
      </c>
      <c r="M560" s="94">
        <v>13.33</v>
      </c>
      <c r="N560" s="95" t="s">
        <v>289</v>
      </c>
      <c r="O560" s="93">
        <f t="shared" ref="O560:O576" si="135">IF(E560&gt;0,INT(IF($N560="D",IF($D560&lt;$H$3,$I560*($M560/100)*((E560-$H$3)/365),$J560*($M560/100)*($J$3-$D560)/365),0)),0)</f>
        <v>0</v>
      </c>
      <c r="P560" s="93">
        <f t="shared" ref="P560:P576" si="136">IF(E560&gt;0,INT(IF($N560="P",IF($D560&lt;$H$3,$H560*($M560/100)*(E560-$H$3)/365,$J560*($M560/100)*($J$3-$D560)/365),0)),0)</f>
        <v>0</v>
      </c>
      <c r="Q560" s="93">
        <f t="shared" ref="Q560:Q576" si="137">+O560+P560</f>
        <v>0</v>
      </c>
      <c r="R560" s="93">
        <f t="shared" si="130"/>
        <v>152</v>
      </c>
      <c r="S560" s="93">
        <f t="shared" si="131"/>
        <v>0</v>
      </c>
      <c r="T560" s="93">
        <f t="shared" ref="T560:T576" si="138">+R560+S560+Q560</f>
        <v>152</v>
      </c>
      <c r="U560" s="312">
        <f t="shared" ref="U560:U576" si="139">+I560+J560-T560-F560+K560-L560</f>
        <v>2170.12</v>
      </c>
      <c r="V560" s="93">
        <f t="shared" ref="V560:V576" si="140">IF(E560&gt;0,+H560+J560,0)</f>
        <v>0</v>
      </c>
    </row>
    <row r="561" spans="1:22" ht="18" customHeight="1" x14ac:dyDescent="0.2">
      <c r="A561" s="110" t="s">
        <v>2114</v>
      </c>
      <c r="B561" s="111"/>
      <c r="C561" s="201" t="s">
        <v>2122</v>
      </c>
      <c r="D561" s="91">
        <v>43650</v>
      </c>
      <c r="E561" s="92"/>
      <c r="F561" s="93"/>
      <c r="G561" s="93"/>
      <c r="H561" s="93"/>
      <c r="I561" s="93"/>
      <c r="J561" s="93">
        <v>2875.01</v>
      </c>
      <c r="K561" s="93">
        <f t="shared" si="133"/>
        <v>0</v>
      </c>
      <c r="L561" s="93">
        <f t="shared" si="134"/>
        <v>0</v>
      </c>
      <c r="M561" s="94">
        <v>13.33</v>
      </c>
      <c r="N561" s="95" t="s">
        <v>289</v>
      </c>
      <c r="O561" s="93">
        <f t="shared" si="135"/>
        <v>0</v>
      </c>
      <c r="P561" s="93">
        <f t="shared" si="136"/>
        <v>0</v>
      </c>
      <c r="Q561" s="93">
        <f t="shared" si="137"/>
        <v>0</v>
      </c>
      <c r="R561" s="93">
        <f t="shared" si="130"/>
        <v>188</v>
      </c>
      <c r="S561" s="93">
        <f t="shared" si="131"/>
        <v>0</v>
      </c>
      <c r="T561" s="93">
        <f t="shared" si="138"/>
        <v>188</v>
      </c>
      <c r="U561" s="312">
        <f t="shared" si="139"/>
        <v>2687.01</v>
      </c>
      <c r="V561" s="93">
        <f t="shared" si="140"/>
        <v>0</v>
      </c>
    </row>
    <row r="562" spans="1:22" ht="18" customHeight="1" x14ac:dyDescent="0.2">
      <c r="A562" s="110" t="s">
        <v>2115</v>
      </c>
      <c r="B562" s="111"/>
      <c r="C562" s="201" t="s">
        <v>2123</v>
      </c>
      <c r="D562" s="91">
        <v>43650</v>
      </c>
      <c r="E562" s="92"/>
      <c r="F562" s="93"/>
      <c r="G562" s="93"/>
      <c r="H562" s="93"/>
      <c r="I562" s="93"/>
      <c r="J562" s="93">
        <v>3317.32</v>
      </c>
      <c r="K562" s="93">
        <f t="shared" si="133"/>
        <v>0</v>
      </c>
      <c r="L562" s="93">
        <f t="shared" si="134"/>
        <v>0</v>
      </c>
      <c r="M562" s="94">
        <v>13.33</v>
      </c>
      <c r="N562" s="95" t="s">
        <v>289</v>
      </c>
      <c r="O562" s="93">
        <f t="shared" si="135"/>
        <v>0</v>
      </c>
      <c r="P562" s="93">
        <f t="shared" si="136"/>
        <v>0</v>
      </c>
      <c r="Q562" s="93">
        <f t="shared" si="137"/>
        <v>0</v>
      </c>
      <c r="R562" s="93">
        <f t="shared" si="130"/>
        <v>218</v>
      </c>
      <c r="S562" s="93">
        <f t="shared" si="131"/>
        <v>0</v>
      </c>
      <c r="T562" s="93">
        <f t="shared" si="138"/>
        <v>218</v>
      </c>
      <c r="U562" s="312">
        <f t="shared" si="139"/>
        <v>3099.32</v>
      </c>
      <c r="V562" s="93">
        <f t="shared" si="140"/>
        <v>0</v>
      </c>
    </row>
    <row r="563" spans="1:22" ht="18" customHeight="1" x14ac:dyDescent="0.2">
      <c r="A563" s="110" t="s">
        <v>2116</v>
      </c>
      <c r="B563" s="111"/>
      <c r="C563" s="201" t="s">
        <v>2124</v>
      </c>
      <c r="D563" s="91">
        <v>43650</v>
      </c>
      <c r="E563" s="92"/>
      <c r="F563" s="93"/>
      <c r="G563" s="93"/>
      <c r="H563" s="93"/>
      <c r="I563" s="93"/>
      <c r="J563" s="93">
        <v>2543.2800000000002</v>
      </c>
      <c r="K563" s="93">
        <f t="shared" si="133"/>
        <v>0</v>
      </c>
      <c r="L563" s="93">
        <f t="shared" si="134"/>
        <v>0</v>
      </c>
      <c r="M563" s="94">
        <v>13.33</v>
      </c>
      <c r="N563" s="95" t="s">
        <v>289</v>
      </c>
      <c r="O563" s="93">
        <f t="shared" si="135"/>
        <v>0</v>
      </c>
      <c r="P563" s="93">
        <f t="shared" si="136"/>
        <v>0</v>
      </c>
      <c r="Q563" s="93">
        <f t="shared" si="137"/>
        <v>0</v>
      </c>
      <c r="R563" s="93">
        <f t="shared" si="130"/>
        <v>167</v>
      </c>
      <c r="S563" s="93">
        <f t="shared" si="131"/>
        <v>0</v>
      </c>
      <c r="T563" s="93">
        <f t="shared" si="138"/>
        <v>167</v>
      </c>
      <c r="U563" s="312">
        <f t="shared" si="139"/>
        <v>2376.2800000000002</v>
      </c>
      <c r="V563" s="93">
        <f t="shared" si="140"/>
        <v>0</v>
      </c>
    </row>
    <row r="564" spans="1:22" ht="18" customHeight="1" x14ac:dyDescent="0.2">
      <c r="A564" s="110" t="s">
        <v>2117</v>
      </c>
      <c r="B564" s="111"/>
      <c r="C564" s="201" t="s">
        <v>2133</v>
      </c>
      <c r="D564" s="91">
        <v>43650</v>
      </c>
      <c r="E564" s="92"/>
      <c r="F564" s="93"/>
      <c r="G564" s="93"/>
      <c r="H564" s="93"/>
      <c r="I564" s="93"/>
      <c r="J564" s="93">
        <v>97582.25</v>
      </c>
      <c r="K564" s="93">
        <f t="shared" si="133"/>
        <v>0</v>
      </c>
      <c r="L564" s="93">
        <f t="shared" si="134"/>
        <v>0</v>
      </c>
      <c r="M564" s="94">
        <v>13.33</v>
      </c>
      <c r="N564" s="95" t="s">
        <v>289</v>
      </c>
      <c r="O564" s="93">
        <f t="shared" si="135"/>
        <v>0</v>
      </c>
      <c r="P564" s="93">
        <f t="shared" si="136"/>
        <v>0</v>
      </c>
      <c r="Q564" s="93">
        <f t="shared" si="137"/>
        <v>0</v>
      </c>
      <c r="R564" s="93">
        <f t="shared" si="130"/>
        <v>6414</v>
      </c>
      <c r="S564" s="93">
        <f t="shared" si="131"/>
        <v>0</v>
      </c>
      <c r="T564" s="93">
        <f t="shared" si="138"/>
        <v>6414</v>
      </c>
      <c r="U564" s="312">
        <f t="shared" si="139"/>
        <v>91168.25</v>
      </c>
      <c r="V564" s="93">
        <f t="shared" si="140"/>
        <v>0</v>
      </c>
    </row>
    <row r="565" spans="1:22" ht="18" customHeight="1" x14ac:dyDescent="0.2">
      <c r="A565" s="110" t="s">
        <v>2118</v>
      </c>
      <c r="B565" s="111"/>
      <c r="C565" s="201" t="s">
        <v>2134</v>
      </c>
      <c r="D565" s="91">
        <v>43704</v>
      </c>
      <c r="E565" s="92"/>
      <c r="F565" s="93"/>
      <c r="G565" s="93"/>
      <c r="H565" s="93"/>
      <c r="I565" s="93"/>
      <c r="J565" s="93">
        <v>102040.73</v>
      </c>
      <c r="K565" s="93">
        <f t="shared" si="133"/>
        <v>0</v>
      </c>
      <c r="L565" s="93">
        <f t="shared" si="134"/>
        <v>0</v>
      </c>
      <c r="M565" s="94">
        <v>13.33</v>
      </c>
      <c r="N565" s="95" t="s">
        <v>289</v>
      </c>
      <c r="O565" s="93">
        <f t="shared" si="135"/>
        <v>0</v>
      </c>
      <c r="P565" s="93">
        <f t="shared" si="136"/>
        <v>0</v>
      </c>
      <c r="Q565" s="93">
        <f t="shared" si="137"/>
        <v>0</v>
      </c>
      <c r="R565" s="93">
        <f t="shared" si="130"/>
        <v>4695</v>
      </c>
      <c r="S565" s="93">
        <f t="shared" si="131"/>
        <v>0</v>
      </c>
      <c r="T565" s="93">
        <f t="shared" si="138"/>
        <v>4695</v>
      </c>
      <c r="U565" s="312">
        <f t="shared" si="139"/>
        <v>97345.73</v>
      </c>
      <c r="V565" s="93">
        <f t="shared" si="140"/>
        <v>0</v>
      </c>
    </row>
    <row r="566" spans="1:22" ht="18" customHeight="1" x14ac:dyDescent="0.2">
      <c r="A566" s="110" t="s">
        <v>2119</v>
      </c>
      <c r="B566" s="111"/>
      <c r="C566" s="201" t="s">
        <v>2137</v>
      </c>
      <c r="D566" s="91">
        <v>43768</v>
      </c>
      <c r="E566" s="92"/>
      <c r="F566" s="93"/>
      <c r="G566" s="93"/>
      <c r="H566" s="93"/>
      <c r="I566" s="93"/>
      <c r="J566" s="93">
        <v>4437.87</v>
      </c>
      <c r="K566" s="93">
        <f t="shared" si="133"/>
        <v>0</v>
      </c>
      <c r="L566" s="93">
        <f t="shared" si="134"/>
        <v>0</v>
      </c>
      <c r="M566" s="94">
        <v>13.33</v>
      </c>
      <c r="N566" s="95" t="s">
        <v>289</v>
      </c>
      <c r="O566" s="93">
        <f t="shared" si="135"/>
        <v>0</v>
      </c>
      <c r="P566" s="93">
        <f t="shared" si="136"/>
        <v>0</v>
      </c>
      <c r="Q566" s="93">
        <f t="shared" si="137"/>
        <v>0</v>
      </c>
      <c r="R566" s="93">
        <f t="shared" si="130"/>
        <v>100</v>
      </c>
      <c r="S566" s="93">
        <f t="shared" si="131"/>
        <v>0</v>
      </c>
      <c r="T566" s="93">
        <f t="shared" si="138"/>
        <v>100</v>
      </c>
      <c r="U566" s="312">
        <f t="shared" si="139"/>
        <v>4337.87</v>
      </c>
      <c r="V566" s="93">
        <f t="shared" si="140"/>
        <v>0</v>
      </c>
    </row>
    <row r="567" spans="1:22" ht="18" customHeight="1" x14ac:dyDescent="0.2">
      <c r="A567" s="110" t="s">
        <v>2120</v>
      </c>
      <c r="B567" s="111"/>
      <c r="C567" s="201" t="s">
        <v>2138</v>
      </c>
      <c r="D567" s="91">
        <v>43677</v>
      </c>
      <c r="E567" s="92"/>
      <c r="F567" s="93"/>
      <c r="G567" s="93"/>
      <c r="H567" s="93"/>
      <c r="I567" s="93"/>
      <c r="J567" s="93">
        <v>487.5</v>
      </c>
      <c r="K567" s="93">
        <f t="shared" si="133"/>
        <v>0</v>
      </c>
      <c r="L567" s="93">
        <f t="shared" si="134"/>
        <v>0</v>
      </c>
      <c r="M567" s="94">
        <v>13.33</v>
      </c>
      <c r="N567" s="95" t="s">
        <v>289</v>
      </c>
      <c r="O567" s="93">
        <f t="shared" si="135"/>
        <v>0</v>
      </c>
      <c r="P567" s="93">
        <f t="shared" si="136"/>
        <v>0</v>
      </c>
      <c r="Q567" s="93">
        <f t="shared" si="137"/>
        <v>0</v>
      </c>
      <c r="R567" s="93">
        <f t="shared" si="130"/>
        <v>27</v>
      </c>
      <c r="S567" s="93">
        <f t="shared" si="131"/>
        <v>0</v>
      </c>
      <c r="T567" s="93">
        <f t="shared" si="138"/>
        <v>27</v>
      </c>
      <c r="U567" s="312">
        <f t="shared" si="139"/>
        <v>460.5</v>
      </c>
      <c r="V567" s="93">
        <f t="shared" si="140"/>
        <v>0</v>
      </c>
    </row>
    <row r="568" spans="1:22" ht="18" customHeight="1" x14ac:dyDescent="0.2">
      <c r="A568" s="110" t="s">
        <v>2125</v>
      </c>
      <c r="B568" s="111"/>
      <c r="C568" s="201" t="s">
        <v>2139</v>
      </c>
      <c r="D568" s="91">
        <v>43677</v>
      </c>
      <c r="E568" s="92"/>
      <c r="F568" s="93"/>
      <c r="G568" s="93"/>
      <c r="H568" s="93"/>
      <c r="I568" s="93"/>
      <c r="J568" s="93">
        <v>2307.5</v>
      </c>
      <c r="K568" s="93">
        <f t="shared" si="133"/>
        <v>0</v>
      </c>
      <c r="L568" s="93">
        <f t="shared" si="134"/>
        <v>0</v>
      </c>
      <c r="M568" s="94">
        <v>13.33</v>
      </c>
      <c r="N568" s="95" t="s">
        <v>289</v>
      </c>
      <c r="O568" s="93">
        <f t="shared" si="135"/>
        <v>0</v>
      </c>
      <c r="P568" s="93">
        <f t="shared" si="136"/>
        <v>0</v>
      </c>
      <c r="Q568" s="93">
        <f t="shared" si="137"/>
        <v>0</v>
      </c>
      <c r="R568" s="93">
        <f t="shared" si="130"/>
        <v>128</v>
      </c>
      <c r="S568" s="93">
        <f t="shared" si="131"/>
        <v>0</v>
      </c>
      <c r="T568" s="93">
        <f t="shared" si="138"/>
        <v>128</v>
      </c>
      <c r="U568" s="312">
        <f t="shared" si="139"/>
        <v>2179.5</v>
      </c>
      <c r="V568" s="93">
        <f t="shared" si="140"/>
        <v>0</v>
      </c>
    </row>
    <row r="569" spans="1:22" ht="18" customHeight="1" x14ac:dyDescent="0.2">
      <c r="A569" s="110" t="s">
        <v>2126</v>
      </c>
      <c r="B569" s="111"/>
      <c r="C569" s="201" t="s">
        <v>2135</v>
      </c>
      <c r="D569" s="91">
        <v>43704</v>
      </c>
      <c r="E569" s="92"/>
      <c r="F569" s="93"/>
      <c r="G569" s="93"/>
      <c r="H569" s="93"/>
      <c r="I569" s="93"/>
      <c r="J569" s="93">
        <v>9000</v>
      </c>
      <c r="K569" s="93">
        <f t="shared" si="133"/>
        <v>0</v>
      </c>
      <c r="L569" s="93">
        <f t="shared" si="134"/>
        <v>0</v>
      </c>
      <c r="M569" s="94">
        <v>13.33</v>
      </c>
      <c r="N569" s="95" t="s">
        <v>289</v>
      </c>
      <c r="O569" s="93">
        <f t="shared" si="135"/>
        <v>0</v>
      </c>
      <c r="P569" s="93">
        <f t="shared" si="136"/>
        <v>0</v>
      </c>
      <c r="Q569" s="93">
        <f t="shared" si="137"/>
        <v>0</v>
      </c>
      <c r="R569" s="93">
        <f t="shared" si="130"/>
        <v>414</v>
      </c>
      <c r="S569" s="93">
        <f t="shared" si="131"/>
        <v>0</v>
      </c>
      <c r="T569" s="93">
        <f t="shared" si="138"/>
        <v>414</v>
      </c>
      <c r="U569" s="312">
        <f t="shared" si="139"/>
        <v>8586</v>
      </c>
      <c r="V569" s="93">
        <f t="shared" si="140"/>
        <v>0</v>
      </c>
    </row>
    <row r="570" spans="1:22" ht="18" customHeight="1" x14ac:dyDescent="0.2">
      <c r="A570" s="110" t="s">
        <v>2127</v>
      </c>
      <c r="B570" s="111"/>
      <c r="C570" s="201" t="s">
        <v>2136</v>
      </c>
      <c r="D570" s="91">
        <v>43704</v>
      </c>
      <c r="E570" s="92"/>
      <c r="F570" s="93"/>
      <c r="G570" s="93"/>
      <c r="H570" s="93"/>
      <c r="I570" s="93"/>
      <c r="J570" s="93">
        <v>1000</v>
      </c>
      <c r="K570" s="93">
        <f t="shared" si="133"/>
        <v>0</v>
      </c>
      <c r="L570" s="93">
        <f t="shared" si="134"/>
        <v>0</v>
      </c>
      <c r="M570" s="94">
        <v>13.33</v>
      </c>
      <c r="N570" s="95" t="s">
        <v>289</v>
      </c>
      <c r="O570" s="93">
        <f t="shared" si="135"/>
        <v>0</v>
      </c>
      <c r="P570" s="93">
        <f t="shared" si="136"/>
        <v>0</v>
      </c>
      <c r="Q570" s="93">
        <f t="shared" si="137"/>
        <v>0</v>
      </c>
      <c r="R570" s="93">
        <f t="shared" si="130"/>
        <v>46</v>
      </c>
      <c r="S570" s="93">
        <f t="shared" si="131"/>
        <v>0</v>
      </c>
      <c r="T570" s="93">
        <f t="shared" si="138"/>
        <v>46</v>
      </c>
      <c r="U570" s="312">
        <f t="shared" si="139"/>
        <v>954</v>
      </c>
      <c r="V570" s="93">
        <f t="shared" si="140"/>
        <v>0</v>
      </c>
    </row>
    <row r="571" spans="1:22" ht="18" customHeight="1" x14ac:dyDescent="0.2">
      <c r="A571" s="110" t="s">
        <v>2128</v>
      </c>
      <c r="B571" s="111"/>
      <c r="C571" s="201" t="s">
        <v>2140</v>
      </c>
      <c r="D571" s="91">
        <v>43689</v>
      </c>
      <c r="E571" s="92"/>
      <c r="F571" s="93"/>
      <c r="G571" s="93"/>
      <c r="H571" s="93"/>
      <c r="I571" s="93"/>
      <c r="J571" s="93">
        <v>3820</v>
      </c>
      <c r="K571" s="93">
        <f t="shared" si="133"/>
        <v>0</v>
      </c>
      <c r="L571" s="93">
        <f t="shared" si="134"/>
        <v>0</v>
      </c>
      <c r="M571" s="94">
        <v>13.33</v>
      </c>
      <c r="N571" s="95" t="s">
        <v>289</v>
      </c>
      <c r="O571" s="93">
        <f t="shared" si="135"/>
        <v>0</v>
      </c>
      <c r="P571" s="93">
        <f t="shared" si="136"/>
        <v>0</v>
      </c>
      <c r="Q571" s="93">
        <f t="shared" si="137"/>
        <v>0</v>
      </c>
      <c r="R571" s="93">
        <f t="shared" si="130"/>
        <v>196</v>
      </c>
      <c r="S571" s="93">
        <f t="shared" si="131"/>
        <v>0</v>
      </c>
      <c r="T571" s="93">
        <f t="shared" si="138"/>
        <v>196</v>
      </c>
      <c r="U571" s="312">
        <f t="shared" si="139"/>
        <v>3624</v>
      </c>
      <c r="V571" s="93">
        <f t="shared" si="140"/>
        <v>0</v>
      </c>
    </row>
    <row r="572" spans="1:22" ht="18" customHeight="1" x14ac:dyDescent="0.2">
      <c r="A572" s="110" t="s">
        <v>2129</v>
      </c>
      <c r="B572" s="111"/>
      <c r="C572" s="201" t="s">
        <v>2141</v>
      </c>
      <c r="D572" s="91">
        <v>43698</v>
      </c>
      <c r="E572" s="92"/>
      <c r="F572" s="93"/>
      <c r="G572" s="93"/>
      <c r="H572" s="93"/>
      <c r="I572" s="93"/>
      <c r="J572" s="93">
        <v>1800</v>
      </c>
      <c r="K572" s="93">
        <f t="shared" si="133"/>
        <v>0</v>
      </c>
      <c r="L572" s="93">
        <f t="shared" si="134"/>
        <v>0</v>
      </c>
      <c r="M572" s="94">
        <v>13.33</v>
      </c>
      <c r="N572" s="95" t="s">
        <v>289</v>
      </c>
      <c r="O572" s="93">
        <f t="shared" si="135"/>
        <v>0</v>
      </c>
      <c r="P572" s="93">
        <f t="shared" si="136"/>
        <v>0</v>
      </c>
      <c r="Q572" s="93">
        <f t="shared" si="137"/>
        <v>0</v>
      </c>
      <c r="R572" s="93">
        <f t="shared" si="130"/>
        <v>86</v>
      </c>
      <c r="S572" s="93">
        <f t="shared" si="131"/>
        <v>0</v>
      </c>
      <c r="T572" s="93">
        <f t="shared" si="138"/>
        <v>86</v>
      </c>
      <c r="U572" s="312">
        <f t="shared" si="139"/>
        <v>1714</v>
      </c>
      <c r="V572" s="93">
        <f t="shared" si="140"/>
        <v>0</v>
      </c>
    </row>
    <row r="573" spans="1:22" ht="18" customHeight="1" x14ac:dyDescent="0.2">
      <c r="A573" s="110" t="s">
        <v>2130</v>
      </c>
      <c r="B573" s="111"/>
      <c r="C573" s="201" t="s">
        <v>2142</v>
      </c>
      <c r="D573" s="91">
        <v>43709</v>
      </c>
      <c r="E573" s="92"/>
      <c r="F573" s="93"/>
      <c r="G573" s="93"/>
      <c r="H573" s="93"/>
      <c r="I573" s="93"/>
      <c r="J573" s="93">
        <v>4136.5</v>
      </c>
      <c r="K573" s="93">
        <f t="shared" si="133"/>
        <v>0</v>
      </c>
      <c r="L573" s="93">
        <f t="shared" si="134"/>
        <v>0</v>
      </c>
      <c r="M573" s="94">
        <v>13.33</v>
      </c>
      <c r="N573" s="95" t="s">
        <v>289</v>
      </c>
      <c r="O573" s="93">
        <f t="shared" si="135"/>
        <v>0</v>
      </c>
      <c r="P573" s="93">
        <f t="shared" si="136"/>
        <v>0</v>
      </c>
      <c r="Q573" s="93">
        <f t="shared" si="137"/>
        <v>0</v>
      </c>
      <c r="R573" s="93">
        <f t="shared" si="130"/>
        <v>182</v>
      </c>
      <c r="S573" s="93">
        <f t="shared" si="131"/>
        <v>0</v>
      </c>
      <c r="T573" s="93">
        <f t="shared" si="138"/>
        <v>182</v>
      </c>
      <c r="U573" s="312">
        <f t="shared" si="139"/>
        <v>3954.5</v>
      </c>
      <c r="V573" s="93">
        <f t="shared" si="140"/>
        <v>0</v>
      </c>
    </row>
    <row r="574" spans="1:22" ht="18" customHeight="1" x14ac:dyDescent="0.2">
      <c r="A574" s="110" t="s">
        <v>2131</v>
      </c>
      <c r="B574" s="111"/>
      <c r="C574" s="201" t="s">
        <v>2143</v>
      </c>
      <c r="D574" s="91">
        <v>43731</v>
      </c>
      <c r="E574" s="92"/>
      <c r="F574" s="93"/>
      <c r="G574" s="93"/>
      <c r="H574" s="93"/>
      <c r="I574" s="93"/>
      <c r="J574" s="93">
        <v>5500</v>
      </c>
      <c r="K574" s="93">
        <f t="shared" si="133"/>
        <v>0</v>
      </c>
      <c r="L574" s="93">
        <f t="shared" si="134"/>
        <v>0</v>
      </c>
      <c r="M574" s="94">
        <v>13.33</v>
      </c>
      <c r="N574" s="95" t="s">
        <v>289</v>
      </c>
      <c r="O574" s="93">
        <f t="shared" si="135"/>
        <v>0</v>
      </c>
      <c r="P574" s="93">
        <f t="shared" si="136"/>
        <v>0</v>
      </c>
      <c r="Q574" s="93">
        <f t="shared" si="137"/>
        <v>0</v>
      </c>
      <c r="R574" s="93">
        <f t="shared" si="130"/>
        <v>198</v>
      </c>
      <c r="S574" s="93">
        <f t="shared" si="131"/>
        <v>0</v>
      </c>
      <c r="T574" s="93">
        <f t="shared" si="138"/>
        <v>198</v>
      </c>
      <c r="U574" s="312">
        <f t="shared" si="139"/>
        <v>5302</v>
      </c>
      <c r="V574" s="93">
        <f t="shared" si="140"/>
        <v>0</v>
      </c>
    </row>
    <row r="575" spans="1:22" ht="18" customHeight="1" x14ac:dyDescent="0.2">
      <c r="A575" s="110" t="s">
        <v>2132</v>
      </c>
      <c r="B575" s="111"/>
      <c r="C575" s="201" t="s">
        <v>2144</v>
      </c>
      <c r="D575" s="91">
        <v>43738</v>
      </c>
      <c r="E575" s="92"/>
      <c r="F575" s="93"/>
      <c r="G575" s="93"/>
      <c r="H575" s="93"/>
      <c r="I575" s="93"/>
      <c r="J575" s="93">
        <v>455</v>
      </c>
      <c r="K575" s="93">
        <f t="shared" si="133"/>
        <v>0</v>
      </c>
      <c r="L575" s="93">
        <f t="shared" si="134"/>
        <v>0</v>
      </c>
      <c r="M575" s="94">
        <v>13.33</v>
      </c>
      <c r="N575" s="95" t="s">
        <v>289</v>
      </c>
      <c r="O575" s="93">
        <f t="shared" si="135"/>
        <v>0</v>
      </c>
      <c r="P575" s="93">
        <f t="shared" si="136"/>
        <v>0</v>
      </c>
      <c r="Q575" s="93">
        <f t="shared" si="137"/>
        <v>0</v>
      </c>
      <c r="R575" s="93">
        <f t="shared" si="130"/>
        <v>15</v>
      </c>
      <c r="S575" s="93">
        <f t="shared" si="131"/>
        <v>0</v>
      </c>
      <c r="T575" s="93">
        <f t="shared" si="138"/>
        <v>15</v>
      </c>
      <c r="U575" s="312">
        <f t="shared" si="139"/>
        <v>440</v>
      </c>
      <c r="V575" s="93">
        <f t="shared" si="140"/>
        <v>0</v>
      </c>
    </row>
    <row r="576" spans="1:22" ht="18" customHeight="1" x14ac:dyDescent="0.2">
      <c r="A576" s="110" t="s">
        <v>2146</v>
      </c>
      <c r="B576" s="111"/>
      <c r="C576" s="201" t="s">
        <v>2145</v>
      </c>
      <c r="D576" s="91">
        <v>43799</v>
      </c>
      <c r="E576" s="92"/>
      <c r="F576" s="93"/>
      <c r="G576" s="93"/>
      <c r="H576" s="93"/>
      <c r="I576" s="93"/>
      <c r="J576" s="93">
        <v>845</v>
      </c>
      <c r="K576" s="93">
        <f t="shared" si="133"/>
        <v>0</v>
      </c>
      <c r="L576" s="93">
        <f t="shared" si="134"/>
        <v>0</v>
      </c>
      <c r="M576" s="94">
        <v>13.33</v>
      </c>
      <c r="N576" s="95" t="s">
        <v>289</v>
      </c>
      <c r="O576" s="93">
        <f t="shared" si="135"/>
        <v>0</v>
      </c>
      <c r="P576" s="93">
        <f t="shared" si="136"/>
        <v>0</v>
      </c>
      <c r="Q576" s="93">
        <f t="shared" si="137"/>
        <v>0</v>
      </c>
      <c r="R576" s="93">
        <f t="shared" si="130"/>
        <v>9</v>
      </c>
      <c r="S576" s="93">
        <f t="shared" si="131"/>
        <v>0</v>
      </c>
      <c r="T576" s="93">
        <f t="shared" si="138"/>
        <v>9</v>
      </c>
      <c r="U576" s="312">
        <f t="shared" si="139"/>
        <v>836</v>
      </c>
      <c r="V576" s="93">
        <f t="shared" si="140"/>
        <v>0</v>
      </c>
    </row>
    <row r="577" spans="1:24" ht="18" customHeight="1" x14ac:dyDescent="0.2">
      <c r="A577" s="110"/>
      <c r="B577" s="111"/>
      <c r="C577" s="201"/>
      <c r="D577" s="91"/>
      <c r="E577" s="92"/>
      <c r="F577" s="93"/>
      <c r="G577" s="93"/>
      <c r="H577" s="93"/>
      <c r="I577" s="93"/>
      <c r="J577" s="93"/>
      <c r="K577" s="93"/>
      <c r="L577" s="93"/>
      <c r="M577" s="94"/>
      <c r="N577" s="95"/>
      <c r="O577" s="93"/>
      <c r="P577" s="93"/>
      <c r="Q577" s="93"/>
      <c r="R577" s="93"/>
      <c r="S577" s="93"/>
      <c r="T577" s="93"/>
      <c r="U577" s="312"/>
      <c r="V577" s="93"/>
    </row>
    <row r="578" spans="1:24" ht="18" customHeight="1" x14ac:dyDescent="0.2">
      <c r="A578" s="204"/>
      <c r="B578" s="205"/>
      <c r="C578" s="207"/>
      <c r="D578" s="207"/>
      <c r="E578" s="92"/>
      <c r="F578" s="93"/>
      <c r="G578" s="93"/>
      <c r="H578" s="93"/>
      <c r="I578" s="209"/>
      <c r="J578" s="209"/>
      <c r="K578" s="209"/>
      <c r="L578" s="209"/>
      <c r="M578" s="210"/>
      <c r="N578" s="95"/>
      <c r="O578" s="95"/>
      <c r="P578" s="209"/>
      <c r="Q578" s="209"/>
      <c r="R578" s="95"/>
      <c r="S578" s="209"/>
      <c r="T578" s="209"/>
      <c r="U578" s="313"/>
      <c r="V578" s="209"/>
    </row>
    <row r="579" spans="1:24" ht="18" customHeight="1" x14ac:dyDescent="0.2">
      <c r="A579" s="204"/>
      <c r="B579" s="205"/>
      <c r="C579" s="206" t="s">
        <v>2043</v>
      </c>
      <c r="D579" s="207"/>
      <c r="E579" s="92"/>
      <c r="F579" s="93"/>
      <c r="G579" s="93"/>
      <c r="H579" s="208">
        <f>+J580-V580</f>
        <v>239480.08</v>
      </c>
      <c r="I579" s="209"/>
      <c r="J579" s="209"/>
      <c r="K579" s="209"/>
      <c r="L579" s="209"/>
      <c r="M579" s="210"/>
      <c r="N579" s="95"/>
      <c r="O579" s="95"/>
      <c r="P579" s="209"/>
      <c r="Q579" s="209"/>
      <c r="R579" s="95"/>
      <c r="S579" s="209"/>
      <c r="T579" s="209"/>
      <c r="U579" s="313"/>
      <c r="V579" s="209"/>
    </row>
    <row r="580" spans="1:24" s="14" customFormat="1" ht="18" customHeight="1" x14ac:dyDescent="0.2">
      <c r="A580" s="211"/>
      <c r="B580" s="212"/>
      <c r="C580" s="213" t="s">
        <v>1654</v>
      </c>
      <c r="D580" s="206"/>
      <c r="E580" s="219"/>
      <c r="F580" s="208">
        <f>SUM(F173:F578)</f>
        <v>4300</v>
      </c>
      <c r="G580" s="208">
        <f>SUM(G173:G578)</f>
        <v>0</v>
      </c>
      <c r="H580" s="247">
        <f>SUM(H173:H579)</f>
        <v>4716235.3999999966</v>
      </c>
      <c r="I580" s="208">
        <f>SUM(I173:I578)</f>
        <v>3005668.2870000009</v>
      </c>
      <c r="J580" s="208">
        <f>SUM(J173:J578)</f>
        <v>244470.08</v>
      </c>
      <c r="K580" s="208">
        <f>SUM(K173:K578)</f>
        <v>1429</v>
      </c>
      <c r="L580" s="208">
        <f>SUM(L173:L578)</f>
        <v>0</v>
      </c>
      <c r="M580" s="206"/>
      <c r="N580" s="217"/>
      <c r="O580" s="208">
        <f>SUM(O173:O545)</f>
        <v>185</v>
      </c>
      <c r="P580" s="208">
        <f>SUM(P173:P545)</f>
        <v>0</v>
      </c>
      <c r="Q580" s="208">
        <f>SUM(Q173:Q545)</f>
        <v>185</v>
      </c>
      <c r="R580" s="208">
        <f>SUM(R173:R545)</f>
        <v>152902</v>
      </c>
      <c r="S580" s="208">
        <f>SUM(S173:S545)</f>
        <v>404</v>
      </c>
      <c r="T580" s="208">
        <f>SUM(T173:T578)</f>
        <v>179899</v>
      </c>
      <c r="U580" s="314">
        <f>SUM(U173:U578)</f>
        <v>3067368.1070000003</v>
      </c>
      <c r="V580" s="247">
        <f>SUM(V173:V578)</f>
        <v>4990</v>
      </c>
      <c r="X580" s="291">
        <f>4716235.4-1648868.33</f>
        <v>3067367.0700000003</v>
      </c>
    </row>
    <row r="581" spans="1:24" ht="18" customHeight="1" x14ac:dyDescent="0.2">
      <c r="A581" s="110"/>
      <c r="B581" s="111"/>
      <c r="C581" s="207"/>
      <c r="D581" s="207"/>
      <c r="E581" s="92"/>
      <c r="F581" s="93"/>
      <c r="G581" s="93"/>
      <c r="H581" s="93"/>
      <c r="I581" s="93"/>
      <c r="J581" s="93"/>
      <c r="K581" s="93"/>
      <c r="L581" s="93"/>
      <c r="M581" s="207"/>
      <c r="N581" s="207"/>
      <c r="O581" s="207"/>
      <c r="P581" s="93"/>
      <c r="Q581" s="93"/>
      <c r="R581" s="207"/>
      <c r="S581" s="93"/>
      <c r="T581" s="93"/>
      <c r="U581" s="312"/>
      <c r="V581" s="93"/>
    </row>
    <row r="582" spans="1:24" ht="18" customHeight="1" x14ac:dyDescent="0.2">
      <c r="A582" s="221" t="s">
        <v>1118</v>
      </c>
      <c r="B582" s="222"/>
      <c r="C582" s="207"/>
      <c r="D582" s="218"/>
      <c r="E582" s="223"/>
      <c r="F582" s="224"/>
      <c r="G582" s="224"/>
      <c r="H582" s="224"/>
      <c r="I582" s="224"/>
      <c r="J582" s="224"/>
      <c r="K582" s="224"/>
      <c r="L582" s="224"/>
      <c r="M582" s="218"/>
      <c r="N582" s="225"/>
      <c r="O582" s="225"/>
      <c r="P582" s="224"/>
      <c r="Q582" s="224"/>
      <c r="R582" s="225"/>
      <c r="S582" s="224"/>
      <c r="T582" s="224"/>
      <c r="U582" s="313"/>
      <c r="V582" s="209"/>
    </row>
    <row r="583" spans="1:24" ht="18" customHeight="1" x14ac:dyDescent="0.2">
      <c r="A583" s="226" t="s">
        <v>1119</v>
      </c>
      <c r="B583" s="205"/>
      <c r="C583" s="207"/>
      <c r="D583" s="207"/>
      <c r="E583" s="92"/>
      <c r="F583" s="93"/>
      <c r="G583" s="93"/>
      <c r="H583" s="93"/>
      <c r="I583" s="209"/>
      <c r="J583" s="209"/>
      <c r="K583" s="209"/>
      <c r="L583" s="209"/>
      <c r="M583" s="210"/>
      <c r="N583" s="95"/>
      <c r="O583" s="95"/>
      <c r="P583" s="209"/>
      <c r="Q583" s="209"/>
      <c r="R583" s="95"/>
      <c r="S583" s="209"/>
      <c r="T583" s="209"/>
      <c r="U583" s="313"/>
      <c r="V583" s="209"/>
    </row>
    <row r="584" spans="1:24" ht="18" customHeight="1" x14ac:dyDescent="0.2">
      <c r="A584" s="110" t="s">
        <v>1120</v>
      </c>
      <c r="B584" s="111"/>
      <c r="C584" s="201" t="s">
        <v>2269</v>
      </c>
      <c r="D584" s="91">
        <v>39973</v>
      </c>
      <c r="E584" s="92"/>
      <c r="F584" s="93"/>
      <c r="G584" s="93"/>
      <c r="H584" s="93">
        <v>17499</v>
      </c>
      <c r="I584" s="93">
        <v>2346</v>
      </c>
      <c r="J584" s="93"/>
      <c r="K584" s="93">
        <f t="shared" ref="K584:K593" si="141">INT(IF($E584&gt;0,IF(+F584-I584+Q584&lt;0,0,+F584-I584+Q584),0))</f>
        <v>0</v>
      </c>
      <c r="L584" s="93">
        <f t="shared" ref="L584:L593" si="142">INT(IF($E584&gt;0,IF(K584=0,-F584+I584-Q584,0),0))</f>
        <v>0</v>
      </c>
      <c r="M584" s="94">
        <v>18.18</v>
      </c>
      <c r="N584" s="95" t="s">
        <v>289</v>
      </c>
      <c r="O584" s="93">
        <f t="shared" ref="O584:O593" si="143">IF(E584&gt;0,INT(IF($N584="D",IF($D584&lt;$H$3,$I584*($M584/100)*((E584-$H$3)/365),$J584*($M584/100)*($J$3-$D584)/365),0)),0)</f>
        <v>0</v>
      </c>
      <c r="P584" s="93">
        <f t="shared" ref="P584:P593" si="144">IF(E584&gt;0,INT(IF($N584="P",IF($D584&lt;$H$3,$H584*($M584/100)*(E584-$H$3)/365,$J584*($M584/100)*($J$3-$D584)/365),0)),0)</f>
        <v>0</v>
      </c>
      <c r="Q584" s="93">
        <f t="shared" ref="Q584:Q593" si="145">+O584+P584</f>
        <v>0</v>
      </c>
      <c r="R584" s="93">
        <f t="shared" ref="R584:R593" si="146">INT(IF($E584&gt;0,0,(IF($N584="D",IF($D584&lt;$H$3,$I584*($M584/100)*$U$3/12,$J584*($M584/100)*($J$3-$D584)/365),0))))</f>
        <v>213</v>
      </c>
      <c r="S584" s="93">
        <f t="shared" ref="S584:S593" si="147">INT(IF($E584&gt;0,0,(IF($N584="P",IF($D584&lt;$H$3,$H584*($M584/100)*$U$3/12,$J584*($M584/100)*($J$3-$D584)/365),0))))</f>
        <v>0</v>
      </c>
      <c r="T584" s="93">
        <f t="shared" ref="T584:T593" si="148">+R584+S584+Q584</f>
        <v>213</v>
      </c>
      <c r="U584" s="312">
        <f>+I584+J584-T584-F584+K584-L584</f>
        <v>2133</v>
      </c>
      <c r="V584" s="93">
        <f t="shared" ref="V584:V593" si="149">IF(E584&gt;0,+H584+J584,0)</f>
        <v>0</v>
      </c>
    </row>
    <row r="585" spans="1:24" ht="18" customHeight="1" x14ac:dyDescent="0.2">
      <c r="A585" s="110" t="s">
        <v>1121</v>
      </c>
      <c r="B585" s="111"/>
      <c r="C585" s="203" t="s">
        <v>1122</v>
      </c>
      <c r="D585" s="91">
        <v>40268</v>
      </c>
      <c r="E585" s="92"/>
      <c r="F585" s="93"/>
      <c r="G585" s="93"/>
      <c r="H585" s="93">
        <v>13034.44</v>
      </c>
      <c r="I585" s="93">
        <v>2061.2600000000002</v>
      </c>
      <c r="J585" s="93"/>
      <c r="K585" s="93">
        <f t="shared" si="141"/>
        <v>0</v>
      </c>
      <c r="L585" s="93">
        <f t="shared" si="142"/>
        <v>0</v>
      </c>
      <c r="M585" s="94">
        <v>18.18</v>
      </c>
      <c r="N585" s="95" t="s">
        <v>289</v>
      </c>
      <c r="O585" s="93">
        <f t="shared" si="143"/>
        <v>0</v>
      </c>
      <c r="P585" s="93">
        <f t="shared" si="144"/>
        <v>0</v>
      </c>
      <c r="Q585" s="93">
        <f t="shared" si="145"/>
        <v>0</v>
      </c>
      <c r="R585" s="93">
        <f t="shared" si="146"/>
        <v>187</v>
      </c>
      <c r="S585" s="93">
        <f t="shared" si="147"/>
        <v>0</v>
      </c>
      <c r="T585" s="93">
        <f t="shared" si="148"/>
        <v>187</v>
      </c>
      <c r="U585" s="312">
        <f>+I585+J585-T585-F585+K585-L585</f>
        <v>1874.2600000000002</v>
      </c>
      <c r="V585" s="93">
        <f t="shared" si="149"/>
        <v>0</v>
      </c>
    </row>
    <row r="586" spans="1:24" ht="18" customHeight="1" x14ac:dyDescent="0.2">
      <c r="A586" s="110" t="s">
        <v>1123</v>
      </c>
      <c r="B586" s="111"/>
      <c r="C586" s="228" t="s">
        <v>1124</v>
      </c>
      <c r="D586" s="91">
        <v>41611</v>
      </c>
      <c r="E586" s="92"/>
      <c r="F586" s="93"/>
      <c r="G586" s="93"/>
      <c r="H586" s="93">
        <v>37380.36</v>
      </c>
      <c r="I586" s="93">
        <v>13684.36</v>
      </c>
      <c r="J586" s="93"/>
      <c r="K586" s="93">
        <f t="shared" si="141"/>
        <v>0</v>
      </c>
      <c r="L586" s="93">
        <f t="shared" si="142"/>
        <v>0</v>
      </c>
      <c r="M586" s="94">
        <v>16.66</v>
      </c>
      <c r="N586" s="95" t="s">
        <v>289</v>
      </c>
      <c r="O586" s="93">
        <f t="shared" si="143"/>
        <v>0</v>
      </c>
      <c r="P586" s="93">
        <f t="shared" si="144"/>
        <v>0</v>
      </c>
      <c r="Q586" s="93">
        <f t="shared" si="145"/>
        <v>0</v>
      </c>
      <c r="R586" s="93">
        <f t="shared" si="146"/>
        <v>1139</v>
      </c>
      <c r="S586" s="93">
        <f t="shared" si="147"/>
        <v>0</v>
      </c>
      <c r="T586" s="93">
        <f t="shared" si="148"/>
        <v>1139</v>
      </c>
      <c r="U586" s="312">
        <f>+I586+J586-T586-F586+K586-L586</f>
        <v>12545.36</v>
      </c>
      <c r="V586" s="93">
        <f t="shared" si="149"/>
        <v>0</v>
      </c>
    </row>
    <row r="587" spans="1:24" ht="18" customHeight="1" x14ac:dyDescent="0.2">
      <c r="A587" s="110" t="s">
        <v>1127</v>
      </c>
      <c r="B587" s="111"/>
      <c r="C587" s="203" t="s">
        <v>1128</v>
      </c>
      <c r="D587" s="91">
        <v>42125</v>
      </c>
      <c r="E587" s="92"/>
      <c r="F587" s="93"/>
      <c r="G587" s="93"/>
      <c r="H587" s="93">
        <v>19272</v>
      </c>
      <c r="I587" s="93">
        <v>5951</v>
      </c>
      <c r="J587" s="93"/>
      <c r="K587" s="93">
        <f t="shared" si="141"/>
        <v>0</v>
      </c>
      <c r="L587" s="93">
        <f t="shared" si="142"/>
        <v>0</v>
      </c>
      <c r="M587" s="94">
        <v>25</v>
      </c>
      <c r="N587" s="95" t="s">
        <v>289</v>
      </c>
      <c r="O587" s="93">
        <f t="shared" si="143"/>
        <v>0</v>
      </c>
      <c r="P587" s="93">
        <f t="shared" si="144"/>
        <v>0</v>
      </c>
      <c r="Q587" s="93">
        <f t="shared" si="145"/>
        <v>0</v>
      </c>
      <c r="R587" s="93">
        <f t="shared" si="146"/>
        <v>743</v>
      </c>
      <c r="S587" s="93">
        <f t="shared" si="147"/>
        <v>0</v>
      </c>
      <c r="T587" s="93">
        <f t="shared" si="148"/>
        <v>743</v>
      </c>
      <c r="U587" s="312">
        <f>+I587+J587-T587-F587+K587-L587</f>
        <v>5208</v>
      </c>
      <c r="V587" s="93">
        <f t="shared" si="149"/>
        <v>0</v>
      </c>
    </row>
    <row r="588" spans="1:24" ht="18" customHeight="1" x14ac:dyDescent="0.2">
      <c r="A588" s="110" t="s">
        <v>1131</v>
      </c>
      <c r="B588" s="111"/>
      <c r="C588" s="203" t="s">
        <v>1132</v>
      </c>
      <c r="D588" s="91">
        <v>42360</v>
      </c>
      <c r="E588" s="92"/>
      <c r="F588" s="93"/>
      <c r="G588" s="93"/>
      <c r="H588" s="93">
        <v>37434</v>
      </c>
      <c r="I588" s="93">
        <v>14561</v>
      </c>
      <c r="J588" s="93"/>
      <c r="K588" s="93">
        <f t="shared" si="141"/>
        <v>0</v>
      </c>
      <c r="L588" s="93">
        <f t="shared" si="142"/>
        <v>0</v>
      </c>
      <c r="M588" s="94">
        <v>25</v>
      </c>
      <c r="N588" s="95" t="s">
        <v>289</v>
      </c>
      <c r="O588" s="93">
        <f t="shared" si="143"/>
        <v>0</v>
      </c>
      <c r="P588" s="93">
        <f t="shared" si="144"/>
        <v>0</v>
      </c>
      <c r="Q588" s="93">
        <f t="shared" si="145"/>
        <v>0</v>
      </c>
      <c r="R588" s="93">
        <f t="shared" si="146"/>
        <v>1820</v>
      </c>
      <c r="S588" s="93">
        <f t="shared" si="147"/>
        <v>0</v>
      </c>
      <c r="T588" s="93">
        <f t="shared" si="148"/>
        <v>1820</v>
      </c>
      <c r="U588" s="312">
        <f t="shared" ref="U588:U593" si="150">+I588+J588-T588-F588+K588-L588</f>
        <v>12741</v>
      </c>
      <c r="V588" s="93">
        <f t="shared" si="149"/>
        <v>0</v>
      </c>
    </row>
    <row r="589" spans="1:24" ht="18" customHeight="1" x14ac:dyDescent="0.2">
      <c r="A589" s="110" t="s">
        <v>1133</v>
      </c>
      <c r="B589" s="111"/>
      <c r="C589" s="203" t="s">
        <v>1134</v>
      </c>
      <c r="D589" s="91">
        <v>42387</v>
      </c>
      <c r="E589" s="92"/>
      <c r="F589" s="93"/>
      <c r="G589" s="93"/>
      <c r="H589" s="93">
        <v>2100</v>
      </c>
      <c r="I589" s="93">
        <v>829</v>
      </c>
      <c r="J589" s="93"/>
      <c r="K589" s="93">
        <f t="shared" si="141"/>
        <v>0</v>
      </c>
      <c r="L589" s="93">
        <f t="shared" si="142"/>
        <v>0</v>
      </c>
      <c r="M589" s="94">
        <v>25</v>
      </c>
      <c r="N589" s="95" t="s">
        <v>289</v>
      </c>
      <c r="O589" s="93">
        <f t="shared" si="143"/>
        <v>0</v>
      </c>
      <c r="P589" s="93">
        <f t="shared" si="144"/>
        <v>0</v>
      </c>
      <c r="Q589" s="93">
        <f t="shared" si="145"/>
        <v>0</v>
      </c>
      <c r="R589" s="93">
        <f t="shared" si="146"/>
        <v>103</v>
      </c>
      <c r="S589" s="93">
        <f t="shared" si="147"/>
        <v>0</v>
      </c>
      <c r="T589" s="93">
        <f t="shared" si="148"/>
        <v>103</v>
      </c>
      <c r="U589" s="312">
        <f t="shared" si="150"/>
        <v>726</v>
      </c>
      <c r="V589" s="93">
        <f t="shared" si="149"/>
        <v>0</v>
      </c>
    </row>
    <row r="590" spans="1:24" ht="18" customHeight="1" x14ac:dyDescent="0.2">
      <c r="A590" s="110" t="s">
        <v>1135</v>
      </c>
      <c r="B590" s="111"/>
      <c r="C590" s="203" t="s">
        <v>1136</v>
      </c>
      <c r="D590" s="91">
        <v>42678</v>
      </c>
      <c r="E590" s="92"/>
      <c r="F590" s="93"/>
      <c r="G590" s="93"/>
      <c r="H590" s="93">
        <v>95298.62</v>
      </c>
      <c r="I590" s="93">
        <v>45706.62</v>
      </c>
      <c r="J590" s="93"/>
      <c r="K590" s="93">
        <f t="shared" si="141"/>
        <v>0</v>
      </c>
      <c r="L590" s="93">
        <f t="shared" si="142"/>
        <v>0</v>
      </c>
      <c r="M590" s="94">
        <v>25</v>
      </c>
      <c r="N590" s="95" t="s">
        <v>289</v>
      </c>
      <c r="O590" s="93">
        <f t="shared" si="143"/>
        <v>0</v>
      </c>
      <c r="P590" s="93">
        <f t="shared" si="144"/>
        <v>0</v>
      </c>
      <c r="Q590" s="93">
        <f t="shared" si="145"/>
        <v>0</v>
      </c>
      <c r="R590" s="93">
        <f t="shared" si="146"/>
        <v>5713</v>
      </c>
      <c r="S590" s="93">
        <f t="shared" si="147"/>
        <v>0</v>
      </c>
      <c r="T590" s="93">
        <f t="shared" si="148"/>
        <v>5713</v>
      </c>
      <c r="U590" s="312">
        <f t="shared" si="150"/>
        <v>39993.620000000003</v>
      </c>
      <c r="V590" s="93">
        <f t="shared" si="149"/>
        <v>0</v>
      </c>
    </row>
    <row r="591" spans="1:24" ht="18" customHeight="1" x14ac:dyDescent="0.2">
      <c r="A591" s="110" t="s">
        <v>1137</v>
      </c>
      <c r="B591" s="111"/>
      <c r="C591" s="203" t="s">
        <v>1138</v>
      </c>
      <c r="D591" s="91">
        <v>42829</v>
      </c>
      <c r="E591" s="92"/>
      <c r="F591" s="93"/>
      <c r="G591" s="93"/>
      <c r="H591" s="93">
        <v>51566.81</v>
      </c>
      <c r="I591" s="93">
        <v>27790.81</v>
      </c>
      <c r="J591" s="93"/>
      <c r="K591" s="93">
        <f t="shared" si="141"/>
        <v>0</v>
      </c>
      <c r="L591" s="93">
        <f t="shared" si="142"/>
        <v>0</v>
      </c>
      <c r="M591" s="94">
        <v>25</v>
      </c>
      <c r="N591" s="95" t="s">
        <v>289</v>
      </c>
      <c r="O591" s="93">
        <f t="shared" si="143"/>
        <v>0</v>
      </c>
      <c r="P591" s="93">
        <f t="shared" si="144"/>
        <v>0</v>
      </c>
      <c r="Q591" s="93">
        <f t="shared" si="145"/>
        <v>0</v>
      </c>
      <c r="R591" s="93">
        <f t="shared" si="146"/>
        <v>3473</v>
      </c>
      <c r="S591" s="93">
        <f t="shared" si="147"/>
        <v>0</v>
      </c>
      <c r="T591" s="93">
        <f t="shared" si="148"/>
        <v>3473</v>
      </c>
      <c r="U591" s="312">
        <f t="shared" si="150"/>
        <v>24317.81</v>
      </c>
      <c r="V591" s="93">
        <f t="shared" si="149"/>
        <v>0</v>
      </c>
    </row>
    <row r="592" spans="1:24" ht="18" customHeight="1" x14ac:dyDescent="0.2">
      <c r="A592" s="110" t="s">
        <v>1139</v>
      </c>
      <c r="B592" s="111"/>
      <c r="C592" s="201" t="s">
        <v>1140</v>
      </c>
      <c r="D592" s="91">
        <v>43159</v>
      </c>
      <c r="E592" s="92"/>
      <c r="F592" s="93"/>
      <c r="G592" s="93"/>
      <c r="H592" s="93">
        <v>98531.82</v>
      </c>
      <c r="I592" s="93">
        <v>68995.820000000007</v>
      </c>
      <c r="J592" s="93"/>
      <c r="K592" s="93">
        <f t="shared" si="141"/>
        <v>0</v>
      </c>
      <c r="L592" s="93">
        <f t="shared" si="142"/>
        <v>0</v>
      </c>
      <c r="M592" s="94">
        <v>25</v>
      </c>
      <c r="N592" s="95" t="s">
        <v>289</v>
      </c>
      <c r="O592" s="93">
        <f t="shared" si="143"/>
        <v>0</v>
      </c>
      <c r="P592" s="93">
        <f t="shared" si="144"/>
        <v>0</v>
      </c>
      <c r="Q592" s="93">
        <f t="shared" si="145"/>
        <v>0</v>
      </c>
      <c r="R592" s="93">
        <f t="shared" si="146"/>
        <v>8624</v>
      </c>
      <c r="S592" s="93">
        <f t="shared" si="147"/>
        <v>0</v>
      </c>
      <c r="T592" s="93">
        <f t="shared" si="148"/>
        <v>8624</v>
      </c>
      <c r="U592" s="312">
        <f t="shared" si="150"/>
        <v>60371.820000000007</v>
      </c>
      <c r="V592" s="93">
        <f t="shared" si="149"/>
        <v>0</v>
      </c>
    </row>
    <row r="593" spans="1:22" ht="18" customHeight="1" x14ac:dyDescent="0.2">
      <c r="A593" s="110" t="s">
        <v>2074</v>
      </c>
      <c r="B593" s="111"/>
      <c r="C593" s="201" t="s">
        <v>1922</v>
      </c>
      <c r="D593" s="91">
        <v>43437</v>
      </c>
      <c r="E593" s="92"/>
      <c r="F593" s="93"/>
      <c r="G593" s="93"/>
      <c r="H593" s="93">
        <f>37034+0.08</f>
        <v>37034.080000000002</v>
      </c>
      <c r="I593" s="93">
        <v>32793</v>
      </c>
      <c r="J593" s="93"/>
      <c r="K593" s="93">
        <f t="shared" si="141"/>
        <v>0</v>
      </c>
      <c r="L593" s="93">
        <f t="shared" si="142"/>
        <v>0</v>
      </c>
      <c r="M593" s="94">
        <v>20</v>
      </c>
      <c r="N593" s="95" t="s">
        <v>289</v>
      </c>
      <c r="O593" s="93">
        <f t="shared" si="143"/>
        <v>0</v>
      </c>
      <c r="P593" s="93">
        <f t="shared" si="144"/>
        <v>0</v>
      </c>
      <c r="Q593" s="93">
        <f t="shared" si="145"/>
        <v>0</v>
      </c>
      <c r="R593" s="93">
        <f t="shared" si="146"/>
        <v>3279</v>
      </c>
      <c r="S593" s="93">
        <f t="shared" si="147"/>
        <v>0</v>
      </c>
      <c r="T593" s="93">
        <f t="shared" si="148"/>
        <v>3279</v>
      </c>
      <c r="U593" s="312">
        <f t="shared" si="150"/>
        <v>29514</v>
      </c>
      <c r="V593" s="93">
        <f t="shared" si="149"/>
        <v>0</v>
      </c>
    </row>
    <row r="594" spans="1:22" ht="18" customHeight="1" x14ac:dyDescent="0.2">
      <c r="A594" s="204"/>
      <c r="B594" s="205"/>
      <c r="C594" s="206" t="s">
        <v>2043</v>
      </c>
      <c r="D594" s="207"/>
      <c r="E594" s="92"/>
      <c r="F594" s="93"/>
      <c r="G594" s="93"/>
      <c r="H594" s="208">
        <f>+J595-V595</f>
        <v>0</v>
      </c>
      <c r="I594" s="209"/>
      <c r="J594" s="209"/>
      <c r="K594" s="209"/>
      <c r="L594" s="209"/>
      <c r="M594" s="210"/>
      <c r="N594" s="95"/>
      <c r="O594" s="95"/>
      <c r="P594" s="209"/>
      <c r="Q594" s="209"/>
      <c r="R594" s="95"/>
      <c r="S594" s="209"/>
      <c r="T594" s="209"/>
      <c r="U594" s="313"/>
      <c r="V594" s="209"/>
    </row>
    <row r="595" spans="1:22" s="14" customFormat="1" ht="18" customHeight="1" x14ac:dyDescent="0.2">
      <c r="A595" s="211"/>
      <c r="B595" s="212"/>
      <c r="C595" s="213" t="s">
        <v>1655</v>
      </c>
      <c r="D595" s="206"/>
      <c r="E595" s="219"/>
      <c r="F595" s="247">
        <f t="shared" ref="F595:L595" si="151">SUM(F584:F594)</f>
        <v>0</v>
      </c>
      <c r="G595" s="208">
        <f t="shared" si="151"/>
        <v>0</v>
      </c>
      <c r="H595" s="247">
        <f t="shared" si="151"/>
        <v>409151.13</v>
      </c>
      <c r="I595" s="208">
        <f t="shared" si="151"/>
        <v>214718.87</v>
      </c>
      <c r="J595" s="208">
        <f t="shared" si="151"/>
        <v>0</v>
      </c>
      <c r="K595" s="247">
        <f t="shared" si="151"/>
        <v>0</v>
      </c>
      <c r="L595" s="208">
        <f t="shared" si="151"/>
        <v>0</v>
      </c>
      <c r="M595" s="214"/>
      <c r="N595" s="233"/>
      <c r="O595" s="208">
        <f>SUM(O584:O594)</f>
        <v>0</v>
      </c>
      <c r="P595" s="208">
        <f>SUM(P584:P594)</f>
        <v>0</v>
      </c>
      <c r="Q595" s="208"/>
      <c r="R595" s="208">
        <f>SUM(R584:R594)</f>
        <v>25294</v>
      </c>
      <c r="S595" s="208">
        <f>SUM(S584:S594)</f>
        <v>0</v>
      </c>
      <c r="T595" s="208">
        <f>SUM(T584:T594)</f>
        <v>25294</v>
      </c>
      <c r="U595" s="314">
        <f>SUM(U584:U594)</f>
        <v>189424.87</v>
      </c>
      <c r="V595" s="247">
        <f>SUM(V584:V594)</f>
        <v>0</v>
      </c>
    </row>
    <row r="596" spans="1:22" ht="18" customHeight="1" x14ac:dyDescent="0.2">
      <c r="A596" s="110"/>
      <c r="B596" s="111"/>
      <c r="C596" s="207"/>
      <c r="D596" s="207"/>
      <c r="E596" s="92"/>
      <c r="F596" s="93"/>
      <c r="G596" s="93"/>
      <c r="H596" s="93"/>
      <c r="I596" s="93"/>
      <c r="J596" s="93"/>
      <c r="K596" s="93"/>
      <c r="L596" s="93"/>
      <c r="M596" s="210"/>
      <c r="N596" s="95"/>
      <c r="O596" s="95">
        <v>277</v>
      </c>
      <c r="P596" s="93">
        <v>0</v>
      </c>
      <c r="Q596" s="93"/>
      <c r="R596" s="95">
        <v>25880</v>
      </c>
      <c r="S596" s="93">
        <v>0</v>
      </c>
      <c r="T596" s="93"/>
      <c r="U596" s="312"/>
      <c r="V596" s="93"/>
    </row>
    <row r="597" spans="1:22" ht="18" customHeight="1" x14ac:dyDescent="0.2">
      <c r="A597" s="221" t="s">
        <v>1141</v>
      </c>
      <c r="B597" s="222"/>
      <c r="C597" s="210"/>
      <c r="D597" s="206"/>
      <c r="E597" s="219"/>
      <c r="F597" s="208"/>
      <c r="G597" s="208"/>
      <c r="H597" s="208"/>
      <c r="I597" s="208"/>
      <c r="J597" s="208"/>
      <c r="K597" s="208"/>
      <c r="L597" s="208"/>
      <c r="M597" s="206"/>
      <c r="N597" s="233"/>
      <c r="O597" s="233"/>
      <c r="P597" s="208"/>
      <c r="Q597" s="208"/>
      <c r="R597" s="233"/>
      <c r="S597" s="208"/>
      <c r="T597" s="208"/>
      <c r="U597" s="313"/>
      <c r="V597" s="209"/>
    </row>
    <row r="598" spans="1:22" ht="18" customHeight="1" x14ac:dyDescent="0.2">
      <c r="A598" s="226" t="s">
        <v>1142</v>
      </c>
      <c r="B598" s="205"/>
      <c r="C598" s="207"/>
      <c r="D598" s="207"/>
      <c r="E598" s="92"/>
      <c r="F598" s="93"/>
      <c r="G598" s="93"/>
      <c r="H598" s="93"/>
      <c r="I598" s="209"/>
      <c r="J598" s="209"/>
      <c r="K598" s="209"/>
      <c r="L598" s="209"/>
      <c r="M598" s="210"/>
      <c r="N598" s="95"/>
      <c r="O598" s="95"/>
      <c r="P598" s="209"/>
      <c r="Q598" s="209"/>
      <c r="R598" s="95"/>
      <c r="S598" s="209"/>
      <c r="T598" s="209"/>
      <c r="U598" s="313"/>
      <c r="V598" s="209"/>
    </row>
    <row r="599" spans="1:22" ht="18" customHeight="1" x14ac:dyDescent="0.2">
      <c r="A599" s="110" t="s">
        <v>1143</v>
      </c>
      <c r="B599" s="111"/>
      <c r="C599" s="201" t="s">
        <v>1144</v>
      </c>
      <c r="D599" s="91">
        <v>42453</v>
      </c>
      <c r="E599" s="92"/>
      <c r="F599" s="93"/>
      <c r="G599" s="93"/>
      <c r="H599" s="93">
        <v>8580</v>
      </c>
      <c r="I599" s="93">
        <v>1038</v>
      </c>
      <c r="J599" s="93"/>
      <c r="K599" s="93">
        <f t="shared" ref="K599:K622" si="152">INT(IF($E599&gt;0,IF(+F599-I599+Q599&lt;0,0,+F599-I599+Q599),0))</f>
        <v>0</v>
      </c>
      <c r="L599" s="93">
        <f t="shared" ref="L599:L622" si="153">INT(IF($E599&gt;0,IF(K599=0,-F599+I599-Q599,0),0))</f>
        <v>0</v>
      </c>
      <c r="M599" s="94">
        <v>50</v>
      </c>
      <c r="N599" s="95" t="s">
        <v>289</v>
      </c>
      <c r="O599" s="93">
        <f t="shared" ref="O599:O622" si="154">IF(E599&gt;0,INT(IF($N599="D",IF($D599&lt;$H$3,$I599*($M599/100)*((E599-$H$3)/365),$J599*($M599/100)*($J$3-$D599)/365),0)),0)</f>
        <v>0</v>
      </c>
      <c r="P599" s="93">
        <f t="shared" ref="P599:P622" si="155">IF(E599&gt;0,INT(IF($N599="P",IF($D599&lt;$H$3,$H599*($M599/100)*(E599-$H$3)/365,$J599*($M599/100)*($J$3-$D599)/365),0)),0)</f>
        <v>0</v>
      </c>
      <c r="Q599" s="93">
        <f t="shared" ref="Q599:Q622" si="156">+O599+P599</f>
        <v>0</v>
      </c>
      <c r="R599" s="93">
        <f t="shared" ref="R599:R622" si="157">INT(IF($E599&gt;0,0,(IF($N599="D",IF($D599&lt;$H$3,$I599*($M599/100)*$U$3/12,$J599*($M599/100)*($J$3-$D599)/365),0))))</f>
        <v>259</v>
      </c>
      <c r="S599" s="93">
        <f t="shared" ref="S599:S622" si="158">INT(IF($E599&gt;0,0,(IF($N599="P",IF($D599&lt;$H$3,$H599*($M599/100)*$U$3/12,$J599*($M599/100)*($J$3-$D599)/365),0))))</f>
        <v>0</v>
      </c>
      <c r="T599" s="93">
        <f t="shared" ref="T599:T622" si="159">+R599+S599+Q599</f>
        <v>259</v>
      </c>
      <c r="U599" s="312">
        <f t="shared" ref="U599:U622" si="160">+I599+J599-T599-F599+K599-L599</f>
        <v>779</v>
      </c>
      <c r="V599" s="93">
        <f t="shared" ref="V599:V622" si="161">IF(E599&gt;0,+H599+J599,0)</f>
        <v>0</v>
      </c>
    </row>
    <row r="600" spans="1:22" ht="18" customHeight="1" x14ac:dyDescent="0.2">
      <c r="A600" s="110" t="s">
        <v>1145</v>
      </c>
      <c r="B600" s="111"/>
      <c r="C600" s="201" t="s">
        <v>1146</v>
      </c>
      <c r="D600" s="91">
        <v>42452</v>
      </c>
      <c r="E600" s="92"/>
      <c r="F600" s="93"/>
      <c r="G600" s="93"/>
      <c r="H600" s="93">
        <v>10536</v>
      </c>
      <c r="I600" s="93">
        <v>1273</v>
      </c>
      <c r="J600" s="93"/>
      <c r="K600" s="93">
        <f t="shared" si="152"/>
        <v>0</v>
      </c>
      <c r="L600" s="93">
        <f t="shared" si="153"/>
        <v>0</v>
      </c>
      <c r="M600" s="94">
        <v>50</v>
      </c>
      <c r="N600" s="95" t="s">
        <v>289</v>
      </c>
      <c r="O600" s="93">
        <f t="shared" si="154"/>
        <v>0</v>
      </c>
      <c r="P600" s="93">
        <f t="shared" si="155"/>
        <v>0</v>
      </c>
      <c r="Q600" s="93">
        <f t="shared" si="156"/>
        <v>0</v>
      </c>
      <c r="R600" s="93">
        <f t="shared" si="157"/>
        <v>318</v>
      </c>
      <c r="S600" s="93">
        <f t="shared" si="158"/>
        <v>0</v>
      </c>
      <c r="T600" s="93">
        <f t="shared" si="159"/>
        <v>318</v>
      </c>
      <c r="U600" s="312">
        <f t="shared" si="160"/>
        <v>955</v>
      </c>
      <c r="V600" s="93">
        <f t="shared" si="161"/>
        <v>0</v>
      </c>
    </row>
    <row r="601" spans="1:22" ht="18" customHeight="1" x14ac:dyDescent="0.2">
      <c r="A601" s="110" t="s">
        <v>1171</v>
      </c>
      <c r="B601" s="111"/>
      <c r="C601" s="201" t="s">
        <v>1172</v>
      </c>
      <c r="D601" s="91">
        <v>39983</v>
      </c>
      <c r="E601" s="92"/>
      <c r="F601" s="93"/>
      <c r="G601" s="93"/>
      <c r="H601" s="93">
        <v>2350</v>
      </c>
      <c r="I601" s="93">
        <v>0</v>
      </c>
      <c r="J601" s="93"/>
      <c r="K601" s="93">
        <f t="shared" si="152"/>
        <v>0</v>
      </c>
      <c r="L601" s="93">
        <f t="shared" si="153"/>
        <v>0</v>
      </c>
      <c r="M601" s="94">
        <v>66.66</v>
      </c>
      <c r="N601" s="95" t="s">
        <v>289</v>
      </c>
      <c r="O601" s="93">
        <f t="shared" si="154"/>
        <v>0</v>
      </c>
      <c r="P601" s="93">
        <f t="shared" si="155"/>
        <v>0</v>
      </c>
      <c r="Q601" s="93">
        <f t="shared" si="156"/>
        <v>0</v>
      </c>
      <c r="R601" s="93">
        <f t="shared" si="157"/>
        <v>0</v>
      </c>
      <c r="S601" s="93">
        <f t="shared" si="158"/>
        <v>0</v>
      </c>
      <c r="T601" s="93">
        <f t="shared" si="159"/>
        <v>0</v>
      </c>
      <c r="U601" s="312">
        <f t="shared" si="160"/>
        <v>0</v>
      </c>
      <c r="V601" s="93">
        <f t="shared" si="161"/>
        <v>0</v>
      </c>
    </row>
    <row r="602" spans="1:22" ht="18" customHeight="1" x14ac:dyDescent="0.2">
      <c r="A602" s="110" t="s">
        <v>1178</v>
      </c>
      <c r="B602" s="111"/>
      <c r="C602" s="201" t="s">
        <v>1179</v>
      </c>
      <c r="D602" s="91">
        <v>40232</v>
      </c>
      <c r="E602" s="92"/>
      <c r="F602" s="93"/>
      <c r="G602" s="93"/>
      <c r="H602" s="93">
        <v>950</v>
      </c>
      <c r="I602" s="93">
        <v>0</v>
      </c>
      <c r="J602" s="93"/>
      <c r="K602" s="93">
        <f t="shared" si="152"/>
        <v>0</v>
      </c>
      <c r="L602" s="93">
        <f t="shared" si="153"/>
        <v>0</v>
      </c>
      <c r="M602" s="94">
        <v>50</v>
      </c>
      <c r="N602" s="95" t="s">
        <v>289</v>
      </c>
      <c r="O602" s="93">
        <f t="shared" si="154"/>
        <v>0</v>
      </c>
      <c r="P602" s="93">
        <f t="shared" si="155"/>
        <v>0</v>
      </c>
      <c r="Q602" s="93">
        <f t="shared" si="156"/>
        <v>0</v>
      </c>
      <c r="R602" s="93">
        <f t="shared" si="157"/>
        <v>0</v>
      </c>
      <c r="S602" s="93">
        <f t="shared" si="158"/>
        <v>0</v>
      </c>
      <c r="T602" s="93">
        <f t="shared" si="159"/>
        <v>0</v>
      </c>
      <c r="U602" s="312">
        <f t="shared" si="160"/>
        <v>0</v>
      </c>
      <c r="V602" s="93">
        <f t="shared" si="161"/>
        <v>0</v>
      </c>
    </row>
    <row r="603" spans="1:22" ht="18" customHeight="1" x14ac:dyDescent="0.2">
      <c r="A603" s="110" t="s">
        <v>1180</v>
      </c>
      <c r="B603" s="111"/>
      <c r="C603" s="201" t="s">
        <v>1181</v>
      </c>
      <c r="D603" s="91">
        <v>40232</v>
      </c>
      <c r="E603" s="92"/>
      <c r="F603" s="93"/>
      <c r="G603" s="93"/>
      <c r="H603" s="93">
        <v>1480</v>
      </c>
      <c r="I603" s="93">
        <v>0</v>
      </c>
      <c r="J603" s="93"/>
      <c r="K603" s="93">
        <f t="shared" si="152"/>
        <v>0</v>
      </c>
      <c r="L603" s="93">
        <f t="shared" si="153"/>
        <v>0</v>
      </c>
      <c r="M603" s="94">
        <v>50</v>
      </c>
      <c r="N603" s="95" t="s">
        <v>289</v>
      </c>
      <c r="O603" s="93">
        <f t="shared" si="154"/>
        <v>0</v>
      </c>
      <c r="P603" s="93">
        <f t="shared" si="155"/>
        <v>0</v>
      </c>
      <c r="Q603" s="93">
        <f t="shared" si="156"/>
        <v>0</v>
      </c>
      <c r="R603" s="93">
        <f t="shared" si="157"/>
        <v>0</v>
      </c>
      <c r="S603" s="93">
        <f t="shared" si="158"/>
        <v>0</v>
      </c>
      <c r="T603" s="93">
        <f t="shared" si="159"/>
        <v>0</v>
      </c>
      <c r="U603" s="312">
        <f t="shared" si="160"/>
        <v>0</v>
      </c>
      <c r="V603" s="93">
        <f t="shared" si="161"/>
        <v>0</v>
      </c>
    </row>
    <row r="604" spans="1:22" ht="18" customHeight="1" x14ac:dyDescent="0.2">
      <c r="A604" s="110" t="s">
        <v>1192</v>
      </c>
      <c r="B604" s="111"/>
      <c r="C604" s="201" t="s">
        <v>1193</v>
      </c>
      <c r="D604" s="91">
        <v>40625</v>
      </c>
      <c r="E604" s="92"/>
      <c r="F604" s="93"/>
      <c r="G604" s="93"/>
      <c r="H604" s="93">
        <v>3618.2400000000002</v>
      </c>
      <c r="I604" s="93">
        <v>0</v>
      </c>
      <c r="J604" s="93"/>
      <c r="K604" s="93">
        <f t="shared" si="152"/>
        <v>0</v>
      </c>
      <c r="L604" s="93">
        <f t="shared" si="153"/>
        <v>0</v>
      </c>
      <c r="M604" s="94">
        <v>66.66</v>
      </c>
      <c r="N604" s="95" t="s">
        <v>289</v>
      </c>
      <c r="O604" s="93">
        <f t="shared" si="154"/>
        <v>0</v>
      </c>
      <c r="P604" s="93">
        <f t="shared" si="155"/>
        <v>0</v>
      </c>
      <c r="Q604" s="93">
        <f t="shared" si="156"/>
        <v>0</v>
      </c>
      <c r="R604" s="93">
        <f t="shared" si="157"/>
        <v>0</v>
      </c>
      <c r="S604" s="93">
        <f t="shared" si="158"/>
        <v>0</v>
      </c>
      <c r="T604" s="93">
        <f t="shared" si="159"/>
        <v>0</v>
      </c>
      <c r="U604" s="312">
        <f t="shared" si="160"/>
        <v>0</v>
      </c>
      <c r="V604" s="93">
        <f t="shared" si="161"/>
        <v>0</v>
      </c>
    </row>
    <row r="605" spans="1:22" ht="18" customHeight="1" x14ac:dyDescent="0.2">
      <c r="A605" s="110" t="s">
        <v>1194</v>
      </c>
      <c r="B605" s="111"/>
      <c r="C605" s="201" t="s">
        <v>1195</v>
      </c>
      <c r="D605" s="91">
        <v>40644</v>
      </c>
      <c r="E605" s="92"/>
      <c r="F605" s="93"/>
      <c r="G605" s="93"/>
      <c r="H605" s="93">
        <v>3200</v>
      </c>
      <c r="I605" s="93">
        <v>0</v>
      </c>
      <c r="J605" s="93"/>
      <c r="K605" s="93">
        <f t="shared" si="152"/>
        <v>0</v>
      </c>
      <c r="L605" s="93">
        <f t="shared" si="153"/>
        <v>0</v>
      </c>
      <c r="M605" s="94">
        <v>66.66</v>
      </c>
      <c r="N605" s="95" t="s">
        <v>289</v>
      </c>
      <c r="O605" s="93">
        <f t="shared" si="154"/>
        <v>0</v>
      </c>
      <c r="P605" s="93">
        <f t="shared" si="155"/>
        <v>0</v>
      </c>
      <c r="Q605" s="93">
        <f t="shared" si="156"/>
        <v>0</v>
      </c>
      <c r="R605" s="93">
        <f t="shared" si="157"/>
        <v>0</v>
      </c>
      <c r="S605" s="93">
        <f t="shared" si="158"/>
        <v>0</v>
      </c>
      <c r="T605" s="93">
        <f t="shared" si="159"/>
        <v>0</v>
      </c>
      <c r="U605" s="312">
        <f t="shared" si="160"/>
        <v>0</v>
      </c>
      <c r="V605" s="93">
        <f t="shared" si="161"/>
        <v>0</v>
      </c>
    </row>
    <row r="606" spans="1:22" ht="18" customHeight="1" x14ac:dyDescent="0.2">
      <c r="A606" s="110" t="s">
        <v>1196</v>
      </c>
      <c r="B606" s="111"/>
      <c r="C606" s="90" t="s">
        <v>1197</v>
      </c>
      <c r="D606" s="91">
        <v>40653</v>
      </c>
      <c r="E606" s="92"/>
      <c r="F606" s="93"/>
      <c r="G606" s="93"/>
      <c r="H606" s="93">
        <v>2520</v>
      </c>
      <c r="I606" s="93">
        <v>0</v>
      </c>
      <c r="J606" s="93"/>
      <c r="K606" s="93">
        <f t="shared" si="152"/>
        <v>0</v>
      </c>
      <c r="L606" s="93">
        <f t="shared" si="153"/>
        <v>0</v>
      </c>
      <c r="M606" s="94">
        <v>66.66</v>
      </c>
      <c r="N606" s="95" t="s">
        <v>289</v>
      </c>
      <c r="O606" s="93">
        <f t="shared" si="154"/>
        <v>0</v>
      </c>
      <c r="P606" s="93">
        <f t="shared" si="155"/>
        <v>0</v>
      </c>
      <c r="Q606" s="93">
        <f t="shared" si="156"/>
        <v>0</v>
      </c>
      <c r="R606" s="93">
        <f t="shared" si="157"/>
        <v>0</v>
      </c>
      <c r="S606" s="93">
        <f t="shared" si="158"/>
        <v>0</v>
      </c>
      <c r="T606" s="93">
        <f t="shared" si="159"/>
        <v>0</v>
      </c>
      <c r="U606" s="312">
        <f t="shared" si="160"/>
        <v>0</v>
      </c>
      <c r="V606" s="93">
        <f t="shared" si="161"/>
        <v>0</v>
      </c>
    </row>
    <row r="607" spans="1:22" ht="18" customHeight="1" x14ac:dyDescent="0.2">
      <c r="A607" s="110" t="s">
        <v>1209</v>
      </c>
      <c r="B607" s="111"/>
      <c r="C607" s="201" t="s">
        <v>1210</v>
      </c>
      <c r="D607" s="91">
        <v>38427</v>
      </c>
      <c r="E607" s="92"/>
      <c r="F607" s="93"/>
      <c r="G607" s="93"/>
      <c r="H607" s="93">
        <v>2310</v>
      </c>
      <c r="I607" s="93">
        <v>0</v>
      </c>
      <c r="J607" s="93"/>
      <c r="K607" s="93">
        <f t="shared" si="152"/>
        <v>0</v>
      </c>
      <c r="L607" s="93">
        <f t="shared" si="153"/>
        <v>0</v>
      </c>
      <c r="M607" s="94">
        <v>33.33</v>
      </c>
      <c r="N607" s="95" t="s">
        <v>289</v>
      </c>
      <c r="O607" s="93">
        <f t="shared" si="154"/>
        <v>0</v>
      </c>
      <c r="P607" s="93">
        <f t="shared" si="155"/>
        <v>0</v>
      </c>
      <c r="Q607" s="93">
        <f t="shared" si="156"/>
        <v>0</v>
      </c>
      <c r="R607" s="93">
        <f t="shared" si="157"/>
        <v>0</v>
      </c>
      <c r="S607" s="93">
        <f t="shared" si="158"/>
        <v>0</v>
      </c>
      <c r="T607" s="93">
        <f t="shared" si="159"/>
        <v>0</v>
      </c>
      <c r="U607" s="312">
        <f t="shared" si="160"/>
        <v>0</v>
      </c>
      <c r="V607" s="93">
        <f t="shared" si="161"/>
        <v>0</v>
      </c>
    </row>
    <row r="608" spans="1:22" ht="18" customHeight="1" x14ac:dyDescent="0.2">
      <c r="A608" s="110" t="s">
        <v>1211</v>
      </c>
      <c r="B608" s="111"/>
      <c r="C608" s="201" t="s">
        <v>1212</v>
      </c>
      <c r="D608" s="91">
        <v>38427</v>
      </c>
      <c r="E608" s="92"/>
      <c r="F608" s="93"/>
      <c r="G608" s="93"/>
      <c r="H608" s="93">
        <v>900</v>
      </c>
      <c r="I608" s="93">
        <v>0</v>
      </c>
      <c r="J608" s="93"/>
      <c r="K608" s="93">
        <f t="shared" si="152"/>
        <v>0</v>
      </c>
      <c r="L608" s="93">
        <f t="shared" si="153"/>
        <v>0</v>
      </c>
      <c r="M608" s="94">
        <v>33.33</v>
      </c>
      <c r="N608" s="95" t="s">
        <v>289</v>
      </c>
      <c r="O608" s="93">
        <f t="shared" si="154"/>
        <v>0</v>
      </c>
      <c r="P608" s="93">
        <f t="shared" si="155"/>
        <v>0</v>
      </c>
      <c r="Q608" s="93">
        <f t="shared" si="156"/>
        <v>0</v>
      </c>
      <c r="R608" s="93">
        <f t="shared" si="157"/>
        <v>0</v>
      </c>
      <c r="S608" s="93">
        <f t="shared" si="158"/>
        <v>0</v>
      </c>
      <c r="T608" s="93">
        <f t="shared" si="159"/>
        <v>0</v>
      </c>
      <c r="U608" s="312">
        <f t="shared" si="160"/>
        <v>0</v>
      </c>
      <c r="V608" s="93">
        <f t="shared" si="161"/>
        <v>0</v>
      </c>
    </row>
    <row r="609" spans="1:22" ht="18" customHeight="1" x14ac:dyDescent="0.2">
      <c r="A609" s="110" t="s">
        <v>1214</v>
      </c>
      <c r="B609" s="111"/>
      <c r="C609" s="201" t="s">
        <v>1212</v>
      </c>
      <c r="D609" s="91">
        <v>38431</v>
      </c>
      <c r="E609" s="92"/>
      <c r="F609" s="93"/>
      <c r="G609" s="93"/>
      <c r="H609" s="93">
        <v>1851.23</v>
      </c>
      <c r="I609" s="93">
        <v>0</v>
      </c>
      <c r="J609" s="93"/>
      <c r="K609" s="93">
        <f t="shared" si="152"/>
        <v>0</v>
      </c>
      <c r="L609" s="93">
        <f t="shared" si="153"/>
        <v>0</v>
      </c>
      <c r="M609" s="94">
        <v>33.33</v>
      </c>
      <c r="N609" s="95" t="s">
        <v>289</v>
      </c>
      <c r="O609" s="93">
        <f t="shared" si="154"/>
        <v>0</v>
      </c>
      <c r="P609" s="93">
        <f t="shared" si="155"/>
        <v>0</v>
      </c>
      <c r="Q609" s="93">
        <f t="shared" si="156"/>
        <v>0</v>
      </c>
      <c r="R609" s="93">
        <f t="shared" si="157"/>
        <v>0</v>
      </c>
      <c r="S609" s="93">
        <f t="shared" si="158"/>
        <v>0</v>
      </c>
      <c r="T609" s="93">
        <f t="shared" si="159"/>
        <v>0</v>
      </c>
      <c r="U609" s="312">
        <f t="shared" si="160"/>
        <v>0</v>
      </c>
      <c r="V609" s="93">
        <f t="shared" si="161"/>
        <v>0</v>
      </c>
    </row>
    <row r="610" spans="1:22" ht="18" customHeight="1" x14ac:dyDescent="0.2">
      <c r="A610" s="110" t="s">
        <v>1216</v>
      </c>
      <c r="B610" s="111"/>
      <c r="C610" s="201" t="s">
        <v>1217</v>
      </c>
      <c r="D610" s="91">
        <v>38454</v>
      </c>
      <c r="E610" s="92"/>
      <c r="F610" s="93"/>
      <c r="G610" s="93"/>
      <c r="H610" s="93">
        <v>1900</v>
      </c>
      <c r="I610" s="93">
        <v>0</v>
      </c>
      <c r="J610" s="93"/>
      <c r="K610" s="93">
        <f t="shared" si="152"/>
        <v>0</v>
      </c>
      <c r="L610" s="93">
        <f t="shared" si="153"/>
        <v>0</v>
      </c>
      <c r="M610" s="94">
        <v>33.33</v>
      </c>
      <c r="N610" s="95" t="s">
        <v>289</v>
      </c>
      <c r="O610" s="93">
        <f t="shared" si="154"/>
        <v>0</v>
      </c>
      <c r="P610" s="93">
        <f t="shared" si="155"/>
        <v>0</v>
      </c>
      <c r="Q610" s="93">
        <f t="shared" si="156"/>
        <v>0</v>
      </c>
      <c r="R610" s="93">
        <f t="shared" si="157"/>
        <v>0</v>
      </c>
      <c r="S610" s="93">
        <f t="shared" si="158"/>
        <v>0</v>
      </c>
      <c r="T610" s="93">
        <f t="shared" si="159"/>
        <v>0</v>
      </c>
      <c r="U610" s="312">
        <f t="shared" si="160"/>
        <v>0</v>
      </c>
      <c r="V610" s="93">
        <f t="shared" si="161"/>
        <v>0</v>
      </c>
    </row>
    <row r="611" spans="1:22" ht="18" customHeight="1" x14ac:dyDescent="0.2">
      <c r="A611" s="110" t="s">
        <v>1234</v>
      </c>
      <c r="B611" s="111"/>
      <c r="C611" s="201" t="s">
        <v>1235</v>
      </c>
      <c r="D611" s="91">
        <v>38807</v>
      </c>
      <c r="E611" s="92"/>
      <c r="F611" s="93"/>
      <c r="G611" s="93"/>
      <c r="H611" s="93">
        <v>262.5</v>
      </c>
      <c r="I611" s="93">
        <v>0</v>
      </c>
      <c r="J611" s="93"/>
      <c r="K611" s="93">
        <f t="shared" si="152"/>
        <v>0</v>
      </c>
      <c r="L611" s="93">
        <f t="shared" si="153"/>
        <v>0</v>
      </c>
      <c r="M611" s="94">
        <v>33.33</v>
      </c>
      <c r="N611" s="95" t="s">
        <v>289</v>
      </c>
      <c r="O611" s="93">
        <f t="shared" si="154"/>
        <v>0</v>
      </c>
      <c r="P611" s="93">
        <f t="shared" si="155"/>
        <v>0</v>
      </c>
      <c r="Q611" s="93">
        <f t="shared" si="156"/>
        <v>0</v>
      </c>
      <c r="R611" s="93">
        <f t="shared" si="157"/>
        <v>0</v>
      </c>
      <c r="S611" s="93">
        <f t="shared" si="158"/>
        <v>0</v>
      </c>
      <c r="T611" s="93">
        <f t="shared" si="159"/>
        <v>0</v>
      </c>
      <c r="U611" s="312">
        <f t="shared" si="160"/>
        <v>0</v>
      </c>
      <c r="V611" s="93">
        <f t="shared" si="161"/>
        <v>0</v>
      </c>
    </row>
    <row r="612" spans="1:22" ht="18" customHeight="1" x14ac:dyDescent="0.2">
      <c r="A612" s="110" t="s">
        <v>1238</v>
      </c>
      <c r="B612" s="111"/>
      <c r="C612" s="201" t="s">
        <v>1239</v>
      </c>
      <c r="D612" s="91">
        <v>40728</v>
      </c>
      <c r="E612" s="92"/>
      <c r="F612" s="93"/>
      <c r="G612" s="93"/>
      <c r="H612" s="93">
        <f>1090.91-0.32</f>
        <v>1090.5900000000001</v>
      </c>
      <c r="I612" s="93">
        <v>0</v>
      </c>
      <c r="J612" s="93"/>
      <c r="K612" s="93">
        <f t="shared" si="152"/>
        <v>0</v>
      </c>
      <c r="L612" s="93">
        <f t="shared" si="153"/>
        <v>0</v>
      </c>
      <c r="M612" s="94">
        <v>66.66</v>
      </c>
      <c r="N612" s="95" t="s">
        <v>289</v>
      </c>
      <c r="O612" s="93">
        <f t="shared" si="154"/>
        <v>0</v>
      </c>
      <c r="P612" s="93">
        <f t="shared" si="155"/>
        <v>0</v>
      </c>
      <c r="Q612" s="93">
        <f t="shared" si="156"/>
        <v>0</v>
      </c>
      <c r="R612" s="93">
        <f t="shared" si="157"/>
        <v>0</v>
      </c>
      <c r="S612" s="93">
        <f t="shared" si="158"/>
        <v>0</v>
      </c>
      <c r="T612" s="93">
        <f t="shared" si="159"/>
        <v>0</v>
      </c>
      <c r="U612" s="312">
        <f t="shared" si="160"/>
        <v>0</v>
      </c>
      <c r="V612" s="93">
        <f t="shared" si="161"/>
        <v>0</v>
      </c>
    </row>
    <row r="613" spans="1:22" ht="18" customHeight="1" x14ac:dyDescent="0.2">
      <c r="A613" s="110" t="s">
        <v>1240</v>
      </c>
      <c r="B613" s="111"/>
      <c r="C613" s="201" t="s">
        <v>1241</v>
      </c>
      <c r="D613" s="91">
        <v>40730</v>
      </c>
      <c r="E613" s="92">
        <v>43809</v>
      </c>
      <c r="F613" s="93">
        <f>10*25</f>
        <v>250</v>
      </c>
      <c r="G613" s="93"/>
      <c r="H613" s="93">
        <v>11492</v>
      </c>
      <c r="I613" s="93">
        <v>3</v>
      </c>
      <c r="J613" s="93"/>
      <c r="K613" s="93">
        <f t="shared" si="152"/>
        <v>247</v>
      </c>
      <c r="L613" s="93">
        <f t="shared" si="153"/>
        <v>0</v>
      </c>
      <c r="M613" s="94">
        <v>66.66</v>
      </c>
      <c r="N613" s="95" t="s">
        <v>289</v>
      </c>
      <c r="O613" s="93">
        <f t="shared" si="154"/>
        <v>0</v>
      </c>
      <c r="P613" s="93">
        <f t="shared" si="155"/>
        <v>0</v>
      </c>
      <c r="Q613" s="93">
        <f t="shared" si="156"/>
        <v>0</v>
      </c>
      <c r="R613" s="93">
        <f t="shared" si="157"/>
        <v>0</v>
      </c>
      <c r="S613" s="93">
        <f t="shared" si="158"/>
        <v>0</v>
      </c>
      <c r="T613" s="93">
        <f t="shared" si="159"/>
        <v>0</v>
      </c>
      <c r="U613" s="312">
        <f t="shared" si="160"/>
        <v>0</v>
      </c>
      <c r="V613" s="93">
        <f t="shared" si="161"/>
        <v>11492</v>
      </c>
    </row>
    <row r="614" spans="1:22" ht="18" customHeight="1" x14ac:dyDescent="0.2">
      <c r="A614" s="110" t="s">
        <v>1242</v>
      </c>
      <c r="B614" s="111"/>
      <c r="C614" s="201" t="s">
        <v>1243</v>
      </c>
      <c r="D614" s="91">
        <v>40829</v>
      </c>
      <c r="E614" s="92"/>
      <c r="F614" s="93"/>
      <c r="G614" s="93"/>
      <c r="H614" s="93">
        <v>400</v>
      </c>
      <c r="I614" s="93">
        <v>0</v>
      </c>
      <c r="J614" s="93"/>
      <c r="K614" s="93">
        <f t="shared" si="152"/>
        <v>0</v>
      </c>
      <c r="L614" s="93">
        <f t="shared" si="153"/>
        <v>0</v>
      </c>
      <c r="M614" s="94">
        <v>66.66</v>
      </c>
      <c r="N614" s="95" t="s">
        <v>289</v>
      </c>
      <c r="O614" s="93">
        <f t="shared" si="154"/>
        <v>0</v>
      </c>
      <c r="P614" s="93">
        <f t="shared" si="155"/>
        <v>0</v>
      </c>
      <c r="Q614" s="93">
        <f t="shared" si="156"/>
        <v>0</v>
      </c>
      <c r="R614" s="93">
        <f t="shared" si="157"/>
        <v>0</v>
      </c>
      <c r="S614" s="93">
        <f t="shared" si="158"/>
        <v>0</v>
      </c>
      <c r="T614" s="93">
        <f t="shared" si="159"/>
        <v>0</v>
      </c>
      <c r="U614" s="312">
        <f t="shared" si="160"/>
        <v>0</v>
      </c>
      <c r="V614" s="93">
        <f t="shared" si="161"/>
        <v>0</v>
      </c>
    </row>
    <row r="615" spans="1:22" ht="18" customHeight="1" x14ac:dyDescent="0.2">
      <c r="A615" s="110" t="s">
        <v>1244</v>
      </c>
      <c r="B615" s="111"/>
      <c r="C615" s="201" t="s">
        <v>1227</v>
      </c>
      <c r="D615" s="91">
        <v>38810</v>
      </c>
      <c r="E615" s="92">
        <v>43809</v>
      </c>
      <c r="F615" s="93">
        <v>50</v>
      </c>
      <c r="G615" s="93"/>
      <c r="H615" s="93">
        <v>1490</v>
      </c>
      <c r="I615" s="93">
        <v>0</v>
      </c>
      <c r="J615" s="93"/>
      <c r="K615" s="93">
        <f t="shared" si="152"/>
        <v>50</v>
      </c>
      <c r="L615" s="93">
        <f t="shared" si="153"/>
        <v>0</v>
      </c>
      <c r="M615" s="94">
        <v>33.33</v>
      </c>
      <c r="N615" s="95" t="s">
        <v>289</v>
      </c>
      <c r="O615" s="93">
        <f t="shared" si="154"/>
        <v>0</v>
      </c>
      <c r="P615" s="93">
        <f t="shared" si="155"/>
        <v>0</v>
      </c>
      <c r="Q615" s="93">
        <f t="shared" si="156"/>
        <v>0</v>
      </c>
      <c r="R615" s="93">
        <f t="shared" si="157"/>
        <v>0</v>
      </c>
      <c r="S615" s="93">
        <f t="shared" si="158"/>
        <v>0</v>
      </c>
      <c r="T615" s="93">
        <f t="shared" si="159"/>
        <v>0</v>
      </c>
      <c r="U615" s="312">
        <f t="shared" si="160"/>
        <v>0</v>
      </c>
      <c r="V615" s="93">
        <f t="shared" si="161"/>
        <v>1490</v>
      </c>
    </row>
    <row r="616" spans="1:22" ht="18" customHeight="1" x14ac:dyDescent="0.2">
      <c r="A616" s="110" t="s">
        <v>1245</v>
      </c>
      <c r="B616" s="111"/>
      <c r="C616" s="201" t="s">
        <v>1246</v>
      </c>
      <c r="D616" s="91">
        <v>40832</v>
      </c>
      <c r="E616" s="92">
        <v>43809</v>
      </c>
      <c r="F616" s="93">
        <f>26*25</f>
        <v>650</v>
      </c>
      <c r="G616" s="93"/>
      <c r="H616" s="93">
        <v>3080</v>
      </c>
      <c r="I616" s="93">
        <v>1</v>
      </c>
      <c r="J616" s="93"/>
      <c r="K616" s="93">
        <f t="shared" si="152"/>
        <v>649</v>
      </c>
      <c r="L616" s="93">
        <f t="shared" si="153"/>
        <v>0</v>
      </c>
      <c r="M616" s="94">
        <v>66.66</v>
      </c>
      <c r="N616" s="95" t="s">
        <v>289</v>
      </c>
      <c r="O616" s="93">
        <f t="shared" si="154"/>
        <v>0</v>
      </c>
      <c r="P616" s="93">
        <f t="shared" si="155"/>
        <v>0</v>
      </c>
      <c r="Q616" s="93">
        <f t="shared" si="156"/>
        <v>0</v>
      </c>
      <c r="R616" s="93">
        <f t="shared" si="157"/>
        <v>0</v>
      </c>
      <c r="S616" s="93">
        <f t="shared" si="158"/>
        <v>0</v>
      </c>
      <c r="T616" s="93">
        <f t="shared" si="159"/>
        <v>0</v>
      </c>
      <c r="U616" s="312">
        <f t="shared" si="160"/>
        <v>0</v>
      </c>
      <c r="V616" s="93">
        <f t="shared" si="161"/>
        <v>3080</v>
      </c>
    </row>
    <row r="617" spans="1:22" ht="18" customHeight="1" x14ac:dyDescent="0.2">
      <c r="A617" s="110" t="s">
        <v>1247</v>
      </c>
      <c r="B617" s="111"/>
      <c r="C617" s="201" t="s">
        <v>1248</v>
      </c>
      <c r="D617" s="91">
        <v>40840</v>
      </c>
      <c r="E617" s="92">
        <v>43809</v>
      </c>
      <c r="F617" s="93">
        <v>25</v>
      </c>
      <c r="G617" s="93"/>
      <c r="H617" s="93">
        <v>1365</v>
      </c>
      <c r="I617" s="93">
        <v>0</v>
      </c>
      <c r="J617" s="93"/>
      <c r="K617" s="93">
        <f t="shared" si="152"/>
        <v>25</v>
      </c>
      <c r="L617" s="93">
        <f t="shared" si="153"/>
        <v>0</v>
      </c>
      <c r="M617" s="94">
        <v>66.66</v>
      </c>
      <c r="N617" s="95" t="s">
        <v>289</v>
      </c>
      <c r="O617" s="93">
        <f t="shared" si="154"/>
        <v>0</v>
      </c>
      <c r="P617" s="93">
        <f t="shared" si="155"/>
        <v>0</v>
      </c>
      <c r="Q617" s="93">
        <f t="shared" si="156"/>
        <v>0</v>
      </c>
      <c r="R617" s="93">
        <f t="shared" si="157"/>
        <v>0</v>
      </c>
      <c r="S617" s="93">
        <f t="shared" si="158"/>
        <v>0</v>
      </c>
      <c r="T617" s="93">
        <f t="shared" si="159"/>
        <v>0</v>
      </c>
      <c r="U617" s="312">
        <f t="shared" si="160"/>
        <v>0</v>
      </c>
      <c r="V617" s="93">
        <f t="shared" si="161"/>
        <v>1365</v>
      </c>
    </row>
    <row r="618" spans="1:22" ht="18" customHeight="1" x14ac:dyDescent="0.2">
      <c r="A618" s="110" t="s">
        <v>1249</v>
      </c>
      <c r="B618" s="111"/>
      <c r="C618" s="201" t="s">
        <v>1248</v>
      </c>
      <c r="D618" s="91">
        <v>40840</v>
      </c>
      <c r="E618" s="92">
        <v>43809</v>
      </c>
      <c r="F618" s="93">
        <v>25</v>
      </c>
      <c r="G618" s="93"/>
      <c r="H618" s="93">
        <v>1365</v>
      </c>
      <c r="I618" s="93">
        <v>0</v>
      </c>
      <c r="J618" s="93"/>
      <c r="K618" s="93">
        <f t="shared" si="152"/>
        <v>25</v>
      </c>
      <c r="L618" s="93">
        <f t="shared" si="153"/>
        <v>0</v>
      </c>
      <c r="M618" s="94">
        <v>66.66</v>
      </c>
      <c r="N618" s="95" t="s">
        <v>289</v>
      </c>
      <c r="O618" s="93">
        <f t="shared" si="154"/>
        <v>0</v>
      </c>
      <c r="P618" s="93">
        <f t="shared" si="155"/>
        <v>0</v>
      </c>
      <c r="Q618" s="93">
        <f t="shared" si="156"/>
        <v>0</v>
      </c>
      <c r="R618" s="93">
        <f t="shared" si="157"/>
        <v>0</v>
      </c>
      <c r="S618" s="93">
        <f t="shared" si="158"/>
        <v>0</v>
      </c>
      <c r="T618" s="93">
        <f t="shared" si="159"/>
        <v>0</v>
      </c>
      <c r="U618" s="312">
        <f t="shared" si="160"/>
        <v>0</v>
      </c>
      <c r="V618" s="93">
        <f t="shared" si="161"/>
        <v>1365</v>
      </c>
    </row>
    <row r="619" spans="1:22" ht="18" customHeight="1" x14ac:dyDescent="0.2">
      <c r="A619" s="110" t="s">
        <v>1250</v>
      </c>
      <c r="B619" s="111"/>
      <c r="C619" s="201" t="s">
        <v>1251</v>
      </c>
      <c r="D619" s="91">
        <v>40849</v>
      </c>
      <c r="E619" s="92">
        <v>43809</v>
      </c>
      <c r="F619" s="93">
        <v>50</v>
      </c>
      <c r="G619" s="93"/>
      <c r="H619" s="93">
        <v>2372</v>
      </c>
      <c r="I619" s="93">
        <v>1</v>
      </c>
      <c r="J619" s="93"/>
      <c r="K619" s="93">
        <f t="shared" si="152"/>
        <v>49</v>
      </c>
      <c r="L619" s="93">
        <f t="shared" si="153"/>
        <v>0</v>
      </c>
      <c r="M619" s="94">
        <v>66.66</v>
      </c>
      <c r="N619" s="95" t="s">
        <v>289</v>
      </c>
      <c r="O619" s="93">
        <f t="shared" si="154"/>
        <v>0</v>
      </c>
      <c r="P619" s="93">
        <f t="shared" si="155"/>
        <v>0</v>
      </c>
      <c r="Q619" s="93">
        <f t="shared" si="156"/>
        <v>0</v>
      </c>
      <c r="R619" s="93">
        <f t="shared" si="157"/>
        <v>0</v>
      </c>
      <c r="S619" s="93">
        <f t="shared" si="158"/>
        <v>0</v>
      </c>
      <c r="T619" s="93">
        <f t="shared" si="159"/>
        <v>0</v>
      </c>
      <c r="U619" s="312">
        <f t="shared" si="160"/>
        <v>0</v>
      </c>
      <c r="V619" s="93">
        <f t="shared" si="161"/>
        <v>2372</v>
      </c>
    </row>
    <row r="620" spans="1:22" ht="18" customHeight="1" x14ac:dyDescent="0.2">
      <c r="A620" s="110" t="s">
        <v>1252</v>
      </c>
      <c r="B620" s="111"/>
      <c r="C620" s="90" t="s">
        <v>1253</v>
      </c>
      <c r="D620" s="91">
        <v>40952</v>
      </c>
      <c r="E620" s="92"/>
      <c r="F620" s="93"/>
      <c r="G620" s="93"/>
      <c r="H620" s="93">
        <v>2190</v>
      </c>
      <c r="I620" s="93">
        <v>1</v>
      </c>
      <c r="J620" s="93"/>
      <c r="K620" s="93">
        <f t="shared" si="152"/>
        <v>0</v>
      </c>
      <c r="L620" s="93">
        <f t="shared" si="153"/>
        <v>0</v>
      </c>
      <c r="M620" s="94">
        <v>66.66</v>
      </c>
      <c r="N620" s="95" t="s">
        <v>289</v>
      </c>
      <c r="O620" s="93">
        <f t="shared" si="154"/>
        <v>0</v>
      </c>
      <c r="P620" s="93">
        <f t="shared" si="155"/>
        <v>0</v>
      </c>
      <c r="Q620" s="93">
        <f t="shared" si="156"/>
        <v>0</v>
      </c>
      <c r="R620" s="93">
        <f t="shared" si="157"/>
        <v>0</v>
      </c>
      <c r="S620" s="93">
        <f t="shared" si="158"/>
        <v>0</v>
      </c>
      <c r="T620" s="93">
        <f t="shared" si="159"/>
        <v>0</v>
      </c>
      <c r="U620" s="312">
        <f t="shared" si="160"/>
        <v>1</v>
      </c>
      <c r="V620" s="93">
        <f t="shared" si="161"/>
        <v>0</v>
      </c>
    </row>
    <row r="621" spans="1:22" ht="18" customHeight="1" x14ac:dyDescent="0.2">
      <c r="A621" s="110" t="s">
        <v>1254</v>
      </c>
      <c r="B621" s="111"/>
      <c r="C621" s="201" t="s">
        <v>1255</v>
      </c>
      <c r="D621" s="91">
        <v>40954</v>
      </c>
      <c r="E621" s="92">
        <v>43804</v>
      </c>
      <c r="F621" s="93">
        <f>132*25</f>
        <v>3300</v>
      </c>
      <c r="G621" s="93"/>
      <c r="H621" s="93">
        <v>5280</v>
      </c>
      <c r="I621" s="93">
        <v>3</v>
      </c>
      <c r="J621" s="93"/>
      <c r="K621" s="93">
        <f t="shared" si="152"/>
        <v>3297</v>
      </c>
      <c r="L621" s="93">
        <f t="shared" si="153"/>
        <v>0</v>
      </c>
      <c r="M621" s="94">
        <v>66.66</v>
      </c>
      <c r="N621" s="95" t="s">
        <v>289</v>
      </c>
      <c r="O621" s="93">
        <f t="shared" si="154"/>
        <v>0</v>
      </c>
      <c r="P621" s="93">
        <f t="shared" si="155"/>
        <v>0</v>
      </c>
      <c r="Q621" s="93">
        <f t="shared" si="156"/>
        <v>0</v>
      </c>
      <c r="R621" s="93">
        <f t="shared" si="157"/>
        <v>0</v>
      </c>
      <c r="S621" s="93">
        <f t="shared" si="158"/>
        <v>0</v>
      </c>
      <c r="T621" s="93">
        <f t="shared" si="159"/>
        <v>0</v>
      </c>
      <c r="U621" s="312">
        <f t="shared" si="160"/>
        <v>0</v>
      </c>
      <c r="V621" s="93">
        <f t="shared" si="161"/>
        <v>5280</v>
      </c>
    </row>
    <row r="622" spans="1:22" ht="18" customHeight="1" x14ac:dyDescent="0.2">
      <c r="A622" s="110" t="s">
        <v>1256</v>
      </c>
      <c r="B622" s="111"/>
      <c r="C622" s="90" t="s">
        <v>1257</v>
      </c>
      <c r="D622" s="91">
        <v>40962</v>
      </c>
      <c r="E622" s="92">
        <v>43718</v>
      </c>
      <c r="F622" s="93">
        <f>24*35</f>
        <v>840</v>
      </c>
      <c r="G622" s="93"/>
      <c r="H622" s="93">
        <v>26114</v>
      </c>
      <c r="I622" s="93">
        <v>12</v>
      </c>
      <c r="J622" s="93"/>
      <c r="K622" s="93">
        <f t="shared" si="152"/>
        <v>829</v>
      </c>
      <c r="L622" s="93">
        <f t="shared" si="153"/>
        <v>0</v>
      </c>
      <c r="M622" s="94">
        <v>66.66</v>
      </c>
      <c r="N622" s="95" t="s">
        <v>289</v>
      </c>
      <c r="O622" s="93">
        <f t="shared" si="154"/>
        <v>1</v>
      </c>
      <c r="P622" s="93">
        <f t="shared" si="155"/>
        <v>0</v>
      </c>
      <c r="Q622" s="93">
        <f t="shared" si="156"/>
        <v>1</v>
      </c>
      <c r="R622" s="93">
        <f t="shared" si="157"/>
        <v>0</v>
      </c>
      <c r="S622" s="93">
        <f t="shared" si="158"/>
        <v>0</v>
      </c>
      <c r="T622" s="93">
        <f t="shared" si="159"/>
        <v>1</v>
      </c>
      <c r="U622" s="312">
        <f t="shared" si="160"/>
        <v>0</v>
      </c>
      <c r="V622" s="93">
        <f t="shared" si="161"/>
        <v>26114</v>
      </c>
    </row>
    <row r="623" spans="1:22" ht="18" customHeight="1" x14ac:dyDescent="0.2">
      <c r="A623" s="110" t="s">
        <v>1258</v>
      </c>
      <c r="B623" s="111"/>
      <c r="C623" s="201" t="s">
        <v>1259</v>
      </c>
      <c r="D623" s="91">
        <v>40966</v>
      </c>
      <c r="E623" s="92">
        <v>43718</v>
      </c>
      <c r="F623" s="93">
        <f>5*35</f>
        <v>175</v>
      </c>
      <c r="G623" s="93"/>
      <c r="H623" s="93">
        <v>5920.95</v>
      </c>
      <c r="I623" s="93">
        <v>2.95</v>
      </c>
      <c r="J623" s="93"/>
      <c r="K623" s="93">
        <f t="shared" ref="K623:K681" si="162">INT(IF($E623&gt;0,IF(+F623-I623+Q623&lt;0,0,+F623-I623+Q623),0))</f>
        <v>172</v>
      </c>
      <c r="L623" s="93">
        <f t="shared" ref="L623:L681" si="163">INT(IF($E623&gt;0,IF(K623=0,-F623+I623-Q623,0),0))</f>
        <v>0</v>
      </c>
      <c r="M623" s="94">
        <v>66.66</v>
      </c>
      <c r="N623" s="95" t="s">
        <v>289</v>
      </c>
      <c r="O623" s="93">
        <f t="shared" ref="O623:O681" si="164">IF(E623&gt;0,INT(IF($N623="D",IF($D623&lt;$H$3,$I623*($M623/100)*((E623-$H$3)/365),$J623*($M623/100)*($J$3-$D623)/365),0)),0)</f>
        <v>0</v>
      </c>
      <c r="P623" s="93">
        <f t="shared" ref="P623:P681" si="165">IF(E623&gt;0,INT(IF($N623="P",IF($D623&lt;$H$3,$H623*($M623/100)*(E623-$H$3)/365,$J623*($M623/100)*($J$3-$D623)/365),0)),0)</f>
        <v>0</v>
      </c>
      <c r="Q623" s="93">
        <f t="shared" ref="Q623:Q681" si="166">+O623+P623</f>
        <v>0</v>
      </c>
      <c r="R623" s="93">
        <f t="shared" ref="R623:R681" si="167">INT(IF($E623&gt;0,0,(IF($N623="D",IF($D623&lt;$H$3,$I623*($M623/100)*$U$3/12,$J623*($M623/100)*($J$3-$D623)/365),0))))</f>
        <v>0</v>
      </c>
      <c r="S623" s="93">
        <f t="shared" ref="S623:S681" si="168">INT(IF($E623&gt;0,0,(IF($N623="P",IF($D623&lt;$H$3,$H623*($M623/100)*$U$3/12,$J623*($M623/100)*($J$3-$D623)/365),0))))</f>
        <v>0</v>
      </c>
      <c r="T623" s="93">
        <f t="shared" ref="T623:T681" si="169">+R623+S623+Q623</f>
        <v>0</v>
      </c>
      <c r="U623" s="312">
        <f t="shared" ref="U623:U681" si="170">+I623+J623-T623-F623+K623-L623</f>
        <v>-5.0000000000011369E-2</v>
      </c>
      <c r="V623" s="93">
        <f t="shared" ref="V623:V681" si="171">IF(E623&gt;0,+H623+J623,0)</f>
        <v>5920.95</v>
      </c>
    </row>
    <row r="624" spans="1:22" ht="18" customHeight="1" x14ac:dyDescent="0.2">
      <c r="A624" s="110" t="s">
        <v>1260</v>
      </c>
      <c r="B624" s="111"/>
      <c r="C624" s="201" t="s">
        <v>1261</v>
      </c>
      <c r="D624" s="91">
        <v>40967</v>
      </c>
      <c r="E624" s="92">
        <v>43804</v>
      </c>
      <c r="F624" s="93">
        <f>4*25</f>
        <v>100</v>
      </c>
      <c r="G624" s="93"/>
      <c r="H624" s="93">
        <v>4930</v>
      </c>
      <c r="I624" s="93">
        <v>3</v>
      </c>
      <c r="J624" s="93"/>
      <c r="K624" s="93">
        <f t="shared" si="162"/>
        <v>97</v>
      </c>
      <c r="L624" s="93">
        <f t="shared" si="163"/>
        <v>0</v>
      </c>
      <c r="M624" s="94">
        <v>66.66</v>
      </c>
      <c r="N624" s="95" t="s">
        <v>289</v>
      </c>
      <c r="O624" s="93">
        <f t="shared" si="164"/>
        <v>0</v>
      </c>
      <c r="P624" s="93">
        <f t="shared" si="165"/>
        <v>0</v>
      </c>
      <c r="Q624" s="93">
        <f t="shared" si="166"/>
        <v>0</v>
      </c>
      <c r="R624" s="93">
        <f t="shared" si="167"/>
        <v>0</v>
      </c>
      <c r="S624" s="93">
        <f t="shared" si="168"/>
        <v>0</v>
      </c>
      <c r="T624" s="93">
        <f t="shared" si="169"/>
        <v>0</v>
      </c>
      <c r="U624" s="312">
        <f t="shared" si="170"/>
        <v>0</v>
      </c>
      <c r="V624" s="93">
        <f t="shared" si="171"/>
        <v>4930</v>
      </c>
    </row>
    <row r="625" spans="1:22" ht="18" customHeight="1" x14ac:dyDescent="0.2">
      <c r="A625" s="110" t="s">
        <v>1262</v>
      </c>
      <c r="B625" s="111"/>
      <c r="C625" s="90" t="s">
        <v>1263</v>
      </c>
      <c r="D625" s="91">
        <v>40967</v>
      </c>
      <c r="E625" s="92">
        <v>43804</v>
      </c>
      <c r="F625" s="93">
        <f>6*25</f>
        <v>150</v>
      </c>
      <c r="G625" s="93"/>
      <c r="H625" s="93">
        <v>8100</v>
      </c>
      <c r="I625" s="93">
        <v>4</v>
      </c>
      <c r="J625" s="93"/>
      <c r="K625" s="93">
        <f t="shared" si="162"/>
        <v>147</v>
      </c>
      <c r="L625" s="93">
        <f t="shared" si="163"/>
        <v>0</v>
      </c>
      <c r="M625" s="94">
        <v>66.66</v>
      </c>
      <c r="N625" s="95" t="s">
        <v>289</v>
      </c>
      <c r="O625" s="93">
        <f t="shared" si="164"/>
        <v>1</v>
      </c>
      <c r="P625" s="93">
        <f t="shared" si="165"/>
        <v>0</v>
      </c>
      <c r="Q625" s="93">
        <f t="shared" si="166"/>
        <v>1</v>
      </c>
      <c r="R625" s="93">
        <f t="shared" si="167"/>
        <v>0</v>
      </c>
      <c r="S625" s="93">
        <f t="shared" si="168"/>
        <v>0</v>
      </c>
      <c r="T625" s="93">
        <f t="shared" si="169"/>
        <v>1</v>
      </c>
      <c r="U625" s="312">
        <f t="shared" si="170"/>
        <v>0</v>
      </c>
      <c r="V625" s="93">
        <f t="shared" si="171"/>
        <v>8100</v>
      </c>
    </row>
    <row r="626" spans="1:22" ht="18" customHeight="1" x14ac:dyDescent="0.2">
      <c r="A626" s="110" t="s">
        <v>1265</v>
      </c>
      <c r="B626" s="111"/>
      <c r="C626" s="90" t="s">
        <v>1266</v>
      </c>
      <c r="D626" s="91">
        <v>40972</v>
      </c>
      <c r="E626" s="92"/>
      <c r="F626" s="93"/>
      <c r="G626" s="93"/>
      <c r="H626" s="93">
        <v>22953.94</v>
      </c>
      <c r="I626" s="93">
        <v>11.940000000000001</v>
      </c>
      <c r="J626" s="93"/>
      <c r="K626" s="93">
        <f t="shared" si="162"/>
        <v>0</v>
      </c>
      <c r="L626" s="93">
        <f t="shared" si="163"/>
        <v>0</v>
      </c>
      <c r="M626" s="94">
        <v>66.66</v>
      </c>
      <c r="N626" s="95" t="s">
        <v>289</v>
      </c>
      <c r="O626" s="93">
        <f t="shared" si="164"/>
        <v>0</v>
      </c>
      <c r="P626" s="93">
        <f t="shared" si="165"/>
        <v>0</v>
      </c>
      <c r="Q626" s="93">
        <f t="shared" si="166"/>
        <v>0</v>
      </c>
      <c r="R626" s="93">
        <f t="shared" si="167"/>
        <v>3</v>
      </c>
      <c r="S626" s="93">
        <f t="shared" si="168"/>
        <v>0</v>
      </c>
      <c r="T626" s="93">
        <f t="shared" si="169"/>
        <v>3</v>
      </c>
      <c r="U626" s="312">
        <f t="shared" si="170"/>
        <v>8.9400000000000013</v>
      </c>
      <c r="V626" s="93">
        <f t="shared" si="171"/>
        <v>0</v>
      </c>
    </row>
    <row r="627" spans="1:22" ht="18" customHeight="1" x14ac:dyDescent="0.2">
      <c r="A627" s="110" t="s">
        <v>1267</v>
      </c>
      <c r="B627" s="111"/>
      <c r="C627" s="90" t="s">
        <v>1268</v>
      </c>
      <c r="D627" s="91">
        <v>40975</v>
      </c>
      <c r="E627" s="92"/>
      <c r="F627" s="93"/>
      <c r="G627" s="93"/>
      <c r="H627" s="93">
        <v>8629</v>
      </c>
      <c r="I627" s="93">
        <v>4</v>
      </c>
      <c r="J627" s="93"/>
      <c r="K627" s="93">
        <f t="shared" si="162"/>
        <v>0</v>
      </c>
      <c r="L627" s="93">
        <f t="shared" si="163"/>
        <v>0</v>
      </c>
      <c r="M627" s="94">
        <v>66.66</v>
      </c>
      <c r="N627" s="95" t="s">
        <v>289</v>
      </c>
      <c r="O627" s="93">
        <f t="shared" si="164"/>
        <v>0</v>
      </c>
      <c r="P627" s="93">
        <f t="shared" si="165"/>
        <v>0</v>
      </c>
      <c r="Q627" s="93">
        <f t="shared" si="166"/>
        <v>0</v>
      </c>
      <c r="R627" s="93">
        <f t="shared" si="167"/>
        <v>1</v>
      </c>
      <c r="S627" s="93">
        <f t="shared" si="168"/>
        <v>0</v>
      </c>
      <c r="T627" s="93">
        <f t="shared" si="169"/>
        <v>1</v>
      </c>
      <c r="U627" s="312">
        <f t="shared" si="170"/>
        <v>3</v>
      </c>
      <c r="V627" s="93">
        <f t="shared" si="171"/>
        <v>0</v>
      </c>
    </row>
    <row r="628" spans="1:22" ht="18" customHeight="1" x14ac:dyDescent="0.2">
      <c r="A628" s="110" t="s">
        <v>1269</v>
      </c>
      <c r="B628" s="111"/>
      <c r="C628" s="90" t="s">
        <v>1270</v>
      </c>
      <c r="D628" s="91">
        <v>40975</v>
      </c>
      <c r="E628" s="92"/>
      <c r="F628" s="93"/>
      <c r="G628" s="93"/>
      <c r="H628" s="93">
        <v>10930</v>
      </c>
      <c r="I628" s="93">
        <v>6</v>
      </c>
      <c r="J628" s="93"/>
      <c r="K628" s="93">
        <f t="shared" si="162"/>
        <v>0</v>
      </c>
      <c r="L628" s="93">
        <f t="shared" si="163"/>
        <v>0</v>
      </c>
      <c r="M628" s="94">
        <v>66.66</v>
      </c>
      <c r="N628" s="95" t="s">
        <v>289</v>
      </c>
      <c r="O628" s="93">
        <f t="shared" si="164"/>
        <v>0</v>
      </c>
      <c r="P628" s="93">
        <f t="shared" si="165"/>
        <v>0</v>
      </c>
      <c r="Q628" s="93">
        <f t="shared" si="166"/>
        <v>0</v>
      </c>
      <c r="R628" s="93">
        <f t="shared" si="167"/>
        <v>1</v>
      </c>
      <c r="S628" s="93">
        <f t="shared" si="168"/>
        <v>0</v>
      </c>
      <c r="T628" s="93">
        <f t="shared" si="169"/>
        <v>1</v>
      </c>
      <c r="U628" s="312">
        <f t="shared" si="170"/>
        <v>5</v>
      </c>
      <c r="V628" s="93">
        <f t="shared" si="171"/>
        <v>0</v>
      </c>
    </row>
    <row r="629" spans="1:22" ht="18" customHeight="1" x14ac:dyDescent="0.2">
      <c r="A629" s="110" t="s">
        <v>1271</v>
      </c>
      <c r="B629" s="111"/>
      <c r="C629" s="90" t="s">
        <v>1272</v>
      </c>
      <c r="D629" s="91">
        <v>40981</v>
      </c>
      <c r="E629" s="92"/>
      <c r="F629" s="93"/>
      <c r="G629" s="93"/>
      <c r="H629" s="93">
        <v>13238</v>
      </c>
      <c r="I629" s="93">
        <v>7</v>
      </c>
      <c r="J629" s="93"/>
      <c r="K629" s="93">
        <f t="shared" si="162"/>
        <v>0</v>
      </c>
      <c r="L629" s="93">
        <f t="shared" si="163"/>
        <v>0</v>
      </c>
      <c r="M629" s="94">
        <v>66.66</v>
      </c>
      <c r="N629" s="95" t="s">
        <v>289</v>
      </c>
      <c r="O629" s="93">
        <f t="shared" si="164"/>
        <v>0</v>
      </c>
      <c r="P629" s="93">
        <f t="shared" si="165"/>
        <v>0</v>
      </c>
      <c r="Q629" s="93">
        <f t="shared" si="166"/>
        <v>0</v>
      </c>
      <c r="R629" s="93">
        <f t="shared" si="167"/>
        <v>2</v>
      </c>
      <c r="S629" s="93">
        <f t="shared" si="168"/>
        <v>0</v>
      </c>
      <c r="T629" s="93">
        <f t="shared" si="169"/>
        <v>2</v>
      </c>
      <c r="U629" s="312">
        <f t="shared" si="170"/>
        <v>5</v>
      </c>
      <c r="V629" s="93">
        <f t="shared" si="171"/>
        <v>0</v>
      </c>
    </row>
    <row r="630" spans="1:22" ht="18" customHeight="1" x14ac:dyDescent="0.2">
      <c r="A630" s="110" t="s">
        <v>1273</v>
      </c>
      <c r="B630" s="111"/>
      <c r="C630" s="90" t="s">
        <v>1274</v>
      </c>
      <c r="D630" s="91">
        <v>40989</v>
      </c>
      <c r="E630" s="92"/>
      <c r="F630" s="93"/>
      <c r="G630" s="93"/>
      <c r="H630" s="93">
        <v>18131.400000000001</v>
      </c>
      <c r="I630" s="93">
        <v>9.4</v>
      </c>
      <c r="J630" s="93"/>
      <c r="K630" s="93">
        <f t="shared" si="162"/>
        <v>0</v>
      </c>
      <c r="L630" s="93">
        <f t="shared" si="163"/>
        <v>0</v>
      </c>
      <c r="M630" s="94">
        <v>66.66</v>
      </c>
      <c r="N630" s="95" t="s">
        <v>289</v>
      </c>
      <c r="O630" s="93">
        <f t="shared" si="164"/>
        <v>0</v>
      </c>
      <c r="P630" s="93">
        <f t="shared" si="165"/>
        <v>0</v>
      </c>
      <c r="Q630" s="93">
        <f t="shared" si="166"/>
        <v>0</v>
      </c>
      <c r="R630" s="93">
        <f t="shared" si="167"/>
        <v>3</v>
      </c>
      <c r="S630" s="93">
        <f t="shared" si="168"/>
        <v>0</v>
      </c>
      <c r="T630" s="93">
        <f t="shared" si="169"/>
        <v>3</v>
      </c>
      <c r="U630" s="312">
        <f t="shared" si="170"/>
        <v>6.4</v>
      </c>
      <c r="V630" s="93">
        <f t="shared" si="171"/>
        <v>0</v>
      </c>
    </row>
    <row r="631" spans="1:22" ht="18" customHeight="1" x14ac:dyDescent="0.2">
      <c r="A631" s="110" t="s">
        <v>1275</v>
      </c>
      <c r="B631" s="111"/>
      <c r="C631" s="201" t="s">
        <v>1276</v>
      </c>
      <c r="D631" s="91">
        <v>41051</v>
      </c>
      <c r="E631" s="92"/>
      <c r="F631" s="93"/>
      <c r="G631" s="93"/>
      <c r="H631" s="93">
        <v>2410</v>
      </c>
      <c r="I631" s="93">
        <v>2</v>
      </c>
      <c r="J631" s="93"/>
      <c r="K631" s="93">
        <f t="shared" si="162"/>
        <v>0</v>
      </c>
      <c r="L631" s="93">
        <f t="shared" si="163"/>
        <v>0</v>
      </c>
      <c r="M631" s="94">
        <v>66.66</v>
      </c>
      <c r="N631" s="95" t="s">
        <v>289</v>
      </c>
      <c r="O631" s="93">
        <f t="shared" si="164"/>
        <v>0</v>
      </c>
      <c r="P631" s="93">
        <f t="shared" si="165"/>
        <v>0</v>
      </c>
      <c r="Q631" s="93">
        <f t="shared" si="166"/>
        <v>0</v>
      </c>
      <c r="R631" s="93">
        <f t="shared" si="167"/>
        <v>0</v>
      </c>
      <c r="S631" s="93">
        <f t="shared" si="168"/>
        <v>0</v>
      </c>
      <c r="T631" s="93">
        <f t="shared" si="169"/>
        <v>0</v>
      </c>
      <c r="U631" s="312">
        <f t="shared" si="170"/>
        <v>2</v>
      </c>
      <c r="V631" s="93">
        <f t="shared" si="171"/>
        <v>0</v>
      </c>
    </row>
    <row r="632" spans="1:22" ht="18" customHeight="1" x14ac:dyDescent="0.2">
      <c r="A632" s="110" t="s">
        <v>1277</v>
      </c>
      <c r="B632" s="111"/>
      <c r="C632" s="201" t="s">
        <v>1278</v>
      </c>
      <c r="D632" s="91">
        <v>41061</v>
      </c>
      <c r="E632" s="92"/>
      <c r="F632" s="93"/>
      <c r="G632" s="93"/>
      <c r="H632" s="93">
        <v>2090.4</v>
      </c>
      <c r="I632" s="93">
        <v>1.4000000000000001</v>
      </c>
      <c r="J632" s="93"/>
      <c r="K632" s="93">
        <f t="shared" si="162"/>
        <v>0</v>
      </c>
      <c r="L632" s="93">
        <f t="shared" si="163"/>
        <v>0</v>
      </c>
      <c r="M632" s="94">
        <v>66.66</v>
      </c>
      <c r="N632" s="95" t="s">
        <v>289</v>
      </c>
      <c r="O632" s="93">
        <f t="shared" si="164"/>
        <v>0</v>
      </c>
      <c r="P632" s="93">
        <f t="shared" si="165"/>
        <v>0</v>
      </c>
      <c r="Q632" s="93">
        <f t="shared" si="166"/>
        <v>0</v>
      </c>
      <c r="R632" s="93">
        <f t="shared" si="167"/>
        <v>0</v>
      </c>
      <c r="S632" s="93">
        <f t="shared" si="168"/>
        <v>0</v>
      </c>
      <c r="T632" s="93">
        <f t="shared" si="169"/>
        <v>0</v>
      </c>
      <c r="U632" s="312">
        <f t="shared" si="170"/>
        <v>1.4000000000000001</v>
      </c>
      <c r="V632" s="93">
        <f t="shared" si="171"/>
        <v>0</v>
      </c>
    </row>
    <row r="633" spans="1:22" ht="18" customHeight="1" x14ac:dyDescent="0.2">
      <c r="A633" s="110" t="s">
        <v>1279</v>
      </c>
      <c r="B633" s="111"/>
      <c r="C633" s="201" t="s">
        <v>1280</v>
      </c>
      <c r="D633" s="91">
        <v>41078</v>
      </c>
      <c r="E633" s="92">
        <v>43718</v>
      </c>
      <c r="F633" s="93">
        <f>13*35</f>
        <v>455</v>
      </c>
      <c r="G633" s="93"/>
      <c r="H633" s="93">
        <v>780</v>
      </c>
      <c r="I633" s="93">
        <v>0</v>
      </c>
      <c r="J633" s="93"/>
      <c r="K633" s="93">
        <f t="shared" si="162"/>
        <v>455</v>
      </c>
      <c r="L633" s="93">
        <f t="shared" si="163"/>
        <v>0</v>
      </c>
      <c r="M633" s="94">
        <v>66.66</v>
      </c>
      <c r="N633" s="95" t="s">
        <v>289</v>
      </c>
      <c r="O633" s="93">
        <f t="shared" si="164"/>
        <v>0</v>
      </c>
      <c r="P633" s="93">
        <f t="shared" si="165"/>
        <v>0</v>
      </c>
      <c r="Q633" s="93">
        <f t="shared" si="166"/>
        <v>0</v>
      </c>
      <c r="R633" s="93">
        <f t="shared" si="167"/>
        <v>0</v>
      </c>
      <c r="S633" s="93">
        <f t="shared" si="168"/>
        <v>0</v>
      </c>
      <c r="T633" s="93">
        <f t="shared" si="169"/>
        <v>0</v>
      </c>
      <c r="U633" s="312">
        <f t="shared" si="170"/>
        <v>0</v>
      </c>
      <c r="V633" s="93">
        <f t="shared" si="171"/>
        <v>780</v>
      </c>
    </row>
    <row r="634" spans="1:22" ht="18" customHeight="1" x14ac:dyDescent="0.2">
      <c r="A634" s="110" t="s">
        <v>1281</v>
      </c>
      <c r="B634" s="111"/>
      <c r="C634" s="201" t="s">
        <v>1282</v>
      </c>
      <c r="D634" s="91">
        <v>41088</v>
      </c>
      <c r="E634" s="92">
        <v>43731</v>
      </c>
      <c r="F634" s="93">
        <f>40*35</f>
        <v>1400</v>
      </c>
      <c r="G634" s="93"/>
      <c r="H634" s="93">
        <v>1301</v>
      </c>
      <c r="I634" s="93">
        <v>0</v>
      </c>
      <c r="J634" s="93"/>
      <c r="K634" s="93">
        <f t="shared" si="162"/>
        <v>1400</v>
      </c>
      <c r="L634" s="93">
        <f t="shared" si="163"/>
        <v>0</v>
      </c>
      <c r="M634" s="94">
        <v>66.66</v>
      </c>
      <c r="N634" s="95" t="s">
        <v>289</v>
      </c>
      <c r="O634" s="93">
        <f t="shared" si="164"/>
        <v>0</v>
      </c>
      <c r="P634" s="93">
        <f t="shared" si="165"/>
        <v>0</v>
      </c>
      <c r="Q634" s="93">
        <f t="shared" si="166"/>
        <v>0</v>
      </c>
      <c r="R634" s="93">
        <f t="shared" si="167"/>
        <v>0</v>
      </c>
      <c r="S634" s="93">
        <f t="shared" si="168"/>
        <v>0</v>
      </c>
      <c r="T634" s="93">
        <f t="shared" si="169"/>
        <v>0</v>
      </c>
      <c r="U634" s="312">
        <f t="shared" si="170"/>
        <v>0</v>
      </c>
      <c r="V634" s="93">
        <f t="shared" si="171"/>
        <v>1301</v>
      </c>
    </row>
    <row r="635" spans="1:22" ht="18" customHeight="1" x14ac:dyDescent="0.2">
      <c r="A635" s="110" t="s">
        <v>1284</v>
      </c>
      <c r="B635" s="111"/>
      <c r="C635" s="201" t="s">
        <v>1227</v>
      </c>
      <c r="D635" s="91">
        <v>38814</v>
      </c>
      <c r="E635" s="92"/>
      <c r="F635" s="93"/>
      <c r="G635" s="93"/>
      <c r="H635" s="93">
        <v>2467.9</v>
      </c>
      <c r="I635" s="93">
        <v>12.9</v>
      </c>
      <c r="J635" s="93"/>
      <c r="K635" s="93">
        <f t="shared" si="162"/>
        <v>0</v>
      </c>
      <c r="L635" s="93">
        <f t="shared" si="163"/>
        <v>0</v>
      </c>
      <c r="M635" s="94">
        <v>33.33</v>
      </c>
      <c r="N635" s="95" t="s">
        <v>289</v>
      </c>
      <c r="O635" s="93">
        <f t="shared" si="164"/>
        <v>0</v>
      </c>
      <c r="P635" s="93">
        <f t="shared" si="165"/>
        <v>0</v>
      </c>
      <c r="Q635" s="93">
        <f t="shared" si="166"/>
        <v>0</v>
      </c>
      <c r="R635" s="93">
        <f t="shared" si="167"/>
        <v>2</v>
      </c>
      <c r="S635" s="93">
        <f t="shared" si="168"/>
        <v>0</v>
      </c>
      <c r="T635" s="93">
        <f t="shared" si="169"/>
        <v>2</v>
      </c>
      <c r="U635" s="312">
        <f t="shared" si="170"/>
        <v>10.9</v>
      </c>
      <c r="V635" s="93">
        <f t="shared" si="171"/>
        <v>0</v>
      </c>
    </row>
    <row r="636" spans="1:22" ht="18" customHeight="1" x14ac:dyDescent="0.2">
      <c r="A636" s="110" t="s">
        <v>1285</v>
      </c>
      <c r="B636" s="111"/>
      <c r="C636" s="201" t="s">
        <v>1286</v>
      </c>
      <c r="D636" s="91">
        <v>38814</v>
      </c>
      <c r="E636" s="92">
        <v>43718</v>
      </c>
      <c r="F636" s="93">
        <f>3*35</f>
        <v>105</v>
      </c>
      <c r="G636" s="93"/>
      <c r="H636" s="93">
        <v>3701.85</v>
      </c>
      <c r="I636" s="93">
        <v>17.850000000000001</v>
      </c>
      <c r="J636" s="93"/>
      <c r="K636" s="93">
        <f t="shared" si="162"/>
        <v>88</v>
      </c>
      <c r="L636" s="93">
        <f t="shared" si="163"/>
        <v>0</v>
      </c>
      <c r="M636" s="94">
        <v>33.33</v>
      </c>
      <c r="N636" s="95" t="s">
        <v>289</v>
      </c>
      <c r="O636" s="93">
        <f t="shared" si="164"/>
        <v>1</v>
      </c>
      <c r="P636" s="93">
        <f t="shared" si="165"/>
        <v>0</v>
      </c>
      <c r="Q636" s="93">
        <f t="shared" si="166"/>
        <v>1</v>
      </c>
      <c r="R636" s="93">
        <f t="shared" si="167"/>
        <v>0</v>
      </c>
      <c r="S636" s="93">
        <f t="shared" si="168"/>
        <v>0</v>
      </c>
      <c r="T636" s="93">
        <f t="shared" si="169"/>
        <v>1</v>
      </c>
      <c r="U636" s="312">
        <f t="shared" si="170"/>
        <v>-0.15000000000000568</v>
      </c>
      <c r="V636" s="93">
        <f t="shared" si="171"/>
        <v>3701.85</v>
      </c>
    </row>
    <row r="637" spans="1:22" ht="18" customHeight="1" x14ac:dyDescent="0.2">
      <c r="A637" s="110" t="s">
        <v>1287</v>
      </c>
      <c r="B637" s="111"/>
      <c r="C637" s="201" t="s">
        <v>1227</v>
      </c>
      <c r="D637" s="91">
        <v>38831</v>
      </c>
      <c r="E637" s="92"/>
      <c r="F637" s="93"/>
      <c r="G637" s="93"/>
      <c r="H637" s="93">
        <v>1460</v>
      </c>
      <c r="I637" s="93">
        <v>8</v>
      </c>
      <c r="J637" s="93"/>
      <c r="K637" s="93">
        <f t="shared" si="162"/>
        <v>0</v>
      </c>
      <c r="L637" s="93">
        <f t="shared" si="163"/>
        <v>0</v>
      </c>
      <c r="M637" s="94">
        <v>33.33</v>
      </c>
      <c r="N637" s="95" t="s">
        <v>289</v>
      </c>
      <c r="O637" s="93">
        <f t="shared" si="164"/>
        <v>0</v>
      </c>
      <c r="P637" s="93">
        <f t="shared" si="165"/>
        <v>0</v>
      </c>
      <c r="Q637" s="93">
        <f t="shared" si="166"/>
        <v>0</v>
      </c>
      <c r="R637" s="93">
        <f t="shared" si="167"/>
        <v>1</v>
      </c>
      <c r="S637" s="93">
        <f t="shared" si="168"/>
        <v>0</v>
      </c>
      <c r="T637" s="93">
        <f t="shared" si="169"/>
        <v>1</v>
      </c>
      <c r="U637" s="312">
        <f t="shared" si="170"/>
        <v>7</v>
      </c>
      <c r="V637" s="93">
        <f t="shared" si="171"/>
        <v>0</v>
      </c>
    </row>
    <row r="638" spans="1:22" ht="18" customHeight="1" x14ac:dyDescent="0.2">
      <c r="A638" s="110" t="s">
        <v>1288</v>
      </c>
      <c r="B638" s="111"/>
      <c r="C638" s="201" t="s">
        <v>1289</v>
      </c>
      <c r="D638" s="91">
        <v>38838</v>
      </c>
      <c r="E638" s="92"/>
      <c r="F638" s="93"/>
      <c r="G638" s="93"/>
      <c r="H638" s="93">
        <v>1500</v>
      </c>
      <c r="I638" s="93">
        <v>8</v>
      </c>
      <c r="J638" s="93"/>
      <c r="K638" s="93">
        <f t="shared" si="162"/>
        <v>0</v>
      </c>
      <c r="L638" s="93">
        <f t="shared" si="163"/>
        <v>0</v>
      </c>
      <c r="M638" s="94">
        <v>33.33</v>
      </c>
      <c r="N638" s="95" t="s">
        <v>289</v>
      </c>
      <c r="O638" s="93">
        <f t="shared" si="164"/>
        <v>0</v>
      </c>
      <c r="P638" s="93">
        <f t="shared" si="165"/>
        <v>0</v>
      </c>
      <c r="Q638" s="93">
        <f t="shared" si="166"/>
        <v>0</v>
      </c>
      <c r="R638" s="93">
        <f t="shared" si="167"/>
        <v>1</v>
      </c>
      <c r="S638" s="93">
        <f t="shared" si="168"/>
        <v>0</v>
      </c>
      <c r="T638" s="93">
        <f t="shared" si="169"/>
        <v>1</v>
      </c>
      <c r="U638" s="312">
        <f t="shared" si="170"/>
        <v>7</v>
      </c>
      <c r="V638" s="93">
        <f t="shared" si="171"/>
        <v>0</v>
      </c>
    </row>
    <row r="639" spans="1:22" ht="18" customHeight="1" x14ac:dyDescent="0.2">
      <c r="A639" s="110" t="s">
        <v>1298</v>
      </c>
      <c r="B639" s="111"/>
      <c r="C639" s="201" t="s">
        <v>1299</v>
      </c>
      <c r="D639" s="91">
        <v>41095</v>
      </c>
      <c r="E639" s="92"/>
      <c r="F639" s="93"/>
      <c r="G639" s="93"/>
      <c r="H639" s="93">
        <v>2460</v>
      </c>
      <c r="I639" s="93">
        <v>22</v>
      </c>
      <c r="J639" s="93"/>
      <c r="K639" s="93">
        <f t="shared" si="162"/>
        <v>0</v>
      </c>
      <c r="L639" s="93">
        <f t="shared" si="163"/>
        <v>0</v>
      </c>
      <c r="M639" s="94">
        <v>50</v>
      </c>
      <c r="N639" s="95" t="s">
        <v>289</v>
      </c>
      <c r="O639" s="93">
        <f t="shared" si="164"/>
        <v>0</v>
      </c>
      <c r="P639" s="93">
        <f t="shared" si="165"/>
        <v>0</v>
      </c>
      <c r="Q639" s="93">
        <f t="shared" si="166"/>
        <v>0</v>
      </c>
      <c r="R639" s="93">
        <f t="shared" si="167"/>
        <v>5</v>
      </c>
      <c r="S639" s="93">
        <f t="shared" si="168"/>
        <v>0</v>
      </c>
      <c r="T639" s="93">
        <f t="shared" si="169"/>
        <v>5</v>
      </c>
      <c r="U639" s="312">
        <f t="shared" si="170"/>
        <v>17</v>
      </c>
      <c r="V639" s="93">
        <f t="shared" si="171"/>
        <v>0</v>
      </c>
    </row>
    <row r="640" spans="1:22" ht="18" customHeight="1" x14ac:dyDescent="0.2">
      <c r="A640" s="110" t="s">
        <v>1300</v>
      </c>
      <c r="B640" s="111"/>
      <c r="C640" s="201" t="s">
        <v>1301</v>
      </c>
      <c r="D640" s="91">
        <v>39141</v>
      </c>
      <c r="E640" s="92"/>
      <c r="F640" s="93"/>
      <c r="G640" s="93"/>
      <c r="H640" s="93">
        <v>6118.52</v>
      </c>
      <c r="I640" s="93">
        <v>0</v>
      </c>
      <c r="J640" s="93"/>
      <c r="K640" s="93">
        <f t="shared" si="162"/>
        <v>0</v>
      </c>
      <c r="L640" s="93">
        <f t="shared" si="163"/>
        <v>0</v>
      </c>
      <c r="M640" s="94">
        <v>66.67</v>
      </c>
      <c r="N640" s="95" t="s">
        <v>289</v>
      </c>
      <c r="O640" s="93">
        <f t="shared" si="164"/>
        <v>0</v>
      </c>
      <c r="P640" s="93">
        <f t="shared" si="165"/>
        <v>0</v>
      </c>
      <c r="Q640" s="93">
        <f t="shared" si="166"/>
        <v>0</v>
      </c>
      <c r="R640" s="93">
        <f t="shared" si="167"/>
        <v>0</v>
      </c>
      <c r="S640" s="93">
        <f t="shared" si="168"/>
        <v>0</v>
      </c>
      <c r="T640" s="93">
        <f t="shared" si="169"/>
        <v>0</v>
      </c>
      <c r="U640" s="312">
        <f t="shared" si="170"/>
        <v>0</v>
      </c>
      <c r="V640" s="93">
        <f t="shared" si="171"/>
        <v>0</v>
      </c>
    </row>
    <row r="641" spans="1:22" ht="18" customHeight="1" x14ac:dyDescent="0.2">
      <c r="A641" s="110" t="s">
        <v>1302</v>
      </c>
      <c r="B641" s="111"/>
      <c r="C641" s="201" t="s">
        <v>1303</v>
      </c>
      <c r="D641" s="91">
        <v>41234</v>
      </c>
      <c r="E641" s="92"/>
      <c r="F641" s="93"/>
      <c r="G641" s="93"/>
      <c r="H641" s="93">
        <v>7450</v>
      </c>
      <c r="I641" s="93">
        <v>31.86</v>
      </c>
      <c r="J641" s="93"/>
      <c r="K641" s="93">
        <f t="shared" si="162"/>
        <v>0</v>
      </c>
      <c r="L641" s="93">
        <f t="shared" si="163"/>
        <v>0</v>
      </c>
      <c r="M641" s="94">
        <v>50</v>
      </c>
      <c r="N641" s="95" t="s">
        <v>289</v>
      </c>
      <c r="O641" s="93">
        <f t="shared" si="164"/>
        <v>0</v>
      </c>
      <c r="P641" s="93">
        <f t="shared" si="165"/>
        <v>0</v>
      </c>
      <c r="Q641" s="93">
        <f t="shared" si="166"/>
        <v>0</v>
      </c>
      <c r="R641" s="93">
        <f t="shared" si="167"/>
        <v>7</v>
      </c>
      <c r="S641" s="93">
        <f t="shared" si="168"/>
        <v>0</v>
      </c>
      <c r="T641" s="93">
        <f t="shared" si="169"/>
        <v>7</v>
      </c>
      <c r="U641" s="312">
        <f t="shared" si="170"/>
        <v>24.86</v>
      </c>
      <c r="V641" s="93">
        <f t="shared" si="171"/>
        <v>0</v>
      </c>
    </row>
    <row r="642" spans="1:22" ht="18" customHeight="1" x14ac:dyDescent="0.2">
      <c r="A642" s="110" t="s">
        <v>1304</v>
      </c>
      <c r="B642" s="111"/>
      <c r="C642" s="201" t="s">
        <v>1305</v>
      </c>
      <c r="D642" s="91">
        <v>41318</v>
      </c>
      <c r="E642" s="92"/>
      <c r="F642" s="93"/>
      <c r="G642" s="93"/>
      <c r="H642" s="93">
        <v>4926.17</v>
      </c>
      <c r="I642" s="93">
        <v>70.17</v>
      </c>
      <c r="J642" s="93"/>
      <c r="K642" s="93">
        <f t="shared" si="162"/>
        <v>0</v>
      </c>
      <c r="L642" s="93">
        <f t="shared" si="163"/>
        <v>0</v>
      </c>
      <c r="M642" s="94">
        <v>50</v>
      </c>
      <c r="N642" s="95" t="s">
        <v>289</v>
      </c>
      <c r="O642" s="93">
        <f t="shared" si="164"/>
        <v>0</v>
      </c>
      <c r="P642" s="93">
        <f t="shared" si="165"/>
        <v>0</v>
      </c>
      <c r="Q642" s="93">
        <f t="shared" si="166"/>
        <v>0</v>
      </c>
      <c r="R642" s="93">
        <f t="shared" si="167"/>
        <v>17</v>
      </c>
      <c r="S642" s="93">
        <f t="shared" si="168"/>
        <v>0</v>
      </c>
      <c r="T642" s="93">
        <f t="shared" si="169"/>
        <v>17</v>
      </c>
      <c r="U642" s="312">
        <f t="shared" si="170"/>
        <v>53.17</v>
      </c>
      <c r="V642" s="93">
        <f t="shared" si="171"/>
        <v>0</v>
      </c>
    </row>
    <row r="643" spans="1:22" ht="18" customHeight="1" x14ac:dyDescent="0.2">
      <c r="A643" s="110" t="s">
        <v>1306</v>
      </c>
      <c r="B643" s="111"/>
      <c r="C643" s="201" t="s">
        <v>1307</v>
      </c>
      <c r="D643" s="91">
        <v>41322</v>
      </c>
      <c r="E643" s="92"/>
      <c r="F643" s="93"/>
      <c r="G643" s="93"/>
      <c r="H643" s="93">
        <v>23975.08</v>
      </c>
      <c r="I643" s="93">
        <v>343.08</v>
      </c>
      <c r="J643" s="93"/>
      <c r="K643" s="93">
        <f t="shared" si="162"/>
        <v>0</v>
      </c>
      <c r="L643" s="93">
        <f t="shared" si="163"/>
        <v>0</v>
      </c>
      <c r="M643" s="94">
        <v>50</v>
      </c>
      <c r="N643" s="95" t="s">
        <v>289</v>
      </c>
      <c r="O643" s="93">
        <f t="shared" si="164"/>
        <v>0</v>
      </c>
      <c r="P643" s="93">
        <f t="shared" si="165"/>
        <v>0</v>
      </c>
      <c r="Q643" s="93">
        <f t="shared" si="166"/>
        <v>0</v>
      </c>
      <c r="R643" s="93">
        <f t="shared" si="167"/>
        <v>85</v>
      </c>
      <c r="S643" s="93">
        <f t="shared" si="168"/>
        <v>0</v>
      </c>
      <c r="T643" s="93">
        <f t="shared" si="169"/>
        <v>85</v>
      </c>
      <c r="U643" s="312">
        <f t="shared" si="170"/>
        <v>258.08</v>
      </c>
      <c r="V643" s="93">
        <f t="shared" si="171"/>
        <v>0</v>
      </c>
    </row>
    <row r="644" spans="1:22" ht="18" customHeight="1" x14ac:dyDescent="0.2">
      <c r="A644" s="110" t="s">
        <v>1308</v>
      </c>
      <c r="B644" s="111"/>
      <c r="C644" s="201" t="s">
        <v>1309</v>
      </c>
      <c r="D644" s="91">
        <v>41351</v>
      </c>
      <c r="E644" s="92"/>
      <c r="F644" s="93"/>
      <c r="G644" s="93"/>
      <c r="H644" s="93">
        <v>6859.2</v>
      </c>
      <c r="I644" s="93">
        <v>103.20000000000002</v>
      </c>
      <c r="J644" s="93"/>
      <c r="K644" s="93">
        <f t="shared" si="162"/>
        <v>0</v>
      </c>
      <c r="L644" s="93">
        <f t="shared" si="163"/>
        <v>0</v>
      </c>
      <c r="M644" s="94">
        <v>50</v>
      </c>
      <c r="N644" s="95" t="s">
        <v>289</v>
      </c>
      <c r="O644" s="93">
        <f t="shared" si="164"/>
        <v>0</v>
      </c>
      <c r="P644" s="93">
        <f t="shared" si="165"/>
        <v>0</v>
      </c>
      <c r="Q644" s="93">
        <f t="shared" si="166"/>
        <v>0</v>
      </c>
      <c r="R644" s="93">
        <f t="shared" si="167"/>
        <v>25</v>
      </c>
      <c r="S644" s="93">
        <f t="shared" si="168"/>
        <v>0</v>
      </c>
      <c r="T644" s="93">
        <f t="shared" si="169"/>
        <v>25</v>
      </c>
      <c r="U644" s="312">
        <f t="shared" si="170"/>
        <v>78.200000000000017</v>
      </c>
      <c r="V644" s="93">
        <f t="shared" si="171"/>
        <v>0</v>
      </c>
    </row>
    <row r="645" spans="1:22" ht="18" customHeight="1" x14ac:dyDescent="0.2">
      <c r="A645" s="110" t="s">
        <v>1310</v>
      </c>
      <c r="B645" s="111"/>
      <c r="C645" s="203" t="s">
        <v>1311</v>
      </c>
      <c r="D645" s="91">
        <v>41351</v>
      </c>
      <c r="E645" s="92"/>
      <c r="F645" s="93"/>
      <c r="G645" s="93"/>
      <c r="H645" s="93">
        <v>5115.9000000000005</v>
      </c>
      <c r="I645" s="93">
        <v>76.900000000000006</v>
      </c>
      <c r="J645" s="93"/>
      <c r="K645" s="93">
        <f t="shared" si="162"/>
        <v>0</v>
      </c>
      <c r="L645" s="93">
        <f t="shared" si="163"/>
        <v>0</v>
      </c>
      <c r="M645" s="94">
        <v>50</v>
      </c>
      <c r="N645" s="95" t="s">
        <v>289</v>
      </c>
      <c r="O645" s="93">
        <f t="shared" si="164"/>
        <v>0</v>
      </c>
      <c r="P645" s="93">
        <f t="shared" si="165"/>
        <v>0</v>
      </c>
      <c r="Q645" s="93">
        <f t="shared" si="166"/>
        <v>0</v>
      </c>
      <c r="R645" s="93">
        <f t="shared" si="167"/>
        <v>19</v>
      </c>
      <c r="S645" s="93">
        <f t="shared" si="168"/>
        <v>0</v>
      </c>
      <c r="T645" s="93">
        <f t="shared" si="169"/>
        <v>19</v>
      </c>
      <c r="U645" s="312">
        <f t="shared" si="170"/>
        <v>57.900000000000006</v>
      </c>
      <c r="V645" s="93">
        <f t="shared" si="171"/>
        <v>0</v>
      </c>
    </row>
    <row r="646" spans="1:22" ht="18" customHeight="1" x14ac:dyDescent="0.2">
      <c r="A646" s="110" t="s">
        <v>1312</v>
      </c>
      <c r="B646" s="111"/>
      <c r="C646" s="201" t="s">
        <v>1313</v>
      </c>
      <c r="D646" s="91">
        <v>41375</v>
      </c>
      <c r="E646" s="92"/>
      <c r="F646" s="93"/>
      <c r="G646" s="93"/>
      <c r="H646" s="93">
        <v>1590</v>
      </c>
      <c r="I646" s="93">
        <v>25</v>
      </c>
      <c r="J646" s="93"/>
      <c r="K646" s="93">
        <f t="shared" si="162"/>
        <v>0</v>
      </c>
      <c r="L646" s="93">
        <f t="shared" si="163"/>
        <v>0</v>
      </c>
      <c r="M646" s="94">
        <v>50</v>
      </c>
      <c r="N646" s="95" t="s">
        <v>289</v>
      </c>
      <c r="O646" s="93">
        <f t="shared" si="164"/>
        <v>0</v>
      </c>
      <c r="P646" s="93">
        <f t="shared" si="165"/>
        <v>0</v>
      </c>
      <c r="Q646" s="93">
        <f t="shared" si="166"/>
        <v>0</v>
      </c>
      <c r="R646" s="93">
        <f t="shared" si="167"/>
        <v>6</v>
      </c>
      <c r="S646" s="93">
        <f t="shared" si="168"/>
        <v>0</v>
      </c>
      <c r="T646" s="93">
        <f t="shared" si="169"/>
        <v>6</v>
      </c>
      <c r="U646" s="312">
        <f t="shared" si="170"/>
        <v>19</v>
      </c>
      <c r="V646" s="93">
        <f t="shared" si="171"/>
        <v>0</v>
      </c>
    </row>
    <row r="647" spans="1:22" ht="18" customHeight="1" x14ac:dyDescent="0.2">
      <c r="A647" s="110" t="s">
        <v>1314</v>
      </c>
      <c r="B647" s="111"/>
      <c r="C647" s="201" t="s">
        <v>1315</v>
      </c>
      <c r="D647" s="91">
        <v>41436</v>
      </c>
      <c r="E647" s="92"/>
      <c r="F647" s="93"/>
      <c r="G647" s="93"/>
      <c r="H647" s="93">
        <v>7724.46</v>
      </c>
      <c r="I647" s="93">
        <v>131.46</v>
      </c>
      <c r="J647" s="93"/>
      <c r="K647" s="93">
        <f t="shared" si="162"/>
        <v>0</v>
      </c>
      <c r="L647" s="93">
        <f t="shared" si="163"/>
        <v>0</v>
      </c>
      <c r="M647" s="94">
        <v>50</v>
      </c>
      <c r="N647" s="95" t="s">
        <v>289</v>
      </c>
      <c r="O647" s="93">
        <f t="shared" si="164"/>
        <v>0</v>
      </c>
      <c r="P647" s="93">
        <f t="shared" si="165"/>
        <v>0</v>
      </c>
      <c r="Q647" s="93">
        <f t="shared" si="166"/>
        <v>0</v>
      </c>
      <c r="R647" s="93">
        <f t="shared" si="167"/>
        <v>32</v>
      </c>
      <c r="S647" s="93">
        <f t="shared" si="168"/>
        <v>0</v>
      </c>
      <c r="T647" s="93">
        <f t="shared" si="169"/>
        <v>32</v>
      </c>
      <c r="U647" s="312">
        <f t="shared" si="170"/>
        <v>99.460000000000008</v>
      </c>
      <c r="V647" s="93">
        <f t="shared" si="171"/>
        <v>0</v>
      </c>
    </row>
    <row r="648" spans="1:22" ht="18" customHeight="1" x14ac:dyDescent="0.2">
      <c r="A648" s="110" t="s">
        <v>1316</v>
      </c>
      <c r="B648" s="111"/>
      <c r="C648" s="201" t="s">
        <v>1317</v>
      </c>
      <c r="D648" s="91">
        <v>39202</v>
      </c>
      <c r="E648" s="92"/>
      <c r="F648" s="93"/>
      <c r="G648" s="93"/>
      <c r="H648" s="93">
        <v>2406</v>
      </c>
      <c r="I648" s="93">
        <v>0</v>
      </c>
      <c r="J648" s="93"/>
      <c r="K648" s="93">
        <f t="shared" si="162"/>
        <v>0</v>
      </c>
      <c r="L648" s="93">
        <f t="shared" si="163"/>
        <v>0</v>
      </c>
      <c r="M648" s="94">
        <v>66.67</v>
      </c>
      <c r="N648" s="95" t="s">
        <v>289</v>
      </c>
      <c r="O648" s="93">
        <f t="shared" si="164"/>
        <v>0</v>
      </c>
      <c r="P648" s="93">
        <f t="shared" si="165"/>
        <v>0</v>
      </c>
      <c r="Q648" s="93">
        <f t="shared" si="166"/>
        <v>0</v>
      </c>
      <c r="R648" s="93">
        <f t="shared" si="167"/>
        <v>0</v>
      </c>
      <c r="S648" s="93">
        <f t="shared" si="168"/>
        <v>0</v>
      </c>
      <c r="T648" s="93">
        <f t="shared" si="169"/>
        <v>0</v>
      </c>
      <c r="U648" s="312">
        <f t="shared" si="170"/>
        <v>0</v>
      </c>
      <c r="V648" s="93">
        <f t="shared" si="171"/>
        <v>0</v>
      </c>
    </row>
    <row r="649" spans="1:22" ht="18" customHeight="1" x14ac:dyDescent="0.2">
      <c r="A649" s="110" t="s">
        <v>1318</v>
      </c>
      <c r="B649" s="111"/>
      <c r="C649" s="201" t="s">
        <v>1319</v>
      </c>
      <c r="D649" s="91">
        <v>39217</v>
      </c>
      <c r="E649" s="92"/>
      <c r="F649" s="93"/>
      <c r="G649" s="93"/>
      <c r="H649" s="93">
        <v>20370.14</v>
      </c>
      <c r="I649" s="93">
        <v>0</v>
      </c>
      <c r="J649" s="93"/>
      <c r="K649" s="93">
        <f t="shared" si="162"/>
        <v>0</v>
      </c>
      <c r="L649" s="93">
        <f t="shared" si="163"/>
        <v>0</v>
      </c>
      <c r="M649" s="94">
        <v>66.67</v>
      </c>
      <c r="N649" s="95" t="s">
        <v>289</v>
      </c>
      <c r="O649" s="93">
        <f t="shared" si="164"/>
        <v>0</v>
      </c>
      <c r="P649" s="93">
        <f t="shared" si="165"/>
        <v>0</v>
      </c>
      <c r="Q649" s="93">
        <f t="shared" si="166"/>
        <v>0</v>
      </c>
      <c r="R649" s="93">
        <f t="shared" si="167"/>
        <v>0</v>
      </c>
      <c r="S649" s="93">
        <f t="shared" si="168"/>
        <v>0</v>
      </c>
      <c r="T649" s="93">
        <f t="shared" si="169"/>
        <v>0</v>
      </c>
      <c r="U649" s="312">
        <f t="shared" si="170"/>
        <v>0</v>
      </c>
      <c r="V649" s="93">
        <f t="shared" si="171"/>
        <v>0</v>
      </c>
    </row>
    <row r="650" spans="1:22" ht="18" customHeight="1" x14ac:dyDescent="0.2">
      <c r="A650" s="110" t="s">
        <v>1320</v>
      </c>
      <c r="B650" s="111"/>
      <c r="C650" s="90" t="s">
        <v>1321</v>
      </c>
      <c r="D650" s="91">
        <v>41654</v>
      </c>
      <c r="E650" s="92"/>
      <c r="F650" s="93"/>
      <c r="G650" s="93"/>
      <c r="H650" s="93">
        <v>1331.94</v>
      </c>
      <c r="I650" s="93">
        <v>36.94</v>
      </c>
      <c r="J650" s="93"/>
      <c r="K650" s="93">
        <f t="shared" si="162"/>
        <v>0</v>
      </c>
      <c r="L650" s="93">
        <f t="shared" si="163"/>
        <v>0</v>
      </c>
      <c r="M650" s="94">
        <v>50</v>
      </c>
      <c r="N650" s="95" t="s">
        <v>289</v>
      </c>
      <c r="O650" s="93">
        <f t="shared" si="164"/>
        <v>0</v>
      </c>
      <c r="P650" s="93">
        <f t="shared" si="165"/>
        <v>0</v>
      </c>
      <c r="Q650" s="93">
        <f t="shared" si="166"/>
        <v>0</v>
      </c>
      <c r="R650" s="93">
        <f t="shared" si="167"/>
        <v>9</v>
      </c>
      <c r="S650" s="93">
        <f t="shared" si="168"/>
        <v>0</v>
      </c>
      <c r="T650" s="93">
        <f t="shared" si="169"/>
        <v>9</v>
      </c>
      <c r="U650" s="312">
        <f t="shared" si="170"/>
        <v>27.939999999999998</v>
      </c>
      <c r="V650" s="93">
        <f t="shared" si="171"/>
        <v>0</v>
      </c>
    </row>
    <row r="651" spans="1:22" ht="18" customHeight="1" x14ac:dyDescent="0.2">
      <c r="A651" s="110" t="s">
        <v>1322</v>
      </c>
      <c r="B651" s="111"/>
      <c r="C651" s="90" t="s">
        <v>1323</v>
      </c>
      <c r="D651" s="91">
        <v>41670</v>
      </c>
      <c r="E651" s="92"/>
      <c r="F651" s="93"/>
      <c r="G651" s="93"/>
      <c r="H651" s="93">
        <v>1245.1000000000001</v>
      </c>
      <c r="I651" s="93">
        <v>34.1</v>
      </c>
      <c r="J651" s="93"/>
      <c r="K651" s="93">
        <f t="shared" si="162"/>
        <v>0</v>
      </c>
      <c r="L651" s="93">
        <f t="shared" si="163"/>
        <v>0</v>
      </c>
      <c r="M651" s="94">
        <v>50</v>
      </c>
      <c r="N651" s="95" t="s">
        <v>289</v>
      </c>
      <c r="O651" s="93">
        <f t="shared" si="164"/>
        <v>0</v>
      </c>
      <c r="P651" s="93">
        <f t="shared" si="165"/>
        <v>0</v>
      </c>
      <c r="Q651" s="93">
        <f t="shared" si="166"/>
        <v>0</v>
      </c>
      <c r="R651" s="93">
        <f t="shared" si="167"/>
        <v>8</v>
      </c>
      <c r="S651" s="93">
        <f t="shared" si="168"/>
        <v>0</v>
      </c>
      <c r="T651" s="93">
        <f t="shared" si="169"/>
        <v>8</v>
      </c>
      <c r="U651" s="312">
        <f t="shared" si="170"/>
        <v>26.1</v>
      </c>
      <c r="V651" s="93">
        <f t="shared" si="171"/>
        <v>0</v>
      </c>
    </row>
    <row r="652" spans="1:22" ht="18" customHeight="1" x14ac:dyDescent="0.2">
      <c r="A652" s="110" t="s">
        <v>1324</v>
      </c>
      <c r="B652" s="111"/>
      <c r="C652" s="90" t="s">
        <v>1325</v>
      </c>
      <c r="D652" s="91">
        <v>41670</v>
      </c>
      <c r="E652" s="92"/>
      <c r="F652" s="93"/>
      <c r="G652" s="93"/>
      <c r="H652" s="93">
        <v>3261</v>
      </c>
      <c r="I652" s="93">
        <v>90</v>
      </c>
      <c r="J652" s="93"/>
      <c r="K652" s="93">
        <f t="shared" si="162"/>
        <v>0</v>
      </c>
      <c r="L652" s="93">
        <f t="shared" si="163"/>
        <v>0</v>
      </c>
      <c r="M652" s="94">
        <v>50</v>
      </c>
      <c r="N652" s="95" t="s">
        <v>289</v>
      </c>
      <c r="O652" s="93">
        <f t="shared" si="164"/>
        <v>0</v>
      </c>
      <c r="P652" s="93">
        <f t="shared" si="165"/>
        <v>0</v>
      </c>
      <c r="Q652" s="93">
        <f t="shared" si="166"/>
        <v>0</v>
      </c>
      <c r="R652" s="93">
        <f t="shared" si="167"/>
        <v>22</v>
      </c>
      <c r="S652" s="93">
        <f t="shared" si="168"/>
        <v>0</v>
      </c>
      <c r="T652" s="93">
        <f t="shared" si="169"/>
        <v>22</v>
      </c>
      <c r="U652" s="312">
        <f t="shared" si="170"/>
        <v>68</v>
      </c>
      <c r="V652" s="93">
        <f t="shared" si="171"/>
        <v>0</v>
      </c>
    </row>
    <row r="653" spans="1:22" ht="18" customHeight="1" x14ac:dyDescent="0.2">
      <c r="A653" s="110" t="s">
        <v>1326</v>
      </c>
      <c r="B653" s="111"/>
      <c r="C653" s="201" t="s">
        <v>1327</v>
      </c>
      <c r="D653" s="91">
        <v>41675</v>
      </c>
      <c r="E653" s="92"/>
      <c r="F653" s="93"/>
      <c r="G653" s="93"/>
      <c r="H653" s="93">
        <v>5390</v>
      </c>
      <c r="I653" s="93">
        <v>151</v>
      </c>
      <c r="J653" s="93"/>
      <c r="K653" s="93">
        <f t="shared" si="162"/>
        <v>0</v>
      </c>
      <c r="L653" s="93">
        <f t="shared" si="163"/>
        <v>0</v>
      </c>
      <c r="M653" s="94">
        <v>50</v>
      </c>
      <c r="N653" s="95" t="s">
        <v>289</v>
      </c>
      <c r="O653" s="93">
        <f t="shared" si="164"/>
        <v>0</v>
      </c>
      <c r="P653" s="93">
        <f t="shared" si="165"/>
        <v>0</v>
      </c>
      <c r="Q653" s="93">
        <f t="shared" si="166"/>
        <v>0</v>
      </c>
      <c r="R653" s="93">
        <f t="shared" si="167"/>
        <v>37</v>
      </c>
      <c r="S653" s="93">
        <f t="shared" si="168"/>
        <v>0</v>
      </c>
      <c r="T653" s="93">
        <f t="shared" si="169"/>
        <v>37</v>
      </c>
      <c r="U653" s="312">
        <f t="shared" si="170"/>
        <v>114</v>
      </c>
      <c r="V653" s="93">
        <f t="shared" si="171"/>
        <v>0</v>
      </c>
    </row>
    <row r="654" spans="1:22" ht="18" customHeight="1" x14ac:dyDescent="0.2">
      <c r="A654" s="110" t="s">
        <v>1328</v>
      </c>
      <c r="B654" s="111"/>
      <c r="C654" s="201" t="s">
        <v>1329</v>
      </c>
      <c r="D654" s="91">
        <v>41676</v>
      </c>
      <c r="E654" s="92"/>
      <c r="F654" s="93"/>
      <c r="G654" s="93"/>
      <c r="H654" s="93">
        <v>9835</v>
      </c>
      <c r="I654" s="93">
        <v>276</v>
      </c>
      <c r="J654" s="93"/>
      <c r="K654" s="93">
        <f t="shared" si="162"/>
        <v>0</v>
      </c>
      <c r="L654" s="93">
        <f t="shared" si="163"/>
        <v>0</v>
      </c>
      <c r="M654" s="94">
        <v>50</v>
      </c>
      <c r="N654" s="95" t="s">
        <v>289</v>
      </c>
      <c r="O654" s="93">
        <f t="shared" si="164"/>
        <v>0</v>
      </c>
      <c r="P654" s="93">
        <f t="shared" si="165"/>
        <v>0</v>
      </c>
      <c r="Q654" s="93">
        <f t="shared" si="166"/>
        <v>0</v>
      </c>
      <c r="R654" s="93">
        <f t="shared" si="167"/>
        <v>69</v>
      </c>
      <c r="S654" s="93">
        <f t="shared" si="168"/>
        <v>0</v>
      </c>
      <c r="T654" s="93">
        <f t="shared" si="169"/>
        <v>69</v>
      </c>
      <c r="U654" s="312">
        <f t="shared" si="170"/>
        <v>207</v>
      </c>
      <c r="V654" s="93">
        <f t="shared" si="171"/>
        <v>0</v>
      </c>
    </row>
    <row r="655" spans="1:22" ht="18" customHeight="1" x14ac:dyDescent="0.2">
      <c r="A655" s="110" t="s">
        <v>1330</v>
      </c>
      <c r="B655" s="111"/>
      <c r="C655" s="201" t="s">
        <v>1331</v>
      </c>
      <c r="D655" s="91">
        <v>41676</v>
      </c>
      <c r="E655" s="92"/>
      <c r="F655" s="93"/>
      <c r="G655" s="93"/>
      <c r="H655" s="93">
        <v>4238</v>
      </c>
      <c r="I655" s="93">
        <v>119</v>
      </c>
      <c r="J655" s="93"/>
      <c r="K655" s="93">
        <f t="shared" si="162"/>
        <v>0</v>
      </c>
      <c r="L655" s="93">
        <f t="shared" si="163"/>
        <v>0</v>
      </c>
      <c r="M655" s="94">
        <v>50</v>
      </c>
      <c r="N655" s="95" t="s">
        <v>289</v>
      </c>
      <c r="O655" s="93">
        <f t="shared" si="164"/>
        <v>0</v>
      </c>
      <c r="P655" s="93">
        <f t="shared" si="165"/>
        <v>0</v>
      </c>
      <c r="Q655" s="93">
        <f t="shared" si="166"/>
        <v>0</v>
      </c>
      <c r="R655" s="93">
        <f t="shared" si="167"/>
        <v>29</v>
      </c>
      <c r="S655" s="93">
        <f t="shared" si="168"/>
        <v>0</v>
      </c>
      <c r="T655" s="93">
        <f t="shared" si="169"/>
        <v>29</v>
      </c>
      <c r="U655" s="312">
        <f t="shared" si="170"/>
        <v>90</v>
      </c>
      <c r="V655" s="93">
        <f t="shared" si="171"/>
        <v>0</v>
      </c>
    </row>
    <row r="656" spans="1:22" ht="18" customHeight="1" x14ac:dyDescent="0.2">
      <c r="A656" s="110" t="s">
        <v>1332</v>
      </c>
      <c r="B656" s="111"/>
      <c r="C656" s="90" t="s">
        <v>1333</v>
      </c>
      <c r="D656" s="91">
        <v>41684</v>
      </c>
      <c r="E656" s="92"/>
      <c r="F656" s="93"/>
      <c r="G656" s="93"/>
      <c r="H656" s="93">
        <v>4365</v>
      </c>
      <c r="I656" s="93">
        <v>124</v>
      </c>
      <c r="J656" s="93"/>
      <c r="K656" s="93">
        <f t="shared" si="162"/>
        <v>0</v>
      </c>
      <c r="L656" s="93">
        <f t="shared" si="163"/>
        <v>0</v>
      </c>
      <c r="M656" s="94">
        <v>50</v>
      </c>
      <c r="N656" s="95" t="s">
        <v>289</v>
      </c>
      <c r="O656" s="93">
        <f t="shared" si="164"/>
        <v>0</v>
      </c>
      <c r="P656" s="93">
        <f t="shared" si="165"/>
        <v>0</v>
      </c>
      <c r="Q656" s="93">
        <f t="shared" si="166"/>
        <v>0</v>
      </c>
      <c r="R656" s="93">
        <f t="shared" si="167"/>
        <v>31</v>
      </c>
      <c r="S656" s="93">
        <f t="shared" si="168"/>
        <v>0</v>
      </c>
      <c r="T656" s="93">
        <f t="shared" si="169"/>
        <v>31</v>
      </c>
      <c r="U656" s="312">
        <f t="shared" si="170"/>
        <v>93</v>
      </c>
      <c r="V656" s="93">
        <f t="shared" si="171"/>
        <v>0</v>
      </c>
    </row>
    <row r="657" spans="1:22" ht="18" customHeight="1" x14ac:dyDescent="0.2">
      <c r="A657" s="110" t="s">
        <v>1334</v>
      </c>
      <c r="B657" s="111"/>
      <c r="C657" s="90" t="s">
        <v>1335</v>
      </c>
      <c r="D657" s="91">
        <v>41689</v>
      </c>
      <c r="E657" s="92"/>
      <c r="F657" s="93"/>
      <c r="G657" s="93"/>
      <c r="H657" s="93">
        <v>3747</v>
      </c>
      <c r="I657" s="93">
        <v>107</v>
      </c>
      <c r="J657" s="93"/>
      <c r="K657" s="93">
        <f t="shared" si="162"/>
        <v>0</v>
      </c>
      <c r="L657" s="93">
        <f t="shared" si="163"/>
        <v>0</v>
      </c>
      <c r="M657" s="94">
        <v>50</v>
      </c>
      <c r="N657" s="95" t="s">
        <v>289</v>
      </c>
      <c r="O657" s="93">
        <f t="shared" si="164"/>
        <v>0</v>
      </c>
      <c r="P657" s="93">
        <f t="shared" si="165"/>
        <v>0</v>
      </c>
      <c r="Q657" s="93">
        <f t="shared" si="166"/>
        <v>0</v>
      </c>
      <c r="R657" s="93">
        <f t="shared" si="167"/>
        <v>26</v>
      </c>
      <c r="S657" s="93">
        <f t="shared" si="168"/>
        <v>0</v>
      </c>
      <c r="T657" s="93">
        <f t="shared" si="169"/>
        <v>26</v>
      </c>
      <c r="U657" s="312">
        <f t="shared" si="170"/>
        <v>81</v>
      </c>
      <c r="V657" s="93">
        <f t="shared" si="171"/>
        <v>0</v>
      </c>
    </row>
    <row r="658" spans="1:22" ht="18" customHeight="1" x14ac:dyDescent="0.2">
      <c r="A658" s="110" t="s">
        <v>1336</v>
      </c>
      <c r="B658" s="111"/>
      <c r="C658" s="201" t="s">
        <v>1337</v>
      </c>
      <c r="D658" s="91">
        <v>41717</v>
      </c>
      <c r="E658" s="92"/>
      <c r="F658" s="93"/>
      <c r="G658" s="93"/>
      <c r="H658" s="93">
        <v>3075.92</v>
      </c>
      <c r="I658" s="93">
        <v>92.920000000000016</v>
      </c>
      <c r="J658" s="93"/>
      <c r="K658" s="93">
        <f t="shared" si="162"/>
        <v>0</v>
      </c>
      <c r="L658" s="93">
        <f t="shared" si="163"/>
        <v>0</v>
      </c>
      <c r="M658" s="94">
        <v>50</v>
      </c>
      <c r="N658" s="95" t="s">
        <v>289</v>
      </c>
      <c r="O658" s="93">
        <f t="shared" si="164"/>
        <v>0</v>
      </c>
      <c r="P658" s="93">
        <f t="shared" si="165"/>
        <v>0</v>
      </c>
      <c r="Q658" s="93">
        <f t="shared" si="166"/>
        <v>0</v>
      </c>
      <c r="R658" s="93">
        <f t="shared" si="167"/>
        <v>23</v>
      </c>
      <c r="S658" s="93">
        <f t="shared" si="168"/>
        <v>0</v>
      </c>
      <c r="T658" s="93">
        <f t="shared" si="169"/>
        <v>23</v>
      </c>
      <c r="U658" s="312">
        <f t="shared" si="170"/>
        <v>69.920000000000016</v>
      </c>
      <c r="V658" s="93">
        <f t="shared" si="171"/>
        <v>0</v>
      </c>
    </row>
    <row r="659" spans="1:22" ht="18" customHeight="1" x14ac:dyDescent="0.2">
      <c r="A659" s="110" t="s">
        <v>1338</v>
      </c>
      <c r="B659" s="111"/>
      <c r="C659" s="201" t="s">
        <v>1339</v>
      </c>
      <c r="D659" s="91">
        <v>41717</v>
      </c>
      <c r="E659" s="92"/>
      <c r="F659" s="93"/>
      <c r="G659" s="93"/>
      <c r="H659" s="93">
        <v>1537.96</v>
      </c>
      <c r="I659" s="93">
        <v>46.960000000000008</v>
      </c>
      <c r="J659" s="93"/>
      <c r="K659" s="93">
        <f t="shared" si="162"/>
        <v>0</v>
      </c>
      <c r="L659" s="93">
        <f t="shared" si="163"/>
        <v>0</v>
      </c>
      <c r="M659" s="94">
        <v>50</v>
      </c>
      <c r="N659" s="95" t="s">
        <v>289</v>
      </c>
      <c r="O659" s="93">
        <f t="shared" si="164"/>
        <v>0</v>
      </c>
      <c r="P659" s="93">
        <f t="shared" si="165"/>
        <v>0</v>
      </c>
      <c r="Q659" s="93">
        <f t="shared" si="166"/>
        <v>0</v>
      </c>
      <c r="R659" s="93">
        <f t="shared" si="167"/>
        <v>11</v>
      </c>
      <c r="S659" s="93">
        <f t="shared" si="168"/>
        <v>0</v>
      </c>
      <c r="T659" s="93">
        <f t="shared" si="169"/>
        <v>11</v>
      </c>
      <c r="U659" s="312">
        <f t="shared" si="170"/>
        <v>35.960000000000008</v>
      </c>
      <c r="V659" s="93">
        <f t="shared" si="171"/>
        <v>0</v>
      </c>
    </row>
    <row r="660" spans="1:22" ht="18" customHeight="1" x14ac:dyDescent="0.2">
      <c r="A660" s="110" t="s">
        <v>1340</v>
      </c>
      <c r="B660" s="111"/>
      <c r="C660" s="201" t="s">
        <v>1341</v>
      </c>
      <c r="D660" s="91">
        <v>41717</v>
      </c>
      <c r="E660" s="92"/>
      <c r="F660" s="93"/>
      <c r="G660" s="93"/>
      <c r="H660" s="93">
        <v>1537.96</v>
      </c>
      <c r="I660" s="93">
        <v>46.960000000000008</v>
      </c>
      <c r="J660" s="93"/>
      <c r="K660" s="93">
        <f t="shared" si="162"/>
        <v>0</v>
      </c>
      <c r="L660" s="93">
        <f t="shared" si="163"/>
        <v>0</v>
      </c>
      <c r="M660" s="94">
        <v>50</v>
      </c>
      <c r="N660" s="95" t="s">
        <v>289</v>
      </c>
      <c r="O660" s="93">
        <f t="shared" si="164"/>
        <v>0</v>
      </c>
      <c r="P660" s="93">
        <f t="shared" si="165"/>
        <v>0</v>
      </c>
      <c r="Q660" s="93">
        <f t="shared" si="166"/>
        <v>0</v>
      </c>
      <c r="R660" s="93">
        <f t="shared" si="167"/>
        <v>11</v>
      </c>
      <c r="S660" s="93">
        <f t="shared" si="168"/>
        <v>0</v>
      </c>
      <c r="T660" s="93">
        <f t="shared" si="169"/>
        <v>11</v>
      </c>
      <c r="U660" s="312">
        <f t="shared" si="170"/>
        <v>35.960000000000008</v>
      </c>
      <c r="V660" s="93">
        <f t="shared" si="171"/>
        <v>0</v>
      </c>
    </row>
    <row r="661" spans="1:22" ht="18" customHeight="1" x14ac:dyDescent="0.2">
      <c r="A661" s="110" t="s">
        <v>1342</v>
      </c>
      <c r="B661" s="111"/>
      <c r="C661" s="201" t="s">
        <v>1343</v>
      </c>
      <c r="D661" s="91">
        <v>41717</v>
      </c>
      <c r="E661" s="92"/>
      <c r="F661" s="93"/>
      <c r="G661" s="93"/>
      <c r="H661" s="93">
        <v>2128.86</v>
      </c>
      <c r="I661" s="93">
        <v>64.86</v>
      </c>
      <c r="J661" s="93"/>
      <c r="K661" s="93">
        <f t="shared" si="162"/>
        <v>0</v>
      </c>
      <c r="L661" s="93">
        <f t="shared" si="163"/>
        <v>0</v>
      </c>
      <c r="M661" s="94">
        <v>50</v>
      </c>
      <c r="N661" s="95" t="s">
        <v>289</v>
      </c>
      <c r="O661" s="93">
        <f t="shared" si="164"/>
        <v>0</v>
      </c>
      <c r="P661" s="93">
        <f t="shared" si="165"/>
        <v>0</v>
      </c>
      <c r="Q661" s="93">
        <f t="shared" si="166"/>
        <v>0</v>
      </c>
      <c r="R661" s="93">
        <f t="shared" si="167"/>
        <v>16</v>
      </c>
      <c r="S661" s="93">
        <f t="shared" si="168"/>
        <v>0</v>
      </c>
      <c r="T661" s="93">
        <f t="shared" si="169"/>
        <v>16</v>
      </c>
      <c r="U661" s="312">
        <f t="shared" si="170"/>
        <v>48.86</v>
      </c>
      <c r="V661" s="93">
        <f t="shared" si="171"/>
        <v>0</v>
      </c>
    </row>
    <row r="662" spans="1:22" ht="18" customHeight="1" x14ac:dyDescent="0.2">
      <c r="A662" s="110" t="s">
        <v>1344</v>
      </c>
      <c r="B662" s="111"/>
      <c r="C662" s="201" t="s">
        <v>1345</v>
      </c>
      <c r="D662" s="91">
        <v>41717</v>
      </c>
      <c r="E662" s="92"/>
      <c r="F662" s="93"/>
      <c r="G662" s="93"/>
      <c r="H662" s="93">
        <v>6386.58</v>
      </c>
      <c r="I662" s="93">
        <v>192.57999999999998</v>
      </c>
      <c r="J662" s="93"/>
      <c r="K662" s="93">
        <f t="shared" si="162"/>
        <v>0</v>
      </c>
      <c r="L662" s="93">
        <f t="shared" si="163"/>
        <v>0</v>
      </c>
      <c r="M662" s="94">
        <v>50</v>
      </c>
      <c r="N662" s="95" t="s">
        <v>289</v>
      </c>
      <c r="O662" s="93">
        <f t="shared" si="164"/>
        <v>0</v>
      </c>
      <c r="P662" s="93">
        <f t="shared" si="165"/>
        <v>0</v>
      </c>
      <c r="Q662" s="93">
        <f t="shared" si="166"/>
        <v>0</v>
      </c>
      <c r="R662" s="93">
        <f t="shared" si="167"/>
        <v>48</v>
      </c>
      <c r="S662" s="93">
        <f t="shared" si="168"/>
        <v>0</v>
      </c>
      <c r="T662" s="93">
        <f t="shared" si="169"/>
        <v>48</v>
      </c>
      <c r="U662" s="312">
        <f t="shared" si="170"/>
        <v>144.57999999999998</v>
      </c>
      <c r="V662" s="93">
        <f t="shared" si="171"/>
        <v>0</v>
      </c>
    </row>
    <row r="663" spans="1:22" ht="18" customHeight="1" x14ac:dyDescent="0.2">
      <c r="A663" s="110" t="s">
        <v>1346</v>
      </c>
      <c r="B663" s="111"/>
      <c r="C663" s="201" t="s">
        <v>1347</v>
      </c>
      <c r="D663" s="91">
        <v>41717</v>
      </c>
      <c r="E663" s="92"/>
      <c r="F663" s="93"/>
      <c r="G663" s="93"/>
      <c r="H663" s="93">
        <v>2128.86</v>
      </c>
      <c r="I663" s="93">
        <v>64.86</v>
      </c>
      <c r="J663" s="93"/>
      <c r="K663" s="93">
        <f t="shared" si="162"/>
        <v>0</v>
      </c>
      <c r="L663" s="93">
        <f t="shared" si="163"/>
        <v>0</v>
      </c>
      <c r="M663" s="94">
        <v>50</v>
      </c>
      <c r="N663" s="95" t="s">
        <v>289</v>
      </c>
      <c r="O663" s="93">
        <f t="shared" si="164"/>
        <v>0</v>
      </c>
      <c r="P663" s="93">
        <f t="shared" si="165"/>
        <v>0</v>
      </c>
      <c r="Q663" s="93">
        <f t="shared" si="166"/>
        <v>0</v>
      </c>
      <c r="R663" s="93">
        <f t="shared" si="167"/>
        <v>16</v>
      </c>
      <c r="S663" s="93">
        <f t="shared" si="168"/>
        <v>0</v>
      </c>
      <c r="T663" s="93">
        <f t="shared" si="169"/>
        <v>16</v>
      </c>
      <c r="U663" s="312">
        <f t="shared" si="170"/>
        <v>48.86</v>
      </c>
      <c r="V663" s="93">
        <f t="shared" si="171"/>
        <v>0</v>
      </c>
    </row>
    <row r="664" spans="1:22" ht="18" customHeight="1" x14ac:dyDescent="0.2">
      <c r="A664" s="110" t="s">
        <v>1348</v>
      </c>
      <c r="B664" s="111"/>
      <c r="C664" s="201" t="s">
        <v>1349</v>
      </c>
      <c r="D664" s="91">
        <v>41717</v>
      </c>
      <c r="E664" s="92"/>
      <c r="F664" s="93"/>
      <c r="G664" s="93"/>
      <c r="H664" s="93">
        <v>6489.8</v>
      </c>
      <c r="I664" s="93">
        <v>194.8</v>
      </c>
      <c r="J664" s="93"/>
      <c r="K664" s="93">
        <f t="shared" si="162"/>
        <v>0</v>
      </c>
      <c r="L664" s="93">
        <f t="shared" si="163"/>
        <v>0</v>
      </c>
      <c r="M664" s="94">
        <v>50</v>
      </c>
      <c r="N664" s="95" t="s">
        <v>289</v>
      </c>
      <c r="O664" s="93">
        <f t="shared" si="164"/>
        <v>0</v>
      </c>
      <c r="P664" s="93">
        <f t="shared" si="165"/>
        <v>0</v>
      </c>
      <c r="Q664" s="93">
        <f t="shared" si="166"/>
        <v>0</v>
      </c>
      <c r="R664" s="93">
        <f t="shared" si="167"/>
        <v>48</v>
      </c>
      <c r="S664" s="93">
        <f t="shared" si="168"/>
        <v>0</v>
      </c>
      <c r="T664" s="93">
        <f t="shared" si="169"/>
        <v>48</v>
      </c>
      <c r="U664" s="312">
        <f t="shared" si="170"/>
        <v>146.80000000000001</v>
      </c>
      <c r="V664" s="93">
        <f t="shared" si="171"/>
        <v>0</v>
      </c>
    </row>
    <row r="665" spans="1:22" ht="18" customHeight="1" x14ac:dyDescent="0.2">
      <c r="A665" s="110" t="s">
        <v>1350</v>
      </c>
      <c r="B665" s="111"/>
      <c r="C665" s="201" t="s">
        <v>1351</v>
      </c>
      <c r="D665" s="91">
        <v>41726</v>
      </c>
      <c r="E665" s="92"/>
      <c r="F665" s="93"/>
      <c r="G665" s="93"/>
      <c r="H665" s="93">
        <v>4380</v>
      </c>
      <c r="I665" s="93">
        <v>134</v>
      </c>
      <c r="J665" s="93"/>
      <c r="K665" s="93">
        <f t="shared" si="162"/>
        <v>0</v>
      </c>
      <c r="L665" s="93">
        <f t="shared" si="163"/>
        <v>0</v>
      </c>
      <c r="M665" s="94">
        <v>50</v>
      </c>
      <c r="N665" s="95" t="s">
        <v>289</v>
      </c>
      <c r="O665" s="93">
        <f t="shared" si="164"/>
        <v>0</v>
      </c>
      <c r="P665" s="93">
        <f t="shared" si="165"/>
        <v>0</v>
      </c>
      <c r="Q665" s="93">
        <f t="shared" si="166"/>
        <v>0</v>
      </c>
      <c r="R665" s="93">
        <f t="shared" si="167"/>
        <v>33</v>
      </c>
      <c r="S665" s="93">
        <f t="shared" si="168"/>
        <v>0</v>
      </c>
      <c r="T665" s="93">
        <f t="shared" si="169"/>
        <v>33</v>
      </c>
      <c r="U665" s="312">
        <f t="shared" si="170"/>
        <v>101</v>
      </c>
      <c r="V665" s="93">
        <f t="shared" si="171"/>
        <v>0</v>
      </c>
    </row>
    <row r="666" spans="1:22" ht="18" customHeight="1" x14ac:dyDescent="0.2">
      <c r="A666" s="110" t="s">
        <v>1352</v>
      </c>
      <c r="B666" s="111"/>
      <c r="C666" s="201" t="s">
        <v>1353</v>
      </c>
      <c r="D666" s="91">
        <v>41730</v>
      </c>
      <c r="E666" s="92"/>
      <c r="F666" s="93"/>
      <c r="G666" s="93"/>
      <c r="H666" s="93">
        <v>1400</v>
      </c>
      <c r="I666" s="93">
        <v>43</v>
      </c>
      <c r="J666" s="93"/>
      <c r="K666" s="93">
        <f t="shared" si="162"/>
        <v>0</v>
      </c>
      <c r="L666" s="93">
        <f t="shared" si="163"/>
        <v>0</v>
      </c>
      <c r="M666" s="94">
        <v>50</v>
      </c>
      <c r="N666" s="95" t="s">
        <v>289</v>
      </c>
      <c r="O666" s="93">
        <f t="shared" si="164"/>
        <v>0</v>
      </c>
      <c r="P666" s="93">
        <f t="shared" si="165"/>
        <v>0</v>
      </c>
      <c r="Q666" s="93">
        <f t="shared" si="166"/>
        <v>0</v>
      </c>
      <c r="R666" s="93">
        <f t="shared" si="167"/>
        <v>10</v>
      </c>
      <c r="S666" s="93">
        <f t="shared" si="168"/>
        <v>0</v>
      </c>
      <c r="T666" s="93">
        <f t="shared" si="169"/>
        <v>10</v>
      </c>
      <c r="U666" s="312">
        <f t="shared" si="170"/>
        <v>33</v>
      </c>
      <c r="V666" s="93">
        <f t="shared" si="171"/>
        <v>0</v>
      </c>
    </row>
    <row r="667" spans="1:22" ht="18" customHeight="1" x14ac:dyDescent="0.2">
      <c r="A667" s="110" t="s">
        <v>1354</v>
      </c>
      <c r="B667" s="111"/>
      <c r="C667" s="201" t="s">
        <v>1355</v>
      </c>
      <c r="D667" s="91">
        <v>41730</v>
      </c>
      <c r="E667" s="92"/>
      <c r="F667" s="93"/>
      <c r="G667" s="93"/>
      <c r="H667" s="93">
        <v>700</v>
      </c>
      <c r="I667" s="93">
        <v>22</v>
      </c>
      <c r="J667" s="93"/>
      <c r="K667" s="93">
        <f t="shared" si="162"/>
        <v>0</v>
      </c>
      <c r="L667" s="93">
        <f t="shared" si="163"/>
        <v>0</v>
      </c>
      <c r="M667" s="94">
        <v>50</v>
      </c>
      <c r="N667" s="95" t="s">
        <v>289</v>
      </c>
      <c r="O667" s="93">
        <f t="shared" si="164"/>
        <v>0</v>
      </c>
      <c r="P667" s="93">
        <f t="shared" si="165"/>
        <v>0</v>
      </c>
      <c r="Q667" s="93">
        <f t="shared" si="166"/>
        <v>0</v>
      </c>
      <c r="R667" s="93">
        <f t="shared" si="167"/>
        <v>5</v>
      </c>
      <c r="S667" s="93">
        <f t="shared" si="168"/>
        <v>0</v>
      </c>
      <c r="T667" s="93">
        <f t="shared" si="169"/>
        <v>5</v>
      </c>
      <c r="U667" s="312">
        <f t="shared" si="170"/>
        <v>17</v>
      </c>
      <c r="V667" s="93">
        <f t="shared" si="171"/>
        <v>0</v>
      </c>
    </row>
    <row r="668" spans="1:22" ht="18" customHeight="1" x14ac:dyDescent="0.2">
      <c r="A668" s="110" t="s">
        <v>1356</v>
      </c>
      <c r="B668" s="111"/>
      <c r="C668" s="90" t="s">
        <v>1357</v>
      </c>
      <c r="D668" s="91">
        <v>41731</v>
      </c>
      <c r="E668" s="92"/>
      <c r="F668" s="93"/>
      <c r="G668" s="93"/>
      <c r="H668" s="93">
        <v>6347.26</v>
      </c>
      <c r="I668" s="93">
        <v>195.26</v>
      </c>
      <c r="J668" s="93"/>
      <c r="K668" s="93">
        <f t="shared" si="162"/>
        <v>0</v>
      </c>
      <c r="L668" s="93">
        <f t="shared" si="163"/>
        <v>0</v>
      </c>
      <c r="M668" s="94">
        <v>50</v>
      </c>
      <c r="N668" s="95" t="s">
        <v>289</v>
      </c>
      <c r="O668" s="93">
        <f t="shared" si="164"/>
        <v>0</v>
      </c>
      <c r="P668" s="93">
        <f t="shared" si="165"/>
        <v>0</v>
      </c>
      <c r="Q668" s="93">
        <f t="shared" si="166"/>
        <v>0</v>
      </c>
      <c r="R668" s="93">
        <f t="shared" si="167"/>
        <v>48</v>
      </c>
      <c r="S668" s="93">
        <f t="shared" si="168"/>
        <v>0</v>
      </c>
      <c r="T668" s="93">
        <f t="shared" si="169"/>
        <v>48</v>
      </c>
      <c r="U668" s="312">
        <f t="shared" si="170"/>
        <v>147.26</v>
      </c>
      <c r="V668" s="93">
        <f t="shared" si="171"/>
        <v>0</v>
      </c>
    </row>
    <row r="669" spans="1:22" ht="18" customHeight="1" x14ac:dyDescent="0.2">
      <c r="A669" s="110" t="s">
        <v>1358</v>
      </c>
      <c r="B669" s="111"/>
      <c r="C669" s="201" t="s">
        <v>1359</v>
      </c>
      <c r="D669" s="91">
        <v>41742</v>
      </c>
      <c r="E669" s="92"/>
      <c r="F669" s="93"/>
      <c r="G669" s="93"/>
      <c r="H669" s="93">
        <v>2100</v>
      </c>
      <c r="I669" s="93">
        <v>66</v>
      </c>
      <c r="J669" s="93"/>
      <c r="K669" s="93">
        <f t="shared" si="162"/>
        <v>0</v>
      </c>
      <c r="L669" s="93">
        <f t="shared" si="163"/>
        <v>0</v>
      </c>
      <c r="M669" s="94">
        <v>50</v>
      </c>
      <c r="N669" s="95" t="s">
        <v>289</v>
      </c>
      <c r="O669" s="93">
        <f t="shared" si="164"/>
        <v>0</v>
      </c>
      <c r="P669" s="93">
        <f t="shared" si="165"/>
        <v>0</v>
      </c>
      <c r="Q669" s="93">
        <f t="shared" si="166"/>
        <v>0</v>
      </c>
      <c r="R669" s="93">
        <f t="shared" si="167"/>
        <v>16</v>
      </c>
      <c r="S669" s="93">
        <f t="shared" si="168"/>
        <v>0</v>
      </c>
      <c r="T669" s="93">
        <f t="shared" si="169"/>
        <v>16</v>
      </c>
      <c r="U669" s="312">
        <f t="shared" si="170"/>
        <v>50</v>
      </c>
      <c r="V669" s="93">
        <f t="shared" si="171"/>
        <v>0</v>
      </c>
    </row>
    <row r="670" spans="1:22" ht="18" customHeight="1" x14ac:dyDescent="0.2">
      <c r="A670" s="110" t="s">
        <v>1360</v>
      </c>
      <c r="B670" s="111"/>
      <c r="C670" s="201" t="s">
        <v>1361</v>
      </c>
      <c r="D670" s="91">
        <v>41742</v>
      </c>
      <c r="E670" s="92"/>
      <c r="F670" s="93"/>
      <c r="G670" s="93"/>
      <c r="H670" s="93">
        <v>2640</v>
      </c>
      <c r="I670" s="93">
        <v>83</v>
      </c>
      <c r="J670" s="93"/>
      <c r="K670" s="93">
        <f t="shared" si="162"/>
        <v>0</v>
      </c>
      <c r="L670" s="93">
        <f t="shared" si="163"/>
        <v>0</v>
      </c>
      <c r="M670" s="94">
        <v>50</v>
      </c>
      <c r="N670" s="95" t="s">
        <v>289</v>
      </c>
      <c r="O670" s="93">
        <f t="shared" si="164"/>
        <v>0</v>
      </c>
      <c r="P670" s="93">
        <f t="shared" si="165"/>
        <v>0</v>
      </c>
      <c r="Q670" s="93">
        <f t="shared" si="166"/>
        <v>0</v>
      </c>
      <c r="R670" s="93">
        <f t="shared" si="167"/>
        <v>20</v>
      </c>
      <c r="S670" s="93">
        <f t="shared" si="168"/>
        <v>0</v>
      </c>
      <c r="T670" s="93">
        <f t="shared" si="169"/>
        <v>20</v>
      </c>
      <c r="U670" s="312">
        <f t="shared" si="170"/>
        <v>63</v>
      </c>
      <c r="V670" s="93">
        <f t="shared" si="171"/>
        <v>0</v>
      </c>
    </row>
    <row r="671" spans="1:22" ht="18" customHeight="1" x14ac:dyDescent="0.2">
      <c r="A671" s="110" t="s">
        <v>1362</v>
      </c>
      <c r="B671" s="111"/>
      <c r="C671" s="201" t="s">
        <v>1309</v>
      </c>
      <c r="D671" s="91">
        <v>41744</v>
      </c>
      <c r="E671" s="92"/>
      <c r="F671" s="93"/>
      <c r="G671" s="93"/>
      <c r="H671" s="93">
        <v>8142</v>
      </c>
      <c r="I671" s="93">
        <v>255</v>
      </c>
      <c r="J671" s="93"/>
      <c r="K671" s="93">
        <f t="shared" si="162"/>
        <v>0</v>
      </c>
      <c r="L671" s="93">
        <f t="shared" si="163"/>
        <v>0</v>
      </c>
      <c r="M671" s="94">
        <v>50</v>
      </c>
      <c r="N671" s="95" t="s">
        <v>289</v>
      </c>
      <c r="O671" s="93">
        <f t="shared" si="164"/>
        <v>0</v>
      </c>
      <c r="P671" s="93">
        <f t="shared" si="165"/>
        <v>0</v>
      </c>
      <c r="Q671" s="93">
        <f t="shared" si="166"/>
        <v>0</v>
      </c>
      <c r="R671" s="93">
        <f t="shared" si="167"/>
        <v>63</v>
      </c>
      <c r="S671" s="93">
        <f t="shared" si="168"/>
        <v>0</v>
      </c>
      <c r="T671" s="93">
        <f t="shared" si="169"/>
        <v>63</v>
      </c>
      <c r="U671" s="312">
        <f t="shared" si="170"/>
        <v>192</v>
      </c>
      <c r="V671" s="93">
        <f t="shared" si="171"/>
        <v>0</v>
      </c>
    </row>
    <row r="672" spans="1:22" ht="18" customHeight="1" x14ac:dyDescent="0.2">
      <c r="A672" s="110" t="s">
        <v>1363</v>
      </c>
      <c r="B672" s="111"/>
      <c r="C672" s="201" t="s">
        <v>1364</v>
      </c>
      <c r="D672" s="91">
        <v>41820</v>
      </c>
      <c r="E672" s="92"/>
      <c r="F672" s="93"/>
      <c r="G672" s="93"/>
      <c r="H672" s="93">
        <v>10635.17</v>
      </c>
      <c r="I672" s="93">
        <v>372.16999999999996</v>
      </c>
      <c r="J672" s="93"/>
      <c r="K672" s="93">
        <f t="shared" si="162"/>
        <v>0</v>
      </c>
      <c r="L672" s="93">
        <f t="shared" si="163"/>
        <v>0</v>
      </c>
      <c r="M672" s="94">
        <v>50</v>
      </c>
      <c r="N672" s="95" t="s">
        <v>289</v>
      </c>
      <c r="O672" s="93">
        <f t="shared" si="164"/>
        <v>0</v>
      </c>
      <c r="P672" s="93">
        <f t="shared" si="165"/>
        <v>0</v>
      </c>
      <c r="Q672" s="93">
        <f t="shared" si="166"/>
        <v>0</v>
      </c>
      <c r="R672" s="93">
        <f t="shared" si="167"/>
        <v>93</v>
      </c>
      <c r="S672" s="93">
        <f t="shared" si="168"/>
        <v>0</v>
      </c>
      <c r="T672" s="93">
        <f t="shared" si="169"/>
        <v>93</v>
      </c>
      <c r="U672" s="312">
        <f t="shared" si="170"/>
        <v>279.16999999999996</v>
      </c>
      <c r="V672" s="93">
        <f t="shared" si="171"/>
        <v>0</v>
      </c>
    </row>
    <row r="673" spans="1:22" ht="18" customHeight="1" x14ac:dyDescent="0.2">
      <c r="A673" s="110" t="s">
        <v>1365</v>
      </c>
      <c r="B673" s="111"/>
      <c r="C673" s="201" t="s">
        <v>1366</v>
      </c>
      <c r="D673" s="91">
        <v>41731</v>
      </c>
      <c r="E673" s="92"/>
      <c r="F673" s="93"/>
      <c r="G673" s="93"/>
      <c r="H673" s="93">
        <v>7526.52</v>
      </c>
      <c r="I673" s="93">
        <v>231.51999999999998</v>
      </c>
      <c r="J673" s="93"/>
      <c r="K673" s="93">
        <f t="shared" si="162"/>
        <v>0</v>
      </c>
      <c r="L673" s="93">
        <f t="shared" si="163"/>
        <v>0</v>
      </c>
      <c r="M673" s="94">
        <v>50</v>
      </c>
      <c r="N673" s="95" t="s">
        <v>289</v>
      </c>
      <c r="O673" s="93">
        <f t="shared" si="164"/>
        <v>0</v>
      </c>
      <c r="P673" s="93">
        <f t="shared" si="165"/>
        <v>0</v>
      </c>
      <c r="Q673" s="93">
        <f t="shared" si="166"/>
        <v>0</v>
      </c>
      <c r="R673" s="93">
        <f t="shared" si="167"/>
        <v>57</v>
      </c>
      <c r="S673" s="93">
        <f t="shared" si="168"/>
        <v>0</v>
      </c>
      <c r="T673" s="93">
        <f t="shared" si="169"/>
        <v>57</v>
      </c>
      <c r="U673" s="312">
        <f t="shared" si="170"/>
        <v>174.51999999999998</v>
      </c>
      <c r="V673" s="93">
        <f t="shared" si="171"/>
        <v>0</v>
      </c>
    </row>
    <row r="674" spans="1:22" ht="18" customHeight="1" x14ac:dyDescent="0.2">
      <c r="A674" s="110" t="s">
        <v>1367</v>
      </c>
      <c r="B674" s="111"/>
      <c r="C674" s="201" t="s">
        <v>1368</v>
      </c>
      <c r="D674" s="91">
        <v>41688</v>
      </c>
      <c r="E674" s="92"/>
      <c r="F674" s="93"/>
      <c r="G674" s="93"/>
      <c r="H674" s="93">
        <v>2727.5</v>
      </c>
      <c r="I674" s="93">
        <v>78.5</v>
      </c>
      <c r="J674" s="93"/>
      <c r="K674" s="93">
        <f t="shared" si="162"/>
        <v>0</v>
      </c>
      <c r="L674" s="93">
        <f t="shared" si="163"/>
        <v>0</v>
      </c>
      <c r="M674" s="94">
        <v>50</v>
      </c>
      <c r="N674" s="95" t="s">
        <v>289</v>
      </c>
      <c r="O674" s="93">
        <f t="shared" si="164"/>
        <v>0</v>
      </c>
      <c r="P674" s="93">
        <f t="shared" si="165"/>
        <v>0</v>
      </c>
      <c r="Q674" s="93">
        <f t="shared" si="166"/>
        <v>0</v>
      </c>
      <c r="R674" s="93">
        <f t="shared" si="167"/>
        <v>19</v>
      </c>
      <c r="S674" s="93">
        <f t="shared" si="168"/>
        <v>0</v>
      </c>
      <c r="T674" s="93">
        <f t="shared" si="169"/>
        <v>19</v>
      </c>
      <c r="U674" s="312">
        <f t="shared" si="170"/>
        <v>59.5</v>
      </c>
      <c r="V674" s="93">
        <f t="shared" si="171"/>
        <v>0</v>
      </c>
    </row>
    <row r="675" spans="1:22" ht="18" customHeight="1" x14ac:dyDescent="0.2">
      <c r="A675" s="110" t="s">
        <v>1369</v>
      </c>
      <c r="B675" s="111"/>
      <c r="C675" s="201" t="s">
        <v>1370</v>
      </c>
      <c r="D675" s="91">
        <v>41942</v>
      </c>
      <c r="E675" s="92"/>
      <c r="F675" s="93"/>
      <c r="G675" s="93"/>
      <c r="H675" s="93">
        <v>5250</v>
      </c>
      <c r="I675" s="93">
        <v>245</v>
      </c>
      <c r="J675" s="93"/>
      <c r="K675" s="93">
        <f t="shared" si="162"/>
        <v>0</v>
      </c>
      <c r="L675" s="93">
        <f t="shared" si="163"/>
        <v>0</v>
      </c>
      <c r="M675" s="94">
        <v>50</v>
      </c>
      <c r="N675" s="95" t="s">
        <v>289</v>
      </c>
      <c r="O675" s="93">
        <f t="shared" si="164"/>
        <v>0</v>
      </c>
      <c r="P675" s="93">
        <f t="shared" si="165"/>
        <v>0</v>
      </c>
      <c r="Q675" s="93">
        <f t="shared" si="166"/>
        <v>0</v>
      </c>
      <c r="R675" s="93">
        <f t="shared" si="167"/>
        <v>61</v>
      </c>
      <c r="S675" s="93">
        <f t="shared" si="168"/>
        <v>0</v>
      </c>
      <c r="T675" s="93">
        <f t="shared" si="169"/>
        <v>61</v>
      </c>
      <c r="U675" s="312">
        <f t="shared" si="170"/>
        <v>184</v>
      </c>
      <c r="V675" s="93">
        <f t="shared" si="171"/>
        <v>0</v>
      </c>
    </row>
    <row r="676" spans="1:22" ht="18" customHeight="1" x14ac:dyDescent="0.2">
      <c r="A676" s="110" t="s">
        <v>1371</v>
      </c>
      <c r="B676" s="111"/>
      <c r="C676" s="201" t="s">
        <v>1372</v>
      </c>
      <c r="D676" s="91">
        <v>41961</v>
      </c>
      <c r="E676" s="92"/>
      <c r="F676" s="93"/>
      <c r="G676" s="93"/>
      <c r="H676" s="93">
        <v>3600</v>
      </c>
      <c r="I676" s="93">
        <v>175</v>
      </c>
      <c r="J676" s="93"/>
      <c r="K676" s="93">
        <f t="shared" si="162"/>
        <v>0</v>
      </c>
      <c r="L676" s="93">
        <f t="shared" si="163"/>
        <v>0</v>
      </c>
      <c r="M676" s="94">
        <v>50</v>
      </c>
      <c r="N676" s="95" t="s">
        <v>289</v>
      </c>
      <c r="O676" s="93">
        <f t="shared" si="164"/>
        <v>0</v>
      </c>
      <c r="P676" s="93">
        <f t="shared" si="165"/>
        <v>0</v>
      </c>
      <c r="Q676" s="93">
        <f t="shared" si="166"/>
        <v>0</v>
      </c>
      <c r="R676" s="93">
        <f t="shared" si="167"/>
        <v>43</v>
      </c>
      <c r="S676" s="93">
        <f t="shared" si="168"/>
        <v>0</v>
      </c>
      <c r="T676" s="93">
        <f t="shared" si="169"/>
        <v>43</v>
      </c>
      <c r="U676" s="312">
        <f t="shared" si="170"/>
        <v>132</v>
      </c>
      <c r="V676" s="93">
        <f t="shared" si="171"/>
        <v>0</v>
      </c>
    </row>
    <row r="677" spans="1:22" ht="18" customHeight="1" x14ac:dyDescent="0.2">
      <c r="A677" s="110" t="s">
        <v>1373</v>
      </c>
      <c r="B677" s="111"/>
      <c r="C677" s="201" t="s">
        <v>1374</v>
      </c>
      <c r="D677" s="91">
        <v>41961</v>
      </c>
      <c r="E677" s="92"/>
      <c r="F677" s="93"/>
      <c r="G677" s="93"/>
      <c r="H677" s="93">
        <v>3200</v>
      </c>
      <c r="I677" s="93">
        <v>155</v>
      </c>
      <c r="J677" s="93"/>
      <c r="K677" s="93">
        <f t="shared" si="162"/>
        <v>0</v>
      </c>
      <c r="L677" s="93">
        <f t="shared" si="163"/>
        <v>0</v>
      </c>
      <c r="M677" s="94">
        <v>50</v>
      </c>
      <c r="N677" s="95" t="s">
        <v>289</v>
      </c>
      <c r="O677" s="93">
        <f t="shared" si="164"/>
        <v>0</v>
      </c>
      <c r="P677" s="93">
        <f t="shared" si="165"/>
        <v>0</v>
      </c>
      <c r="Q677" s="93">
        <f t="shared" si="166"/>
        <v>0</v>
      </c>
      <c r="R677" s="93">
        <f t="shared" si="167"/>
        <v>38</v>
      </c>
      <c r="S677" s="93">
        <f t="shared" si="168"/>
        <v>0</v>
      </c>
      <c r="T677" s="93">
        <f t="shared" si="169"/>
        <v>38</v>
      </c>
      <c r="U677" s="312">
        <f t="shared" si="170"/>
        <v>117</v>
      </c>
      <c r="V677" s="93">
        <f t="shared" si="171"/>
        <v>0</v>
      </c>
    </row>
    <row r="678" spans="1:22" ht="18" customHeight="1" x14ac:dyDescent="0.2">
      <c r="A678" s="110" t="s">
        <v>1375</v>
      </c>
      <c r="B678" s="111"/>
      <c r="C678" s="201" t="s">
        <v>1376</v>
      </c>
      <c r="D678" s="91">
        <v>41961</v>
      </c>
      <c r="E678" s="92"/>
      <c r="F678" s="93"/>
      <c r="G678" s="93"/>
      <c r="H678" s="93">
        <v>3600</v>
      </c>
      <c r="I678" s="93">
        <v>175</v>
      </c>
      <c r="J678" s="93"/>
      <c r="K678" s="93">
        <f t="shared" si="162"/>
        <v>0</v>
      </c>
      <c r="L678" s="93">
        <f t="shared" si="163"/>
        <v>0</v>
      </c>
      <c r="M678" s="94">
        <v>50</v>
      </c>
      <c r="N678" s="95" t="s">
        <v>289</v>
      </c>
      <c r="O678" s="93">
        <f t="shared" si="164"/>
        <v>0</v>
      </c>
      <c r="P678" s="93">
        <f t="shared" si="165"/>
        <v>0</v>
      </c>
      <c r="Q678" s="93">
        <f t="shared" si="166"/>
        <v>0</v>
      </c>
      <c r="R678" s="93">
        <f t="shared" si="167"/>
        <v>43</v>
      </c>
      <c r="S678" s="93">
        <f t="shared" si="168"/>
        <v>0</v>
      </c>
      <c r="T678" s="93">
        <f t="shared" si="169"/>
        <v>43</v>
      </c>
      <c r="U678" s="312">
        <f t="shared" si="170"/>
        <v>132</v>
      </c>
      <c r="V678" s="93">
        <f t="shared" si="171"/>
        <v>0</v>
      </c>
    </row>
    <row r="679" spans="1:22" ht="18" customHeight="1" x14ac:dyDescent="0.2">
      <c r="A679" s="110" t="s">
        <v>1377</v>
      </c>
      <c r="B679" s="111"/>
      <c r="C679" s="201" t="s">
        <v>1378</v>
      </c>
      <c r="D679" s="91">
        <v>41971</v>
      </c>
      <c r="E679" s="92"/>
      <c r="F679" s="93"/>
      <c r="G679" s="93"/>
      <c r="H679" s="93">
        <v>2728</v>
      </c>
      <c r="I679" s="93">
        <v>135</v>
      </c>
      <c r="J679" s="93"/>
      <c r="K679" s="93">
        <f t="shared" si="162"/>
        <v>0</v>
      </c>
      <c r="L679" s="93">
        <f t="shared" si="163"/>
        <v>0</v>
      </c>
      <c r="M679" s="94">
        <v>50</v>
      </c>
      <c r="N679" s="95" t="s">
        <v>289</v>
      </c>
      <c r="O679" s="93">
        <f t="shared" si="164"/>
        <v>0</v>
      </c>
      <c r="P679" s="93">
        <f t="shared" si="165"/>
        <v>0</v>
      </c>
      <c r="Q679" s="93">
        <f t="shared" si="166"/>
        <v>0</v>
      </c>
      <c r="R679" s="93">
        <f t="shared" si="167"/>
        <v>33</v>
      </c>
      <c r="S679" s="93">
        <f t="shared" si="168"/>
        <v>0</v>
      </c>
      <c r="T679" s="93">
        <f t="shared" si="169"/>
        <v>33</v>
      </c>
      <c r="U679" s="312">
        <f t="shared" si="170"/>
        <v>102</v>
      </c>
      <c r="V679" s="93">
        <f t="shared" si="171"/>
        <v>0</v>
      </c>
    </row>
    <row r="680" spans="1:22" ht="18" customHeight="1" x14ac:dyDescent="0.2">
      <c r="A680" s="110" t="s">
        <v>1379</v>
      </c>
      <c r="B680" s="111"/>
      <c r="C680" s="201" t="s">
        <v>1380</v>
      </c>
      <c r="D680" s="91">
        <v>42072</v>
      </c>
      <c r="E680" s="92"/>
      <c r="F680" s="93"/>
      <c r="G680" s="93"/>
      <c r="H680" s="93">
        <v>5320</v>
      </c>
      <c r="I680" s="93">
        <v>314</v>
      </c>
      <c r="J680" s="93"/>
      <c r="K680" s="93">
        <f t="shared" si="162"/>
        <v>0</v>
      </c>
      <c r="L680" s="93">
        <f t="shared" si="163"/>
        <v>0</v>
      </c>
      <c r="M680" s="94">
        <v>50</v>
      </c>
      <c r="N680" s="95" t="s">
        <v>289</v>
      </c>
      <c r="O680" s="93">
        <f t="shared" si="164"/>
        <v>0</v>
      </c>
      <c r="P680" s="93">
        <f t="shared" si="165"/>
        <v>0</v>
      </c>
      <c r="Q680" s="93">
        <f t="shared" si="166"/>
        <v>0</v>
      </c>
      <c r="R680" s="93">
        <f t="shared" si="167"/>
        <v>78</v>
      </c>
      <c r="S680" s="93">
        <f t="shared" si="168"/>
        <v>0</v>
      </c>
      <c r="T680" s="93">
        <f t="shared" si="169"/>
        <v>78</v>
      </c>
      <c r="U680" s="312">
        <f t="shared" si="170"/>
        <v>236</v>
      </c>
      <c r="V680" s="93">
        <f t="shared" si="171"/>
        <v>0</v>
      </c>
    </row>
    <row r="681" spans="1:22" ht="18" customHeight="1" x14ac:dyDescent="0.2">
      <c r="A681" s="110" t="s">
        <v>1381</v>
      </c>
      <c r="B681" s="111"/>
      <c r="C681" s="201" t="s">
        <v>1382</v>
      </c>
      <c r="D681" s="91">
        <v>42075</v>
      </c>
      <c r="E681" s="92"/>
      <c r="F681" s="93"/>
      <c r="G681" s="93"/>
      <c r="H681" s="93">
        <v>12312</v>
      </c>
      <c r="I681" s="93">
        <v>731</v>
      </c>
      <c r="J681" s="93"/>
      <c r="K681" s="93">
        <f t="shared" si="162"/>
        <v>0</v>
      </c>
      <c r="L681" s="93">
        <f t="shared" si="163"/>
        <v>0</v>
      </c>
      <c r="M681" s="94">
        <v>50</v>
      </c>
      <c r="N681" s="95" t="s">
        <v>289</v>
      </c>
      <c r="O681" s="93">
        <f t="shared" si="164"/>
        <v>0</v>
      </c>
      <c r="P681" s="93">
        <f t="shared" si="165"/>
        <v>0</v>
      </c>
      <c r="Q681" s="93">
        <f t="shared" si="166"/>
        <v>0</v>
      </c>
      <c r="R681" s="93">
        <f t="shared" si="167"/>
        <v>182</v>
      </c>
      <c r="S681" s="93">
        <f t="shared" si="168"/>
        <v>0</v>
      </c>
      <c r="T681" s="93">
        <f t="shared" si="169"/>
        <v>182</v>
      </c>
      <c r="U681" s="312">
        <f t="shared" si="170"/>
        <v>549</v>
      </c>
      <c r="V681" s="93">
        <f t="shared" si="171"/>
        <v>0</v>
      </c>
    </row>
    <row r="682" spans="1:22" ht="18" customHeight="1" x14ac:dyDescent="0.2">
      <c r="A682" s="110" t="s">
        <v>1383</v>
      </c>
      <c r="B682" s="111"/>
      <c r="C682" s="201" t="s">
        <v>1384</v>
      </c>
      <c r="D682" s="91">
        <v>42095</v>
      </c>
      <c r="E682" s="92"/>
      <c r="F682" s="93"/>
      <c r="G682" s="93"/>
      <c r="H682" s="93">
        <v>30322.720000000001</v>
      </c>
      <c r="I682" s="93">
        <v>1858.7200000000003</v>
      </c>
      <c r="J682" s="93"/>
      <c r="K682" s="93">
        <f t="shared" ref="K682:K745" si="172">INT(IF($E682&gt;0,IF(+F682-I682+Q682&lt;0,0,+F682-I682+Q682),0))</f>
        <v>0</v>
      </c>
      <c r="L682" s="93">
        <f t="shared" ref="L682:L745" si="173">INT(IF($E682&gt;0,IF(K682=0,-F682+I682-Q682,0),0))</f>
        <v>0</v>
      </c>
      <c r="M682" s="94">
        <v>50</v>
      </c>
      <c r="N682" s="95" t="s">
        <v>289</v>
      </c>
      <c r="O682" s="93">
        <f t="shared" ref="O682:O745" si="174">IF(E682&gt;0,INT(IF($N682="D",IF($D682&lt;$H$3,$I682*($M682/100)*((E682-$H$3)/365),$J682*($M682/100)*($J$3-$D682)/365),0)),0)</f>
        <v>0</v>
      </c>
      <c r="P682" s="93">
        <f t="shared" ref="P682:P745" si="175">IF(E682&gt;0,INT(IF($N682="P",IF($D682&lt;$H$3,$H682*($M682/100)*(E682-$H$3)/365,$J682*($M682/100)*($J$3-$D682)/365),0)),0)</f>
        <v>0</v>
      </c>
      <c r="Q682" s="93">
        <f t="shared" ref="Q682:Q745" si="176">+O682+P682</f>
        <v>0</v>
      </c>
      <c r="R682" s="93">
        <f t="shared" ref="R682:R745" si="177">INT(IF($E682&gt;0,0,(IF($N682="D",IF($D682&lt;$H$3,$I682*($M682/100)*$U$3/12,$J682*($M682/100)*($J$3-$D682)/365),0))))</f>
        <v>464</v>
      </c>
      <c r="S682" s="93">
        <f t="shared" ref="S682:S745" si="178">INT(IF($E682&gt;0,0,(IF($N682="P",IF($D682&lt;$H$3,$H682*($M682/100)*$U$3/12,$J682*($M682/100)*($J$3-$D682)/365),0))))</f>
        <v>0</v>
      </c>
      <c r="T682" s="93">
        <f t="shared" ref="T682:T745" si="179">+R682+S682+Q682</f>
        <v>464</v>
      </c>
      <c r="U682" s="312">
        <f t="shared" ref="U682:U745" si="180">+I682+J682-T682-F682+K682-L682</f>
        <v>1394.7200000000003</v>
      </c>
      <c r="V682" s="93">
        <f t="shared" ref="V682:V745" si="181">IF(E682&gt;0,+H682+J682,0)</f>
        <v>0</v>
      </c>
    </row>
    <row r="683" spans="1:22" ht="18" customHeight="1" x14ac:dyDescent="0.2">
      <c r="A683" s="110" t="s">
        <v>1385</v>
      </c>
      <c r="B683" s="111"/>
      <c r="C683" s="201" t="s">
        <v>1386</v>
      </c>
      <c r="D683" s="91">
        <v>42095</v>
      </c>
      <c r="E683" s="92"/>
      <c r="F683" s="93"/>
      <c r="G683" s="93"/>
      <c r="H683" s="93">
        <v>5836.36</v>
      </c>
      <c r="I683" s="93">
        <v>357.36</v>
      </c>
      <c r="J683" s="93"/>
      <c r="K683" s="93">
        <f t="shared" si="172"/>
        <v>0</v>
      </c>
      <c r="L683" s="93">
        <f t="shared" si="173"/>
        <v>0</v>
      </c>
      <c r="M683" s="94">
        <v>50</v>
      </c>
      <c r="N683" s="95" t="s">
        <v>289</v>
      </c>
      <c r="O683" s="93">
        <f t="shared" si="174"/>
        <v>0</v>
      </c>
      <c r="P683" s="93">
        <f t="shared" si="175"/>
        <v>0</v>
      </c>
      <c r="Q683" s="93">
        <f t="shared" si="176"/>
        <v>0</v>
      </c>
      <c r="R683" s="93">
        <f t="shared" si="177"/>
        <v>89</v>
      </c>
      <c r="S683" s="93">
        <f t="shared" si="178"/>
        <v>0</v>
      </c>
      <c r="T683" s="93">
        <f t="shared" si="179"/>
        <v>89</v>
      </c>
      <c r="U683" s="312">
        <f t="shared" si="180"/>
        <v>268.36</v>
      </c>
      <c r="V683" s="93">
        <f t="shared" si="181"/>
        <v>0</v>
      </c>
    </row>
    <row r="684" spans="1:22" ht="18" customHeight="1" x14ac:dyDescent="0.2">
      <c r="A684" s="110" t="s">
        <v>1387</v>
      </c>
      <c r="B684" s="111"/>
      <c r="C684" s="201" t="s">
        <v>1388</v>
      </c>
      <c r="D684" s="91">
        <v>42095</v>
      </c>
      <c r="E684" s="92"/>
      <c r="F684" s="93"/>
      <c r="G684" s="93"/>
      <c r="H684" s="93">
        <v>10239</v>
      </c>
      <c r="I684" s="93">
        <v>627</v>
      </c>
      <c r="J684" s="93"/>
      <c r="K684" s="93">
        <f t="shared" si="172"/>
        <v>0</v>
      </c>
      <c r="L684" s="93">
        <f t="shared" si="173"/>
        <v>0</v>
      </c>
      <c r="M684" s="94">
        <v>50</v>
      </c>
      <c r="N684" s="95" t="s">
        <v>289</v>
      </c>
      <c r="O684" s="93">
        <f t="shared" si="174"/>
        <v>0</v>
      </c>
      <c r="P684" s="93">
        <f t="shared" si="175"/>
        <v>0</v>
      </c>
      <c r="Q684" s="93">
        <f t="shared" si="176"/>
        <v>0</v>
      </c>
      <c r="R684" s="93">
        <f t="shared" si="177"/>
        <v>156</v>
      </c>
      <c r="S684" s="93">
        <f t="shared" si="178"/>
        <v>0</v>
      </c>
      <c r="T684" s="93">
        <f t="shared" si="179"/>
        <v>156</v>
      </c>
      <c r="U684" s="312">
        <f t="shared" si="180"/>
        <v>471</v>
      </c>
      <c r="V684" s="93">
        <f t="shared" si="181"/>
        <v>0</v>
      </c>
    </row>
    <row r="685" spans="1:22" ht="18" customHeight="1" x14ac:dyDescent="0.2">
      <c r="A685" s="110" t="s">
        <v>1389</v>
      </c>
      <c r="B685" s="111"/>
      <c r="C685" s="201" t="s">
        <v>1390</v>
      </c>
      <c r="D685" s="91">
        <v>42095</v>
      </c>
      <c r="E685" s="92"/>
      <c r="F685" s="93"/>
      <c r="G685" s="93"/>
      <c r="H685" s="93">
        <v>19292</v>
      </c>
      <c r="I685" s="93">
        <v>1182</v>
      </c>
      <c r="J685" s="93"/>
      <c r="K685" s="93">
        <f t="shared" si="172"/>
        <v>0</v>
      </c>
      <c r="L685" s="93">
        <f t="shared" si="173"/>
        <v>0</v>
      </c>
      <c r="M685" s="94">
        <v>50</v>
      </c>
      <c r="N685" s="95" t="s">
        <v>289</v>
      </c>
      <c r="O685" s="93">
        <f t="shared" si="174"/>
        <v>0</v>
      </c>
      <c r="P685" s="93">
        <f t="shared" si="175"/>
        <v>0</v>
      </c>
      <c r="Q685" s="93">
        <f t="shared" si="176"/>
        <v>0</v>
      </c>
      <c r="R685" s="93">
        <f t="shared" si="177"/>
        <v>295</v>
      </c>
      <c r="S685" s="93">
        <f t="shared" si="178"/>
        <v>0</v>
      </c>
      <c r="T685" s="93">
        <f t="shared" si="179"/>
        <v>295</v>
      </c>
      <c r="U685" s="312">
        <f t="shared" si="180"/>
        <v>887</v>
      </c>
      <c r="V685" s="93">
        <f t="shared" si="181"/>
        <v>0</v>
      </c>
    </row>
    <row r="686" spans="1:22" ht="18" customHeight="1" x14ac:dyDescent="0.2">
      <c r="A686" s="110" t="s">
        <v>1391</v>
      </c>
      <c r="B686" s="111"/>
      <c r="C686" s="201" t="s">
        <v>1392</v>
      </c>
      <c r="D686" s="91">
        <v>42095</v>
      </c>
      <c r="E686" s="92"/>
      <c r="F686" s="93"/>
      <c r="G686" s="93"/>
      <c r="H686" s="93">
        <v>8140</v>
      </c>
      <c r="I686" s="93">
        <v>498</v>
      </c>
      <c r="J686" s="93"/>
      <c r="K686" s="93">
        <f t="shared" si="172"/>
        <v>0</v>
      </c>
      <c r="L686" s="93">
        <f t="shared" si="173"/>
        <v>0</v>
      </c>
      <c r="M686" s="94">
        <v>50</v>
      </c>
      <c r="N686" s="95" t="s">
        <v>289</v>
      </c>
      <c r="O686" s="93">
        <f t="shared" si="174"/>
        <v>0</v>
      </c>
      <c r="P686" s="93">
        <f t="shared" si="175"/>
        <v>0</v>
      </c>
      <c r="Q686" s="93">
        <f t="shared" si="176"/>
        <v>0</v>
      </c>
      <c r="R686" s="93">
        <f t="shared" si="177"/>
        <v>124</v>
      </c>
      <c r="S686" s="93">
        <f t="shared" si="178"/>
        <v>0</v>
      </c>
      <c r="T686" s="93">
        <f t="shared" si="179"/>
        <v>124</v>
      </c>
      <c r="U686" s="312">
        <f t="shared" si="180"/>
        <v>374</v>
      </c>
      <c r="V686" s="93">
        <f t="shared" si="181"/>
        <v>0</v>
      </c>
    </row>
    <row r="687" spans="1:22" ht="18" customHeight="1" x14ac:dyDescent="0.2">
      <c r="A687" s="110" t="s">
        <v>1393</v>
      </c>
      <c r="B687" s="111"/>
      <c r="C687" s="201" t="s">
        <v>1394</v>
      </c>
      <c r="D687" s="91">
        <v>42095</v>
      </c>
      <c r="E687" s="92"/>
      <c r="F687" s="93"/>
      <c r="G687" s="93"/>
      <c r="H687" s="93">
        <v>6503.01</v>
      </c>
      <c r="I687" s="93">
        <v>399.01</v>
      </c>
      <c r="J687" s="93"/>
      <c r="K687" s="93">
        <f t="shared" si="172"/>
        <v>0</v>
      </c>
      <c r="L687" s="93">
        <f t="shared" si="173"/>
        <v>0</v>
      </c>
      <c r="M687" s="94">
        <v>50</v>
      </c>
      <c r="N687" s="95" t="s">
        <v>289</v>
      </c>
      <c r="O687" s="93">
        <f t="shared" si="174"/>
        <v>0</v>
      </c>
      <c r="P687" s="93">
        <f t="shared" si="175"/>
        <v>0</v>
      </c>
      <c r="Q687" s="93">
        <f t="shared" si="176"/>
        <v>0</v>
      </c>
      <c r="R687" s="93">
        <f t="shared" si="177"/>
        <v>99</v>
      </c>
      <c r="S687" s="93">
        <f t="shared" si="178"/>
        <v>0</v>
      </c>
      <c r="T687" s="93">
        <f t="shared" si="179"/>
        <v>99</v>
      </c>
      <c r="U687" s="312">
        <f t="shared" si="180"/>
        <v>300.01</v>
      </c>
      <c r="V687" s="93">
        <f t="shared" si="181"/>
        <v>0</v>
      </c>
    </row>
    <row r="688" spans="1:22" ht="18" customHeight="1" x14ac:dyDescent="0.2">
      <c r="A688" s="110" t="s">
        <v>1395</v>
      </c>
      <c r="B688" s="111"/>
      <c r="C688" s="201" t="s">
        <v>1396</v>
      </c>
      <c r="D688" s="91">
        <v>42095</v>
      </c>
      <c r="E688" s="92"/>
      <c r="F688" s="93"/>
      <c r="G688" s="93"/>
      <c r="H688" s="93">
        <v>5383.99</v>
      </c>
      <c r="I688" s="93">
        <v>330.99</v>
      </c>
      <c r="J688" s="93"/>
      <c r="K688" s="93">
        <f t="shared" si="172"/>
        <v>0</v>
      </c>
      <c r="L688" s="93">
        <f t="shared" si="173"/>
        <v>0</v>
      </c>
      <c r="M688" s="94">
        <v>50</v>
      </c>
      <c r="N688" s="95" t="s">
        <v>289</v>
      </c>
      <c r="O688" s="93">
        <f t="shared" si="174"/>
        <v>0</v>
      </c>
      <c r="P688" s="93">
        <f t="shared" si="175"/>
        <v>0</v>
      </c>
      <c r="Q688" s="93">
        <f t="shared" si="176"/>
        <v>0</v>
      </c>
      <c r="R688" s="93">
        <f t="shared" si="177"/>
        <v>82</v>
      </c>
      <c r="S688" s="93">
        <f t="shared" si="178"/>
        <v>0</v>
      </c>
      <c r="T688" s="93">
        <f t="shared" si="179"/>
        <v>82</v>
      </c>
      <c r="U688" s="312">
        <f t="shared" si="180"/>
        <v>248.99</v>
      </c>
      <c r="V688" s="93">
        <f t="shared" si="181"/>
        <v>0</v>
      </c>
    </row>
    <row r="689" spans="1:22" ht="18" customHeight="1" x14ac:dyDescent="0.2">
      <c r="A689" s="110" t="s">
        <v>1397</v>
      </c>
      <c r="B689" s="111"/>
      <c r="C689" s="201" t="s">
        <v>1398</v>
      </c>
      <c r="D689" s="91">
        <v>42095</v>
      </c>
      <c r="E689" s="92"/>
      <c r="F689" s="93"/>
      <c r="G689" s="93"/>
      <c r="H689" s="93">
        <v>16471.439999999999</v>
      </c>
      <c r="I689" s="93">
        <v>1009.44</v>
      </c>
      <c r="J689" s="93"/>
      <c r="K689" s="93">
        <f t="shared" si="172"/>
        <v>0</v>
      </c>
      <c r="L689" s="93">
        <f t="shared" si="173"/>
        <v>0</v>
      </c>
      <c r="M689" s="94">
        <v>50</v>
      </c>
      <c r="N689" s="95" t="s">
        <v>289</v>
      </c>
      <c r="O689" s="93">
        <f t="shared" si="174"/>
        <v>0</v>
      </c>
      <c r="P689" s="93">
        <f t="shared" si="175"/>
        <v>0</v>
      </c>
      <c r="Q689" s="93">
        <f t="shared" si="176"/>
        <v>0</v>
      </c>
      <c r="R689" s="93">
        <f t="shared" si="177"/>
        <v>252</v>
      </c>
      <c r="S689" s="93">
        <f t="shared" si="178"/>
        <v>0</v>
      </c>
      <c r="T689" s="93">
        <f t="shared" si="179"/>
        <v>252</v>
      </c>
      <c r="U689" s="312">
        <f t="shared" si="180"/>
        <v>757.44</v>
      </c>
      <c r="V689" s="93">
        <f t="shared" si="181"/>
        <v>0</v>
      </c>
    </row>
    <row r="690" spans="1:22" ht="18" customHeight="1" x14ac:dyDescent="0.2">
      <c r="A690" s="110" t="s">
        <v>1399</v>
      </c>
      <c r="B690" s="111"/>
      <c r="C690" s="201" t="s">
        <v>1400</v>
      </c>
      <c r="D690" s="91">
        <v>42307</v>
      </c>
      <c r="E690" s="92"/>
      <c r="F690" s="93"/>
      <c r="G690" s="93"/>
      <c r="H690" s="93">
        <v>6000</v>
      </c>
      <c r="I690" s="93">
        <v>558</v>
      </c>
      <c r="J690" s="93"/>
      <c r="K690" s="93">
        <f t="shared" si="172"/>
        <v>0</v>
      </c>
      <c r="L690" s="93">
        <f t="shared" si="173"/>
        <v>0</v>
      </c>
      <c r="M690" s="94">
        <v>50</v>
      </c>
      <c r="N690" s="95" t="s">
        <v>289</v>
      </c>
      <c r="O690" s="93">
        <f t="shared" si="174"/>
        <v>0</v>
      </c>
      <c r="P690" s="93">
        <f t="shared" si="175"/>
        <v>0</v>
      </c>
      <c r="Q690" s="93">
        <f t="shared" si="176"/>
        <v>0</v>
      </c>
      <c r="R690" s="93">
        <f t="shared" si="177"/>
        <v>139</v>
      </c>
      <c r="S690" s="93">
        <f t="shared" si="178"/>
        <v>0</v>
      </c>
      <c r="T690" s="93">
        <f t="shared" si="179"/>
        <v>139</v>
      </c>
      <c r="U690" s="312">
        <f t="shared" si="180"/>
        <v>419</v>
      </c>
      <c r="V690" s="93">
        <f t="shared" si="181"/>
        <v>0</v>
      </c>
    </row>
    <row r="691" spans="1:22" ht="18" customHeight="1" x14ac:dyDescent="0.2">
      <c r="A691" s="110" t="s">
        <v>1401</v>
      </c>
      <c r="B691" s="111"/>
      <c r="C691" s="201" t="s">
        <v>1402</v>
      </c>
      <c r="D691" s="91">
        <v>42307</v>
      </c>
      <c r="E691" s="92"/>
      <c r="F691" s="93"/>
      <c r="G691" s="93"/>
      <c r="H691" s="93">
        <v>3300</v>
      </c>
      <c r="I691" s="93">
        <v>307</v>
      </c>
      <c r="J691" s="93"/>
      <c r="K691" s="93">
        <f t="shared" si="172"/>
        <v>0</v>
      </c>
      <c r="L691" s="93">
        <f t="shared" si="173"/>
        <v>0</v>
      </c>
      <c r="M691" s="94">
        <v>50</v>
      </c>
      <c r="N691" s="95" t="s">
        <v>289</v>
      </c>
      <c r="O691" s="93">
        <f t="shared" si="174"/>
        <v>0</v>
      </c>
      <c r="P691" s="93">
        <f t="shared" si="175"/>
        <v>0</v>
      </c>
      <c r="Q691" s="93">
        <f t="shared" si="176"/>
        <v>0</v>
      </c>
      <c r="R691" s="93">
        <f t="shared" si="177"/>
        <v>76</v>
      </c>
      <c r="S691" s="93">
        <f t="shared" si="178"/>
        <v>0</v>
      </c>
      <c r="T691" s="93">
        <f t="shared" si="179"/>
        <v>76</v>
      </c>
      <c r="U691" s="312">
        <f t="shared" si="180"/>
        <v>231</v>
      </c>
      <c r="V691" s="93">
        <f t="shared" si="181"/>
        <v>0</v>
      </c>
    </row>
    <row r="692" spans="1:22" ht="18" customHeight="1" x14ac:dyDescent="0.2">
      <c r="A692" s="110" t="s">
        <v>1403</v>
      </c>
      <c r="B692" s="111"/>
      <c r="C692" s="201" t="s">
        <v>1404</v>
      </c>
      <c r="D692" s="91">
        <v>42321</v>
      </c>
      <c r="E692" s="92"/>
      <c r="F692" s="93"/>
      <c r="G692" s="93"/>
      <c r="H692" s="93">
        <v>5700</v>
      </c>
      <c r="I692" s="93">
        <v>546</v>
      </c>
      <c r="J692" s="93"/>
      <c r="K692" s="93">
        <f t="shared" si="172"/>
        <v>0</v>
      </c>
      <c r="L692" s="93">
        <f t="shared" si="173"/>
        <v>0</v>
      </c>
      <c r="M692" s="94">
        <v>50</v>
      </c>
      <c r="N692" s="95" t="s">
        <v>289</v>
      </c>
      <c r="O692" s="93">
        <f t="shared" si="174"/>
        <v>0</v>
      </c>
      <c r="P692" s="93">
        <f t="shared" si="175"/>
        <v>0</v>
      </c>
      <c r="Q692" s="93">
        <f t="shared" si="176"/>
        <v>0</v>
      </c>
      <c r="R692" s="93">
        <f t="shared" si="177"/>
        <v>136</v>
      </c>
      <c r="S692" s="93">
        <f t="shared" si="178"/>
        <v>0</v>
      </c>
      <c r="T692" s="93">
        <f t="shared" si="179"/>
        <v>136</v>
      </c>
      <c r="U692" s="312">
        <f t="shared" si="180"/>
        <v>410</v>
      </c>
      <c r="V692" s="93">
        <f t="shared" si="181"/>
        <v>0</v>
      </c>
    </row>
    <row r="693" spans="1:22" ht="18" customHeight="1" x14ac:dyDescent="0.2">
      <c r="A693" s="110" t="s">
        <v>1405</v>
      </c>
      <c r="B693" s="111"/>
      <c r="C693" s="90" t="s">
        <v>1406</v>
      </c>
      <c r="D693" s="91">
        <v>42332</v>
      </c>
      <c r="E693" s="92"/>
      <c r="F693" s="93"/>
      <c r="G693" s="93"/>
      <c r="H693" s="93">
        <v>1145</v>
      </c>
      <c r="I693" s="93">
        <v>112</v>
      </c>
      <c r="J693" s="93"/>
      <c r="K693" s="93">
        <f t="shared" si="172"/>
        <v>0</v>
      </c>
      <c r="L693" s="93">
        <f t="shared" si="173"/>
        <v>0</v>
      </c>
      <c r="M693" s="94">
        <v>50</v>
      </c>
      <c r="N693" s="95" t="s">
        <v>289</v>
      </c>
      <c r="O693" s="93">
        <f t="shared" si="174"/>
        <v>0</v>
      </c>
      <c r="P693" s="93">
        <f t="shared" si="175"/>
        <v>0</v>
      </c>
      <c r="Q693" s="93">
        <f t="shared" si="176"/>
        <v>0</v>
      </c>
      <c r="R693" s="93">
        <f t="shared" si="177"/>
        <v>28</v>
      </c>
      <c r="S693" s="93">
        <f t="shared" si="178"/>
        <v>0</v>
      </c>
      <c r="T693" s="93">
        <f t="shared" si="179"/>
        <v>28</v>
      </c>
      <c r="U693" s="312">
        <f t="shared" si="180"/>
        <v>84</v>
      </c>
      <c r="V693" s="93">
        <f t="shared" si="181"/>
        <v>0</v>
      </c>
    </row>
    <row r="694" spans="1:22" ht="18" customHeight="1" x14ac:dyDescent="0.2">
      <c r="A694" s="110" t="s">
        <v>1407</v>
      </c>
      <c r="B694" s="111"/>
      <c r="C694" s="201" t="s">
        <v>1408</v>
      </c>
      <c r="D694" s="91">
        <v>42370</v>
      </c>
      <c r="E694" s="92"/>
      <c r="F694" s="93"/>
      <c r="G694" s="93"/>
      <c r="H694" s="93">
        <v>5830.83</v>
      </c>
      <c r="I694" s="93">
        <v>613.83000000000004</v>
      </c>
      <c r="J694" s="93"/>
      <c r="K694" s="93">
        <f t="shared" si="172"/>
        <v>0</v>
      </c>
      <c r="L694" s="93">
        <f t="shared" si="173"/>
        <v>0</v>
      </c>
      <c r="M694" s="94">
        <v>50</v>
      </c>
      <c r="N694" s="95" t="s">
        <v>289</v>
      </c>
      <c r="O694" s="93">
        <f t="shared" si="174"/>
        <v>0</v>
      </c>
      <c r="P694" s="93">
        <f t="shared" si="175"/>
        <v>0</v>
      </c>
      <c r="Q694" s="93">
        <f t="shared" si="176"/>
        <v>0</v>
      </c>
      <c r="R694" s="93">
        <f t="shared" si="177"/>
        <v>153</v>
      </c>
      <c r="S694" s="93">
        <f t="shared" si="178"/>
        <v>0</v>
      </c>
      <c r="T694" s="93">
        <f t="shared" si="179"/>
        <v>153</v>
      </c>
      <c r="U694" s="312">
        <f t="shared" si="180"/>
        <v>460.83000000000004</v>
      </c>
      <c r="V694" s="93">
        <f t="shared" si="181"/>
        <v>0</v>
      </c>
    </row>
    <row r="695" spans="1:22" ht="18" customHeight="1" x14ac:dyDescent="0.2">
      <c r="A695" s="110" t="s">
        <v>1409</v>
      </c>
      <c r="B695" s="111"/>
      <c r="C695" s="201" t="s">
        <v>1410</v>
      </c>
      <c r="D695" s="91">
        <v>42384</v>
      </c>
      <c r="E695" s="92"/>
      <c r="F695" s="93"/>
      <c r="G695" s="93"/>
      <c r="H695" s="93">
        <v>3158.7400000000002</v>
      </c>
      <c r="I695" s="93">
        <v>340.74</v>
      </c>
      <c r="J695" s="93"/>
      <c r="K695" s="93">
        <f t="shared" si="172"/>
        <v>0</v>
      </c>
      <c r="L695" s="93">
        <f t="shared" si="173"/>
        <v>0</v>
      </c>
      <c r="M695" s="94">
        <v>50</v>
      </c>
      <c r="N695" s="95" t="s">
        <v>289</v>
      </c>
      <c r="O695" s="93">
        <f t="shared" si="174"/>
        <v>0</v>
      </c>
      <c r="P695" s="93">
        <f t="shared" si="175"/>
        <v>0</v>
      </c>
      <c r="Q695" s="93">
        <f t="shared" si="176"/>
        <v>0</v>
      </c>
      <c r="R695" s="93">
        <f t="shared" si="177"/>
        <v>85</v>
      </c>
      <c r="S695" s="93">
        <f t="shared" si="178"/>
        <v>0</v>
      </c>
      <c r="T695" s="93">
        <f t="shared" si="179"/>
        <v>85</v>
      </c>
      <c r="U695" s="312">
        <f t="shared" si="180"/>
        <v>255.74</v>
      </c>
      <c r="V695" s="93">
        <f t="shared" si="181"/>
        <v>0</v>
      </c>
    </row>
    <row r="696" spans="1:22" ht="18" customHeight="1" x14ac:dyDescent="0.2">
      <c r="A696" s="110" t="s">
        <v>1411</v>
      </c>
      <c r="B696" s="111"/>
      <c r="C696" s="201" t="s">
        <v>1412</v>
      </c>
      <c r="D696" s="91">
        <v>42384</v>
      </c>
      <c r="E696" s="92"/>
      <c r="F696" s="93"/>
      <c r="G696" s="93"/>
      <c r="H696" s="93">
        <v>2923.61</v>
      </c>
      <c r="I696" s="93">
        <v>315.61</v>
      </c>
      <c r="J696" s="93"/>
      <c r="K696" s="93">
        <f t="shared" si="172"/>
        <v>0</v>
      </c>
      <c r="L696" s="93">
        <f t="shared" si="173"/>
        <v>0</v>
      </c>
      <c r="M696" s="94">
        <v>50</v>
      </c>
      <c r="N696" s="95" t="s">
        <v>289</v>
      </c>
      <c r="O696" s="93">
        <f t="shared" si="174"/>
        <v>0</v>
      </c>
      <c r="P696" s="93">
        <f t="shared" si="175"/>
        <v>0</v>
      </c>
      <c r="Q696" s="93">
        <f t="shared" si="176"/>
        <v>0</v>
      </c>
      <c r="R696" s="93">
        <f t="shared" si="177"/>
        <v>78</v>
      </c>
      <c r="S696" s="93">
        <f t="shared" si="178"/>
        <v>0</v>
      </c>
      <c r="T696" s="93">
        <f t="shared" si="179"/>
        <v>78</v>
      </c>
      <c r="U696" s="312">
        <f t="shared" si="180"/>
        <v>237.61</v>
      </c>
      <c r="V696" s="93">
        <f t="shared" si="181"/>
        <v>0</v>
      </c>
    </row>
    <row r="697" spans="1:22" ht="18" customHeight="1" x14ac:dyDescent="0.2">
      <c r="A697" s="110" t="s">
        <v>1413</v>
      </c>
      <c r="B697" s="111"/>
      <c r="C697" s="201" t="s">
        <v>1414</v>
      </c>
      <c r="D697" s="91">
        <v>42397</v>
      </c>
      <c r="E697" s="92"/>
      <c r="F697" s="93"/>
      <c r="G697" s="93"/>
      <c r="H697" s="93">
        <v>25404.3</v>
      </c>
      <c r="I697" s="93">
        <v>2801.3</v>
      </c>
      <c r="J697" s="93"/>
      <c r="K697" s="93">
        <f t="shared" si="172"/>
        <v>0</v>
      </c>
      <c r="L697" s="93">
        <f t="shared" si="173"/>
        <v>0</v>
      </c>
      <c r="M697" s="94">
        <v>50</v>
      </c>
      <c r="N697" s="95" t="s">
        <v>289</v>
      </c>
      <c r="O697" s="93">
        <f t="shared" si="174"/>
        <v>0</v>
      </c>
      <c r="P697" s="93">
        <f t="shared" si="175"/>
        <v>0</v>
      </c>
      <c r="Q697" s="93">
        <f t="shared" si="176"/>
        <v>0</v>
      </c>
      <c r="R697" s="93">
        <f t="shared" si="177"/>
        <v>700</v>
      </c>
      <c r="S697" s="93">
        <f t="shared" si="178"/>
        <v>0</v>
      </c>
      <c r="T697" s="93">
        <f t="shared" si="179"/>
        <v>700</v>
      </c>
      <c r="U697" s="312">
        <f t="shared" si="180"/>
        <v>2101.3000000000002</v>
      </c>
      <c r="V697" s="93">
        <f t="shared" si="181"/>
        <v>0</v>
      </c>
    </row>
    <row r="698" spans="1:22" ht="18" customHeight="1" x14ac:dyDescent="0.2">
      <c r="A698" s="110" t="s">
        <v>1415</v>
      </c>
      <c r="B698" s="111"/>
      <c r="C698" s="201" t="s">
        <v>1416</v>
      </c>
      <c r="D698" s="91">
        <v>42397</v>
      </c>
      <c r="E698" s="92"/>
      <c r="F698" s="93"/>
      <c r="G698" s="93"/>
      <c r="H698" s="93">
        <v>6241.95</v>
      </c>
      <c r="I698" s="93">
        <v>688.95</v>
      </c>
      <c r="J698" s="93"/>
      <c r="K698" s="93">
        <f t="shared" si="172"/>
        <v>0</v>
      </c>
      <c r="L698" s="93">
        <f t="shared" si="173"/>
        <v>0</v>
      </c>
      <c r="M698" s="94">
        <v>50</v>
      </c>
      <c r="N698" s="95" t="s">
        <v>289</v>
      </c>
      <c r="O698" s="93">
        <f t="shared" si="174"/>
        <v>0</v>
      </c>
      <c r="P698" s="93">
        <f t="shared" si="175"/>
        <v>0</v>
      </c>
      <c r="Q698" s="93">
        <f t="shared" si="176"/>
        <v>0</v>
      </c>
      <c r="R698" s="93">
        <f t="shared" si="177"/>
        <v>172</v>
      </c>
      <c r="S698" s="93">
        <f t="shared" si="178"/>
        <v>0</v>
      </c>
      <c r="T698" s="93">
        <f t="shared" si="179"/>
        <v>172</v>
      </c>
      <c r="U698" s="312">
        <f t="shared" si="180"/>
        <v>516.95000000000005</v>
      </c>
      <c r="V698" s="93">
        <f t="shared" si="181"/>
        <v>0</v>
      </c>
    </row>
    <row r="699" spans="1:22" ht="18" customHeight="1" x14ac:dyDescent="0.2">
      <c r="A699" s="110" t="s">
        <v>1417</v>
      </c>
      <c r="B699" s="111"/>
      <c r="C699" s="201" t="s">
        <v>1418</v>
      </c>
      <c r="D699" s="91">
        <v>42404</v>
      </c>
      <c r="E699" s="92"/>
      <c r="F699" s="93"/>
      <c r="G699" s="93"/>
      <c r="H699" s="93">
        <v>57278.04</v>
      </c>
      <c r="I699" s="93">
        <v>6392.0400000000009</v>
      </c>
      <c r="J699" s="93"/>
      <c r="K699" s="93">
        <f t="shared" si="172"/>
        <v>0</v>
      </c>
      <c r="L699" s="93">
        <f t="shared" si="173"/>
        <v>0</v>
      </c>
      <c r="M699" s="94">
        <v>50</v>
      </c>
      <c r="N699" s="95" t="s">
        <v>289</v>
      </c>
      <c r="O699" s="93">
        <f t="shared" si="174"/>
        <v>0</v>
      </c>
      <c r="P699" s="93">
        <f t="shared" si="175"/>
        <v>0</v>
      </c>
      <c r="Q699" s="93">
        <f t="shared" si="176"/>
        <v>0</v>
      </c>
      <c r="R699" s="93">
        <f t="shared" si="177"/>
        <v>1598</v>
      </c>
      <c r="S699" s="93">
        <f t="shared" si="178"/>
        <v>0</v>
      </c>
      <c r="T699" s="93">
        <f t="shared" si="179"/>
        <v>1598</v>
      </c>
      <c r="U699" s="312">
        <f t="shared" si="180"/>
        <v>4794.0400000000009</v>
      </c>
      <c r="V699" s="93">
        <f t="shared" si="181"/>
        <v>0</v>
      </c>
    </row>
    <row r="700" spans="1:22" ht="18" customHeight="1" x14ac:dyDescent="0.2">
      <c r="A700" s="110" t="s">
        <v>1419</v>
      </c>
      <c r="B700" s="111"/>
      <c r="C700" s="201" t="s">
        <v>1420</v>
      </c>
      <c r="D700" s="91">
        <v>42404</v>
      </c>
      <c r="E700" s="92"/>
      <c r="F700" s="93"/>
      <c r="G700" s="93"/>
      <c r="H700" s="93">
        <v>4363.3900000000003</v>
      </c>
      <c r="I700" s="93">
        <v>487.39</v>
      </c>
      <c r="J700" s="93"/>
      <c r="K700" s="93">
        <f t="shared" si="172"/>
        <v>0</v>
      </c>
      <c r="L700" s="93">
        <f t="shared" si="173"/>
        <v>0</v>
      </c>
      <c r="M700" s="94">
        <v>50</v>
      </c>
      <c r="N700" s="95" t="s">
        <v>289</v>
      </c>
      <c r="O700" s="93">
        <f t="shared" si="174"/>
        <v>0</v>
      </c>
      <c r="P700" s="93">
        <f t="shared" si="175"/>
        <v>0</v>
      </c>
      <c r="Q700" s="93">
        <f t="shared" si="176"/>
        <v>0</v>
      </c>
      <c r="R700" s="93">
        <f t="shared" si="177"/>
        <v>121</v>
      </c>
      <c r="S700" s="93">
        <f t="shared" si="178"/>
        <v>0</v>
      </c>
      <c r="T700" s="93">
        <f t="shared" si="179"/>
        <v>121</v>
      </c>
      <c r="U700" s="312">
        <f t="shared" si="180"/>
        <v>366.39</v>
      </c>
      <c r="V700" s="93">
        <f t="shared" si="181"/>
        <v>0</v>
      </c>
    </row>
    <row r="701" spans="1:22" ht="18" customHeight="1" x14ac:dyDescent="0.2">
      <c r="A701" s="110" t="s">
        <v>1421</v>
      </c>
      <c r="B701" s="111"/>
      <c r="C701" s="201" t="s">
        <v>1422</v>
      </c>
      <c r="D701" s="91">
        <v>42404</v>
      </c>
      <c r="E701" s="92"/>
      <c r="F701" s="93"/>
      <c r="G701" s="93"/>
      <c r="H701" s="93">
        <v>6725</v>
      </c>
      <c r="I701" s="93">
        <v>751</v>
      </c>
      <c r="J701" s="93"/>
      <c r="K701" s="93">
        <f t="shared" si="172"/>
        <v>0</v>
      </c>
      <c r="L701" s="93">
        <f t="shared" si="173"/>
        <v>0</v>
      </c>
      <c r="M701" s="94">
        <v>50</v>
      </c>
      <c r="N701" s="95" t="s">
        <v>289</v>
      </c>
      <c r="O701" s="93">
        <f t="shared" si="174"/>
        <v>0</v>
      </c>
      <c r="P701" s="93">
        <f t="shared" si="175"/>
        <v>0</v>
      </c>
      <c r="Q701" s="93">
        <f t="shared" si="176"/>
        <v>0</v>
      </c>
      <c r="R701" s="93">
        <f t="shared" si="177"/>
        <v>187</v>
      </c>
      <c r="S701" s="93">
        <f t="shared" si="178"/>
        <v>0</v>
      </c>
      <c r="T701" s="93">
        <f t="shared" si="179"/>
        <v>187</v>
      </c>
      <c r="U701" s="312">
        <f t="shared" si="180"/>
        <v>564</v>
      </c>
      <c r="V701" s="93">
        <f t="shared" si="181"/>
        <v>0</v>
      </c>
    </row>
    <row r="702" spans="1:22" ht="18" customHeight="1" x14ac:dyDescent="0.2">
      <c r="A702" s="110" t="s">
        <v>1423</v>
      </c>
      <c r="B702" s="111"/>
      <c r="C702" s="201" t="s">
        <v>1424</v>
      </c>
      <c r="D702" s="91">
        <v>42404</v>
      </c>
      <c r="E702" s="92"/>
      <c r="F702" s="93"/>
      <c r="G702" s="93"/>
      <c r="H702" s="93">
        <v>2327.27</v>
      </c>
      <c r="I702" s="93">
        <v>260.27</v>
      </c>
      <c r="J702" s="93"/>
      <c r="K702" s="93">
        <f t="shared" si="172"/>
        <v>0</v>
      </c>
      <c r="L702" s="93">
        <f t="shared" si="173"/>
        <v>0</v>
      </c>
      <c r="M702" s="94">
        <v>50</v>
      </c>
      <c r="N702" s="95" t="s">
        <v>289</v>
      </c>
      <c r="O702" s="93">
        <f t="shared" si="174"/>
        <v>0</v>
      </c>
      <c r="P702" s="93">
        <f t="shared" si="175"/>
        <v>0</v>
      </c>
      <c r="Q702" s="93">
        <f t="shared" si="176"/>
        <v>0</v>
      </c>
      <c r="R702" s="93">
        <f t="shared" si="177"/>
        <v>65</v>
      </c>
      <c r="S702" s="93">
        <f t="shared" si="178"/>
        <v>0</v>
      </c>
      <c r="T702" s="93">
        <f t="shared" si="179"/>
        <v>65</v>
      </c>
      <c r="U702" s="312">
        <f t="shared" si="180"/>
        <v>195.26999999999998</v>
      </c>
      <c r="V702" s="93">
        <f t="shared" si="181"/>
        <v>0</v>
      </c>
    </row>
    <row r="703" spans="1:22" ht="18" customHeight="1" x14ac:dyDescent="0.2">
      <c r="A703" s="110" t="s">
        <v>1425</v>
      </c>
      <c r="B703" s="111"/>
      <c r="C703" s="201" t="s">
        <v>1426</v>
      </c>
      <c r="D703" s="91">
        <v>42415</v>
      </c>
      <c r="E703" s="92"/>
      <c r="F703" s="93"/>
      <c r="G703" s="93"/>
      <c r="H703" s="93">
        <v>20627.45</v>
      </c>
      <c r="I703" s="93">
        <v>2346.4500000000003</v>
      </c>
      <c r="J703" s="93"/>
      <c r="K703" s="93">
        <f t="shared" si="172"/>
        <v>0</v>
      </c>
      <c r="L703" s="93">
        <f t="shared" si="173"/>
        <v>0</v>
      </c>
      <c r="M703" s="94">
        <v>50</v>
      </c>
      <c r="N703" s="95" t="s">
        <v>289</v>
      </c>
      <c r="O703" s="93">
        <f t="shared" si="174"/>
        <v>0</v>
      </c>
      <c r="P703" s="93">
        <f t="shared" si="175"/>
        <v>0</v>
      </c>
      <c r="Q703" s="93">
        <f t="shared" si="176"/>
        <v>0</v>
      </c>
      <c r="R703" s="93">
        <f t="shared" si="177"/>
        <v>586</v>
      </c>
      <c r="S703" s="93">
        <f t="shared" si="178"/>
        <v>0</v>
      </c>
      <c r="T703" s="93">
        <f t="shared" si="179"/>
        <v>586</v>
      </c>
      <c r="U703" s="312">
        <f t="shared" si="180"/>
        <v>1760.4500000000003</v>
      </c>
      <c r="V703" s="93">
        <f t="shared" si="181"/>
        <v>0</v>
      </c>
    </row>
    <row r="704" spans="1:22" ht="18" customHeight="1" x14ac:dyDescent="0.2">
      <c r="A704" s="110" t="s">
        <v>1427</v>
      </c>
      <c r="B704" s="111"/>
      <c r="C704" s="201" t="s">
        <v>1428</v>
      </c>
      <c r="D704" s="91">
        <v>42424</v>
      </c>
      <c r="E704" s="92"/>
      <c r="F704" s="93"/>
      <c r="G704" s="93"/>
      <c r="H704" s="93">
        <v>1455.5</v>
      </c>
      <c r="I704" s="93">
        <v>168.5</v>
      </c>
      <c r="J704" s="93"/>
      <c r="K704" s="93">
        <f t="shared" si="172"/>
        <v>0</v>
      </c>
      <c r="L704" s="93">
        <f t="shared" si="173"/>
        <v>0</v>
      </c>
      <c r="M704" s="94">
        <v>50</v>
      </c>
      <c r="N704" s="95" t="s">
        <v>289</v>
      </c>
      <c r="O704" s="93">
        <f t="shared" si="174"/>
        <v>0</v>
      </c>
      <c r="P704" s="93">
        <f t="shared" si="175"/>
        <v>0</v>
      </c>
      <c r="Q704" s="93">
        <f t="shared" si="176"/>
        <v>0</v>
      </c>
      <c r="R704" s="93">
        <f t="shared" si="177"/>
        <v>42</v>
      </c>
      <c r="S704" s="93">
        <f t="shared" si="178"/>
        <v>0</v>
      </c>
      <c r="T704" s="93">
        <f t="shared" si="179"/>
        <v>42</v>
      </c>
      <c r="U704" s="312">
        <f t="shared" si="180"/>
        <v>126.5</v>
      </c>
      <c r="V704" s="93">
        <f t="shared" si="181"/>
        <v>0</v>
      </c>
    </row>
    <row r="705" spans="1:22" ht="18" customHeight="1" x14ac:dyDescent="0.2">
      <c r="A705" s="110" t="s">
        <v>1429</v>
      </c>
      <c r="B705" s="111"/>
      <c r="C705" s="201" t="s">
        <v>1408</v>
      </c>
      <c r="D705" s="91">
        <v>42426</v>
      </c>
      <c r="E705" s="92"/>
      <c r="F705" s="93"/>
      <c r="G705" s="93"/>
      <c r="H705" s="93">
        <v>5800</v>
      </c>
      <c r="I705" s="93">
        <v>672</v>
      </c>
      <c r="J705" s="93"/>
      <c r="K705" s="93">
        <f t="shared" si="172"/>
        <v>0</v>
      </c>
      <c r="L705" s="93">
        <f t="shared" si="173"/>
        <v>0</v>
      </c>
      <c r="M705" s="94">
        <v>50</v>
      </c>
      <c r="N705" s="95" t="s">
        <v>289</v>
      </c>
      <c r="O705" s="93">
        <f t="shared" si="174"/>
        <v>0</v>
      </c>
      <c r="P705" s="93">
        <f t="shared" si="175"/>
        <v>0</v>
      </c>
      <c r="Q705" s="93">
        <f t="shared" si="176"/>
        <v>0</v>
      </c>
      <c r="R705" s="93">
        <f t="shared" si="177"/>
        <v>168</v>
      </c>
      <c r="S705" s="93">
        <f t="shared" si="178"/>
        <v>0</v>
      </c>
      <c r="T705" s="93">
        <f t="shared" si="179"/>
        <v>168</v>
      </c>
      <c r="U705" s="312">
        <f t="shared" si="180"/>
        <v>504</v>
      </c>
      <c r="V705" s="93">
        <f t="shared" si="181"/>
        <v>0</v>
      </c>
    </row>
    <row r="706" spans="1:22" ht="18" customHeight="1" x14ac:dyDescent="0.2">
      <c r="A706" s="110" t="s">
        <v>1430</v>
      </c>
      <c r="B706" s="111"/>
      <c r="C706" s="201" t="s">
        <v>1431</v>
      </c>
      <c r="D706" s="91">
        <v>42426</v>
      </c>
      <c r="E706" s="92"/>
      <c r="F706" s="93"/>
      <c r="G706" s="93"/>
      <c r="H706" s="93">
        <v>12272</v>
      </c>
      <c r="I706" s="93">
        <v>1421</v>
      </c>
      <c r="J706" s="93"/>
      <c r="K706" s="93">
        <f t="shared" si="172"/>
        <v>0</v>
      </c>
      <c r="L706" s="93">
        <f t="shared" si="173"/>
        <v>0</v>
      </c>
      <c r="M706" s="94">
        <v>50</v>
      </c>
      <c r="N706" s="95" t="s">
        <v>289</v>
      </c>
      <c r="O706" s="93">
        <f t="shared" si="174"/>
        <v>0</v>
      </c>
      <c r="P706" s="93">
        <f t="shared" si="175"/>
        <v>0</v>
      </c>
      <c r="Q706" s="93">
        <f t="shared" si="176"/>
        <v>0</v>
      </c>
      <c r="R706" s="93">
        <f t="shared" si="177"/>
        <v>355</v>
      </c>
      <c r="S706" s="93">
        <f t="shared" si="178"/>
        <v>0</v>
      </c>
      <c r="T706" s="93">
        <f t="shared" si="179"/>
        <v>355</v>
      </c>
      <c r="U706" s="312">
        <f t="shared" si="180"/>
        <v>1066</v>
      </c>
      <c r="V706" s="93">
        <f t="shared" si="181"/>
        <v>0</v>
      </c>
    </row>
    <row r="707" spans="1:22" ht="18" customHeight="1" x14ac:dyDescent="0.2">
      <c r="A707" s="110" t="s">
        <v>1432</v>
      </c>
      <c r="B707" s="111"/>
      <c r="C707" s="201" t="s">
        <v>1433</v>
      </c>
      <c r="D707" s="91">
        <v>42426</v>
      </c>
      <c r="E707" s="92"/>
      <c r="F707" s="93"/>
      <c r="G707" s="93"/>
      <c r="H707" s="93">
        <v>1487.7</v>
      </c>
      <c r="I707" s="93">
        <v>172.70000000000002</v>
      </c>
      <c r="J707" s="93"/>
      <c r="K707" s="93">
        <f t="shared" si="172"/>
        <v>0</v>
      </c>
      <c r="L707" s="93">
        <f t="shared" si="173"/>
        <v>0</v>
      </c>
      <c r="M707" s="94">
        <v>50</v>
      </c>
      <c r="N707" s="95" t="s">
        <v>289</v>
      </c>
      <c r="O707" s="93">
        <f t="shared" si="174"/>
        <v>0</v>
      </c>
      <c r="P707" s="93">
        <f t="shared" si="175"/>
        <v>0</v>
      </c>
      <c r="Q707" s="93">
        <f t="shared" si="176"/>
        <v>0</v>
      </c>
      <c r="R707" s="93">
        <f t="shared" si="177"/>
        <v>43</v>
      </c>
      <c r="S707" s="93">
        <f t="shared" si="178"/>
        <v>0</v>
      </c>
      <c r="T707" s="93">
        <f t="shared" si="179"/>
        <v>43</v>
      </c>
      <c r="U707" s="312">
        <f t="shared" si="180"/>
        <v>129.70000000000002</v>
      </c>
      <c r="V707" s="93">
        <f t="shared" si="181"/>
        <v>0</v>
      </c>
    </row>
    <row r="708" spans="1:22" ht="18" customHeight="1" x14ac:dyDescent="0.2">
      <c r="A708" s="110" t="s">
        <v>1434</v>
      </c>
      <c r="B708" s="111"/>
      <c r="C708" s="201" t="s">
        <v>1435</v>
      </c>
      <c r="D708" s="91">
        <v>42427</v>
      </c>
      <c r="E708" s="92"/>
      <c r="F708" s="93"/>
      <c r="G708" s="93"/>
      <c r="H708" s="93">
        <v>4556.4400000000005</v>
      </c>
      <c r="I708" s="93">
        <v>529.44000000000005</v>
      </c>
      <c r="J708" s="93"/>
      <c r="K708" s="93">
        <f t="shared" si="172"/>
        <v>0</v>
      </c>
      <c r="L708" s="93">
        <f t="shared" si="173"/>
        <v>0</v>
      </c>
      <c r="M708" s="94">
        <v>50</v>
      </c>
      <c r="N708" s="95" t="s">
        <v>289</v>
      </c>
      <c r="O708" s="93">
        <f t="shared" si="174"/>
        <v>0</v>
      </c>
      <c r="P708" s="93">
        <f t="shared" si="175"/>
        <v>0</v>
      </c>
      <c r="Q708" s="93">
        <f t="shared" si="176"/>
        <v>0</v>
      </c>
      <c r="R708" s="93">
        <f t="shared" si="177"/>
        <v>132</v>
      </c>
      <c r="S708" s="93">
        <f t="shared" si="178"/>
        <v>0</v>
      </c>
      <c r="T708" s="93">
        <f t="shared" si="179"/>
        <v>132</v>
      </c>
      <c r="U708" s="312">
        <f t="shared" si="180"/>
        <v>397.44000000000005</v>
      </c>
      <c r="V708" s="93">
        <f t="shared" si="181"/>
        <v>0</v>
      </c>
    </row>
    <row r="709" spans="1:22" ht="18" customHeight="1" x14ac:dyDescent="0.2">
      <c r="A709" s="110" t="s">
        <v>1436</v>
      </c>
      <c r="B709" s="111"/>
      <c r="C709" s="201" t="s">
        <v>1437</v>
      </c>
      <c r="D709" s="91">
        <v>42427</v>
      </c>
      <c r="E709" s="92"/>
      <c r="F709" s="93"/>
      <c r="G709" s="93"/>
      <c r="H709" s="93">
        <v>1362.9</v>
      </c>
      <c r="I709" s="93">
        <v>158.9</v>
      </c>
      <c r="J709" s="93"/>
      <c r="K709" s="93">
        <f t="shared" si="172"/>
        <v>0</v>
      </c>
      <c r="L709" s="93">
        <f t="shared" si="173"/>
        <v>0</v>
      </c>
      <c r="M709" s="94">
        <v>50</v>
      </c>
      <c r="N709" s="95" t="s">
        <v>289</v>
      </c>
      <c r="O709" s="93">
        <f t="shared" si="174"/>
        <v>0</v>
      </c>
      <c r="P709" s="93">
        <f t="shared" si="175"/>
        <v>0</v>
      </c>
      <c r="Q709" s="93">
        <f t="shared" si="176"/>
        <v>0</v>
      </c>
      <c r="R709" s="93">
        <f t="shared" si="177"/>
        <v>39</v>
      </c>
      <c r="S709" s="93">
        <f t="shared" si="178"/>
        <v>0</v>
      </c>
      <c r="T709" s="93">
        <f t="shared" si="179"/>
        <v>39</v>
      </c>
      <c r="U709" s="312">
        <f t="shared" si="180"/>
        <v>119.9</v>
      </c>
      <c r="V709" s="93">
        <f t="shared" si="181"/>
        <v>0</v>
      </c>
    </row>
    <row r="710" spans="1:22" ht="18" customHeight="1" x14ac:dyDescent="0.2">
      <c r="A710" s="110" t="s">
        <v>1438</v>
      </c>
      <c r="B710" s="111"/>
      <c r="C710" s="201" t="s">
        <v>1439</v>
      </c>
      <c r="D710" s="91">
        <v>42427</v>
      </c>
      <c r="E710" s="92"/>
      <c r="F710" s="93"/>
      <c r="G710" s="93"/>
      <c r="H710" s="93">
        <v>15967.7</v>
      </c>
      <c r="I710" s="93">
        <v>1853.7000000000003</v>
      </c>
      <c r="J710" s="93"/>
      <c r="K710" s="93">
        <f t="shared" si="172"/>
        <v>0</v>
      </c>
      <c r="L710" s="93">
        <f t="shared" si="173"/>
        <v>0</v>
      </c>
      <c r="M710" s="94">
        <v>50</v>
      </c>
      <c r="N710" s="95" t="s">
        <v>289</v>
      </c>
      <c r="O710" s="93">
        <f t="shared" si="174"/>
        <v>0</v>
      </c>
      <c r="P710" s="93">
        <f t="shared" si="175"/>
        <v>0</v>
      </c>
      <c r="Q710" s="93">
        <f t="shared" si="176"/>
        <v>0</v>
      </c>
      <c r="R710" s="93">
        <f t="shared" si="177"/>
        <v>463</v>
      </c>
      <c r="S710" s="93">
        <f t="shared" si="178"/>
        <v>0</v>
      </c>
      <c r="T710" s="93">
        <f t="shared" si="179"/>
        <v>463</v>
      </c>
      <c r="U710" s="312">
        <f t="shared" si="180"/>
        <v>1390.7000000000003</v>
      </c>
      <c r="V710" s="93">
        <f t="shared" si="181"/>
        <v>0</v>
      </c>
    </row>
    <row r="711" spans="1:22" ht="18" customHeight="1" x14ac:dyDescent="0.2">
      <c r="A711" s="110" t="s">
        <v>1440</v>
      </c>
      <c r="B711" s="111"/>
      <c r="C711" s="201" t="s">
        <v>1441</v>
      </c>
      <c r="D711" s="91">
        <v>42427</v>
      </c>
      <c r="E711" s="92"/>
      <c r="F711" s="93"/>
      <c r="G711" s="93"/>
      <c r="H711" s="93">
        <v>1596.77</v>
      </c>
      <c r="I711" s="93">
        <v>185.76999999999998</v>
      </c>
      <c r="J711" s="93"/>
      <c r="K711" s="93">
        <f t="shared" si="172"/>
        <v>0</v>
      </c>
      <c r="L711" s="93">
        <f t="shared" si="173"/>
        <v>0</v>
      </c>
      <c r="M711" s="94">
        <v>50</v>
      </c>
      <c r="N711" s="95" t="s">
        <v>289</v>
      </c>
      <c r="O711" s="93">
        <f t="shared" si="174"/>
        <v>0</v>
      </c>
      <c r="P711" s="93">
        <f t="shared" si="175"/>
        <v>0</v>
      </c>
      <c r="Q711" s="93">
        <f t="shared" si="176"/>
        <v>0</v>
      </c>
      <c r="R711" s="93">
        <f t="shared" si="177"/>
        <v>46</v>
      </c>
      <c r="S711" s="93">
        <f t="shared" si="178"/>
        <v>0</v>
      </c>
      <c r="T711" s="93">
        <f t="shared" si="179"/>
        <v>46</v>
      </c>
      <c r="U711" s="312">
        <f t="shared" si="180"/>
        <v>139.76999999999998</v>
      </c>
      <c r="V711" s="93">
        <f t="shared" si="181"/>
        <v>0</v>
      </c>
    </row>
    <row r="712" spans="1:22" ht="18" customHeight="1" x14ac:dyDescent="0.2">
      <c r="A712" s="110" t="s">
        <v>1442</v>
      </c>
      <c r="B712" s="111"/>
      <c r="C712" s="201" t="s">
        <v>1443</v>
      </c>
      <c r="D712" s="91">
        <v>42427</v>
      </c>
      <c r="E712" s="92"/>
      <c r="F712" s="93"/>
      <c r="G712" s="93"/>
      <c r="H712" s="93">
        <v>8839</v>
      </c>
      <c r="I712" s="93">
        <v>1025.72</v>
      </c>
      <c r="J712" s="93"/>
      <c r="K712" s="93">
        <f t="shared" si="172"/>
        <v>0</v>
      </c>
      <c r="L712" s="93">
        <f t="shared" si="173"/>
        <v>0</v>
      </c>
      <c r="M712" s="94">
        <v>50</v>
      </c>
      <c r="N712" s="95" t="s">
        <v>289</v>
      </c>
      <c r="O712" s="93">
        <f t="shared" si="174"/>
        <v>0</v>
      </c>
      <c r="P712" s="93">
        <f t="shared" si="175"/>
        <v>0</v>
      </c>
      <c r="Q712" s="93">
        <f t="shared" si="176"/>
        <v>0</v>
      </c>
      <c r="R712" s="93">
        <f t="shared" si="177"/>
        <v>256</v>
      </c>
      <c r="S712" s="93">
        <f t="shared" si="178"/>
        <v>0</v>
      </c>
      <c r="T712" s="93">
        <f t="shared" si="179"/>
        <v>256</v>
      </c>
      <c r="U712" s="312">
        <f t="shared" si="180"/>
        <v>769.72</v>
      </c>
      <c r="V712" s="93">
        <f t="shared" si="181"/>
        <v>0</v>
      </c>
    </row>
    <row r="713" spans="1:22" ht="18" customHeight="1" x14ac:dyDescent="0.2">
      <c r="A713" s="110" t="s">
        <v>1444</v>
      </c>
      <c r="B713" s="111"/>
      <c r="C713" s="90" t="s">
        <v>1445</v>
      </c>
      <c r="D713" s="91">
        <v>42460</v>
      </c>
      <c r="E713" s="92"/>
      <c r="F713" s="93"/>
      <c r="G713" s="93"/>
      <c r="H713" s="93">
        <v>44000</v>
      </c>
      <c r="I713" s="93">
        <v>5382</v>
      </c>
      <c r="J713" s="93"/>
      <c r="K713" s="93">
        <f t="shared" si="172"/>
        <v>0</v>
      </c>
      <c r="L713" s="93">
        <f t="shared" si="173"/>
        <v>0</v>
      </c>
      <c r="M713" s="94">
        <v>50</v>
      </c>
      <c r="N713" s="95" t="s">
        <v>289</v>
      </c>
      <c r="O713" s="93">
        <f t="shared" si="174"/>
        <v>0</v>
      </c>
      <c r="P713" s="93">
        <f t="shared" si="175"/>
        <v>0</v>
      </c>
      <c r="Q713" s="93">
        <f t="shared" si="176"/>
        <v>0</v>
      </c>
      <c r="R713" s="93">
        <f t="shared" si="177"/>
        <v>1345</v>
      </c>
      <c r="S713" s="93">
        <f t="shared" si="178"/>
        <v>0</v>
      </c>
      <c r="T713" s="93">
        <f t="shared" si="179"/>
        <v>1345</v>
      </c>
      <c r="U713" s="312">
        <f t="shared" si="180"/>
        <v>4037</v>
      </c>
      <c r="V713" s="93">
        <f t="shared" si="181"/>
        <v>0</v>
      </c>
    </row>
    <row r="714" spans="1:22" ht="18" customHeight="1" x14ac:dyDescent="0.2">
      <c r="A714" s="110" t="s">
        <v>1446</v>
      </c>
      <c r="B714" s="111"/>
      <c r="C714" s="201" t="s">
        <v>1447</v>
      </c>
      <c r="D714" s="91">
        <v>42500</v>
      </c>
      <c r="E714" s="92"/>
      <c r="F714" s="93"/>
      <c r="G714" s="93"/>
      <c r="H714" s="93">
        <v>4611.78</v>
      </c>
      <c r="I714" s="93">
        <v>600.78</v>
      </c>
      <c r="J714" s="93"/>
      <c r="K714" s="93">
        <f t="shared" si="172"/>
        <v>0</v>
      </c>
      <c r="L714" s="93">
        <f t="shared" si="173"/>
        <v>0</v>
      </c>
      <c r="M714" s="94">
        <v>50</v>
      </c>
      <c r="N714" s="95" t="s">
        <v>289</v>
      </c>
      <c r="O714" s="93">
        <f t="shared" si="174"/>
        <v>0</v>
      </c>
      <c r="P714" s="93">
        <f t="shared" si="175"/>
        <v>0</v>
      </c>
      <c r="Q714" s="93">
        <f t="shared" si="176"/>
        <v>0</v>
      </c>
      <c r="R714" s="93">
        <f t="shared" si="177"/>
        <v>150</v>
      </c>
      <c r="S714" s="93">
        <f t="shared" si="178"/>
        <v>0</v>
      </c>
      <c r="T714" s="93">
        <f t="shared" si="179"/>
        <v>150</v>
      </c>
      <c r="U714" s="312">
        <f t="shared" si="180"/>
        <v>450.78</v>
      </c>
      <c r="V714" s="93">
        <f t="shared" si="181"/>
        <v>0</v>
      </c>
    </row>
    <row r="715" spans="1:22" ht="18" customHeight="1" x14ac:dyDescent="0.2">
      <c r="A715" s="110" t="s">
        <v>1448</v>
      </c>
      <c r="B715" s="111"/>
      <c r="C715" s="90" t="s">
        <v>1449</v>
      </c>
      <c r="D715" s="91">
        <v>42520</v>
      </c>
      <c r="E715" s="92"/>
      <c r="F715" s="93"/>
      <c r="G715" s="93"/>
      <c r="H715" s="93">
        <v>14690</v>
      </c>
      <c r="I715" s="93">
        <v>1966.5702000000001</v>
      </c>
      <c r="J715" s="93"/>
      <c r="K715" s="93">
        <f t="shared" si="172"/>
        <v>0</v>
      </c>
      <c r="L715" s="93">
        <f t="shared" si="173"/>
        <v>0</v>
      </c>
      <c r="M715" s="94">
        <v>50</v>
      </c>
      <c r="N715" s="95" t="s">
        <v>289</v>
      </c>
      <c r="O715" s="93">
        <f t="shared" si="174"/>
        <v>0</v>
      </c>
      <c r="P715" s="93">
        <f t="shared" si="175"/>
        <v>0</v>
      </c>
      <c r="Q715" s="93">
        <f t="shared" si="176"/>
        <v>0</v>
      </c>
      <c r="R715" s="93">
        <f t="shared" si="177"/>
        <v>491</v>
      </c>
      <c r="S715" s="93">
        <f t="shared" si="178"/>
        <v>0</v>
      </c>
      <c r="T715" s="93">
        <f t="shared" si="179"/>
        <v>491</v>
      </c>
      <c r="U715" s="312">
        <f t="shared" si="180"/>
        <v>1475.5702000000001</v>
      </c>
      <c r="V715" s="93">
        <f t="shared" si="181"/>
        <v>0</v>
      </c>
    </row>
    <row r="716" spans="1:22" ht="18" customHeight="1" x14ac:dyDescent="0.2">
      <c r="A716" s="110" t="s">
        <v>1450</v>
      </c>
      <c r="B716" s="111"/>
      <c r="C716" s="90" t="s">
        <v>1451</v>
      </c>
      <c r="D716" s="91">
        <v>42520</v>
      </c>
      <c r="E716" s="92"/>
      <c r="F716" s="93"/>
      <c r="G716" s="93"/>
      <c r="H716" s="93">
        <v>32500</v>
      </c>
      <c r="I716" s="93">
        <v>4350</v>
      </c>
      <c r="J716" s="93"/>
      <c r="K716" s="93">
        <f t="shared" si="172"/>
        <v>0</v>
      </c>
      <c r="L716" s="93">
        <f t="shared" si="173"/>
        <v>0</v>
      </c>
      <c r="M716" s="94">
        <v>50</v>
      </c>
      <c r="N716" s="95" t="s">
        <v>289</v>
      </c>
      <c r="O716" s="93">
        <f t="shared" si="174"/>
        <v>0</v>
      </c>
      <c r="P716" s="93">
        <f t="shared" si="175"/>
        <v>0</v>
      </c>
      <c r="Q716" s="93">
        <f t="shared" si="176"/>
        <v>0</v>
      </c>
      <c r="R716" s="93">
        <f t="shared" si="177"/>
        <v>1087</v>
      </c>
      <c r="S716" s="93">
        <f t="shared" si="178"/>
        <v>0</v>
      </c>
      <c r="T716" s="93">
        <f t="shared" si="179"/>
        <v>1087</v>
      </c>
      <c r="U716" s="312">
        <f t="shared" si="180"/>
        <v>3263</v>
      </c>
      <c r="V716" s="93">
        <f t="shared" si="181"/>
        <v>0</v>
      </c>
    </row>
    <row r="717" spans="1:22" ht="18" customHeight="1" x14ac:dyDescent="0.2">
      <c r="A717" s="110" t="s">
        <v>1452</v>
      </c>
      <c r="B717" s="111"/>
      <c r="C717" s="201" t="s">
        <v>1453</v>
      </c>
      <c r="D717" s="91">
        <v>42780</v>
      </c>
      <c r="E717" s="92"/>
      <c r="F717" s="93"/>
      <c r="G717" s="93"/>
      <c r="H717" s="93">
        <v>2740</v>
      </c>
      <c r="I717" s="93">
        <v>624</v>
      </c>
      <c r="J717" s="93"/>
      <c r="K717" s="93">
        <f t="shared" si="172"/>
        <v>0</v>
      </c>
      <c r="L717" s="93">
        <f t="shared" si="173"/>
        <v>0</v>
      </c>
      <c r="M717" s="94">
        <v>50</v>
      </c>
      <c r="N717" s="95" t="s">
        <v>289</v>
      </c>
      <c r="O717" s="93">
        <f t="shared" si="174"/>
        <v>0</v>
      </c>
      <c r="P717" s="93">
        <f t="shared" si="175"/>
        <v>0</v>
      </c>
      <c r="Q717" s="93">
        <f t="shared" si="176"/>
        <v>0</v>
      </c>
      <c r="R717" s="93">
        <f t="shared" si="177"/>
        <v>156</v>
      </c>
      <c r="S717" s="93">
        <f t="shared" si="178"/>
        <v>0</v>
      </c>
      <c r="T717" s="93">
        <f t="shared" si="179"/>
        <v>156</v>
      </c>
      <c r="U717" s="312">
        <f t="shared" si="180"/>
        <v>468</v>
      </c>
      <c r="V717" s="93">
        <f t="shared" si="181"/>
        <v>0</v>
      </c>
    </row>
    <row r="718" spans="1:22" ht="18" customHeight="1" x14ac:dyDescent="0.2">
      <c r="A718" s="110" t="s">
        <v>1454</v>
      </c>
      <c r="B718" s="111"/>
      <c r="C718" s="201" t="s">
        <v>1455</v>
      </c>
      <c r="D718" s="91">
        <v>42823</v>
      </c>
      <c r="E718" s="92"/>
      <c r="F718" s="93"/>
      <c r="G718" s="93"/>
      <c r="H718" s="93">
        <v>2566</v>
      </c>
      <c r="I718" s="93">
        <v>627</v>
      </c>
      <c r="J718" s="93"/>
      <c r="K718" s="93">
        <f t="shared" si="172"/>
        <v>0</v>
      </c>
      <c r="L718" s="93">
        <f t="shared" si="173"/>
        <v>0</v>
      </c>
      <c r="M718" s="94">
        <v>50</v>
      </c>
      <c r="N718" s="95" t="s">
        <v>289</v>
      </c>
      <c r="O718" s="93">
        <f t="shared" si="174"/>
        <v>0</v>
      </c>
      <c r="P718" s="93">
        <f t="shared" si="175"/>
        <v>0</v>
      </c>
      <c r="Q718" s="93">
        <f t="shared" si="176"/>
        <v>0</v>
      </c>
      <c r="R718" s="93">
        <f t="shared" si="177"/>
        <v>156</v>
      </c>
      <c r="S718" s="93">
        <f t="shared" si="178"/>
        <v>0</v>
      </c>
      <c r="T718" s="93">
        <f t="shared" si="179"/>
        <v>156</v>
      </c>
      <c r="U718" s="312">
        <f t="shared" si="180"/>
        <v>471</v>
      </c>
      <c r="V718" s="93">
        <f t="shared" si="181"/>
        <v>0</v>
      </c>
    </row>
    <row r="719" spans="1:22" ht="18" customHeight="1" x14ac:dyDescent="0.2">
      <c r="A719" s="110" t="s">
        <v>1456</v>
      </c>
      <c r="B719" s="111"/>
      <c r="C719" s="201" t="s">
        <v>1457</v>
      </c>
      <c r="D719" s="91">
        <v>42823</v>
      </c>
      <c r="E719" s="92"/>
      <c r="F719" s="93"/>
      <c r="G719" s="93"/>
      <c r="H719" s="93">
        <v>2380</v>
      </c>
      <c r="I719" s="93">
        <v>581</v>
      </c>
      <c r="J719" s="93"/>
      <c r="K719" s="93">
        <f t="shared" si="172"/>
        <v>0</v>
      </c>
      <c r="L719" s="93">
        <f t="shared" si="173"/>
        <v>0</v>
      </c>
      <c r="M719" s="94">
        <v>50</v>
      </c>
      <c r="N719" s="95" t="s">
        <v>289</v>
      </c>
      <c r="O719" s="93">
        <f t="shared" si="174"/>
        <v>0</v>
      </c>
      <c r="P719" s="93">
        <f t="shared" si="175"/>
        <v>0</v>
      </c>
      <c r="Q719" s="93">
        <f t="shared" si="176"/>
        <v>0</v>
      </c>
      <c r="R719" s="93">
        <f t="shared" si="177"/>
        <v>145</v>
      </c>
      <c r="S719" s="93">
        <f t="shared" si="178"/>
        <v>0</v>
      </c>
      <c r="T719" s="93">
        <f t="shared" si="179"/>
        <v>145</v>
      </c>
      <c r="U719" s="312">
        <f t="shared" si="180"/>
        <v>436</v>
      </c>
      <c r="V719" s="93">
        <f t="shared" si="181"/>
        <v>0</v>
      </c>
    </row>
    <row r="720" spans="1:22" ht="18" customHeight="1" x14ac:dyDescent="0.2">
      <c r="A720" s="110" t="s">
        <v>1458</v>
      </c>
      <c r="B720" s="111"/>
      <c r="C720" s="201" t="s">
        <v>1459</v>
      </c>
      <c r="D720" s="91">
        <v>42781</v>
      </c>
      <c r="E720" s="92"/>
      <c r="F720" s="93"/>
      <c r="G720" s="93"/>
      <c r="H720" s="93">
        <v>9732</v>
      </c>
      <c r="I720" s="93">
        <v>2217.8000000000002</v>
      </c>
      <c r="J720" s="93"/>
      <c r="K720" s="93">
        <f t="shared" si="172"/>
        <v>0</v>
      </c>
      <c r="L720" s="93">
        <f t="shared" si="173"/>
        <v>0</v>
      </c>
      <c r="M720" s="94">
        <v>50</v>
      </c>
      <c r="N720" s="95" t="s">
        <v>289</v>
      </c>
      <c r="O720" s="93">
        <f t="shared" si="174"/>
        <v>0</v>
      </c>
      <c r="P720" s="93">
        <f t="shared" si="175"/>
        <v>0</v>
      </c>
      <c r="Q720" s="93">
        <f t="shared" si="176"/>
        <v>0</v>
      </c>
      <c r="R720" s="93">
        <f t="shared" si="177"/>
        <v>554</v>
      </c>
      <c r="S720" s="93">
        <f t="shared" si="178"/>
        <v>0</v>
      </c>
      <c r="T720" s="93">
        <f t="shared" si="179"/>
        <v>554</v>
      </c>
      <c r="U720" s="312">
        <f t="shared" si="180"/>
        <v>1663.8000000000002</v>
      </c>
      <c r="V720" s="93">
        <f t="shared" si="181"/>
        <v>0</v>
      </c>
    </row>
    <row r="721" spans="1:22" ht="18" customHeight="1" x14ac:dyDescent="0.2">
      <c r="A721" s="110" t="s">
        <v>1460</v>
      </c>
      <c r="B721" s="111"/>
      <c r="C721" s="201" t="s">
        <v>1461</v>
      </c>
      <c r="D721" s="91">
        <v>42791</v>
      </c>
      <c r="E721" s="92"/>
      <c r="F721" s="93"/>
      <c r="G721" s="93"/>
      <c r="H721" s="93">
        <v>5514</v>
      </c>
      <c r="I721" s="93">
        <v>1277.9279999999999</v>
      </c>
      <c r="J721" s="93"/>
      <c r="K721" s="93">
        <f t="shared" si="172"/>
        <v>0</v>
      </c>
      <c r="L721" s="93">
        <f t="shared" si="173"/>
        <v>0</v>
      </c>
      <c r="M721" s="94">
        <v>50</v>
      </c>
      <c r="N721" s="95" t="s">
        <v>289</v>
      </c>
      <c r="O721" s="93">
        <f t="shared" si="174"/>
        <v>0</v>
      </c>
      <c r="P721" s="93">
        <f t="shared" si="175"/>
        <v>0</v>
      </c>
      <c r="Q721" s="93">
        <f t="shared" si="176"/>
        <v>0</v>
      </c>
      <c r="R721" s="93">
        <f t="shared" si="177"/>
        <v>319</v>
      </c>
      <c r="S721" s="93">
        <f t="shared" si="178"/>
        <v>0</v>
      </c>
      <c r="T721" s="93">
        <f t="shared" si="179"/>
        <v>319</v>
      </c>
      <c r="U721" s="312">
        <f t="shared" si="180"/>
        <v>958.92799999999988</v>
      </c>
      <c r="V721" s="93">
        <f t="shared" si="181"/>
        <v>0</v>
      </c>
    </row>
    <row r="722" spans="1:22" ht="18" customHeight="1" x14ac:dyDescent="0.2">
      <c r="A722" s="110" t="s">
        <v>1462</v>
      </c>
      <c r="B722" s="111"/>
      <c r="C722" s="201" t="s">
        <v>1461</v>
      </c>
      <c r="D722" s="91">
        <v>42781</v>
      </c>
      <c r="E722" s="92"/>
      <c r="F722" s="93"/>
      <c r="G722" s="93"/>
      <c r="H722" s="93">
        <v>12405.33</v>
      </c>
      <c r="I722" s="93">
        <v>2826.33</v>
      </c>
      <c r="J722" s="93"/>
      <c r="K722" s="93">
        <f t="shared" si="172"/>
        <v>0</v>
      </c>
      <c r="L722" s="93">
        <f t="shared" si="173"/>
        <v>0</v>
      </c>
      <c r="M722" s="94">
        <v>50</v>
      </c>
      <c r="N722" s="95" t="s">
        <v>289</v>
      </c>
      <c r="O722" s="93">
        <f t="shared" si="174"/>
        <v>0</v>
      </c>
      <c r="P722" s="93">
        <f t="shared" si="175"/>
        <v>0</v>
      </c>
      <c r="Q722" s="93">
        <f t="shared" si="176"/>
        <v>0</v>
      </c>
      <c r="R722" s="93">
        <f t="shared" si="177"/>
        <v>706</v>
      </c>
      <c r="S722" s="93">
        <f t="shared" si="178"/>
        <v>0</v>
      </c>
      <c r="T722" s="93">
        <f t="shared" si="179"/>
        <v>706</v>
      </c>
      <c r="U722" s="312">
        <f t="shared" si="180"/>
        <v>2120.33</v>
      </c>
      <c r="V722" s="93">
        <f t="shared" si="181"/>
        <v>0</v>
      </c>
    </row>
    <row r="723" spans="1:22" ht="18" customHeight="1" x14ac:dyDescent="0.2">
      <c r="A723" s="110" t="s">
        <v>1463</v>
      </c>
      <c r="B723" s="111"/>
      <c r="C723" s="201" t="s">
        <v>1464</v>
      </c>
      <c r="D723" s="91">
        <v>42791</v>
      </c>
      <c r="E723" s="92"/>
      <c r="F723" s="93"/>
      <c r="G723" s="93"/>
      <c r="H723" s="93">
        <v>5741</v>
      </c>
      <c r="I723" s="93">
        <v>1329.6428000000001</v>
      </c>
      <c r="J723" s="93"/>
      <c r="K723" s="93">
        <f t="shared" si="172"/>
        <v>0</v>
      </c>
      <c r="L723" s="93">
        <f t="shared" si="173"/>
        <v>0</v>
      </c>
      <c r="M723" s="94">
        <v>50</v>
      </c>
      <c r="N723" s="95" t="s">
        <v>289</v>
      </c>
      <c r="O723" s="93">
        <f t="shared" si="174"/>
        <v>0</v>
      </c>
      <c r="P723" s="93">
        <f t="shared" si="175"/>
        <v>0</v>
      </c>
      <c r="Q723" s="93">
        <f t="shared" si="176"/>
        <v>0</v>
      </c>
      <c r="R723" s="93">
        <f t="shared" si="177"/>
        <v>332</v>
      </c>
      <c r="S723" s="93">
        <f t="shared" si="178"/>
        <v>0</v>
      </c>
      <c r="T723" s="93">
        <f t="shared" si="179"/>
        <v>332</v>
      </c>
      <c r="U723" s="312">
        <f t="shared" si="180"/>
        <v>997.64280000000008</v>
      </c>
      <c r="V723" s="93">
        <f t="shared" si="181"/>
        <v>0</v>
      </c>
    </row>
    <row r="724" spans="1:22" ht="18" customHeight="1" x14ac:dyDescent="0.2">
      <c r="A724" s="110" t="s">
        <v>1465</v>
      </c>
      <c r="B724" s="111"/>
      <c r="C724" s="201" t="s">
        <v>1466</v>
      </c>
      <c r="D724" s="91">
        <v>42791</v>
      </c>
      <c r="E724" s="92"/>
      <c r="F724" s="93"/>
      <c r="G724" s="93"/>
      <c r="H724" s="93">
        <v>8070</v>
      </c>
      <c r="I724" s="93">
        <v>1869.1583000000001</v>
      </c>
      <c r="J724" s="93"/>
      <c r="K724" s="93">
        <f t="shared" si="172"/>
        <v>0</v>
      </c>
      <c r="L724" s="93">
        <f t="shared" si="173"/>
        <v>0</v>
      </c>
      <c r="M724" s="94">
        <v>50</v>
      </c>
      <c r="N724" s="95" t="s">
        <v>289</v>
      </c>
      <c r="O724" s="93">
        <f t="shared" si="174"/>
        <v>0</v>
      </c>
      <c r="P724" s="93">
        <f t="shared" si="175"/>
        <v>0</v>
      </c>
      <c r="Q724" s="93">
        <f t="shared" si="176"/>
        <v>0</v>
      </c>
      <c r="R724" s="93">
        <f t="shared" si="177"/>
        <v>467</v>
      </c>
      <c r="S724" s="93">
        <f t="shared" si="178"/>
        <v>0</v>
      </c>
      <c r="T724" s="93">
        <f t="shared" si="179"/>
        <v>467</v>
      </c>
      <c r="U724" s="312">
        <f t="shared" si="180"/>
        <v>1402.1583000000001</v>
      </c>
      <c r="V724" s="93">
        <f t="shared" si="181"/>
        <v>0</v>
      </c>
    </row>
    <row r="725" spans="1:22" ht="18" customHeight="1" x14ac:dyDescent="0.2">
      <c r="A725" s="110" t="s">
        <v>1467</v>
      </c>
      <c r="B725" s="111"/>
      <c r="C725" s="201" t="s">
        <v>1466</v>
      </c>
      <c r="D725" s="91">
        <v>42826</v>
      </c>
      <c r="E725" s="92"/>
      <c r="F725" s="93"/>
      <c r="G725" s="93"/>
      <c r="H725" s="93">
        <v>4842</v>
      </c>
      <c r="I725" s="93">
        <v>1187.5239000000001</v>
      </c>
      <c r="J725" s="93"/>
      <c r="K725" s="93">
        <f t="shared" si="172"/>
        <v>0</v>
      </c>
      <c r="L725" s="93">
        <f t="shared" si="173"/>
        <v>0</v>
      </c>
      <c r="M725" s="94">
        <v>50</v>
      </c>
      <c r="N725" s="95" t="s">
        <v>289</v>
      </c>
      <c r="O725" s="93">
        <f t="shared" si="174"/>
        <v>0</v>
      </c>
      <c r="P725" s="93">
        <f t="shared" si="175"/>
        <v>0</v>
      </c>
      <c r="Q725" s="93">
        <f t="shared" si="176"/>
        <v>0</v>
      </c>
      <c r="R725" s="93">
        <f t="shared" si="177"/>
        <v>296</v>
      </c>
      <c r="S725" s="93">
        <f t="shared" si="178"/>
        <v>0</v>
      </c>
      <c r="T725" s="93">
        <f t="shared" si="179"/>
        <v>296</v>
      </c>
      <c r="U725" s="312">
        <f t="shared" si="180"/>
        <v>891.52390000000014</v>
      </c>
      <c r="V725" s="93">
        <f t="shared" si="181"/>
        <v>0</v>
      </c>
    </row>
    <row r="726" spans="1:22" ht="18" customHeight="1" x14ac:dyDescent="0.2">
      <c r="A726" s="110" t="s">
        <v>1468</v>
      </c>
      <c r="B726" s="111"/>
      <c r="C726" s="201" t="s">
        <v>1466</v>
      </c>
      <c r="D726" s="91">
        <v>42826</v>
      </c>
      <c r="E726" s="92"/>
      <c r="F726" s="93"/>
      <c r="G726" s="93"/>
      <c r="H726" s="93">
        <v>16140.29</v>
      </c>
      <c r="I726" s="93">
        <v>3955.29</v>
      </c>
      <c r="J726" s="93"/>
      <c r="K726" s="93">
        <f t="shared" si="172"/>
        <v>0</v>
      </c>
      <c r="L726" s="93">
        <f t="shared" si="173"/>
        <v>0</v>
      </c>
      <c r="M726" s="94">
        <v>50</v>
      </c>
      <c r="N726" s="95" t="s">
        <v>289</v>
      </c>
      <c r="O726" s="93">
        <f t="shared" si="174"/>
        <v>0</v>
      </c>
      <c r="P726" s="93">
        <f t="shared" si="175"/>
        <v>0</v>
      </c>
      <c r="Q726" s="93">
        <f t="shared" si="176"/>
        <v>0</v>
      </c>
      <c r="R726" s="93">
        <f t="shared" si="177"/>
        <v>988</v>
      </c>
      <c r="S726" s="93">
        <f t="shared" si="178"/>
        <v>0</v>
      </c>
      <c r="T726" s="93">
        <f t="shared" si="179"/>
        <v>988</v>
      </c>
      <c r="U726" s="312">
        <f t="shared" si="180"/>
        <v>2967.29</v>
      </c>
      <c r="V726" s="93">
        <f t="shared" si="181"/>
        <v>0</v>
      </c>
    </row>
    <row r="727" spans="1:22" ht="18" customHeight="1" x14ac:dyDescent="0.2">
      <c r="A727" s="110" t="s">
        <v>1469</v>
      </c>
      <c r="B727" s="111"/>
      <c r="C727" s="201" t="s">
        <v>1470</v>
      </c>
      <c r="D727" s="91">
        <v>42826</v>
      </c>
      <c r="E727" s="92"/>
      <c r="F727" s="93"/>
      <c r="G727" s="93"/>
      <c r="H727" s="93">
        <v>2879</v>
      </c>
      <c r="I727" s="93">
        <v>705.6563000000001</v>
      </c>
      <c r="J727" s="93"/>
      <c r="K727" s="93">
        <f t="shared" si="172"/>
        <v>0</v>
      </c>
      <c r="L727" s="93">
        <f t="shared" si="173"/>
        <v>0</v>
      </c>
      <c r="M727" s="94">
        <v>50</v>
      </c>
      <c r="N727" s="95" t="s">
        <v>289</v>
      </c>
      <c r="O727" s="93">
        <f t="shared" si="174"/>
        <v>0</v>
      </c>
      <c r="P727" s="93">
        <f t="shared" si="175"/>
        <v>0</v>
      </c>
      <c r="Q727" s="93">
        <f t="shared" si="176"/>
        <v>0</v>
      </c>
      <c r="R727" s="93">
        <f t="shared" si="177"/>
        <v>176</v>
      </c>
      <c r="S727" s="93">
        <f t="shared" si="178"/>
        <v>0</v>
      </c>
      <c r="T727" s="93">
        <f t="shared" si="179"/>
        <v>176</v>
      </c>
      <c r="U727" s="312">
        <f t="shared" si="180"/>
        <v>529.6563000000001</v>
      </c>
      <c r="V727" s="93">
        <f t="shared" si="181"/>
        <v>0</v>
      </c>
    </row>
    <row r="728" spans="1:22" ht="18" customHeight="1" x14ac:dyDescent="0.2">
      <c r="A728" s="110" t="s">
        <v>1471</v>
      </c>
      <c r="B728" s="111"/>
      <c r="C728" s="201" t="s">
        <v>1472</v>
      </c>
      <c r="D728" s="91">
        <v>42826</v>
      </c>
      <c r="E728" s="92"/>
      <c r="F728" s="93"/>
      <c r="G728" s="93"/>
      <c r="H728" s="93">
        <v>14362.64</v>
      </c>
      <c r="I728" s="93">
        <v>3519.6400000000003</v>
      </c>
      <c r="J728" s="93"/>
      <c r="K728" s="93">
        <f t="shared" si="172"/>
        <v>0</v>
      </c>
      <c r="L728" s="93">
        <f t="shared" si="173"/>
        <v>0</v>
      </c>
      <c r="M728" s="94">
        <v>50</v>
      </c>
      <c r="N728" s="95" t="s">
        <v>289</v>
      </c>
      <c r="O728" s="93">
        <f t="shared" si="174"/>
        <v>0</v>
      </c>
      <c r="P728" s="93">
        <f t="shared" si="175"/>
        <v>0</v>
      </c>
      <c r="Q728" s="93">
        <f t="shared" si="176"/>
        <v>0</v>
      </c>
      <c r="R728" s="93">
        <f t="shared" si="177"/>
        <v>879</v>
      </c>
      <c r="S728" s="93">
        <f t="shared" si="178"/>
        <v>0</v>
      </c>
      <c r="T728" s="93">
        <f t="shared" si="179"/>
        <v>879</v>
      </c>
      <c r="U728" s="312">
        <f t="shared" si="180"/>
        <v>2640.6400000000003</v>
      </c>
      <c r="V728" s="93">
        <f t="shared" si="181"/>
        <v>0</v>
      </c>
    </row>
    <row r="729" spans="1:22" ht="18" customHeight="1" x14ac:dyDescent="0.2">
      <c r="A729" s="110" t="s">
        <v>1473</v>
      </c>
      <c r="B729" s="111"/>
      <c r="C729" s="201" t="s">
        <v>1474</v>
      </c>
      <c r="D729" s="91">
        <v>42843</v>
      </c>
      <c r="E729" s="92"/>
      <c r="F729" s="93"/>
      <c r="G729" s="93"/>
      <c r="H729" s="93">
        <v>2141.73</v>
      </c>
      <c r="I729" s="93">
        <v>539.73</v>
      </c>
      <c r="J729" s="93"/>
      <c r="K729" s="93">
        <f t="shared" si="172"/>
        <v>0</v>
      </c>
      <c r="L729" s="93">
        <f t="shared" si="173"/>
        <v>0</v>
      </c>
      <c r="M729" s="94">
        <v>50</v>
      </c>
      <c r="N729" s="95" t="s">
        <v>289</v>
      </c>
      <c r="O729" s="93">
        <f t="shared" si="174"/>
        <v>0</v>
      </c>
      <c r="P729" s="93">
        <f t="shared" si="175"/>
        <v>0</v>
      </c>
      <c r="Q729" s="93">
        <f t="shared" si="176"/>
        <v>0</v>
      </c>
      <c r="R729" s="93">
        <f t="shared" si="177"/>
        <v>134</v>
      </c>
      <c r="S729" s="93">
        <f t="shared" si="178"/>
        <v>0</v>
      </c>
      <c r="T729" s="93">
        <f t="shared" si="179"/>
        <v>134</v>
      </c>
      <c r="U729" s="312">
        <f t="shared" si="180"/>
        <v>405.73</v>
      </c>
      <c r="V729" s="93">
        <f t="shared" si="181"/>
        <v>0</v>
      </c>
    </row>
    <row r="730" spans="1:22" ht="18" customHeight="1" x14ac:dyDescent="0.2">
      <c r="A730" s="110" t="s">
        <v>1475</v>
      </c>
      <c r="B730" s="111"/>
      <c r="C730" s="201" t="s">
        <v>1459</v>
      </c>
      <c r="D730" s="91">
        <v>42851</v>
      </c>
      <c r="E730" s="92"/>
      <c r="F730" s="93"/>
      <c r="G730" s="93"/>
      <c r="H730" s="93">
        <v>15699</v>
      </c>
      <c r="I730" s="93">
        <v>3998</v>
      </c>
      <c r="J730" s="93"/>
      <c r="K730" s="93">
        <f t="shared" si="172"/>
        <v>0</v>
      </c>
      <c r="L730" s="93">
        <f t="shared" si="173"/>
        <v>0</v>
      </c>
      <c r="M730" s="94">
        <v>50</v>
      </c>
      <c r="N730" s="95" t="s">
        <v>289</v>
      </c>
      <c r="O730" s="93">
        <f t="shared" si="174"/>
        <v>0</v>
      </c>
      <c r="P730" s="93">
        <f t="shared" si="175"/>
        <v>0</v>
      </c>
      <c r="Q730" s="93">
        <f t="shared" si="176"/>
        <v>0</v>
      </c>
      <c r="R730" s="93">
        <f t="shared" si="177"/>
        <v>999</v>
      </c>
      <c r="S730" s="93">
        <f t="shared" si="178"/>
        <v>0</v>
      </c>
      <c r="T730" s="93">
        <f t="shared" si="179"/>
        <v>999</v>
      </c>
      <c r="U730" s="312">
        <f t="shared" si="180"/>
        <v>2999</v>
      </c>
      <c r="V730" s="93">
        <f t="shared" si="181"/>
        <v>0</v>
      </c>
    </row>
    <row r="731" spans="1:22" ht="18" customHeight="1" x14ac:dyDescent="0.2">
      <c r="A731" s="110" t="s">
        <v>1476</v>
      </c>
      <c r="B731" s="111"/>
      <c r="C731" s="201" t="s">
        <v>1477</v>
      </c>
      <c r="D731" s="91">
        <v>42791</v>
      </c>
      <c r="E731" s="92"/>
      <c r="F731" s="93"/>
      <c r="G731" s="93"/>
      <c r="H731" s="93">
        <v>1998</v>
      </c>
      <c r="I731" s="93">
        <v>463.35</v>
      </c>
      <c r="J731" s="93"/>
      <c r="K731" s="93">
        <f t="shared" si="172"/>
        <v>0</v>
      </c>
      <c r="L731" s="93">
        <f t="shared" si="173"/>
        <v>0</v>
      </c>
      <c r="M731" s="94">
        <v>50</v>
      </c>
      <c r="N731" s="95" t="s">
        <v>289</v>
      </c>
      <c r="O731" s="93">
        <f t="shared" si="174"/>
        <v>0</v>
      </c>
      <c r="P731" s="93">
        <f t="shared" si="175"/>
        <v>0</v>
      </c>
      <c r="Q731" s="93">
        <f t="shared" si="176"/>
        <v>0</v>
      </c>
      <c r="R731" s="93">
        <f t="shared" si="177"/>
        <v>115</v>
      </c>
      <c r="S731" s="93">
        <f t="shared" si="178"/>
        <v>0</v>
      </c>
      <c r="T731" s="93">
        <f t="shared" si="179"/>
        <v>115</v>
      </c>
      <c r="U731" s="312">
        <f t="shared" si="180"/>
        <v>348.35</v>
      </c>
      <c r="V731" s="93">
        <f t="shared" si="181"/>
        <v>0</v>
      </c>
    </row>
    <row r="732" spans="1:22" ht="18" customHeight="1" x14ac:dyDescent="0.2">
      <c r="A732" s="110" t="s">
        <v>1478</v>
      </c>
      <c r="B732" s="111"/>
      <c r="C732" s="201" t="s">
        <v>1479</v>
      </c>
      <c r="D732" s="91">
        <v>42791</v>
      </c>
      <c r="E732" s="92"/>
      <c r="F732" s="93"/>
      <c r="G732" s="93"/>
      <c r="H732" s="93">
        <v>1996.24</v>
      </c>
      <c r="I732" s="93">
        <v>462.24</v>
      </c>
      <c r="J732" s="93"/>
      <c r="K732" s="93">
        <f t="shared" si="172"/>
        <v>0</v>
      </c>
      <c r="L732" s="93">
        <f t="shared" si="173"/>
        <v>0</v>
      </c>
      <c r="M732" s="94">
        <v>50</v>
      </c>
      <c r="N732" s="95" t="s">
        <v>289</v>
      </c>
      <c r="O732" s="93">
        <f t="shared" si="174"/>
        <v>0</v>
      </c>
      <c r="P732" s="93">
        <f t="shared" si="175"/>
        <v>0</v>
      </c>
      <c r="Q732" s="93">
        <f t="shared" si="176"/>
        <v>0</v>
      </c>
      <c r="R732" s="93">
        <f t="shared" si="177"/>
        <v>115</v>
      </c>
      <c r="S732" s="93">
        <f t="shared" si="178"/>
        <v>0</v>
      </c>
      <c r="T732" s="93">
        <f t="shared" si="179"/>
        <v>115</v>
      </c>
      <c r="U732" s="312">
        <f t="shared" si="180"/>
        <v>347.24</v>
      </c>
      <c r="V732" s="93">
        <f t="shared" si="181"/>
        <v>0</v>
      </c>
    </row>
    <row r="733" spans="1:22" ht="18" customHeight="1" x14ac:dyDescent="0.2">
      <c r="A733" s="110" t="s">
        <v>1480</v>
      </c>
      <c r="B733" s="111"/>
      <c r="C733" s="201" t="s">
        <v>1481</v>
      </c>
      <c r="D733" s="91">
        <v>42826</v>
      </c>
      <c r="E733" s="92"/>
      <c r="F733" s="93"/>
      <c r="G733" s="93"/>
      <c r="H733" s="93">
        <v>6244.63</v>
      </c>
      <c r="I733" s="93">
        <v>1530.63</v>
      </c>
      <c r="J733" s="93"/>
      <c r="K733" s="93">
        <f t="shared" si="172"/>
        <v>0</v>
      </c>
      <c r="L733" s="93">
        <f t="shared" si="173"/>
        <v>0</v>
      </c>
      <c r="M733" s="94">
        <v>50</v>
      </c>
      <c r="N733" s="95" t="s">
        <v>289</v>
      </c>
      <c r="O733" s="93">
        <f t="shared" si="174"/>
        <v>0</v>
      </c>
      <c r="P733" s="93">
        <f t="shared" si="175"/>
        <v>0</v>
      </c>
      <c r="Q733" s="93">
        <f t="shared" si="176"/>
        <v>0</v>
      </c>
      <c r="R733" s="93">
        <f t="shared" si="177"/>
        <v>382</v>
      </c>
      <c r="S733" s="93">
        <f t="shared" si="178"/>
        <v>0</v>
      </c>
      <c r="T733" s="93">
        <f t="shared" si="179"/>
        <v>382</v>
      </c>
      <c r="U733" s="312">
        <f t="shared" si="180"/>
        <v>1148.6300000000001</v>
      </c>
      <c r="V733" s="93">
        <f t="shared" si="181"/>
        <v>0</v>
      </c>
    </row>
    <row r="734" spans="1:22" ht="18" customHeight="1" x14ac:dyDescent="0.2">
      <c r="A734" s="110" t="s">
        <v>1488</v>
      </c>
      <c r="B734" s="111"/>
      <c r="C734" s="201" t="s">
        <v>1489</v>
      </c>
      <c r="D734" s="91">
        <v>43157</v>
      </c>
      <c r="E734" s="92"/>
      <c r="F734" s="93"/>
      <c r="G734" s="93"/>
      <c r="H734" s="93">
        <v>2908</v>
      </c>
      <c r="I734" s="93">
        <v>989</v>
      </c>
      <c r="J734" s="93"/>
      <c r="K734" s="93">
        <f t="shared" si="172"/>
        <v>0</v>
      </c>
      <c r="L734" s="93">
        <f t="shared" si="173"/>
        <v>0</v>
      </c>
      <c r="M734" s="94">
        <v>66.67</v>
      </c>
      <c r="N734" s="95" t="s">
        <v>289</v>
      </c>
      <c r="O734" s="93">
        <f t="shared" si="174"/>
        <v>0</v>
      </c>
      <c r="P734" s="93">
        <f t="shared" si="175"/>
        <v>0</v>
      </c>
      <c r="Q734" s="93">
        <f t="shared" si="176"/>
        <v>0</v>
      </c>
      <c r="R734" s="93">
        <f t="shared" si="177"/>
        <v>329</v>
      </c>
      <c r="S734" s="93">
        <f t="shared" si="178"/>
        <v>0</v>
      </c>
      <c r="T734" s="93">
        <f t="shared" si="179"/>
        <v>329</v>
      </c>
      <c r="U734" s="312">
        <f t="shared" si="180"/>
        <v>660</v>
      </c>
      <c r="V734" s="93">
        <f t="shared" si="181"/>
        <v>0</v>
      </c>
    </row>
    <row r="735" spans="1:22" ht="18" customHeight="1" x14ac:dyDescent="0.2">
      <c r="A735" s="110" t="s">
        <v>1490</v>
      </c>
      <c r="B735" s="111"/>
      <c r="C735" s="201" t="s">
        <v>1489</v>
      </c>
      <c r="D735" s="91">
        <v>43157</v>
      </c>
      <c r="E735" s="92"/>
      <c r="F735" s="93"/>
      <c r="G735" s="93"/>
      <c r="H735" s="93">
        <v>2668</v>
      </c>
      <c r="I735" s="93">
        <v>907</v>
      </c>
      <c r="J735" s="93"/>
      <c r="K735" s="93">
        <f t="shared" si="172"/>
        <v>0</v>
      </c>
      <c r="L735" s="93">
        <f t="shared" si="173"/>
        <v>0</v>
      </c>
      <c r="M735" s="94">
        <v>66.67</v>
      </c>
      <c r="N735" s="95" t="s">
        <v>289</v>
      </c>
      <c r="O735" s="93">
        <f t="shared" si="174"/>
        <v>0</v>
      </c>
      <c r="P735" s="93">
        <f t="shared" si="175"/>
        <v>0</v>
      </c>
      <c r="Q735" s="93">
        <f t="shared" si="176"/>
        <v>0</v>
      </c>
      <c r="R735" s="93">
        <f t="shared" si="177"/>
        <v>302</v>
      </c>
      <c r="S735" s="93">
        <f t="shared" si="178"/>
        <v>0</v>
      </c>
      <c r="T735" s="93">
        <f t="shared" si="179"/>
        <v>302</v>
      </c>
      <c r="U735" s="312">
        <f t="shared" si="180"/>
        <v>605</v>
      </c>
      <c r="V735" s="93">
        <f t="shared" si="181"/>
        <v>0</v>
      </c>
    </row>
    <row r="736" spans="1:22" ht="18" customHeight="1" x14ac:dyDescent="0.2">
      <c r="A736" s="110" t="s">
        <v>1495</v>
      </c>
      <c r="B736" s="111"/>
      <c r="C736" s="201" t="s">
        <v>1496</v>
      </c>
      <c r="D736" s="91">
        <v>43191</v>
      </c>
      <c r="E736" s="92"/>
      <c r="F736" s="93"/>
      <c r="G736" s="93"/>
      <c r="H736" s="93">
        <v>8732</v>
      </c>
      <c r="I736" s="93">
        <v>4279.9702000000007</v>
      </c>
      <c r="J736" s="93"/>
      <c r="K736" s="93">
        <f t="shared" si="172"/>
        <v>0</v>
      </c>
      <c r="L736" s="93">
        <f t="shared" si="173"/>
        <v>0</v>
      </c>
      <c r="M736" s="94">
        <v>50</v>
      </c>
      <c r="N736" s="95" t="s">
        <v>289</v>
      </c>
      <c r="O736" s="93">
        <f t="shared" si="174"/>
        <v>0</v>
      </c>
      <c r="P736" s="93">
        <f t="shared" si="175"/>
        <v>0</v>
      </c>
      <c r="Q736" s="93">
        <f t="shared" si="176"/>
        <v>0</v>
      </c>
      <c r="R736" s="93">
        <f t="shared" si="177"/>
        <v>1069</v>
      </c>
      <c r="S736" s="93">
        <f t="shared" si="178"/>
        <v>0</v>
      </c>
      <c r="T736" s="93">
        <f t="shared" si="179"/>
        <v>1069</v>
      </c>
      <c r="U736" s="312">
        <f t="shared" si="180"/>
        <v>3210.9702000000007</v>
      </c>
      <c r="V736" s="93">
        <f t="shared" si="181"/>
        <v>0</v>
      </c>
    </row>
    <row r="737" spans="1:22" ht="18" customHeight="1" x14ac:dyDescent="0.2">
      <c r="A737" s="110" t="s">
        <v>1499</v>
      </c>
      <c r="B737" s="111"/>
      <c r="C737" s="201" t="s">
        <v>1500</v>
      </c>
      <c r="D737" s="91">
        <v>42944</v>
      </c>
      <c r="E737" s="92"/>
      <c r="F737" s="93"/>
      <c r="G737" s="93"/>
      <c r="H737" s="93">
        <v>16899</v>
      </c>
      <c r="I737" s="93">
        <v>5081</v>
      </c>
      <c r="J737" s="93"/>
      <c r="K737" s="93">
        <f t="shared" si="172"/>
        <v>0</v>
      </c>
      <c r="L737" s="93">
        <f t="shared" si="173"/>
        <v>0</v>
      </c>
      <c r="M737" s="94">
        <v>50</v>
      </c>
      <c r="N737" s="95" t="s">
        <v>289</v>
      </c>
      <c r="O737" s="93">
        <f t="shared" si="174"/>
        <v>0</v>
      </c>
      <c r="P737" s="93">
        <f t="shared" si="175"/>
        <v>0</v>
      </c>
      <c r="Q737" s="93">
        <f t="shared" si="176"/>
        <v>0</v>
      </c>
      <c r="R737" s="93">
        <f t="shared" si="177"/>
        <v>1270</v>
      </c>
      <c r="S737" s="93">
        <f t="shared" si="178"/>
        <v>0</v>
      </c>
      <c r="T737" s="93">
        <f t="shared" si="179"/>
        <v>1270</v>
      </c>
      <c r="U737" s="312">
        <f t="shared" si="180"/>
        <v>3811</v>
      </c>
      <c r="V737" s="93">
        <f t="shared" si="181"/>
        <v>0</v>
      </c>
    </row>
    <row r="738" spans="1:22" ht="18" customHeight="1" x14ac:dyDescent="0.2">
      <c r="A738" s="110" t="s">
        <v>1501</v>
      </c>
      <c r="B738" s="111"/>
      <c r="C738" s="201" t="s">
        <v>1502</v>
      </c>
      <c r="D738" s="91">
        <v>42976</v>
      </c>
      <c r="E738" s="92"/>
      <c r="F738" s="93"/>
      <c r="G738" s="93"/>
      <c r="H738" s="93">
        <v>1492.53</v>
      </c>
      <c r="I738" s="93">
        <v>485.53</v>
      </c>
      <c r="J738" s="93"/>
      <c r="K738" s="93">
        <f t="shared" si="172"/>
        <v>0</v>
      </c>
      <c r="L738" s="93">
        <f t="shared" si="173"/>
        <v>0</v>
      </c>
      <c r="M738" s="94">
        <v>50</v>
      </c>
      <c r="N738" s="95" t="s">
        <v>289</v>
      </c>
      <c r="O738" s="93">
        <f t="shared" si="174"/>
        <v>0</v>
      </c>
      <c r="P738" s="93">
        <f t="shared" si="175"/>
        <v>0</v>
      </c>
      <c r="Q738" s="93">
        <f t="shared" si="176"/>
        <v>0</v>
      </c>
      <c r="R738" s="93">
        <f t="shared" si="177"/>
        <v>121</v>
      </c>
      <c r="S738" s="93">
        <f t="shared" si="178"/>
        <v>0</v>
      </c>
      <c r="T738" s="93">
        <f t="shared" si="179"/>
        <v>121</v>
      </c>
      <c r="U738" s="312">
        <f t="shared" si="180"/>
        <v>364.53</v>
      </c>
      <c r="V738" s="93">
        <f t="shared" si="181"/>
        <v>0</v>
      </c>
    </row>
    <row r="739" spans="1:22" ht="18" customHeight="1" x14ac:dyDescent="0.2">
      <c r="A739" s="110" t="s">
        <v>1503</v>
      </c>
      <c r="B739" s="111"/>
      <c r="C739" s="201" t="s">
        <v>1504</v>
      </c>
      <c r="D739" s="91">
        <v>42996</v>
      </c>
      <c r="E739" s="92"/>
      <c r="F739" s="93"/>
      <c r="G739" s="93"/>
      <c r="H739" s="93">
        <v>1551</v>
      </c>
      <c r="I739" s="93">
        <v>528</v>
      </c>
      <c r="J739" s="93"/>
      <c r="K739" s="93">
        <f t="shared" si="172"/>
        <v>0</v>
      </c>
      <c r="L739" s="93">
        <f t="shared" si="173"/>
        <v>0</v>
      </c>
      <c r="M739" s="94">
        <v>50</v>
      </c>
      <c r="N739" s="95" t="s">
        <v>289</v>
      </c>
      <c r="O739" s="93">
        <f t="shared" si="174"/>
        <v>0</v>
      </c>
      <c r="P739" s="93">
        <f t="shared" si="175"/>
        <v>0</v>
      </c>
      <c r="Q739" s="93">
        <f t="shared" si="176"/>
        <v>0</v>
      </c>
      <c r="R739" s="93">
        <f t="shared" si="177"/>
        <v>132</v>
      </c>
      <c r="S739" s="93">
        <f t="shared" si="178"/>
        <v>0</v>
      </c>
      <c r="T739" s="93">
        <f t="shared" si="179"/>
        <v>132</v>
      </c>
      <c r="U739" s="312">
        <f t="shared" si="180"/>
        <v>396</v>
      </c>
      <c r="V739" s="93">
        <f t="shared" si="181"/>
        <v>0</v>
      </c>
    </row>
    <row r="740" spans="1:22" ht="18" customHeight="1" x14ac:dyDescent="0.2">
      <c r="A740" s="110" t="s">
        <v>1505</v>
      </c>
      <c r="B740" s="111"/>
      <c r="C740" s="201" t="s">
        <v>1506</v>
      </c>
      <c r="D740" s="91">
        <v>42996</v>
      </c>
      <c r="E740" s="92"/>
      <c r="F740" s="93"/>
      <c r="G740" s="93"/>
      <c r="H740" s="93">
        <v>1564</v>
      </c>
      <c r="I740" s="93">
        <v>533</v>
      </c>
      <c r="J740" s="93"/>
      <c r="K740" s="93">
        <f t="shared" si="172"/>
        <v>0</v>
      </c>
      <c r="L740" s="93">
        <f t="shared" si="173"/>
        <v>0</v>
      </c>
      <c r="M740" s="94">
        <v>50</v>
      </c>
      <c r="N740" s="95" t="s">
        <v>289</v>
      </c>
      <c r="O740" s="93">
        <f t="shared" si="174"/>
        <v>0</v>
      </c>
      <c r="P740" s="93">
        <f t="shared" si="175"/>
        <v>0</v>
      </c>
      <c r="Q740" s="93">
        <f t="shared" si="176"/>
        <v>0</v>
      </c>
      <c r="R740" s="93">
        <f t="shared" si="177"/>
        <v>133</v>
      </c>
      <c r="S740" s="93">
        <f t="shared" si="178"/>
        <v>0</v>
      </c>
      <c r="T740" s="93">
        <f t="shared" si="179"/>
        <v>133</v>
      </c>
      <c r="U740" s="312">
        <f t="shared" si="180"/>
        <v>400</v>
      </c>
      <c r="V740" s="93">
        <f t="shared" si="181"/>
        <v>0</v>
      </c>
    </row>
    <row r="741" spans="1:22" ht="18" customHeight="1" x14ac:dyDescent="0.2">
      <c r="A741" s="110" t="s">
        <v>1507</v>
      </c>
      <c r="B741" s="111"/>
      <c r="C741" s="201" t="s">
        <v>1508</v>
      </c>
      <c r="D741" s="91">
        <v>43009</v>
      </c>
      <c r="E741" s="92"/>
      <c r="F741" s="93"/>
      <c r="G741" s="93"/>
      <c r="H741" s="93">
        <v>3289.9900000000002</v>
      </c>
      <c r="I741" s="93">
        <v>1153.99</v>
      </c>
      <c r="J741" s="93"/>
      <c r="K741" s="93">
        <f t="shared" si="172"/>
        <v>0</v>
      </c>
      <c r="L741" s="93">
        <f t="shared" si="173"/>
        <v>0</v>
      </c>
      <c r="M741" s="94">
        <v>50</v>
      </c>
      <c r="N741" s="95" t="s">
        <v>289</v>
      </c>
      <c r="O741" s="93">
        <f t="shared" si="174"/>
        <v>0</v>
      </c>
      <c r="P741" s="93">
        <f t="shared" si="175"/>
        <v>0</v>
      </c>
      <c r="Q741" s="93">
        <f t="shared" si="176"/>
        <v>0</v>
      </c>
      <c r="R741" s="93">
        <f t="shared" si="177"/>
        <v>288</v>
      </c>
      <c r="S741" s="93">
        <f t="shared" si="178"/>
        <v>0</v>
      </c>
      <c r="T741" s="93">
        <f t="shared" si="179"/>
        <v>288</v>
      </c>
      <c r="U741" s="312">
        <f t="shared" si="180"/>
        <v>865.99</v>
      </c>
      <c r="V741" s="93">
        <f t="shared" si="181"/>
        <v>0</v>
      </c>
    </row>
    <row r="742" spans="1:22" ht="18" customHeight="1" x14ac:dyDescent="0.2">
      <c r="A742" s="110" t="s">
        <v>1509</v>
      </c>
      <c r="B742" s="111"/>
      <c r="C742" s="201" t="s">
        <v>1510</v>
      </c>
      <c r="D742" s="91">
        <v>43009</v>
      </c>
      <c r="E742" s="92"/>
      <c r="F742" s="93"/>
      <c r="G742" s="93"/>
      <c r="H742" s="93">
        <v>3445.1</v>
      </c>
      <c r="I742" s="93">
        <v>1208.1000000000001</v>
      </c>
      <c r="J742" s="93"/>
      <c r="K742" s="93">
        <f t="shared" si="172"/>
        <v>0</v>
      </c>
      <c r="L742" s="93">
        <f t="shared" si="173"/>
        <v>0</v>
      </c>
      <c r="M742" s="94">
        <v>50</v>
      </c>
      <c r="N742" s="95" t="s">
        <v>289</v>
      </c>
      <c r="O742" s="93">
        <f t="shared" si="174"/>
        <v>0</v>
      </c>
      <c r="P742" s="93">
        <f t="shared" si="175"/>
        <v>0</v>
      </c>
      <c r="Q742" s="93">
        <f t="shared" si="176"/>
        <v>0</v>
      </c>
      <c r="R742" s="93">
        <f t="shared" si="177"/>
        <v>302</v>
      </c>
      <c r="S742" s="93">
        <f t="shared" si="178"/>
        <v>0</v>
      </c>
      <c r="T742" s="93">
        <f t="shared" si="179"/>
        <v>302</v>
      </c>
      <c r="U742" s="312">
        <f t="shared" si="180"/>
        <v>906.10000000000014</v>
      </c>
      <c r="V742" s="93">
        <f t="shared" si="181"/>
        <v>0</v>
      </c>
    </row>
    <row r="743" spans="1:22" ht="18" customHeight="1" x14ac:dyDescent="0.2">
      <c r="A743" s="110" t="s">
        <v>1511</v>
      </c>
      <c r="B743" s="111"/>
      <c r="C743" s="201" t="s">
        <v>1512</v>
      </c>
      <c r="D743" s="91">
        <v>43009</v>
      </c>
      <c r="E743" s="92"/>
      <c r="F743" s="93"/>
      <c r="G743" s="93"/>
      <c r="H743" s="93">
        <v>1645</v>
      </c>
      <c r="I743" s="93">
        <v>577</v>
      </c>
      <c r="J743" s="93"/>
      <c r="K743" s="93">
        <f t="shared" si="172"/>
        <v>0</v>
      </c>
      <c r="L743" s="93">
        <f t="shared" si="173"/>
        <v>0</v>
      </c>
      <c r="M743" s="94">
        <v>50</v>
      </c>
      <c r="N743" s="95" t="s">
        <v>289</v>
      </c>
      <c r="O743" s="93">
        <f t="shared" si="174"/>
        <v>0</v>
      </c>
      <c r="P743" s="93">
        <f t="shared" si="175"/>
        <v>0</v>
      </c>
      <c r="Q743" s="93">
        <f t="shared" si="176"/>
        <v>0</v>
      </c>
      <c r="R743" s="93">
        <f t="shared" si="177"/>
        <v>144</v>
      </c>
      <c r="S743" s="93">
        <f t="shared" si="178"/>
        <v>0</v>
      </c>
      <c r="T743" s="93">
        <f t="shared" si="179"/>
        <v>144</v>
      </c>
      <c r="U743" s="312">
        <f t="shared" si="180"/>
        <v>433</v>
      </c>
      <c r="V743" s="93">
        <f t="shared" si="181"/>
        <v>0</v>
      </c>
    </row>
    <row r="744" spans="1:22" ht="18" customHeight="1" x14ac:dyDescent="0.2">
      <c r="A744" s="110" t="s">
        <v>1513</v>
      </c>
      <c r="B744" s="111"/>
      <c r="C744" s="203" t="s">
        <v>1514</v>
      </c>
      <c r="D744" s="91">
        <v>43009</v>
      </c>
      <c r="E744" s="92"/>
      <c r="F744" s="93"/>
      <c r="G744" s="209"/>
      <c r="H744" s="93">
        <v>3358.6</v>
      </c>
      <c r="I744" s="93">
        <v>1177.6000000000001</v>
      </c>
      <c r="J744" s="93"/>
      <c r="K744" s="93">
        <f t="shared" si="172"/>
        <v>0</v>
      </c>
      <c r="L744" s="93">
        <f t="shared" si="173"/>
        <v>0</v>
      </c>
      <c r="M744" s="94">
        <v>50</v>
      </c>
      <c r="N744" s="95" t="s">
        <v>289</v>
      </c>
      <c r="O744" s="93">
        <f t="shared" si="174"/>
        <v>0</v>
      </c>
      <c r="P744" s="93">
        <f t="shared" si="175"/>
        <v>0</v>
      </c>
      <c r="Q744" s="93">
        <f t="shared" si="176"/>
        <v>0</v>
      </c>
      <c r="R744" s="93">
        <f t="shared" si="177"/>
        <v>294</v>
      </c>
      <c r="S744" s="93">
        <f t="shared" si="178"/>
        <v>0</v>
      </c>
      <c r="T744" s="93">
        <f t="shared" si="179"/>
        <v>294</v>
      </c>
      <c r="U744" s="312">
        <f t="shared" si="180"/>
        <v>883.60000000000014</v>
      </c>
      <c r="V744" s="93">
        <f t="shared" si="181"/>
        <v>0</v>
      </c>
    </row>
    <row r="745" spans="1:22" ht="18" customHeight="1" x14ac:dyDescent="0.2">
      <c r="A745" s="110" t="s">
        <v>1515</v>
      </c>
      <c r="B745" s="111"/>
      <c r="C745" s="201" t="s">
        <v>1516</v>
      </c>
      <c r="D745" s="91">
        <v>43046</v>
      </c>
      <c r="E745" s="92"/>
      <c r="F745" s="93"/>
      <c r="G745" s="93"/>
      <c r="H745" s="93">
        <v>47895</v>
      </c>
      <c r="I745" s="93">
        <v>18147</v>
      </c>
      <c r="J745" s="93"/>
      <c r="K745" s="93">
        <f t="shared" si="172"/>
        <v>0</v>
      </c>
      <c r="L745" s="93">
        <f t="shared" si="173"/>
        <v>0</v>
      </c>
      <c r="M745" s="94">
        <v>50</v>
      </c>
      <c r="N745" s="95" t="s">
        <v>289</v>
      </c>
      <c r="O745" s="93">
        <f t="shared" si="174"/>
        <v>0</v>
      </c>
      <c r="P745" s="93">
        <f t="shared" si="175"/>
        <v>0</v>
      </c>
      <c r="Q745" s="93">
        <f t="shared" si="176"/>
        <v>0</v>
      </c>
      <c r="R745" s="93">
        <f t="shared" si="177"/>
        <v>4536</v>
      </c>
      <c r="S745" s="93">
        <f t="shared" si="178"/>
        <v>0</v>
      </c>
      <c r="T745" s="93">
        <f t="shared" si="179"/>
        <v>4536</v>
      </c>
      <c r="U745" s="312">
        <f t="shared" si="180"/>
        <v>13611</v>
      </c>
      <c r="V745" s="93">
        <f t="shared" si="181"/>
        <v>0</v>
      </c>
    </row>
    <row r="746" spans="1:22" ht="18" customHeight="1" x14ac:dyDescent="0.2">
      <c r="A746" s="110" t="s">
        <v>1517</v>
      </c>
      <c r="B746" s="111"/>
      <c r="C746" s="203" t="s">
        <v>1518</v>
      </c>
      <c r="D746" s="91">
        <v>43146</v>
      </c>
      <c r="E746" s="92"/>
      <c r="F746" s="93"/>
      <c r="G746" s="209"/>
      <c r="H746" s="93">
        <v>3274</v>
      </c>
      <c r="I746" s="93">
        <v>1084</v>
      </c>
      <c r="J746" s="93"/>
      <c r="K746" s="93">
        <f t="shared" ref="K746:K775" si="182">INT(IF($E746&gt;0,IF(+F746-I746+Q746&lt;0,0,+F746-I746+Q746),0))</f>
        <v>0</v>
      </c>
      <c r="L746" s="93">
        <f t="shared" ref="L746:L775" si="183">INT(IF($E746&gt;0,IF(K746=0,-F746+I746-Q746,0),0))</f>
        <v>0</v>
      </c>
      <c r="M746" s="94">
        <v>66.67</v>
      </c>
      <c r="N746" s="95" t="s">
        <v>289</v>
      </c>
      <c r="O746" s="93">
        <f t="shared" ref="O746:O775" si="184">IF(E746&gt;0,INT(IF($N746="D",IF($D746&lt;$H$3,$I746*($M746/100)*((E746-$H$3)/365),$J746*($M746/100)*($J$3-$D746)/365),0)),0)</f>
        <v>0</v>
      </c>
      <c r="P746" s="93">
        <f t="shared" ref="P746:P775" si="185">IF(E746&gt;0,INT(IF($N746="P",IF($D746&lt;$H$3,$H746*($M746/100)*(E746-$H$3)/365,$J746*($M746/100)*($J$3-$D746)/365),0)),0)</f>
        <v>0</v>
      </c>
      <c r="Q746" s="93">
        <f t="shared" ref="Q746:Q775" si="186">+O746+P746</f>
        <v>0</v>
      </c>
      <c r="R746" s="93">
        <f t="shared" ref="R746:R779" si="187">INT(IF($E746&gt;0,0,(IF($N746="D",IF($D746&lt;$H$3,$I746*($M746/100)*$U$3/12,$J746*($M746/100)*($J$3-$D746)/365),0))))</f>
        <v>361</v>
      </c>
      <c r="S746" s="93">
        <f t="shared" ref="S746:S779" si="188">INT(IF($E746&gt;0,0,(IF($N746="P",IF($D746&lt;$H$3,$H746*($M746/100)*$U$3/12,$J746*($M746/100)*($J$3-$D746)/365),0))))</f>
        <v>0</v>
      </c>
      <c r="T746" s="93">
        <f t="shared" ref="T746:T775" si="189">+R746+S746+Q746</f>
        <v>361</v>
      </c>
      <c r="U746" s="312">
        <f t="shared" ref="U746:U775" si="190">+I746+J746-T746-F746+K746-L746</f>
        <v>723</v>
      </c>
      <c r="V746" s="93">
        <f t="shared" ref="V746:V777" si="191">IF(E746&gt;0,+H746+J746,0)</f>
        <v>0</v>
      </c>
    </row>
    <row r="747" spans="1:22" ht="18" customHeight="1" x14ac:dyDescent="0.2">
      <c r="A747" s="110" t="s">
        <v>1519</v>
      </c>
      <c r="B747" s="111"/>
      <c r="C747" s="201" t="s">
        <v>1520</v>
      </c>
      <c r="D747" s="91">
        <v>43149</v>
      </c>
      <c r="E747" s="92"/>
      <c r="F747" s="93"/>
      <c r="G747" s="93"/>
      <c r="H747" s="93">
        <v>17500</v>
      </c>
      <c r="I747" s="93">
        <v>8013</v>
      </c>
      <c r="J747" s="93"/>
      <c r="K747" s="93">
        <f t="shared" si="182"/>
        <v>0</v>
      </c>
      <c r="L747" s="93">
        <f t="shared" si="183"/>
        <v>0</v>
      </c>
      <c r="M747" s="94">
        <v>50</v>
      </c>
      <c r="N747" s="95" t="s">
        <v>289</v>
      </c>
      <c r="O747" s="93">
        <f t="shared" si="184"/>
        <v>0</v>
      </c>
      <c r="P747" s="93">
        <f t="shared" si="185"/>
        <v>0</v>
      </c>
      <c r="Q747" s="93">
        <f t="shared" si="186"/>
        <v>0</v>
      </c>
      <c r="R747" s="93">
        <f t="shared" si="187"/>
        <v>2003</v>
      </c>
      <c r="S747" s="93">
        <f t="shared" si="188"/>
        <v>0</v>
      </c>
      <c r="T747" s="93">
        <f t="shared" si="189"/>
        <v>2003</v>
      </c>
      <c r="U747" s="312">
        <f t="shared" si="190"/>
        <v>6010</v>
      </c>
      <c r="V747" s="93">
        <f t="shared" si="191"/>
        <v>0</v>
      </c>
    </row>
    <row r="748" spans="1:22" ht="18" customHeight="1" x14ac:dyDescent="0.2">
      <c r="A748" s="110" t="s">
        <v>1521</v>
      </c>
      <c r="B748" s="111"/>
      <c r="C748" s="203" t="s">
        <v>1522</v>
      </c>
      <c r="D748" s="91">
        <v>43153</v>
      </c>
      <c r="E748" s="92"/>
      <c r="F748" s="93"/>
      <c r="G748" s="93"/>
      <c r="H748" s="93">
        <v>20154</v>
      </c>
      <c r="I748" s="93">
        <v>9290</v>
      </c>
      <c r="J748" s="93"/>
      <c r="K748" s="93">
        <f t="shared" si="182"/>
        <v>0</v>
      </c>
      <c r="L748" s="93">
        <f t="shared" si="183"/>
        <v>0</v>
      </c>
      <c r="M748" s="94">
        <v>50</v>
      </c>
      <c r="N748" s="95" t="s">
        <v>289</v>
      </c>
      <c r="O748" s="93">
        <f t="shared" si="184"/>
        <v>0</v>
      </c>
      <c r="P748" s="93">
        <f t="shared" si="185"/>
        <v>0</v>
      </c>
      <c r="Q748" s="93">
        <f t="shared" si="186"/>
        <v>0</v>
      </c>
      <c r="R748" s="93">
        <f t="shared" si="187"/>
        <v>2322</v>
      </c>
      <c r="S748" s="93">
        <f t="shared" si="188"/>
        <v>0</v>
      </c>
      <c r="T748" s="93">
        <f t="shared" si="189"/>
        <v>2322</v>
      </c>
      <c r="U748" s="312">
        <f t="shared" si="190"/>
        <v>6968</v>
      </c>
      <c r="V748" s="93">
        <f t="shared" si="191"/>
        <v>0</v>
      </c>
    </row>
    <row r="749" spans="1:22" ht="18" customHeight="1" x14ac:dyDescent="0.2">
      <c r="A749" s="110" t="s">
        <v>1523</v>
      </c>
      <c r="B749" s="111"/>
      <c r="C749" s="201" t="s">
        <v>1524</v>
      </c>
      <c r="D749" s="91">
        <v>43157</v>
      </c>
      <c r="E749" s="92"/>
      <c r="F749" s="93"/>
      <c r="G749" s="93"/>
      <c r="H749" s="93">
        <v>27829</v>
      </c>
      <c r="I749" s="93">
        <v>9457</v>
      </c>
      <c r="J749" s="93"/>
      <c r="K749" s="93">
        <f t="shared" si="182"/>
        <v>0</v>
      </c>
      <c r="L749" s="93">
        <f t="shared" si="183"/>
        <v>0</v>
      </c>
      <c r="M749" s="94">
        <v>66.67</v>
      </c>
      <c r="N749" s="95" t="s">
        <v>289</v>
      </c>
      <c r="O749" s="93">
        <f t="shared" si="184"/>
        <v>0</v>
      </c>
      <c r="P749" s="93">
        <f t="shared" si="185"/>
        <v>0</v>
      </c>
      <c r="Q749" s="93">
        <f t="shared" si="186"/>
        <v>0</v>
      </c>
      <c r="R749" s="93">
        <f t="shared" si="187"/>
        <v>3152</v>
      </c>
      <c r="S749" s="93">
        <f t="shared" si="188"/>
        <v>0</v>
      </c>
      <c r="T749" s="93">
        <f t="shared" si="189"/>
        <v>3152</v>
      </c>
      <c r="U749" s="312">
        <f t="shared" si="190"/>
        <v>6305</v>
      </c>
      <c r="V749" s="93">
        <f t="shared" si="191"/>
        <v>0</v>
      </c>
    </row>
    <row r="750" spans="1:22" ht="18" customHeight="1" x14ac:dyDescent="0.2">
      <c r="A750" s="110" t="s">
        <v>1525</v>
      </c>
      <c r="B750" s="111"/>
      <c r="C750" s="201" t="s">
        <v>1526</v>
      </c>
      <c r="D750" s="91">
        <v>43157</v>
      </c>
      <c r="E750" s="92"/>
      <c r="F750" s="93"/>
      <c r="G750" s="93"/>
      <c r="H750" s="93">
        <v>24750</v>
      </c>
      <c r="I750" s="93">
        <v>11485</v>
      </c>
      <c r="J750" s="93"/>
      <c r="K750" s="93">
        <f t="shared" si="182"/>
        <v>0</v>
      </c>
      <c r="L750" s="93">
        <f t="shared" si="183"/>
        <v>0</v>
      </c>
      <c r="M750" s="94">
        <v>50</v>
      </c>
      <c r="N750" s="95" t="s">
        <v>289</v>
      </c>
      <c r="O750" s="93">
        <f t="shared" si="184"/>
        <v>0</v>
      </c>
      <c r="P750" s="93">
        <f t="shared" si="185"/>
        <v>0</v>
      </c>
      <c r="Q750" s="93">
        <f t="shared" si="186"/>
        <v>0</v>
      </c>
      <c r="R750" s="93">
        <f t="shared" si="187"/>
        <v>2871</v>
      </c>
      <c r="S750" s="93">
        <f t="shared" si="188"/>
        <v>0</v>
      </c>
      <c r="T750" s="93">
        <f t="shared" si="189"/>
        <v>2871</v>
      </c>
      <c r="U750" s="312">
        <f t="shared" si="190"/>
        <v>8614</v>
      </c>
      <c r="V750" s="93">
        <f t="shared" si="191"/>
        <v>0</v>
      </c>
    </row>
    <row r="751" spans="1:22" ht="18" customHeight="1" x14ac:dyDescent="0.2">
      <c r="A751" s="110" t="s">
        <v>1527</v>
      </c>
      <c r="B751" s="111"/>
      <c r="C751" s="201" t="s">
        <v>1528</v>
      </c>
      <c r="D751" s="91">
        <v>43167</v>
      </c>
      <c r="E751" s="92"/>
      <c r="F751" s="93"/>
      <c r="G751" s="93"/>
      <c r="H751" s="93">
        <v>4576.83</v>
      </c>
      <c r="I751" s="93">
        <v>2159.83</v>
      </c>
      <c r="J751" s="93"/>
      <c r="K751" s="93">
        <f t="shared" si="182"/>
        <v>0</v>
      </c>
      <c r="L751" s="93">
        <f t="shared" si="183"/>
        <v>0</v>
      </c>
      <c r="M751" s="94">
        <v>50</v>
      </c>
      <c r="N751" s="95" t="s">
        <v>289</v>
      </c>
      <c r="O751" s="93">
        <f t="shared" si="184"/>
        <v>0</v>
      </c>
      <c r="P751" s="93">
        <f t="shared" si="185"/>
        <v>0</v>
      </c>
      <c r="Q751" s="93">
        <f t="shared" si="186"/>
        <v>0</v>
      </c>
      <c r="R751" s="93">
        <f t="shared" si="187"/>
        <v>539</v>
      </c>
      <c r="S751" s="93">
        <f t="shared" si="188"/>
        <v>0</v>
      </c>
      <c r="T751" s="93">
        <f t="shared" si="189"/>
        <v>539</v>
      </c>
      <c r="U751" s="312">
        <f t="shared" si="190"/>
        <v>1620.83</v>
      </c>
      <c r="V751" s="93">
        <f t="shared" si="191"/>
        <v>0</v>
      </c>
    </row>
    <row r="752" spans="1:22" ht="18" customHeight="1" x14ac:dyDescent="0.2">
      <c r="A752" s="110" t="s">
        <v>1529</v>
      </c>
      <c r="B752" s="111"/>
      <c r="C752" s="203" t="s">
        <v>1530</v>
      </c>
      <c r="D752" s="91">
        <v>43167</v>
      </c>
      <c r="E752" s="92"/>
      <c r="F752" s="93"/>
      <c r="G752" s="209"/>
      <c r="H752" s="93">
        <v>3292.12</v>
      </c>
      <c r="I752" s="93">
        <v>1553.12</v>
      </c>
      <c r="J752" s="93"/>
      <c r="K752" s="93">
        <f t="shared" si="182"/>
        <v>0</v>
      </c>
      <c r="L752" s="93">
        <f t="shared" si="183"/>
        <v>0</v>
      </c>
      <c r="M752" s="94">
        <v>50</v>
      </c>
      <c r="N752" s="95" t="s">
        <v>289</v>
      </c>
      <c r="O752" s="93">
        <f t="shared" si="184"/>
        <v>0</v>
      </c>
      <c r="P752" s="93">
        <f t="shared" si="185"/>
        <v>0</v>
      </c>
      <c r="Q752" s="93">
        <f t="shared" si="186"/>
        <v>0</v>
      </c>
      <c r="R752" s="93">
        <f t="shared" si="187"/>
        <v>388</v>
      </c>
      <c r="S752" s="93">
        <f t="shared" si="188"/>
        <v>0</v>
      </c>
      <c r="T752" s="93">
        <f t="shared" si="189"/>
        <v>388</v>
      </c>
      <c r="U752" s="312">
        <f t="shared" si="190"/>
        <v>1165.1199999999999</v>
      </c>
      <c r="V752" s="93">
        <f t="shared" si="191"/>
        <v>0</v>
      </c>
    </row>
    <row r="753" spans="1:22" ht="18" customHeight="1" x14ac:dyDescent="0.2">
      <c r="A753" s="110" t="s">
        <v>1531</v>
      </c>
      <c r="B753" s="111"/>
      <c r="C753" s="201" t="s">
        <v>1532</v>
      </c>
      <c r="D753" s="91">
        <v>43167</v>
      </c>
      <c r="E753" s="92"/>
      <c r="F753" s="93"/>
      <c r="G753" s="93"/>
      <c r="H753" s="93">
        <v>10679.26</v>
      </c>
      <c r="I753" s="93">
        <v>5037.26</v>
      </c>
      <c r="J753" s="93"/>
      <c r="K753" s="93">
        <f t="shared" si="182"/>
        <v>0</v>
      </c>
      <c r="L753" s="93">
        <f t="shared" si="183"/>
        <v>0</v>
      </c>
      <c r="M753" s="94">
        <v>50</v>
      </c>
      <c r="N753" s="95" t="s">
        <v>289</v>
      </c>
      <c r="O753" s="93">
        <f t="shared" si="184"/>
        <v>0</v>
      </c>
      <c r="P753" s="93">
        <f t="shared" si="185"/>
        <v>0</v>
      </c>
      <c r="Q753" s="93">
        <f t="shared" si="186"/>
        <v>0</v>
      </c>
      <c r="R753" s="93">
        <f t="shared" si="187"/>
        <v>1259</v>
      </c>
      <c r="S753" s="93">
        <f t="shared" si="188"/>
        <v>0</v>
      </c>
      <c r="T753" s="93">
        <f t="shared" si="189"/>
        <v>1259</v>
      </c>
      <c r="U753" s="312">
        <f t="shared" si="190"/>
        <v>3778.26</v>
      </c>
      <c r="V753" s="93">
        <f t="shared" si="191"/>
        <v>0</v>
      </c>
    </row>
    <row r="754" spans="1:22" ht="18" customHeight="1" x14ac:dyDescent="0.2">
      <c r="A754" s="110" t="s">
        <v>1533</v>
      </c>
      <c r="B754" s="111"/>
      <c r="C754" s="203" t="s">
        <v>1534</v>
      </c>
      <c r="D754" s="91">
        <v>43185</v>
      </c>
      <c r="E754" s="92"/>
      <c r="F754" s="93"/>
      <c r="G754" s="93"/>
      <c r="H754" s="93">
        <v>6040</v>
      </c>
      <c r="I754" s="93">
        <v>2932</v>
      </c>
      <c r="J754" s="93"/>
      <c r="K754" s="93">
        <f t="shared" si="182"/>
        <v>0</v>
      </c>
      <c r="L754" s="93">
        <f t="shared" si="183"/>
        <v>0</v>
      </c>
      <c r="M754" s="94">
        <v>50</v>
      </c>
      <c r="N754" s="95" t="s">
        <v>289</v>
      </c>
      <c r="O754" s="93">
        <f t="shared" si="184"/>
        <v>0</v>
      </c>
      <c r="P754" s="93">
        <f t="shared" si="185"/>
        <v>0</v>
      </c>
      <c r="Q754" s="93">
        <f t="shared" si="186"/>
        <v>0</v>
      </c>
      <c r="R754" s="93">
        <f t="shared" si="187"/>
        <v>733</v>
      </c>
      <c r="S754" s="93">
        <f t="shared" si="188"/>
        <v>0</v>
      </c>
      <c r="T754" s="93">
        <f t="shared" si="189"/>
        <v>733</v>
      </c>
      <c r="U754" s="312">
        <f t="shared" si="190"/>
        <v>2199</v>
      </c>
      <c r="V754" s="93">
        <f t="shared" si="191"/>
        <v>0</v>
      </c>
    </row>
    <row r="755" spans="1:22" ht="18" customHeight="1" x14ac:dyDescent="0.2">
      <c r="A755" s="110" t="s">
        <v>1535</v>
      </c>
      <c r="B755" s="111"/>
      <c r="C755" s="201" t="s">
        <v>1536</v>
      </c>
      <c r="D755" s="91">
        <v>43187</v>
      </c>
      <c r="E755" s="92"/>
      <c r="F755" s="93"/>
      <c r="G755" s="93"/>
      <c r="H755" s="93">
        <v>7671</v>
      </c>
      <c r="I755" s="93">
        <v>3736</v>
      </c>
      <c r="J755" s="93"/>
      <c r="K755" s="93">
        <f t="shared" si="182"/>
        <v>0</v>
      </c>
      <c r="L755" s="93">
        <f t="shared" si="183"/>
        <v>0</v>
      </c>
      <c r="M755" s="94">
        <v>50</v>
      </c>
      <c r="N755" s="95" t="s">
        <v>289</v>
      </c>
      <c r="O755" s="93">
        <f t="shared" si="184"/>
        <v>0</v>
      </c>
      <c r="P755" s="93">
        <f t="shared" si="185"/>
        <v>0</v>
      </c>
      <c r="Q755" s="93">
        <f t="shared" si="186"/>
        <v>0</v>
      </c>
      <c r="R755" s="93">
        <f t="shared" si="187"/>
        <v>934</v>
      </c>
      <c r="S755" s="93">
        <f t="shared" si="188"/>
        <v>0</v>
      </c>
      <c r="T755" s="93">
        <f t="shared" si="189"/>
        <v>934</v>
      </c>
      <c r="U755" s="312">
        <f t="shared" si="190"/>
        <v>2802</v>
      </c>
      <c r="V755" s="93">
        <f t="shared" si="191"/>
        <v>0</v>
      </c>
    </row>
    <row r="756" spans="1:22" ht="18" customHeight="1" x14ac:dyDescent="0.2">
      <c r="A756" s="110" t="s">
        <v>1537</v>
      </c>
      <c r="B756" s="111"/>
      <c r="C756" s="201" t="s">
        <v>1538</v>
      </c>
      <c r="D756" s="91">
        <v>43191</v>
      </c>
      <c r="E756" s="92"/>
      <c r="F756" s="93"/>
      <c r="G756" s="93"/>
      <c r="H756" s="93">
        <v>11149</v>
      </c>
      <c r="I756" s="93">
        <v>5465</v>
      </c>
      <c r="J756" s="93"/>
      <c r="K756" s="93">
        <f t="shared" si="182"/>
        <v>0</v>
      </c>
      <c r="L756" s="93">
        <f t="shared" si="183"/>
        <v>0</v>
      </c>
      <c r="M756" s="94">
        <v>50</v>
      </c>
      <c r="N756" s="95" t="s">
        <v>289</v>
      </c>
      <c r="O756" s="93">
        <f t="shared" si="184"/>
        <v>0</v>
      </c>
      <c r="P756" s="93">
        <f t="shared" si="185"/>
        <v>0</v>
      </c>
      <c r="Q756" s="93">
        <f t="shared" si="186"/>
        <v>0</v>
      </c>
      <c r="R756" s="93">
        <f t="shared" si="187"/>
        <v>1366</v>
      </c>
      <c r="S756" s="93">
        <f t="shared" si="188"/>
        <v>0</v>
      </c>
      <c r="T756" s="93">
        <f t="shared" si="189"/>
        <v>1366</v>
      </c>
      <c r="U756" s="312">
        <f t="shared" si="190"/>
        <v>4099</v>
      </c>
      <c r="V756" s="93">
        <f t="shared" si="191"/>
        <v>0</v>
      </c>
    </row>
    <row r="757" spans="1:22" ht="18" customHeight="1" x14ac:dyDescent="0.2">
      <c r="A757" s="110" t="s">
        <v>1539</v>
      </c>
      <c r="B757" s="111"/>
      <c r="C757" s="203" t="s">
        <v>1540</v>
      </c>
      <c r="D757" s="91">
        <v>43191</v>
      </c>
      <c r="E757" s="92"/>
      <c r="F757" s="93"/>
      <c r="G757" s="93"/>
      <c r="H757" s="93">
        <v>62256</v>
      </c>
      <c r="I757" s="93">
        <v>30511</v>
      </c>
      <c r="J757" s="93"/>
      <c r="K757" s="93">
        <f t="shared" si="182"/>
        <v>0</v>
      </c>
      <c r="L757" s="93">
        <f t="shared" si="183"/>
        <v>0</v>
      </c>
      <c r="M757" s="94">
        <v>50</v>
      </c>
      <c r="N757" s="95" t="s">
        <v>289</v>
      </c>
      <c r="O757" s="93">
        <f t="shared" si="184"/>
        <v>0</v>
      </c>
      <c r="P757" s="93">
        <f t="shared" si="185"/>
        <v>0</v>
      </c>
      <c r="Q757" s="93">
        <f t="shared" si="186"/>
        <v>0</v>
      </c>
      <c r="R757" s="93">
        <f t="shared" si="187"/>
        <v>7627</v>
      </c>
      <c r="S757" s="93">
        <f t="shared" si="188"/>
        <v>0</v>
      </c>
      <c r="T757" s="93">
        <f t="shared" si="189"/>
        <v>7627</v>
      </c>
      <c r="U757" s="312">
        <f t="shared" si="190"/>
        <v>22884</v>
      </c>
      <c r="V757" s="93">
        <f t="shared" si="191"/>
        <v>0</v>
      </c>
    </row>
    <row r="758" spans="1:22" ht="18" customHeight="1" x14ac:dyDescent="0.2">
      <c r="A758" s="110" t="s">
        <v>1541</v>
      </c>
      <c r="B758" s="111"/>
      <c r="C758" s="201" t="s">
        <v>1542</v>
      </c>
      <c r="D758" s="91">
        <v>43191</v>
      </c>
      <c r="E758" s="92"/>
      <c r="F758" s="93"/>
      <c r="G758" s="93"/>
      <c r="H758" s="93">
        <v>3087</v>
      </c>
      <c r="I758" s="93">
        <v>1513</v>
      </c>
      <c r="J758" s="93"/>
      <c r="K758" s="93">
        <f t="shared" si="182"/>
        <v>0</v>
      </c>
      <c r="L758" s="93">
        <f t="shared" si="183"/>
        <v>0</v>
      </c>
      <c r="M758" s="94">
        <v>50</v>
      </c>
      <c r="N758" s="95" t="s">
        <v>289</v>
      </c>
      <c r="O758" s="93">
        <f t="shared" si="184"/>
        <v>0</v>
      </c>
      <c r="P758" s="93">
        <f t="shared" si="185"/>
        <v>0</v>
      </c>
      <c r="Q758" s="93">
        <f t="shared" si="186"/>
        <v>0</v>
      </c>
      <c r="R758" s="93">
        <f t="shared" si="187"/>
        <v>378</v>
      </c>
      <c r="S758" s="93">
        <f t="shared" si="188"/>
        <v>0</v>
      </c>
      <c r="T758" s="93">
        <f t="shared" si="189"/>
        <v>378</v>
      </c>
      <c r="U758" s="312">
        <f t="shared" si="190"/>
        <v>1135</v>
      </c>
      <c r="V758" s="93">
        <f t="shared" si="191"/>
        <v>0</v>
      </c>
    </row>
    <row r="759" spans="1:22" ht="18" customHeight="1" x14ac:dyDescent="0.2">
      <c r="A759" s="110" t="s">
        <v>1543</v>
      </c>
      <c r="B759" s="111"/>
      <c r="C759" s="201" t="s">
        <v>1544</v>
      </c>
      <c r="D759" s="91">
        <v>43191</v>
      </c>
      <c r="E759" s="92"/>
      <c r="F759" s="93"/>
      <c r="G759" s="93"/>
      <c r="H759" s="93">
        <v>9874.76</v>
      </c>
      <c r="I759" s="93">
        <v>4839.76</v>
      </c>
      <c r="J759" s="93"/>
      <c r="K759" s="93">
        <f t="shared" si="182"/>
        <v>0</v>
      </c>
      <c r="L759" s="93">
        <f t="shared" si="183"/>
        <v>0</v>
      </c>
      <c r="M759" s="94">
        <v>50</v>
      </c>
      <c r="N759" s="95" t="s">
        <v>289</v>
      </c>
      <c r="O759" s="93">
        <f t="shared" si="184"/>
        <v>0</v>
      </c>
      <c r="P759" s="93">
        <f t="shared" si="185"/>
        <v>0</v>
      </c>
      <c r="Q759" s="93">
        <f t="shared" si="186"/>
        <v>0</v>
      </c>
      <c r="R759" s="93">
        <f t="shared" si="187"/>
        <v>1209</v>
      </c>
      <c r="S759" s="93">
        <f t="shared" si="188"/>
        <v>0</v>
      </c>
      <c r="T759" s="93">
        <f t="shared" si="189"/>
        <v>1209</v>
      </c>
      <c r="U759" s="312">
        <f t="shared" si="190"/>
        <v>3630.76</v>
      </c>
      <c r="V759" s="93">
        <f t="shared" si="191"/>
        <v>0</v>
      </c>
    </row>
    <row r="760" spans="1:22" ht="18" customHeight="1" x14ac:dyDescent="0.2">
      <c r="A760" s="110" t="s">
        <v>1545</v>
      </c>
      <c r="B760" s="111"/>
      <c r="C760" s="201" t="s">
        <v>1546</v>
      </c>
      <c r="D760" s="91">
        <v>43191</v>
      </c>
      <c r="E760" s="92"/>
      <c r="F760" s="93"/>
      <c r="G760" s="93"/>
      <c r="H760" s="93">
        <v>15751.44</v>
      </c>
      <c r="I760" s="93">
        <v>7719.4400000000005</v>
      </c>
      <c r="J760" s="93"/>
      <c r="K760" s="93">
        <f t="shared" si="182"/>
        <v>0</v>
      </c>
      <c r="L760" s="93">
        <f t="shared" si="183"/>
        <v>0</v>
      </c>
      <c r="M760" s="94">
        <v>50</v>
      </c>
      <c r="N760" s="95" t="s">
        <v>289</v>
      </c>
      <c r="O760" s="93">
        <f t="shared" si="184"/>
        <v>0</v>
      </c>
      <c r="P760" s="93">
        <f t="shared" si="185"/>
        <v>0</v>
      </c>
      <c r="Q760" s="93">
        <f t="shared" si="186"/>
        <v>0</v>
      </c>
      <c r="R760" s="93">
        <f t="shared" si="187"/>
        <v>1929</v>
      </c>
      <c r="S760" s="93">
        <f t="shared" si="188"/>
        <v>0</v>
      </c>
      <c r="T760" s="93">
        <f t="shared" si="189"/>
        <v>1929</v>
      </c>
      <c r="U760" s="312">
        <f t="shared" si="190"/>
        <v>5790.4400000000005</v>
      </c>
      <c r="V760" s="93">
        <f t="shared" si="191"/>
        <v>0</v>
      </c>
    </row>
    <row r="761" spans="1:22" ht="18" customHeight="1" x14ac:dyDescent="0.2">
      <c r="A761" s="110" t="s">
        <v>1547</v>
      </c>
      <c r="B761" s="111"/>
      <c r="C761" s="201" t="s">
        <v>1548</v>
      </c>
      <c r="D761" s="91">
        <v>43191</v>
      </c>
      <c r="E761" s="92"/>
      <c r="F761" s="93"/>
      <c r="G761" s="93"/>
      <c r="H761" s="93">
        <v>8228.9699999999993</v>
      </c>
      <c r="I761" s="93">
        <v>4032.9700000000003</v>
      </c>
      <c r="J761" s="93"/>
      <c r="K761" s="93">
        <f t="shared" si="182"/>
        <v>0</v>
      </c>
      <c r="L761" s="93">
        <f t="shared" si="183"/>
        <v>0</v>
      </c>
      <c r="M761" s="94">
        <v>50</v>
      </c>
      <c r="N761" s="95" t="s">
        <v>289</v>
      </c>
      <c r="O761" s="93">
        <f t="shared" si="184"/>
        <v>0</v>
      </c>
      <c r="P761" s="93">
        <f t="shared" si="185"/>
        <v>0</v>
      </c>
      <c r="Q761" s="93">
        <f t="shared" si="186"/>
        <v>0</v>
      </c>
      <c r="R761" s="93">
        <f t="shared" si="187"/>
        <v>1008</v>
      </c>
      <c r="S761" s="93">
        <f t="shared" si="188"/>
        <v>0</v>
      </c>
      <c r="T761" s="93">
        <f t="shared" si="189"/>
        <v>1008</v>
      </c>
      <c r="U761" s="312">
        <f t="shared" si="190"/>
        <v>3024.9700000000003</v>
      </c>
      <c r="V761" s="93">
        <f t="shared" si="191"/>
        <v>0</v>
      </c>
    </row>
    <row r="762" spans="1:22" ht="18" customHeight="1" x14ac:dyDescent="0.2">
      <c r="A762" s="110" t="s">
        <v>1549</v>
      </c>
      <c r="B762" s="111"/>
      <c r="C762" s="201" t="s">
        <v>1550</v>
      </c>
      <c r="D762" s="91">
        <v>43206</v>
      </c>
      <c r="E762" s="92"/>
      <c r="F762" s="93"/>
      <c r="G762" s="93"/>
      <c r="H762" s="93">
        <v>3432.88</v>
      </c>
      <c r="I762" s="93">
        <v>1721.88</v>
      </c>
      <c r="J762" s="93"/>
      <c r="K762" s="93">
        <f t="shared" si="182"/>
        <v>0</v>
      </c>
      <c r="L762" s="93">
        <f t="shared" si="183"/>
        <v>0</v>
      </c>
      <c r="M762" s="94">
        <v>50</v>
      </c>
      <c r="N762" s="95" t="s">
        <v>289</v>
      </c>
      <c r="O762" s="93">
        <f t="shared" si="184"/>
        <v>0</v>
      </c>
      <c r="P762" s="93">
        <f t="shared" si="185"/>
        <v>0</v>
      </c>
      <c r="Q762" s="93">
        <f t="shared" si="186"/>
        <v>0</v>
      </c>
      <c r="R762" s="93">
        <f t="shared" si="187"/>
        <v>430</v>
      </c>
      <c r="S762" s="93">
        <f t="shared" si="188"/>
        <v>0</v>
      </c>
      <c r="T762" s="93">
        <f t="shared" si="189"/>
        <v>430</v>
      </c>
      <c r="U762" s="312">
        <f t="shared" si="190"/>
        <v>1291.8800000000001</v>
      </c>
      <c r="V762" s="93">
        <f t="shared" si="191"/>
        <v>0</v>
      </c>
    </row>
    <row r="763" spans="1:22" ht="18" customHeight="1" x14ac:dyDescent="0.2">
      <c r="A763" s="110" t="s">
        <v>1551</v>
      </c>
      <c r="B763" s="111"/>
      <c r="C763" s="201" t="s">
        <v>1518</v>
      </c>
      <c r="D763" s="91">
        <v>43213</v>
      </c>
      <c r="E763" s="92"/>
      <c r="F763" s="93"/>
      <c r="G763" s="93"/>
      <c r="H763" s="93">
        <v>3148</v>
      </c>
      <c r="I763" s="93">
        <v>1212</v>
      </c>
      <c r="J763" s="93"/>
      <c r="K763" s="93">
        <f t="shared" si="182"/>
        <v>0</v>
      </c>
      <c r="L763" s="93">
        <f t="shared" si="183"/>
        <v>0</v>
      </c>
      <c r="M763" s="94">
        <v>66.67</v>
      </c>
      <c r="N763" s="95" t="s">
        <v>289</v>
      </c>
      <c r="O763" s="93">
        <f t="shared" si="184"/>
        <v>0</v>
      </c>
      <c r="P763" s="93">
        <f t="shared" si="185"/>
        <v>0</v>
      </c>
      <c r="Q763" s="93">
        <f t="shared" si="186"/>
        <v>0</v>
      </c>
      <c r="R763" s="93">
        <f t="shared" si="187"/>
        <v>404</v>
      </c>
      <c r="S763" s="93">
        <f t="shared" si="188"/>
        <v>0</v>
      </c>
      <c r="T763" s="93">
        <f t="shared" si="189"/>
        <v>404</v>
      </c>
      <c r="U763" s="312">
        <f t="shared" si="190"/>
        <v>808</v>
      </c>
      <c r="V763" s="93">
        <f t="shared" si="191"/>
        <v>0</v>
      </c>
    </row>
    <row r="764" spans="1:22" ht="18" customHeight="1" x14ac:dyDescent="0.2">
      <c r="A764" s="110" t="s">
        <v>1552</v>
      </c>
      <c r="B764" s="111"/>
      <c r="C764" s="201" t="s">
        <v>1553</v>
      </c>
      <c r="D764" s="91">
        <v>43214</v>
      </c>
      <c r="E764" s="92"/>
      <c r="F764" s="93"/>
      <c r="G764" s="93"/>
      <c r="H764" s="93">
        <v>1782.27</v>
      </c>
      <c r="I764" s="93">
        <v>905.27</v>
      </c>
      <c r="J764" s="93"/>
      <c r="K764" s="93">
        <f t="shared" si="182"/>
        <v>0</v>
      </c>
      <c r="L764" s="93">
        <f t="shared" si="183"/>
        <v>0</v>
      </c>
      <c r="M764" s="94">
        <v>50</v>
      </c>
      <c r="N764" s="95" t="s">
        <v>289</v>
      </c>
      <c r="O764" s="93">
        <f t="shared" si="184"/>
        <v>0</v>
      </c>
      <c r="P764" s="93">
        <f t="shared" si="185"/>
        <v>0</v>
      </c>
      <c r="Q764" s="93">
        <f t="shared" si="186"/>
        <v>0</v>
      </c>
      <c r="R764" s="93">
        <f t="shared" si="187"/>
        <v>226</v>
      </c>
      <c r="S764" s="93">
        <f t="shared" si="188"/>
        <v>0</v>
      </c>
      <c r="T764" s="93">
        <f t="shared" si="189"/>
        <v>226</v>
      </c>
      <c r="U764" s="312">
        <f t="shared" si="190"/>
        <v>679.27</v>
      </c>
      <c r="V764" s="93">
        <f t="shared" si="191"/>
        <v>0</v>
      </c>
    </row>
    <row r="765" spans="1:22" ht="18" customHeight="1" x14ac:dyDescent="0.2">
      <c r="A765" s="110" t="s">
        <v>1554</v>
      </c>
      <c r="B765" s="111"/>
      <c r="C765" s="201" t="s">
        <v>1555</v>
      </c>
      <c r="D765" s="91">
        <v>43227</v>
      </c>
      <c r="E765" s="92"/>
      <c r="F765" s="93"/>
      <c r="G765" s="93"/>
      <c r="H765" s="93">
        <v>3220.94</v>
      </c>
      <c r="I765" s="93">
        <v>1667.94</v>
      </c>
      <c r="J765" s="93"/>
      <c r="K765" s="93">
        <f t="shared" si="182"/>
        <v>0</v>
      </c>
      <c r="L765" s="93">
        <f t="shared" si="183"/>
        <v>0</v>
      </c>
      <c r="M765" s="94">
        <v>50</v>
      </c>
      <c r="N765" s="95" t="s">
        <v>289</v>
      </c>
      <c r="O765" s="93">
        <f t="shared" si="184"/>
        <v>0</v>
      </c>
      <c r="P765" s="93">
        <f t="shared" si="185"/>
        <v>0</v>
      </c>
      <c r="Q765" s="93">
        <f t="shared" si="186"/>
        <v>0</v>
      </c>
      <c r="R765" s="93">
        <f t="shared" si="187"/>
        <v>416</v>
      </c>
      <c r="S765" s="93">
        <f t="shared" si="188"/>
        <v>0</v>
      </c>
      <c r="T765" s="93">
        <f t="shared" si="189"/>
        <v>416</v>
      </c>
      <c r="U765" s="312">
        <f t="shared" si="190"/>
        <v>1251.94</v>
      </c>
      <c r="V765" s="93">
        <f t="shared" si="191"/>
        <v>0</v>
      </c>
    </row>
    <row r="766" spans="1:22" ht="18" customHeight="1" x14ac:dyDescent="0.2">
      <c r="A766" s="110" t="s">
        <v>1556</v>
      </c>
      <c r="B766" s="111"/>
      <c r="C766" s="201" t="s">
        <v>1557</v>
      </c>
      <c r="D766" s="91">
        <v>43227</v>
      </c>
      <c r="E766" s="92"/>
      <c r="F766" s="93"/>
      <c r="G766" s="93"/>
      <c r="H766" s="93">
        <v>1670</v>
      </c>
      <c r="I766" s="93">
        <v>865</v>
      </c>
      <c r="J766" s="93"/>
      <c r="K766" s="93">
        <f t="shared" si="182"/>
        <v>0</v>
      </c>
      <c r="L766" s="93">
        <f t="shared" si="183"/>
        <v>0</v>
      </c>
      <c r="M766" s="94">
        <v>50</v>
      </c>
      <c r="N766" s="95" t="s">
        <v>289</v>
      </c>
      <c r="O766" s="93">
        <f t="shared" si="184"/>
        <v>0</v>
      </c>
      <c r="P766" s="93">
        <f t="shared" si="185"/>
        <v>0</v>
      </c>
      <c r="Q766" s="93">
        <f t="shared" si="186"/>
        <v>0</v>
      </c>
      <c r="R766" s="93">
        <f t="shared" si="187"/>
        <v>216</v>
      </c>
      <c r="S766" s="93">
        <f t="shared" si="188"/>
        <v>0</v>
      </c>
      <c r="T766" s="93">
        <f t="shared" si="189"/>
        <v>216</v>
      </c>
      <c r="U766" s="312">
        <f t="shared" si="190"/>
        <v>649</v>
      </c>
      <c r="V766" s="93">
        <f t="shared" si="191"/>
        <v>0</v>
      </c>
    </row>
    <row r="767" spans="1:22" ht="18" customHeight="1" x14ac:dyDescent="0.2">
      <c r="A767" s="110" t="s">
        <v>1558</v>
      </c>
      <c r="B767" s="111"/>
      <c r="C767" s="201" t="s">
        <v>1559</v>
      </c>
      <c r="D767" s="91">
        <v>43264</v>
      </c>
      <c r="E767" s="92"/>
      <c r="F767" s="93"/>
      <c r="G767" s="93"/>
      <c r="H767" s="93">
        <v>6936.3600000000006</v>
      </c>
      <c r="I767" s="93">
        <v>3788.3599999999997</v>
      </c>
      <c r="J767" s="93"/>
      <c r="K767" s="93">
        <f t="shared" si="182"/>
        <v>0</v>
      </c>
      <c r="L767" s="93">
        <f t="shared" si="183"/>
        <v>0</v>
      </c>
      <c r="M767" s="94">
        <v>50</v>
      </c>
      <c r="N767" s="95" t="s">
        <v>289</v>
      </c>
      <c r="O767" s="93">
        <f t="shared" si="184"/>
        <v>0</v>
      </c>
      <c r="P767" s="93">
        <f t="shared" si="185"/>
        <v>0</v>
      </c>
      <c r="Q767" s="93">
        <f t="shared" si="186"/>
        <v>0</v>
      </c>
      <c r="R767" s="93">
        <f t="shared" si="187"/>
        <v>947</v>
      </c>
      <c r="S767" s="93">
        <f t="shared" si="188"/>
        <v>0</v>
      </c>
      <c r="T767" s="93">
        <f t="shared" si="189"/>
        <v>947</v>
      </c>
      <c r="U767" s="312">
        <f t="shared" si="190"/>
        <v>2841.3599999999997</v>
      </c>
      <c r="V767" s="93">
        <f t="shared" si="191"/>
        <v>0</v>
      </c>
    </row>
    <row r="768" spans="1:22" ht="18" customHeight="1" x14ac:dyDescent="0.2">
      <c r="A768" s="110" t="s">
        <v>1560</v>
      </c>
      <c r="B768" s="111"/>
      <c r="C768" s="201" t="s">
        <v>1561</v>
      </c>
      <c r="D768" s="91">
        <v>43264</v>
      </c>
      <c r="E768" s="92"/>
      <c r="F768" s="93"/>
      <c r="G768" s="93"/>
      <c r="H768" s="93">
        <v>25581</v>
      </c>
      <c r="I768" s="93">
        <v>13969.1453</v>
      </c>
      <c r="J768" s="93"/>
      <c r="K768" s="93">
        <f t="shared" si="182"/>
        <v>0</v>
      </c>
      <c r="L768" s="93">
        <f t="shared" si="183"/>
        <v>0</v>
      </c>
      <c r="M768" s="94">
        <v>50</v>
      </c>
      <c r="N768" s="95" t="s">
        <v>289</v>
      </c>
      <c r="O768" s="93">
        <f t="shared" si="184"/>
        <v>0</v>
      </c>
      <c r="P768" s="93">
        <f t="shared" si="185"/>
        <v>0</v>
      </c>
      <c r="Q768" s="93">
        <f t="shared" si="186"/>
        <v>0</v>
      </c>
      <c r="R768" s="93">
        <f t="shared" si="187"/>
        <v>3492</v>
      </c>
      <c r="S768" s="93">
        <f t="shared" si="188"/>
        <v>0</v>
      </c>
      <c r="T768" s="93">
        <f t="shared" si="189"/>
        <v>3492</v>
      </c>
      <c r="U768" s="312">
        <f t="shared" si="190"/>
        <v>10477.1453</v>
      </c>
      <c r="V768" s="93">
        <f t="shared" si="191"/>
        <v>0</v>
      </c>
    </row>
    <row r="769" spans="1:29" ht="18" customHeight="1" x14ac:dyDescent="0.2">
      <c r="A769" s="110" t="s">
        <v>1564</v>
      </c>
      <c r="B769" s="111"/>
      <c r="C769" s="201" t="s">
        <v>1565</v>
      </c>
      <c r="D769" s="91">
        <v>43191</v>
      </c>
      <c r="E769" s="92"/>
      <c r="F769" s="93"/>
      <c r="G769" s="93"/>
      <c r="H769" s="93">
        <v>2219</v>
      </c>
      <c r="I769" s="93">
        <v>1088</v>
      </c>
      <c r="J769" s="93"/>
      <c r="K769" s="93">
        <f t="shared" si="182"/>
        <v>0</v>
      </c>
      <c r="L769" s="93">
        <f t="shared" si="183"/>
        <v>0</v>
      </c>
      <c r="M769" s="94">
        <v>50</v>
      </c>
      <c r="N769" s="95" t="s">
        <v>289</v>
      </c>
      <c r="O769" s="93">
        <f t="shared" si="184"/>
        <v>0</v>
      </c>
      <c r="P769" s="93">
        <f t="shared" si="185"/>
        <v>0</v>
      </c>
      <c r="Q769" s="93">
        <f t="shared" si="186"/>
        <v>0</v>
      </c>
      <c r="R769" s="93">
        <f t="shared" si="187"/>
        <v>272</v>
      </c>
      <c r="S769" s="93">
        <f t="shared" si="188"/>
        <v>0</v>
      </c>
      <c r="T769" s="93">
        <f t="shared" si="189"/>
        <v>272</v>
      </c>
      <c r="U769" s="312">
        <f t="shared" si="190"/>
        <v>816</v>
      </c>
      <c r="V769" s="93">
        <f t="shared" si="191"/>
        <v>0</v>
      </c>
    </row>
    <row r="770" spans="1:29" ht="18" customHeight="1" x14ac:dyDescent="0.2">
      <c r="A770" s="110" t="s">
        <v>1566</v>
      </c>
      <c r="B770" s="111"/>
      <c r="C770" s="201" t="s">
        <v>1567</v>
      </c>
      <c r="D770" s="91">
        <v>43191</v>
      </c>
      <c r="E770" s="92"/>
      <c r="F770" s="93"/>
      <c r="G770" s="93"/>
      <c r="H770" s="93">
        <v>2218.7000000000003</v>
      </c>
      <c r="I770" s="93">
        <v>1087.7</v>
      </c>
      <c r="J770" s="93"/>
      <c r="K770" s="93">
        <f t="shared" si="182"/>
        <v>0</v>
      </c>
      <c r="L770" s="93">
        <f t="shared" si="183"/>
        <v>0</v>
      </c>
      <c r="M770" s="94">
        <v>50</v>
      </c>
      <c r="N770" s="95" t="s">
        <v>289</v>
      </c>
      <c r="O770" s="93">
        <f t="shared" si="184"/>
        <v>0</v>
      </c>
      <c r="P770" s="93">
        <f t="shared" si="185"/>
        <v>0</v>
      </c>
      <c r="Q770" s="93">
        <f t="shared" si="186"/>
        <v>0</v>
      </c>
      <c r="R770" s="93">
        <f t="shared" si="187"/>
        <v>271</v>
      </c>
      <c r="S770" s="93">
        <f t="shared" si="188"/>
        <v>0</v>
      </c>
      <c r="T770" s="93">
        <f t="shared" si="189"/>
        <v>271</v>
      </c>
      <c r="U770" s="312">
        <f t="shared" si="190"/>
        <v>816.7</v>
      </c>
      <c r="V770" s="93">
        <f t="shared" si="191"/>
        <v>0</v>
      </c>
    </row>
    <row r="771" spans="1:29" ht="18" customHeight="1" x14ac:dyDescent="0.2">
      <c r="A771" s="110" t="s">
        <v>1568</v>
      </c>
      <c r="B771" s="111"/>
      <c r="C771" s="201" t="s">
        <v>1569</v>
      </c>
      <c r="D771" s="91">
        <v>43191</v>
      </c>
      <c r="E771" s="92"/>
      <c r="F771" s="93"/>
      <c r="G771" s="93"/>
      <c r="H771" s="93">
        <v>2329</v>
      </c>
      <c r="I771" s="93">
        <v>1142</v>
      </c>
      <c r="J771" s="93"/>
      <c r="K771" s="93">
        <f t="shared" si="182"/>
        <v>0</v>
      </c>
      <c r="L771" s="93">
        <f t="shared" si="183"/>
        <v>0</v>
      </c>
      <c r="M771" s="94">
        <v>50</v>
      </c>
      <c r="N771" s="95" t="s">
        <v>289</v>
      </c>
      <c r="O771" s="93">
        <f t="shared" si="184"/>
        <v>0</v>
      </c>
      <c r="P771" s="93">
        <f t="shared" si="185"/>
        <v>0</v>
      </c>
      <c r="Q771" s="93">
        <f t="shared" si="186"/>
        <v>0</v>
      </c>
      <c r="R771" s="93">
        <f t="shared" si="187"/>
        <v>285</v>
      </c>
      <c r="S771" s="93">
        <f t="shared" si="188"/>
        <v>0</v>
      </c>
      <c r="T771" s="93">
        <f t="shared" si="189"/>
        <v>285</v>
      </c>
      <c r="U771" s="312">
        <f t="shared" si="190"/>
        <v>857</v>
      </c>
      <c r="V771" s="93">
        <f t="shared" si="191"/>
        <v>0</v>
      </c>
    </row>
    <row r="772" spans="1:29" ht="18" customHeight="1" x14ac:dyDescent="0.2">
      <c r="A772" s="110" t="s">
        <v>1570</v>
      </c>
      <c r="B772" s="111"/>
      <c r="C772" s="201" t="s">
        <v>1571</v>
      </c>
      <c r="D772" s="91">
        <v>42948</v>
      </c>
      <c r="E772" s="92"/>
      <c r="F772" s="93"/>
      <c r="G772" s="93"/>
      <c r="H772" s="93">
        <v>1772.73</v>
      </c>
      <c r="I772" s="93">
        <v>538.73</v>
      </c>
      <c r="J772" s="93"/>
      <c r="K772" s="93">
        <f t="shared" si="182"/>
        <v>0</v>
      </c>
      <c r="L772" s="93">
        <f t="shared" si="183"/>
        <v>0</v>
      </c>
      <c r="M772" s="94">
        <v>50</v>
      </c>
      <c r="N772" s="95" t="s">
        <v>289</v>
      </c>
      <c r="O772" s="93">
        <f t="shared" si="184"/>
        <v>0</v>
      </c>
      <c r="P772" s="93">
        <f t="shared" si="185"/>
        <v>0</v>
      </c>
      <c r="Q772" s="93">
        <f t="shared" si="186"/>
        <v>0</v>
      </c>
      <c r="R772" s="93">
        <f t="shared" si="187"/>
        <v>134</v>
      </c>
      <c r="S772" s="93">
        <f t="shared" si="188"/>
        <v>0</v>
      </c>
      <c r="T772" s="93">
        <f t="shared" si="189"/>
        <v>134</v>
      </c>
      <c r="U772" s="312">
        <f t="shared" si="190"/>
        <v>404.73</v>
      </c>
      <c r="V772" s="93">
        <f t="shared" si="191"/>
        <v>0</v>
      </c>
    </row>
    <row r="773" spans="1:29" s="45" customFormat="1" ht="18" customHeight="1" x14ac:dyDescent="0.2">
      <c r="A773" s="110" t="s">
        <v>1572</v>
      </c>
      <c r="B773" s="111"/>
      <c r="C773" s="90" t="s">
        <v>1573</v>
      </c>
      <c r="D773" s="91">
        <v>43362</v>
      </c>
      <c r="E773" s="92"/>
      <c r="F773" s="93"/>
      <c r="G773" s="93"/>
      <c r="H773" s="93">
        <v>11025</v>
      </c>
      <c r="I773" s="93">
        <v>7029</v>
      </c>
      <c r="J773" s="93"/>
      <c r="K773" s="93">
        <f t="shared" si="182"/>
        <v>0</v>
      </c>
      <c r="L773" s="93">
        <f t="shared" si="183"/>
        <v>0</v>
      </c>
      <c r="M773" s="94">
        <v>50</v>
      </c>
      <c r="N773" s="95" t="s">
        <v>289</v>
      </c>
      <c r="O773" s="93">
        <f t="shared" si="184"/>
        <v>0</v>
      </c>
      <c r="P773" s="93">
        <f t="shared" si="185"/>
        <v>0</v>
      </c>
      <c r="Q773" s="93">
        <f t="shared" si="186"/>
        <v>0</v>
      </c>
      <c r="R773" s="93">
        <f t="shared" si="187"/>
        <v>1757</v>
      </c>
      <c r="S773" s="93">
        <f t="shared" si="188"/>
        <v>0</v>
      </c>
      <c r="T773" s="93">
        <f t="shared" si="189"/>
        <v>1757</v>
      </c>
      <c r="U773" s="312">
        <f t="shared" si="190"/>
        <v>5272</v>
      </c>
      <c r="V773" s="93">
        <f t="shared" si="191"/>
        <v>0</v>
      </c>
    </row>
    <row r="774" spans="1:29" s="45" customFormat="1" ht="18" customHeight="1" x14ac:dyDescent="0.2">
      <c r="A774" s="110" t="s">
        <v>1574</v>
      </c>
      <c r="B774" s="111"/>
      <c r="C774" s="90" t="s">
        <v>1575</v>
      </c>
      <c r="D774" s="91">
        <v>43402</v>
      </c>
      <c r="E774" s="92"/>
      <c r="F774" s="93"/>
      <c r="G774" s="93"/>
      <c r="H774" s="93">
        <v>13000</v>
      </c>
      <c r="I774" s="93">
        <v>8792</v>
      </c>
      <c r="J774" s="93"/>
      <c r="K774" s="93">
        <f t="shared" si="182"/>
        <v>0</v>
      </c>
      <c r="L774" s="93">
        <f t="shared" si="183"/>
        <v>0</v>
      </c>
      <c r="M774" s="94">
        <v>50</v>
      </c>
      <c r="N774" s="95" t="s">
        <v>289</v>
      </c>
      <c r="O774" s="93">
        <f t="shared" si="184"/>
        <v>0</v>
      </c>
      <c r="P774" s="93">
        <f t="shared" si="185"/>
        <v>0</v>
      </c>
      <c r="Q774" s="93">
        <f t="shared" si="186"/>
        <v>0</v>
      </c>
      <c r="R774" s="93">
        <f t="shared" si="187"/>
        <v>2198</v>
      </c>
      <c r="S774" s="93">
        <f t="shared" si="188"/>
        <v>0</v>
      </c>
      <c r="T774" s="93">
        <f t="shared" si="189"/>
        <v>2198</v>
      </c>
      <c r="U774" s="312">
        <f t="shared" si="190"/>
        <v>6594</v>
      </c>
      <c r="V774" s="93">
        <f t="shared" si="191"/>
        <v>0</v>
      </c>
    </row>
    <row r="775" spans="1:29" ht="18" customHeight="1" x14ac:dyDescent="0.2">
      <c r="A775" s="110" t="s">
        <v>2075</v>
      </c>
      <c r="B775" s="111"/>
      <c r="C775" s="201" t="s">
        <v>2080</v>
      </c>
      <c r="D775" s="91">
        <v>43586</v>
      </c>
      <c r="E775" s="92"/>
      <c r="F775" s="93"/>
      <c r="G775" s="93"/>
      <c r="H775" s="93">
        <v>75509.05</v>
      </c>
      <c r="I775" s="93">
        <v>69303.05</v>
      </c>
      <c r="J775" s="93"/>
      <c r="K775" s="93">
        <f t="shared" si="182"/>
        <v>0</v>
      </c>
      <c r="L775" s="93">
        <f t="shared" si="183"/>
        <v>0</v>
      </c>
      <c r="M775" s="94">
        <v>50</v>
      </c>
      <c r="N775" s="95" t="s">
        <v>289</v>
      </c>
      <c r="O775" s="93">
        <f t="shared" si="184"/>
        <v>0</v>
      </c>
      <c r="P775" s="93">
        <f t="shared" si="185"/>
        <v>0</v>
      </c>
      <c r="Q775" s="93">
        <f t="shared" si="186"/>
        <v>0</v>
      </c>
      <c r="R775" s="93">
        <f t="shared" si="187"/>
        <v>17325</v>
      </c>
      <c r="S775" s="93">
        <f t="shared" si="188"/>
        <v>0</v>
      </c>
      <c r="T775" s="93">
        <f t="shared" si="189"/>
        <v>17325</v>
      </c>
      <c r="U775" s="312">
        <f t="shared" si="190"/>
        <v>51978.05</v>
      </c>
      <c r="V775" s="93">
        <f t="shared" si="191"/>
        <v>0</v>
      </c>
    </row>
    <row r="776" spans="1:29" ht="18" customHeight="1" x14ac:dyDescent="0.2">
      <c r="A776" s="110" t="s">
        <v>2076</v>
      </c>
      <c r="B776" s="111"/>
      <c r="C776" s="201" t="s">
        <v>2081</v>
      </c>
      <c r="D776" s="91">
        <v>43586</v>
      </c>
      <c r="E776" s="92"/>
      <c r="F776" s="93"/>
      <c r="G776" s="93"/>
      <c r="H776" s="93">
        <v>246295.31</v>
      </c>
      <c r="I776" s="93">
        <v>226052.31</v>
      </c>
      <c r="J776" s="93"/>
      <c r="K776" s="93">
        <f>INT(IF($E776&gt;0,IF(+F776-I776+Q776&lt;0,0,+F776-I776+Q776),0))</f>
        <v>0</v>
      </c>
      <c r="L776" s="93">
        <f>INT(IF($E776&gt;0,IF(K776=0,-F776+I776-Q776,0),0))</f>
        <v>0</v>
      </c>
      <c r="M776" s="94">
        <v>50</v>
      </c>
      <c r="N776" s="95" t="s">
        <v>289</v>
      </c>
      <c r="O776" s="93">
        <f>IF(E776&gt;0,INT(IF($N776="D",IF($D776&lt;$H$3,$I776*($M776/100)*((E776-$H$3)/365),$J776*($M776/100)*($J$3-$D776)/365),0)),0)</f>
        <v>0</v>
      </c>
      <c r="P776" s="93">
        <f>IF(E776&gt;0,INT(IF($N776="P",IF($D776&lt;$H$3,$H776*($M776/100)*(E776-$H$3)/365,$J776*($M776/100)*($J$3-$D776)/365),0)),0)</f>
        <v>0</v>
      </c>
      <c r="Q776" s="93">
        <f>+O776+P776</f>
        <v>0</v>
      </c>
      <c r="R776" s="93">
        <f t="shared" si="187"/>
        <v>56513</v>
      </c>
      <c r="S776" s="93">
        <f t="shared" si="188"/>
        <v>0</v>
      </c>
      <c r="T776" s="93">
        <f>+R776+S776+Q776</f>
        <v>56513</v>
      </c>
      <c r="U776" s="312">
        <f>+I776+J776-T776-F776+K776-L776</f>
        <v>169539.31</v>
      </c>
      <c r="V776" s="93">
        <f t="shared" si="191"/>
        <v>0</v>
      </c>
    </row>
    <row r="777" spans="1:29" ht="18" customHeight="1" x14ac:dyDescent="0.2">
      <c r="A777" s="110" t="s">
        <v>2077</v>
      </c>
      <c r="B777" s="111"/>
      <c r="C777" s="201" t="s">
        <v>2082</v>
      </c>
      <c r="D777" s="91">
        <v>43586</v>
      </c>
      <c r="E777" s="92"/>
      <c r="F777" s="93"/>
      <c r="G777" s="93"/>
      <c r="H777" s="93">
        <v>26133.35</v>
      </c>
      <c r="I777" s="93">
        <v>23986.35</v>
      </c>
      <c r="J777" s="93"/>
      <c r="K777" s="93">
        <f>INT(IF($E777&gt;0,IF(+F777-I777+Q777&lt;0,0,+F777-I777+Q777),0))</f>
        <v>0</v>
      </c>
      <c r="L777" s="93">
        <f>INT(IF($E777&gt;0,IF(K777=0,-F777+I777-Q777,0),0))</f>
        <v>0</v>
      </c>
      <c r="M777" s="94">
        <v>50</v>
      </c>
      <c r="N777" s="95" t="s">
        <v>289</v>
      </c>
      <c r="O777" s="93">
        <f>IF(E777&gt;0,INT(IF($N777="D",IF($D777&lt;$H$3,$I777*($M777/100)*((E777-$H$3)/365),$J777*($M777/100)*($J$3-$D777)/365),0)),0)</f>
        <v>0</v>
      </c>
      <c r="P777" s="93">
        <f>IF(E777&gt;0,INT(IF($N777="P",IF($D777&lt;$H$3,$H777*($M777/100)*(E777-$H$3)/365,$J777*($M777/100)*($J$3-$D777)/365),0)),0)</f>
        <v>0</v>
      </c>
      <c r="Q777" s="93">
        <f>+O777+P777</f>
        <v>0</v>
      </c>
      <c r="R777" s="93">
        <f t="shared" si="187"/>
        <v>5996</v>
      </c>
      <c r="S777" s="93">
        <f t="shared" si="188"/>
        <v>0</v>
      </c>
      <c r="T777" s="93">
        <f>+R777+S777+Q777</f>
        <v>5996</v>
      </c>
      <c r="U777" s="312">
        <f>+I777+J777-T777-F777+K777-L777</f>
        <v>17990.349999999999</v>
      </c>
      <c r="V777" s="93">
        <f t="shared" si="191"/>
        <v>0</v>
      </c>
    </row>
    <row r="778" spans="1:29" ht="18" customHeight="1" x14ac:dyDescent="0.2">
      <c r="A778" s="110" t="s">
        <v>2078</v>
      </c>
      <c r="B778" s="111"/>
      <c r="C778" s="201" t="s">
        <v>2083</v>
      </c>
      <c r="D778" s="91">
        <v>43446</v>
      </c>
      <c r="E778" s="92"/>
      <c r="F778" s="93"/>
      <c r="G778" s="93"/>
      <c r="H778" s="93">
        <v>13000</v>
      </c>
      <c r="I778" s="93">
        <v>9439</v>
      </c>
      <c r="J778" s="93"/>
      <c r="K778" s="93">
        <f t="shared" ref="K778:K779" si="192">INT(IF($E778&gt;0,IF(+F778-I778+Q778&lt;0,0,+F778-I778+Q778),0))</f>
        <v>0</v>
      </c>
      <c r="L778" s="93">
        <f t="shared" ref="L778:L779" si="193">INT(IF($E778&gt;0,IF(K778=0,-F778+I778-Q778,0),0))</f>
        <v>0</v>
      </c>
      <c r="M778" s="94">
        <v>50</v>
      </c>
      <c r="N778" s="95" t="s">
        <v>289</v>
      </c>
      <c r="O778" s="93">
        <f t="shared" ref="O778:O779" si="194">IF(E778&gt;0,INT(IF($N778="D",IF($D778&lt;$H$3,$I778*($M778/100)*((E778-$H$3)/365),$J778*($M778/100)*($J$3-$D778)/365),0)),0)</f>
        <v>0</v>
      </c>
      <c r="P778" s="93">
        <f t="shared" ref="P778:P779" si="195">IF(E778&gt;0,INT(IF($N778="P",IF($D778&lt;$H$3,$H778*($M778/100)*(E778-$H$3)/365,$J778*($M778/100)*($J$3-$D778)/365),0)),0)</f>
        <v>0</v>
      </c>
      <c r="Q778" s="93">
        <f t="shared" ref="Q778:Q779" si="196">+O778+P778</f>
        <v>0</v>
      </c>
      <c r="R778" s="93">
        <f t="shared" si="187"/>
        <v>2359</v>
      </c>
      <c r="S778" s="93">
        <f t="shared" si="188"/>
        <v>0</v>
      </c>
      <c r="T778" s="93">
        <f t="shared" ref="T778:T779" si="197">+R778+S778+Q778</f>
        <v>2359</v>
      </c>
      <c r="U778" s="312">
        <f t="shared" ref="U778:U779" si="198">+I778+J778-T778-F778+K778-L778</f>
        <v>7080</v>
      </c>
      <c r="V778" s="93">
        <f t="shared" ref="V778:V779" si="199">IF(E778&gt;0,+H778+J778,0)</f>
        <v>0</v>
      </c>
    </row>
    <row r="779" spans="1:29" ht="18" customHeight="1" x14ac:dyDescent="0.2">
      <c r="A779" s="110" t="s">
        <v>2079</v>
      </c>
      <c r="B779" s="111"/>
      <c r="C779" s="201" t="s">
        <v>2083</v>
      </c>
      <c r="D779" s="91">
        <v>43446</v>
      </c>
      <c r="E779" s="92"/>
      <c r="F779" s="93"/>
      <c r="G779" s="93"/>
      <c r="H779" s="93">
        <v>13000</v>
      </c>
      <c r="I779" s="93">
        <v>9439</v>
      </c>
      <c r="J779" s="93"/>
      <c r="K779" s="93">
        <f t="shared" si="192"/>
        <v>0</v>
      </c>
      <c r="L779" s="93">
        <f t="shared" si="193"/>
        <v>0</v>
      </c>
      <c r="M779" s="94">
        <v>50</v>
      </c>
      <c r="N779" s="95" t="s">
        <v>289</v>
      </c>
      <c r="O779" s="93">
        <f t="shared" si="194"/>
        <v>0</v>
      </c>
      <c r="P779" s="93">
        <f t="shared" si="195"/>
        <v>0</v>
      </c>
      <c r="Q779" s="93">
        <f t="shared" si="196"/>
        <v>0</v>
      </c>
      <c r="R779" s="93">
        <f t="shared" si="187"/>
        <v>2359</v>
      </c>
      <c r="S779" s="93">
        <f t="shared" si="188"/>
        <v>0</v>
      </c>
      <c r="T779" s="93">
        <f t="shared" si="197"/>
        <v>2359</v>
      </c>
      <c r="U779" s="312">
        <f t="shared" si="198"/>
        <v>7080</v>
      </c>
      <c r="V779" s="93">
        <f t="shared" si="199"/>
        <v>0</v>
      </c>
    </row>
    <row r="780" spans="1:29" ht="18" customHeight="1" x14ac:dyDescent="0.2">
      <c r="A780" s="204"/>
      <c r="B780" s="205"/>
      <c r="C780" s="207"/>
      <c r="D780" s="207"/>
      <c r="E780" s="92"/>
      <c r="F780" s="93"/>
      <c r="G780" s="93"/>
      <c r="H780" s="93"/>
      <c r="I780" s="209"/>
      <c r="J780" s="209"/>
      <c r="K780" s="209"/>
      <c r="L780" s="209"/>
      <c r="M780" s="210"/>
      <c r="N780" s="95"/>
      <c r="O780" s="95"/>
      <c r="P780" s="209"/>
      <c r="Q780" s="209"/>
      <c r="R780" s="95"/>
      <c r="S780" s="209"/>
      <c r="T780" s="209"/>
      <c r="U780" s="313"/>
      <c r="V780" s="209"/>
    </row>
    <row r="781" spans="1:29" ht="18" customHeight="1" x14ac:dyDescent="0.2">
      <c r="A781" s="204"/>
      <c r="B781" s="205"/>
      <c r="C781" s="206" t="s">
        <v>2043</v>
      </c>
      <c r="D781" s="207"/>
      <c r="E781" s="92"/>
      <c r="F781" s="93"/>
      <c r="G781" s="93"/>
      <c r="H781" s="247">
        <f>+J782-V782</f>
        <v>-77291.8</v>
      </c>
      <c r="I781" s="209"/>
      <c r="J781" s="209"/>
      <c r="K781" s="209"/>
      <c r="L781" s="209"/>
      <c r="M781" s="210"/>
      <c r="N781" s="95"/>
      <c r="O781" s="95"/>
      <c r="P781" s="209"/>
      <c r="Q781" s="209"/>
      <c r="R781" s="95"/>
      <c r="S781" s="209"/>
      <c r="T781" s="209"/>
      <c r="U781" s="313"/>
      <c r="V781" s="209"/>
    </row>
    <row r="782" spans="1:29" s="14" customFormat="1" ht="18" customHeight="1" x14ac:dyDescent="0.2">
      <c r="A782" s="211"/>
      <c r="B782" s="212"/>
      <c r="C782" s="206" t="s">
        <v>1656</v>
      </c>
      <c r="D782" s="206"/>
      <c r="E782" s="219"/>
      <c r="F782" s="247">
        <f>SUM(F599:F780)</f>
        <v>7575</v>
      </c>
      <c r="G782" s="208">
        <f>SUM(G599:G780)</f>
        <v>0</v>
      </c>
      <c r="H782" s="247">
        <f>SUM(H599:H781)</f>
        <v>1657893.04</v>
      </c>
      <c r="I782" s="208">
        <f>SUM(I599:I780)</f>
        <v>603193.94499999995</v>
      </c>
      <c r="J782" s="208">
        <f>SUM(J599:J780)</f>
        <v>0</v>
      </c>
      <c r="K782" s="247">
        <f>SUM(K599:K780)</f>
        <v>7530</v>
      </c>
      <c r="L782" s="208">
        <f>SUM(L599:L780)</f>
        <v>0</v>
      </c>
      <c r="M782" s="234"/>
      <c r="N782" s="217"/>
      <c r="O782" s="208">
        <f>SUM(O599:O780)</f>
        <v>3</v>
      </c>
      <c r="P782" s="208">
        <f>SUM(P599:P780)</f>
        <v>0</v>
      </c>
      <c r="Q782" s="208"/>
      <c r="R782" s="208">
        <f>SUM(R599:R780)</f>
        <v>151853</v>
      </c>
      <c r="S782" s="208">
        <f>SUM(S599:S780)</f>
        <v>0</v>
      </c>
      <c r="T782" s="247">
        <f>SUM(T599:T780)</f>
        <v>151856</v>
      </c>
      <c r="U782" s="314">
        <f>SUM(U599:U780)</f>
        <v>451292.94500000001</v>
      </c>
      <c r="V782" s="247">
        <f>SUM(V599:V780)</f>
        <v>77291.8</v>
      </c>
      <c r="X782" s="14">
        <f>1657893.04-1206598.91</f>
        <v>451294.13000000012</v>
      </c>
      <c r="Z782" s="291">
        <f>+U782-X782</f>
        <v>-1.185000000114087</v>
      </c>
      <c r="AC782" s="292">
        <f>+H781+F782</f>
        <v>-69716.800000000003</v>
      </c>
    </row>
    <row r="783" spans="1:29" ht="18" customHeight="1" x14ac:dyDescent="0.2">
      <c r="A783" s="204"/>
      <c r="B783" s="205"/>
      <c r="C783" s="207"/>
      <c r="D783" s="207"/>
      <c r="E783" s="92"/>
      <c r="F783" s="93"/>
      <c r="G783" s="93"/>
      <c r="H783" s="93"/>
      <c r="I783" s="93"/>
      <c r="J783" s="93"/>
      <c r="K783" s="93"/>
      <c r="L783" s="93"/>
      <c r="M783" s="235"/>
      <c r="N783" s="236"/>
      <c r="O783" s="208">
        <v>7157</v>
      </c>
      <c r="P783" s="208">
        <v>0</v>
      </c>
      <c r="Q783" s="208"/>
      <c r="R783" s="208">
        <v>102573</v>
      </c>
      <c r="S783" s="208">
        <v>0</v>
      </c>
      <c r="T783" s="208"/>
      <c r="U783" s="312"/>
      <c r="V783" s="93"/>
    </row>
    <row r="784" spans="1:29" ht="18" customHeight="1" x14ac:dyDescent="0.2">
      <c r="A784" s="221" t="s">
        <v>1576</v>
      </c>
      <c r="B784" s="222"/>
      <c r="C784" s="207"/>
      <c r="D784" s="206"/>
      <c r="E784" s="219"/>
      <c r="F784" s="208"/>
      <c r="G784" s="208"/>
      <c r="H784" s="208"/>
      <c r="I784" s="208"/>
      <c r="J784" s="208"/>
      <c r="K784" s="208"/>
      <c r="L784" s="208"/>
      <c r="M784" s="206"/>
      <c r="N784" s="233"/>
      <c r="O784" s="233"/>
      <c r="P784" s="208"/>
      <c r="Q784" s="208"/>
      <c r="R784" s="233"/>
      <c r="S784" s="208"/>
      <c r="T784" s="208"/>
      <c r="U784" s="313"/>
      <c r="V784" s="209"/>
      <c r="AA784" s="293"/>
    </row>
    <row r="785" spans="1:22" ht="18" customHeight="1" x14ac:dyDescent="0.2">
      <c r="A785" s="226" t="s">
        <v>1577</v>
      </c>
      <c r="B785" s="237"/>
      <c r="C785" s="207"/>
      <c r="D785" s="218"/>
      <c r="E785" s="223"/>
      <c r="F785" s="224"/>
      <c r="G785" s="224"/>
      <c r="H785" s="224"/>
      <c r="I785" s="238"/>
      <c r="J785" s="238"/>
      <c r="K785" s="238"/>
      <c r="L785" s="238"/>
      <c r="M785" s="213"/>
      <c r="N785" s="225"/>
      <c r="O785" s="225"/>
      <c r="P785" s="238"/>
      <c r="Q785" s="238"/>
      <c r="R785" s="225"/>
      <c r="S785" s="238"/>
      <c r="T785" s="238"/>
      <c r="U785" s="313"/>
      <c r="V785" s="209"/>
    </row>
    <row r="786" spans="1:22" ht="18" customHeight="1" x14ac:dyDescent="0.2">
      <c r="A786" s="110" t="s">
        <v>1578</v>
      </c>
      <c r="B786" s="111"/>
      <c r="C786" s="201" t="s">
        <v>1579</v>
      </c>
      <c r="D786" s="91">
        <v>41281</v>
      </c>
      <c r="E786" s="92"/>
      <c r="F786" s="93"/>
      <c r="G786" s="93"/>
      <c r="H786" s="93">
        <v>6450</v>
      </c>
      <c r="I786" s="93">
        <v>2318</v>
      </c>
      <c r="J786" s="93"/>
      <c r="K786" s="93">
        <f t="shared" ref="K786:K813" si="200">INT(IF($E786&gt;0,IF(+F786-I786+Q786&lt;0,0,+F786-I786+Q786),0))</f>
        <v>0</v>
      </c>
      <c r="L786" s="93">
        <f t="shared" ref="L786:L813" si="201">INT(IF($E786&gt;0,IF(K786=0,-F786+I786-Q786,0),0))</f>
        <v>0</v>
      </c>
      <c r="M786" s="94">
        <v>20</v>
      </c>
      <c r="N786" s="95" t="s">
        <v>289</v>
      </c>
      <c r="O786" s="93">
        <f t="shared" ref="O786:O813" si="202">IF(E786&gt;0,INT(IF($N786="D",IF($D786&lt;$H$3,$I786*($M786/100)*((E786-$H$3)/365),$J786*($M786/100)*($J$3-$D786)/365),0)),0)</f>
        <v>0</v>
      </c>
      <c r="P786" s="93">
        <f t="shared" ref="P786:P813" si="203">IF(E786&gt;0,INT(IF($N786="P",IF($D786&lt;$H$3,$H786*($M786/100)*(E786-$H$3)/365,$J786*($M786/100)*($J$3-$D786)/365),0)),0)</f>
        <v>0</v>
      </c>
      <c r="Q786" s="93">
        <f t="shared" ref="Q786:Q813" si="204">+O786+P786</f>
        <v>0</v>
      </c>
      <c r="R786" s="93">
        <f t="shared" ref="R786:R814" si="205">INT(IF($E786&gt;0,0,(IF($N786="D",IF($D786&lt;$H$3,$I786*($M786/100)*$U$3/12,$J786*($M786/100)*($J$3-$D786)/365),0))))</f>
        <v>231</v>
      </c>
      <c r="S786" s="93">
        <f t="shared" ref="S786:S814" si="206">INT(IF($E786&gt;0,0,(IF($N786="P",IF($D786&lt;$H$3,$H786*($M786/100)*$U$3/12,$J786*($M786/100)*($J$3-$D786)/365),0))))</f>
        <v>0</v>
      </c>
      <c r="T786" s="93">
        <f t="shared" ref="T786:T813" si="207">+R786+S786+Q786</f>
        <v>231</v>
      </c>
      <c r="U786" s="312">
        <f t="shared" ref="U786:U811" si="208">+I786+J786-T786-F786+K786-L786</f>
        <v>2087</v>
      </c>
      <c r="V786" s="93">
        <f t="shared" ref="V786:V813" si="209">IF(E786&gt;0,+H786+J786,0)</f>
        <v>0</v>
      </c>
    </row>
    <row r="787" spans="1:22" ht="18" customHeight="1" x14ac:dyDescent="0.2">
      <c r="A787" s="110" t="s">
        <v>1580</v>
      </c>
      <c r="B787" s="111"/>
      <c r="C787" s="201" t="s">
        <v>1581</v>
      </c>
      <c r="D787" s="91">
        <v>41478</v>
      </c>
      <c r="E787" s="92"/>
      <c r="F787" s="93"/>
      <c r="G787" s="93"/>
      <c r="H787" s="93">
        <v>679.09</v>
      </c>
      <c r="I787" s="93">
        <v>13.09</v>
      </c>
      <c r="J787" s="93"/>
      <c r="K787" s="93">
        <f t="shared" si="200"/>
        <v>0</v>
      </c>
      <c r="L787" s="93">
        <f t="shared" si="201"/>
        <v>0</v>
      </c>
      <c r="M787" s="94">
        <v>50</v>
      </c>
      <c r="N787" s="95" t="s">
        <v>289</v>
      </c>
      <c r="O787" s="93">
        <f t="shared" si="202"/>
        <v>0</v>
      </c>
      <c r="P787" s="93">
        <f t="shared" si="203"/>
        <v>0</v>
      </c>
      <c r="Q787" s="93">
        <f t="shared" si="204"/>
        <v>0</v>
      </c>
      <c r="R787" s="93">
        <f t="shared" si="205"/>
        <v>3</v>
      </c>
      <c r="S787" s="93">
        <f t="shared" si="206"/>
        <v>0</v>
      </c>
      <c r="T787" s="93">
        <f t="shared" si="207"/>
        <v>3</v>
      </c>
      <c r="U787" s="312">
        <f t="shared" si="208"/>
        <v>10.09</v>
      </c>
      <c r="V787" s="93">
        <f t="shared" si="209"/>
        <v>0</v>
      </c>
    </row>
    <row r="788" spans="1:22" ht="18" customHeight="1" x14ac:dyDescent="0.2">
      <c r="A788" s="110" t="s">
        <v>1582</v>
      </c>
      <c r="B788" s="111"/>
      <c r="C788" s="201" t="s">
        <v>1583</v>
      </c>
      <c r="D788" s="91">
        <v>41688</v>
      </c>
      <c r="E788" s="92"/>
      <c r="F788" s="93"/>
      <c r="G788" s="93"/>
      <c r="H788" s="93">
        <v>1363.64</v>
      </c>
      <c r="I788" s="93">
        <v>210.64000000000001</v>
      </c>
      <c r="J788" s="93"/>
      <c r="K788" s="93">
        <f t="shared" si="200"/>
        <v>0</v>
      </c>
      <c r="L788" s="93">
        <f t="shared" si="201"/>
        <v>0</v>
      </c>
      <c r="M788" s="94">
        <v>30</v>
      </c>
      <c r="N788" s="95" t="s">
        <v>289</v>
      </c>
      <c r="O788" s="93">
        <f t="shared" si="202"/>
        <v>0</v>
      </c>
      <c r="P788" s="93">
        <f t="shared" si="203"/>
        <v>0</v>
      </c>
      <c r="Q788" s="93">
        <f t="shared" si="204"/>
        <v>0</v>
      </c>
      <c r="R788" s="93">
        <f t="shared" si="205"/>
        <v>31</v>
      </c>
      <c r="S788" s="93">
        <f t="shared" si="206"/>
        <v>0</v>
      </c>
      <c r="T788" s="93">
        <f t="shared" si="207"/>
        <v>31</v>
      </c>
      <c r="U788" s="312">
        <f t="shared" si="208"/>
        <v>179.64000000000001</v>
      </c>
      <c r="V788" s="93">
        <f t="shared" si="209"/>
        <v>0</v>
      </c>
    </row>
    <row r="789" spans="1:22" ht="18" customHeight="1" x14ac:dyDescent="0.2">
      <c r="A789" s="110" t="s">
        <v>1584</v>
      </c>
      <c r="B789" s="111"/>
      <c r="C789" s="201" t="s">
        <v>1585</v>
      </c>
      <c r="D789" s="91">
        <v>42149</v>
      </c>
      <c r="E789" s="92"/>
      <c r="F789" s="93"/>
      <c r="G789" s="93"/>
      <c r="H789" s="93">
        <v>1522.73</v>
      </c>
      <c r="I789" s="93">
        <v>23.730000000000004</v>
      </c>
      <c r="J789" s="93"/>
      <c r="K789" s="93">
        <f t="shared" si="200"/>
        <v>0</v>
      </c>
      <c r="L789" s="93">
        <f t="shared" si="201"/>
        <v>0</v>
      </c>
      <c r="M789" s="94">
        <v>66.67</v>
      </c>
      <c r="N789" s="95" t="s">
        <v>289</v>
      </c>
      <c r="O789" s="93">
        <f t="shared" si="202"/>
        <v>0</v>
      </c>
      <c r="P789" s="93">
        <f t="shared" si="203"/>
        <v>0</v>
      </c>
      <c r="Q789" s="93">
        <f t="shared" si="204"/>
        <v>0</v>
      </c>
      <c r="R789" s="93">
        <f t="shared" si="205"/>
        <v>7</v>
      </c>
      <c r="S789" s="93">
        <f t="shared" si="206"/>
        <v>0</v>
      </c>
      <c r="T789" s="93">
        <f t="shared" si="207"/>
        <v>7</v>
      </c>
      <c r="U789" s="312">
        <f t="shared" si="208"/>
        <v>16.730000000000004</v>
      </c>
      <c r="V789" s="93">
        <f t="shared" si="209"/>
        <v>0</v>
      </c>
    </row>
    <row r="790" spans="1:22" ht="18" customHeight="1" x14ac:dyDescent="0.2">
      <c r="A790" s="110" t="s">
        <v>1586</v>
      </c>
      <c r="B790" s="111"/>
      <c r="C790" s="201" t="s">
        <v>1587</v>
      </c>
      <c r="D790" s="91">
        <v>42242</v>
      </c>
      <c r="E790" s="92"/>
      <c r="F790" s="93"/>
      <c r="G790" s="93"/>
      <c r="H790" s="93">
        <v>1145.4000000000001</v>
      </c>
      <c r="I790" s="93">
        <v>0</v>
      </c>
      <c r="J790" s="93"/>
      <c r="K790" s="93">
        <f t="shared" si="200"/>
        <v>0</v>
      </c>
      <c r="L790" s="93">
        <f t="shared" si="201"/>
        <v>0</v>
      </c>
      <c r="M790" s="94">
        <v>100</v>
      </c>
      <c r="N790" s="95" t="s">
        <v>289</v>
      </c>
      <c r="O790" s="93">
        <f t="shared" si="202"/>
        <v>0</v>
      </c>
      <c r="P790" s="93">
        <f t="shared" si="203"/>
        <v>0</v>
      </c>
      <c r="Q790" s="93">
        <f t="shared" si="204"/>
        <v>0</v>
      </c>
      <c r="R790" s="93">
        <f t="shared" si="205"/>
        <v>0</v>
      </c>
      <c r="S790" s="93">
        <f t="shared" si="206"/>
        <v>0</v>
      </c>
      <c r="T790" s="93">
        <f t="shared" si="207"/>
        <v>0</v>
      </c>
      <c r="U790" s="312">
        <f t="shared" si="208"/>
        <v>0</v>
      </c>
      <c r="V790" s="93">
        <f t="shared" si="209"/>
        <v>0</v>
      </c>
    </row>
    <row r="791" spans="1:22" ht="18" customHeight="1" x14ac:dyDescent="0.2">
      <c r="A791" s="110" t="s">
        <v>1588</v>
      </c>
      <c r="B791" s="111"/>
      <c r="C791" s="201" t="s">
        <v>1589</v>
      </c>
      <c r="D791" s="91">
        <v>42392</v>
      </c>
      <c r="E791" s="92"/>
      <c r="F791" s="93"/>
      <c r="G791" s="93"/>
      <c r="H791" s="93">
        <v>2229.09</v>
      </c>
      <c r="I791" s="93">
        <v>1054.0899999999999</v>
      </c>
      <c r="J791" s="93"/>
      <c r="K791" s="93">
        <f t="shared" si="200"/>
        <v>0</v>
      </c>
      <c r="L791" s="93">
        <f t="shared" si="201"/>
        <v>0</v>
      </c>
      <c r="M791" s="94">
        <v>20</v>
      </c>
      <c r="N791" s="95" t="s">
        <v>289</v>
      </c>
      <c r="O791" s="93">
        <f t="shared" si="202"/>
        <v>0</v>
      </c>
      <c r="P791" s="93">
        <f t="shared" si="203"/>
        <v>0</v>
      </c>
      <c r="Q791" s="93">
        <f t="shared" si="204"/>
        <v>0</v>
      </c>
      <c r="R791" s="93">
        <f t="shared" si="205"/>
        <v>105</v>
      </c>
      <c r="S791" s="93">
        <f t="shared" si="206"/>
        <v>0</v>
      </c>
      <c r="T791" s="93">
        <f t="shared" si="207"/>
        <v>105</v>
      </c>
      <c r="U791" s="312">
        <f t="shared" si="208"/>
        <v>949.08999999999992</v>
      </c>
      <c r="V791" s="93">
        <f t="shared" si="209"/>
        <v>0</v>
      </c>
    </row>
    <row r="792" spans="1:22" ht="18" customHeight="1" x14ac:dyDescent="0.2">
      <c r="A792" s="110" t="s">
        <v>1590</v>
      </c>
      <c r="B792" s="111"/>
      <c r="C792" s="201" t="s">
        <v>1591</v>
      </c>
      <c r="D792" s="91">
        <v>42513</v>
      </c>
      <c r="E792" s="92"/>
      <c r="F792" s="93"/>
      <c r="G792" s="93"/>
      <c r="H792" s="93">
        <v>796.36</v>
      </c>
      <c r="I792" s="93">
        <v>0</v>
      </c>
      <c r="J792" s="93"/>
      <c r="K792" s="93">
        <f t="shared" si="200"/>
        <v>0</v>
      </c>
      <c r="L792" s="93">
        <f t="shared" si="201"/>
        <v>0</v>
      </c>
      <c r="M792" s="94">
        <v>100</v>
      </c>
      <c r="N792" s="95" t="s">
        <v>289</v>
      </c>
      <c r="O792" s="93">
        <f t="shared" si="202"/>
        <v>0</v>
      </c>
      <c r="P792" s="93">
        <f t="shared" si="203"/>
        <v>0</v>
      </c>
      <c r="Q792" s="93">
        <f t="shared" si="204"/>
        <v>0</v>
      </c>
      <c r="R792" s="93">
        <f t="shared" si="205"/>
        <v>0</v>
      </c>
      <c r="S792" s="93">
        <f t="shared" si="206"/>
        <v>0</v>
      </c>
      <c r="T792" s="93">
        <f t="shared" si="207"/>
        <v>0</v>
      </c>
      <c r="U792" s="312">
        <f t="shared" si="208"/>
        <v>0</v>
      </c>
      <c r="V792" s="93">
        <f t="shared" si="209"/>
        <v>0</v>
      </c>
    </row>
    <row r="793" spans="1:22" ht="18" customHeight="1" x14ac:dyDescent="0.2">
      <c r="A793" s="110" t="s">
        <v>1592</v>
      </c>
      <c r="B793" s="111"/>
      <c r="C793" s="201" t="s">
        <v>1593</v>
      </c>
      <c r="D793" s="91">
        <v>42355</v>
      </c>
      <c r="E793" s="92"/>
      <c r="F793" s="93"/>
      <c r="G793" s="93"/>
      <c r="H793" s="93">
        <v>2499.0500000000002</v>
      </c>
      <c r="I793" s="93">
        <v>0</v>
      </c>
      <c r="J793" s="93"/>
      <c r="K793" s="93">
        <f t="shared" si="200"/>
        <v>0</v>
      </c>
      <c r="L793" s="93">
        <f t="shared" si="201"/>
        <v>0</v>
      </c>
      <c r="M793" s="94">
        <v>100</v>
      </c>
      <c r="N793" s="95" t="s">
        <v>289</v>
      </c>
      <c r="O793" s="93">
        <f t="shared" si="202"/>
        <v>0</v>
      </c>
      <c r="P793" s="93">
        <f t="shared" si="203"/>
        <v>0</v>
      </c>
      <c r="Q793" s="93">
        <f t="shared" si="204"/>
        <v>0</v>
      </c>
      <c r="R793" s="93">
        <f t="shared" si="205"/>
        <v>0</v>
      </c>
      <c r="S793" s="93">
        <f t="shared" si="206"/>
        <v>0</v>
      </c>
      <c r="T793" s="93">
        <f t="shared" si="207"/>
        <v>0</v>
      </c>
      <c r="U793" s="312">
        <f t="shared" si="208"/>
        <v>0</v>
      </c>
      <c r="V793" s="93">
        <f t="shared" si="209"/>
        <v>0</v>
      </c>
    </row>
    <row r="794" spans="1:22" ht="18" customHeight="1" x14ac:dyDescent="0.2">
      <c r="A794" s="110" t="s">
        <v>1594</v>
      </c>
      <c r="B794" s="111"/>
      <c r="C794" s="201" t="s">
        <v>1595</v>
      </c>
      <c r="D794" s="91">
        <v>42772</v>
      </c>
      <c r="E794" s="92"/>
      <c r="F794" s="93"/>
      <c r="G794" s="93"/>
      <c r="H794" s="93">
        <v>1352.73</v>
      </c>
      <c r="I794" s="93">
        <v>0</v>
      </c>
      <c r="J794" s="93"/>
      <c r="K794" s="93">
        <f t="shared" si="200"/>
        <v>0</v>
      </c>
      <c r="L794" s="93">
        <f t="shared" si="201"/>
        <v>0</v>
      </c>
      <c r="M794" s="94">
        <v>100</v>
      </c>
      <c r="N794" s="95" t="s">
        <v>289</v>
      </c>
      <c r="O794" s="93">
        <f t="shared" si="202"/>
        <v>0</v>
      </c>
      <c r="P794" s="93">
        <f t="shared" si="203"/>
        <v>0</v>
      </c>
      <c r="Q794" s="93">
        <f t="shared" si="204"/>
        <v>0</v>
      </c>
      <c r="R794" s="93">
        <f t="shared" si="205"/>
        <v>0</v>
      </c>
      <c r="S794" s="93">
        <f t="shared" si="206"/>
        <v>0</v>
      </c>
      <c r="T794" s="93">
        <f t="shared" si="207"/>
        <v>0</v>
      </c>
      <c r="U794" s="312">
        <f t="shared" si="208"/>
        <v>0</v>
      </c>
      <c r="V794" s="93">
        <f t="shared" si="209"/>
        <v>0</v>
      </c>
    </row>
    <row r="795" spans="1:22" ht="18" customHeight="1" x14ac:dyDescent="0.2">
      <c r="A795" s="110" t="s">
        <v>1596</v>
      </c>
      <c r="B795" s="111"/>
      <c r="C795" s="201" t="s">
        <v>1597</v>
      </c>
      <c r="D795" s="91">
        <v>42809</v>
      </c>
      <c r="E795" s="92"/>
      <c r="F795" s="93"/>
      <c r="G795" s="93"/>
      <c r="H795" s="93">
        <v>710.91</v>
      </c>
      <c r="I795" s="93">
        <v>0</v>
      </c>
      <c r="J795" s="93"/>
      <c r="K795" s="93">
        <f t="shared" si="200"/>
        <v>0</v>
      </c>
      <c r="L795" s="93">
        <f t="shared" si="201"/>
        <v>0</v>
      </c>
      <c r="M795" s="94">
        <v>100</v>
      </c>
      <c r="N795" s="95" t="s">
        <v>289</v>
      </c>
      <c r="O795" s="93">
        <f t="shared" si="202"/>
        <v>0</v>
      </c>
      <c r="P795" s="93">
        <f t="shared" si="203"/>
        <v>0</v>
      </c>
      <c r="Q795" s="93">
        <f t="shared" si="204"/>
        <v>0</v>
      </c>
      <c r="R795" s="93">
        <f t="shared" si="205"/>
        <v>0</v>
      </c>
      <c r="S795" s="93">
        <f t="shared" si="206"/>
        <v>0</v>
      </c>
      <c r="T795" s="93">
        <f t="shared" si="207"/>
        <v>0</v>
      </c>
      <c r="U795" s="312">
        <f t="shared" si="208"/>
        <v>0</v>
      </c>
      <c r="V795" s="93">
        <f t="shared" si="209"/>
        <v>0</v>
      </c>
    </row>
    <row r="796" spans="1:22" ht="18" customHeight="1" x14ac:dyDescent="0.2">
      <c r="A796" s="110" t="s">
        <v>1598</v>
      </c>
      <c r="B796" s="111"/>
      <c r="C796" s="203" t="s">
        <v>1599</v>
      </c>
      <c r="D796" s="91">
        <v>42809</v>
      </c>
      <c r="E796" s="92"/>
      <c r="F796" s="93"/>
      <c r="G796" s="93"/>
      <c r="H796" s="93">
        <v>1632.73</v>
      </c>
      <c r="I796" s="93">
        <v>0</v>
      </c>
      <c r="J796" s="93"/>
      <c r="K796" s="93">
        <f t="shared" si="200"/>
        <v>0</v>
      </c>
      <c r="L796" s="93">
        <f t="shared" si="201"/>
        <v>0</v>
      </c>
      <c r="M796" s="94">
        <v>100</v>
      </c>
      <c r="N796" s="95" t="s">
        <v>289</v>
      </c>
      <c r="O796" s="93">
        <f t="shared" si="202"/>
        <v>0</v>
      </c>
      <c r="P796" s="93">
        <f t="shared" si="203"/>
        <v>0</v>
      </c>
      <c r="Q796" s="93">
        <f t="shared" si="204"/>
        <v>0</v>
      </c>
      <c r="R796" s="93">
        <f t="shared" si="205"/>
        <v>0</v>
      </c>
      <c r="S796" s="93">
        <f t="shared" si="206"/>
        <v>0</v>
      </c>
      <c r="T796" s="93">
        <f t="shared" si="207"/>
        <v>0</v>
      </c>
      <c r="U796" s="312">
        <f t="shared" si="208"/>
        <v>0</v>
      </c>
      <c r="V796" s="93">
        <f t="shared" si="209"/>
        <v>0</v>
      </c>
    </row>
    <row r="797" spans="1:22" ht="18" customHeight="1" x14ac:dyDescent="0.2">
      <c r="A797" s="110" t="s">
        <v>1600</v>
      </c>
      <c r="B797" s="111"/>
      <c r="C797" s="201" t="s">
        <v>1601</v>
      </c>
      <c r="D797" s="91">
        <v>42873</v>
      </c>
      <c r="E797" s="92"/>
      <c r="F797" s="93"/>
      <c r="G797" s="93"/>
      <c r="H797" s="93">
        <v>526.36</v>
      </c>
      <c r="I797" s="93">
        <v>0</v>
      </c>
      <c r="J797" s="93"/>
      <c r="K797" s="93">
        <f t="shared" si="200"/>
        <v>0</v>
      </c>
      <c r="L797" s="93">
        <f t="shared" si="201"/>
        <v>0</v>
      </c>
      <c r="M797" s="94">
        <v>100</v>
      </c>
      <c r="N797" s="95" t="s">
        <v>289</v>
      </c>
      <c r="O797" s="93">
        <f t="shared" si="202"/>
        <v>0</v>
      </c>
      <c r="P797" s="93">
        <f t="shared" si="203"/>
        <v>0</v>
      </c>
      <c r="Q797" s="93">
        <f t="shared" si="204"/>
        <v>0</v>
      </c>
      <c r="R797" s="93">
        <f t="shared" si="205"/>
        <v>0</v>
      </c>
      <c r="S797" s="93">
        <f t="shared" si="206"/>
        <v>0</v>
      </c>
      <c r="T797" s="93">
        <f t="shared" si="207"/>
        <v>0</v>
      </c>
      <c r="U797" s="312">
        <f t="shared" si="208"/>
        <v>0</v>
      </c>
      <c r="V797" s="93">
        <f t="shared" si="209"/>
        <v>0</v>
      </c>
    </row>
    <row r="798" spans="1:22" ht="18" customHeight="1" x14ac:dyDescent="0.2">
      <c r="A798" s="110" t="s">
        <v>1602</v>
      </c>
      <c r="B798" s="111"/>
      <c r="C798" s="201" t="s">
        <v>1603</v>
      </c>
      <c r="D798" s="91">
        <v>43159</v>
      </c>
      <c r="E798" s="92"/>
      <c r="F798" s="93"/>
      <c r="G798" s="93"/>
      <c r="H798" s="93">
        <v>2550</v>
      </c>
      <c r="I798" s="93">
        <v>1188</v>
      </c>
      <c r="J798" s="93"/>
      <c r="K798" s="93">
        <f t="shared" si="200"/>
        <v>0</v>
      </c>
      <c r="L798" s="93">
        <f t="shared" si="201"/>
        <v>0</v>
      </c>
      <c r="M798" s="94">
        <v>50</v>
      </c>
      <c r="N798" s="95" t="s">
        <v>289</v>
      </c>
      <c r="O798" s="93">
        <f t="shared" si="202"/>
        <v>0</v>
      </c>
      <c r="P798" s="93">
        <f t="shared" si="203"/>
        <v>0</v>
      </c>
      <c r="Q798" s="93">
        <f t="shared" si="204"/>
        <v>0</v>
      </c>
      <c r="R798" s="93">
        <f t="shared" si="205"/>
        <v>297</v>
      </c>
      <c r="S798" s="93">
        <f t="shared" si="206"/>
        <v>0</v>
      </c>
      <c r="T798" s="93">
        <f t="shared" si="207"/>
        <v>297</v>
      </c>
      <c r="U798" s="312">
        <f t="shared" si="208"/>
        <v>891</v>
      </c>
      <c r="V798" s="93">
        <f t="shared" si="209"/>
        <v>0</v>
      </c>
    </row>
    <row r="799" spans="1:22" ht="18" customHeight="1" x14ac:dyDescent="0.2">
      <c r="A799" s="110" t="s">
        <v>1604</v>
      </c>
      <c r="B799" s="111"/>
      <c r="C799" s="201" t="s">
        <v>1605</v>
      </c>
      <c r="D799" s="91">
        <v>43300</v>
      </c>
      <c r="E799" s="92"/>
      <c r="F799" s="93"/>
      <c r="G799" s="93"/>
      <c r="H799" s="93">
        <v>2195.4500000000003</v>
      </c>
      <c r="I799" s="93">
        <v>1991.4499999999998</v>
      </c>
      <c r="J799" s="93"/>
      <c r="K799" s="93">
        <f t="shared" si="200"/>
        <v>0</v>
      </c>
      <c r="L799" s="93">
        <f t="shared" si="201"/>
        <v>0</v>
      </c>
      <c r="M799" s="94">
        <v>10</v>
      </c>
      <c r="N799" s="95" t="s">
        <v>289</v>
      </c>
      <c r="O799" s="93">
        <f t="shared" si="202"/>
        <v>0</v>
      </c>
      <c r="P799" s="93">
        <f t="shared" si="203"/>
        <v>0</v>
      </c>
      <c r="Q799" s="93">
        <f t="shared" si="204"/>
        <v>0</v>
      </c>
      <c r="R799" s="93">
        <f t="shared" si="205"/>
        <v>99</v>
      </c>
      <c r="S799" s="93">
        <f t="shared" si="206"/>
        <v>0</v>
      </c>
      <c r="T799" s="93">
        <f t="shared" si="207"/>
        <v>99</v>
      </c>
      <c r="U799" s="312">
        <f t="shared" si="208"/>
        <v>1892.4499999999998</v>
      </c>
      <c r="V799" s="93">
        <f t="shared" si="209"/>
        <v>0</v>
      </c>
    </row>
    <row r="800" spans="1:22" ht="18" customHeight="1" x14ac:dyDescent="0.2">
      <c r="A800" s="110" t="s">
        <v>1606</v>
      </c>
      <c r="B800" s="111"/>
      <c r="C800" s="201" t="s">
        <v>1607</v>
      </c>
      <c r="D800" s="91">
        <v>43300</v>
      </c>
      <c r="E800" s="92"/>
      <c r="F800" s="93"/>
      <c r="G800" s="93"/>
      <c r="H800" s="93">
        <v>1240.9100000000001</v>
      </c>
      <c r="I800" s="93">
        <v>1014.9100000000001</v>
      </c>
      <c r="J800" s="93"/>
      <c r="K800" s="93">
        <f t="shared" si="200"/>
        <v>0</v>
      </c>
      <c r="L800" s="93">
        <f t="shared" si="201"/>
        <v>0</v>
      </c>
      <c r="M800" s="94">
        <v>20</v>
      </c>
      <c r="N800" s="95" t="s">
        <v>289</v>
      </c>
      <c r="O800" s="93">
        <f t="shared" si="202"/>
        <v>0</v>
      </c>
      <c r="P800" s="93">
        <f t="shared" si="203"/>
        <v>0</v>
      </c>
      <c r="Q800" s="93">
        <f t="shared" si="204"/>
        <v>0</v>
      </c>
      <c r="R800" s="93">
        <f t="shared" si="205"/>
        <v>101</v>
      </c>
      <c r="S800" s="93">
        <f t="shared" si="206"/>
        <v>0</v>
      </c>
      <c r="T800" s="93">
        <f t="shared" si="207"/>
        <v>101</v>
      </c>
      <c r="U800" s="312">
        <f t="shared" si="208"/>
        <v>913.91000000000008</v>
      </c>
      <c r="V800" s="93">
        <f t="shared" si="209"/>
        <v>0</v>
      </c>
    </row>
    <row r="801" spans="1:22" ht="18" customHeight="1" x14ac:dyDescent="0.2">
      <c r="A801" s="110" t="s">
        <v>1608</v>
      </c>
      <c r="B801" s="111"/>
      <c r="C801" s="201" t="s">
        <v>1609</v>
      </c>
      <c r="D801" s="91">
        <v>43300</v>
      </c>
      <c r="E801" s="92"/>
      <c r="F801" s="93"/>
      <c r="G801" s="93"/>
      <c r="H801" s="93">
        <v>95.460000000000008</v>
      </c>
      <c r="I801" s="93">
        <v>78.460000000000008</v>
      </c>
      <c r="J801" s="93"/>
      <c r="K801" s="93">
        <f t="shared" si="200"/>
        <v>0</v>
      </c>
      <c r="L801" s="93">
        <f t="shared" si="201"/>
        <v>0</v>
      </c>
      <c r="M801" s="94">
        <v>20</v>
      </c>
      <c r="N801" s="95" t="s">
        <v>289</v>
      </c>
      <c r="O801" s="93">
        <f t="shared" si="202"/>
        <v>0</v>
      </c>
      <c r="P801" s="93">
        <f t="shared" si="203"/>
        <v>0</v>
      </c>
      <c r="Q801" s="93">
        <f t="shared" si="204"/>
        <v>0</v>
      </c>
      <c r="R801" s="93">
        <f t="shared" si="205"/>
        <v>7</v>
      </c>
      <c r="S801" s="93">
        <f t="shared" si="206"/>
        <v>0</v>
      </c>
      <c r="T801" s="93">
        <f t="shared" si="207"/>
        <v>7</v>
      </c>
      <c r="U801" s="312">
        <f t="shared" si="208"/>
        <v>71.460000000000008</v>
      </c>
      <c r="V801" s="93">
        <f t="shared" si="209"/>
        <v>0</v>
      </c>
    </row>
    <row r="802" spans="1:22" ht="18" customHeight="1" x14ac:dyDescent="0.2">
      <c r="A802" s="110" t="s">
        <v>1610</v>
      </c>
      <c r="B802" s="111"/>
      <c r="C802" s="203" t="s">
        <v>1611</v>
      </c>
      <c r="D802" s="91">
        <v>43300</v>
      </c>
      <c r="E802" s="92"/>
      <c r="F802" s="93"/>
      <c r="G802" s="93"/>
      <c r="H802" s="93">
        <v>663.63</v>
      </c>
      <c r="I802" s="93">
        <v>581.63</v>
      </c>
      <c r="J802" s="93"/>
      <c r="K802" s="93">
        <f t="shared" si="200"/>
        <v>0</v>
      </c>
      <c r="L802" s="93">
        <f t="shared" si="201"/>
        <v>0</v>
      </c>
      <c r="M802" s="94">
        <v>13.33</v>
      </c>
      <c r="N802" s="95" t="s">
        <v>289</v>
      </c>
      <c r="O802" s="93">
        <f t="shared" si="202"/>
        <v>0</v>
      </c>
      <c r="P802" s="93">
        <f t="shared" si="203"/>
        <v>0</v>
      </c>
      <c r="Q802" s="93">
        <f t="shared" si="204"/>
        <v>0</v>
      </c>
      <c r="R802" s="93">
        <f t="shared" si="205"/>
        <v>38</v>
      </c>
      <c r="S802" s="93">
        <f t="shared" si="206"/>
        <v>0</v>
      </c>
      <c r="T802" s="93">
        <f t="shared" si="207"/>
        <v>38</v>
      </c>
      <c r="U802" s="312">
        <f t="shared" si="208"/>
        <v>543.63</v>
      </c>
      <c r="V802" s="93">
        <f t="shared" si="209"/>
        <v>0</v>
      </c>
    </row>
    <row r="803" spans="1:22" ht="18" customHeight="1" x14ac:dyDescent="0.2">
      <c r="A803" s="110" t="s">
        <v>1612</v>
      </c>
      <c r="B803" s="111"/>
      <c r="C803" s="203" t="s">
        <v>1613</v>
      </c>
      <c r="D803" s="91">
        <v>43300</v>
      </c>
      <c r="E803" s="92"/>
      <c r="F803" s="93"/>
      <c r="G803" s="93"/>
      <c r="H803" s="93">
        <v>777.28</v>
      </c>
      <c r="I803" s="93">
        <v>682.28</v>
      </c>
      <c r="J803" s="93"/>
      <c r="K803" s="93">
        <f t="shared" si="200"/>
        <v>0</v>
      </c>
      <c r="L803" s="93">
        <f t="shared" si="201"/>
        <v>0</v>
      </c>
      <c r="M803" s="94">
        <v>13.33</v>
      </c>
      <c r="N803" s="95" t="s">
        <v>289</v>
      </c>
      <c r="O803" s="93">
        <f t="shared" si="202"/>
        <v>0</v>
      </c>
      <c r="P803" s="93">
        <f t="shared" si="203"/>
        <v>0</v>
      </c>
      <c r="Q803" s="93">
        <f t="shared" si="204"/>
        <v>0</v>
      </c>
      <c r="R803" s="93">
        <f t="shared" si="205"/>
        <v>45</v>
      </c>
      <c r="S803" s="93">
        <f t="shared" si="206"/>
        <v>0</v>
      </c>
      <c r="T803" s="93">
        <f t="shared" si="207"/>
        <v>45</v>
      </c>
      <c r="U803" s="312">
        <f t="shared" si="208"/>
        <v>637.28</v>
      </c>
      <c r="V803" s="93">
        <f t="shared" si="209"/>
        <v>0</v>
      </c>
    </row>
    <row r="804" spans="1:22" ht="18" customHeight="1" x14ac:dyDescent="0.2">
      <c r="A804" s="110" t="s">
        <v>1614</v>
      </c>
      <c r="B804" s="111"/>
      <c r="C804" s="203" t="s">
        <v>1615</v>
      </c>
      <c r="D804" s="91">
        <v>43300</v>
      </c>
      <c r="E804" s="92"/>
      <c r="F804" s="93"/>
      <c r="G804" s="93"/>
      <c r="H804" s="93">
        <v>960</v>
      </c>
      <c r="I804" s="93">
        <v>843</v>
      </c>
      <c r="J804" s="93"/>
      <c r="K804" s="93">
        <f t="shared" si="200"/>
        <v>0</v>
      </c>
      <c r="L804" s="93">
        <f t="shared" si="201"/>
        <v>0</v>
      </c>
      <c r="M804" s="94">
        <v>13.33</v>
      </c>
      <c r="N804" s="95" t="s">
        <v>289</v>
      </c>
      <c r="O804" s="93">
        <f t="shared" si="202"/>
        <v>0</v>
      </c>
      <c r="P804" s="93">
        <f t="shared" si="203"/>
        <v>0</v>
      </c>
      <c r="Q804" s="93">
        <f t="shared" si="204"/>
        <v>0</v>
      </c>
      <c r="R804" s="93">
        <f t="shared" si="205"/>
        <v>56</v>
      </c>
      <c r="S804" s="93">
        <f t="shared" si="206"/>
        <v>0</v>
      </c>
      <c r="T804" s="93">
        <f t="shared" si="207"/>
        <v>56</v>
      </c>
      <c r="U804" s="312">
        <f t="shared" si="208"/>
        <v>787</v>
      </c>
      <c r="V804" s="93">
        <f t="shared" si="209"/>
        <v>0</v>
      </c>
    </row>
    <row r="805" spans="1:22" ht="18" customHeight="1" x14ac:dyDescent="0.2">
      <c r="A805" s="110" t="s">
        <v>1616</v>
      </c>
      <c r="B805" s="111"/>
      <c r="C805" s="203" t="s">
        <v>1617</v>
      </c>
      <c r="D805" s="91">
        <v>43300</v>
      </c>
      <c r="E805" s="92"/>
      <c r="F805" s="93"/>
      <c r="G805" s="209"/>
      <c r="H805" s="93">
        <v>1089.0899999999999</v>
      </c>
      <c r="I805" s="93">
        <v>955.08999999999992</v>
      </c>
      <c r="J805" s="93"/>
      <c r="K805" s="93">
        <f t="shared" si="200"/>
        <v>0</v>
      </c>
      <c r="L805" s="93">
        <f t="shared" si="201"/>
        <v>0</v>
      </c>
      <c r="M805" s="94">
        <v>13.33</v>
      </c>
      <c r="N805" s="95" t="s">
        <v>289</v>
      </c>
      <c r="O805" s="93">
        <f t="shared" si="202"/>
        <v>0</v>
      </c>
      <c r="P805" s="93">
        <f t="shared" si="203"/>
        <v>0</v>
      </c>
      <c r="Q805" s="93">
        <f t="shared" si="204"/>
        <v>0</v>
      </c>
      <c r="R805" s="93">
        <f t="shared" si="205"/>
        <v>63</v>
      </c>
      <c r="S805" s="93">
        <f t="shared" si="206"/>
        <v>0</v>
      </c>
      <c r="T805" s="93">
        <f t="shared" si="207"/>
        <v>63</v>
      </c>
      <c r="U805" s="312">
        <f t="shared" si="208"/>
        <v>892.08999999999992</v>
      </c>
      <c r="V805" s="93">
        <f t="shared" si="209"/>
        <v>0</v>
      </c>
    </row>
    <row r="806" spans="1:22" ht="18" customHeight="1" x14ac:dyDescent="0.2">
      <c r="A806" s="110" t="s">
        <v>1618</v>
      </c>
      <c r="B806" s="111"/>
      <c r="C806" s="203" t="s">
        <v>1619</v>
      </c>
      <c r="D806" s="91">
        <v>43300</v>
      </c>
      <c r="E806" s="92"/>
      <c r="F806" s="93"/>
      <c r="G806" s="209"/>
      <c r="H806" s="93">
        <v>654.54</v>
      </c>
      <c r="I806" s="93">
        <v>536.54</v>
      </c>
      <c r="J806" s="93"/>
      <c r="K806" s="93">
        <f t="shared" si="200"/>
        <v>0</v>
      </c>
      <c r="L806" s="93">
        <f t="shared" si="201"/>
        <v>0</v>
      </c>
      <c r="M806" s="94">
        <v>20</v>
      </c>
      <c r="N806" s="95" t="s">
        <v>289</v>
      </c>
      <c r="O806" s="93">
        <f t="shared" si="202"/>
        <v>0</v>
      </c>
      <c r="P806" s="93">
        <f t="shared" si="203"/>
        <v>0</v>
      </c>
      <c r="Q806" s="93">
        <f t="shared" si="204"/>
        <v>0</v>
      </c>
      <c r="R806" s="93">
        <f t="shared" si="205"/>
        <v>53</v>
      </c>
      <c r="S806" s="93">
        <f t="shared" si="206"/>
        <v>0</v>
      </c>
      <c r="T806" s="93">
        <f t="shared" si="207"/>
        <v>53</v>
      </c>
      <c r="U806" s="312">
        <f t="shared" si="208"/>
        <v>483.53999999999996</v>
      </c>
      <c r="V806" s="93">
        <f t="shared" si="209"/>
        <v>0</v>
      </c>
    </row>
    <row r="807" spans="1:22" ht="18" customHeight="1" x14ac:dyDescent="0.2">
      <c r="A807" s="110" t="s">
        <v>1620</v>
      </c>
      <c r="B807" s="111"/>
      <c r="C807" s="203" t="s">
        <v>1621</v>
      </c>
      <c r="D807" s="91">
        <v>43300</v>
      </c>
      <c r="E807" s="92"/>
      <c r="F807" s="93"/>
      <c r="G807" s="93"/>
      <c r="H807" s="93">
        <v>5727.28</v>
      </c>
      <c r="I807" s="93">
        <v>4685.28</v>
      </c>
      <c r="J807" s="93"/>
      <c r="K807" s="93">
        <f t="shared" si="200"/>
        <v>0</v>
      </c>
      <c r="L807" s="93">
        <f t="shared" si="201"/>
        <v>0</v>
      </c>
      <c r="M807" s="94">
        <v>20</v>
      </c>
      <c r="N807" s="95" t="s">
        <v>289</v>
      </c>
      <c r="O807" s="93">
        <f t="shared" si="202"/>
        <v>0</v>
      </c>
      <c r="P807" s="93">
        <f t="shared" si="203"/>
        <v>0</v>
      </c>
      <c r="Q807" s="93">
        <f t="shared" si="204"/>
        <v>0</v>
      </c>
      <c r="R807" s="93">
        <f t="shared" si="205"/>
        <v>468</v>
      </c>
      <c r="S807" s="93">
        <f t="shared" si="206"/>
        <v>0</v>
      </c>
      <c r="T807" s="93">
        <f t="shared" si="207"/>
        <v>468</v>
      </c>
      <c r="U807" s="312">
        <f t="shared" si="208"/>
        <v>4217.28</v>
      </c>
      <c r="V807" s="93">
        <f t="shared" si="209"/>
        <v>0</v>
      </c>
    </row>
    <row r="808" spans="1:22" ht="18" customHeight="1" x14ac:dyDescent="0.2">
      <c r="A808" s="110" t="s">
        <v>1622</v>
      </c>
      <c r="B808" s="111"/>
      <c r="C808" s="203" t="s">
        <v>1623</v>
      </c>
      <c r="D808" s="91">
        <v>43357</v>
      </c>
      <c r="E808" s="92"/>
      <c r="F808" s="93"/>
      <c r="G808" s="93"/>
      <c r="H808" s="93">
        <v>3300</v>
      </c>
      <c r="I808" s="93">
        <v>3041</v>
      </c>
      <c r="J808" s="93"/>
      <c r="K808" s="93">
        <f t="shared" si="200"/>
        <v>0</v>
      </c>
      <c r="L808" s="93">
        <f t="shared" si="201"/>
        <v>0</v>
      </c>
      <c r="M808" s="94">
        <v>10</v>
      </c>
      <c r="N808" s="95" t="s">
        <v>289</v>
      </c>
      <c r="O808" s="93">
        <f t="shared" si="202"/>
        <v>0</v>
      </c>
      <c r="P808" s="93">
        <f t="shared" si="203"/>
        <v>0</v>
      </c>
      <c r="Q808" s="93">
        <f t="shared" si="204"/>
        <v>0</v>
      </c>
      <c r="R808" s="93">
        <f t="shared" si="205"/>
        <v>152</v>
      </c>
      <c r="S808" s="93">
        <f t="shared" si="206"/>
        <v>0</v>
      </c>
      <c r="T808" s="93">
        <f t="shared" si="207"/>
        <v>152</v>
      </c>
      <c r="U808" s="312">
        <f t="shared" si="208"/>
        <v>2889</v>
      </c>
      <c r="V808" s="93">
        <f t="shared" si="209"/>
        <v>0</v>
      </c>
    </row>
    <row r="809" spans="1:22" ht="18" customHeight="1" x14ac:dyDescent="0.2">
      <c r="A809" s="110" t="s">
        <v>1624</v>
      </c>
      <c r="B809" s="111"/>
      <c r="C809" s="203" t="s">
        <v>1625</v>
      </c>
      <c r="D809" s="91">
        <v>43357</v>
      </c>
      <c r="E809" s="92"/>
      <c r="F809" s="93"/>
      <c r="G809" s="209"/>
      <c r="H809" s="93">
        <v>8000</v>
      </c>
      <c r="I809" s="93">
        <v>7373</v>
      </c>
      <c r="J809" s="93"/>
      <c r="K809" s="93">
        <f t="shared" si="200"/>
        <v>0</v>
      </c>
      <c r="L809" s="93">
        <f t="shared" si="201"/>
        <v>0</v>
      </c>
      <c r="M809" s="94">
        <v>10</v>
      </c>
      <c r="N809" s="95" t="s">
        <v>289</v>
      </c>
      <c r="O809" s="93">
        <f t="shared" si="202"/>
        <v>0</v>
      </c>
      <c r="P809" s="93">
        <f t="shared" si="203"/>
        <v>0</v>
      </c>
      <c r="Q809" s="93">
        <f t="shared" si="204"/>
        <v>0</v>
      </c>
      <c r="R809" s="93">
        <f t="shared" si="205"/>
        <v>368</v>
      </c>
      <c r="S809" s="93">
        <f t="shared" si="206"/>
        <v>0</v>
      </c>
      <c r="T809" s="93">
        <f t="shared" si="207"/>
        <v>368</v>
      </c>
      <c r="U809" s="312">
        <f t="shared" si="208"/>
        <v>7005</v>
      </c>
      <c r="V809" s="93">
        <f t="shared" si="209"/>
        <v>0</v>
      </c>
    </row>
    <row r="810" spans="1:22" ht="18" customHeight="1" x14ac:dyDescent="0.2">
      <c r="A810" s="110" t="s">
        <v>1626</v>
      </c>
      <c r="B810" s="111"/>
      <c r="C810" s="203" t="s">
        <v>1627</v>
      </c>
      <c r="D810" s="91">
        <v>43381</v>
      </c>
      <c r="E810" s="92"/>
      <c r="F810" s="93"/>
      <c r="G810" s="209"/>
      <c r="H810" s="93">
        <v>2461.77</v>
      </c>
      <c r="I810" s="93">
        <v>2110.77</v>
      </c>
      <c r="J810" s="93"/>
      <c r="K810" s="93">
        <f t="shared" si="200"/>
        <v>0</v>
      </c>
      <c r="L810" s="93">
        <f t="shared" si="201"/>
        <v>0</v>
      </c>
      <c r="M810" s="94">
        <v>20</v>
      </c>
      <c r="N810" s="95" t="s">
        <v>289</v>
      </c>
      <c r="O810" s="93">
        <f t="shared" si="202"/>
        <v>0</v>
      </c>
      <c r="P810" s="93">
        <f t="shared" si="203"/>
        <v>0</v>
      </c>
      <c r="Q810" s="93">
        <f t="shared" si="204"/>
        <v>0</v>
      </c>
      <c r="R810" s="93">
        <f t="shared" si="205"/>
        <v>211</v>
      </c>
      <c r="S810" s="93">
        <f t="shared" si="206"/>
        <v>0</v>
      </c>
      <c r="T810" s="93">
        <f t="shared" si="207"/>
        <v>211</v>
      </c>
      <c r="U810" s="312">
        <f t="shared" si="208"/>
        <v>1899.77</v>
      </c>
      <c r="V810" s="93">
        <f t="shared" si="209"/>
        <v>0</v>
      </c>
    </row>
    <row r="811" spans="1:22" ht="18" customHeight="1" x14ac:dyDescent="0.2">
      <c r="A811" s="110" t="s">
        <v>1628</v>
      </c>
      <c r="B811" s="111"/>
      <c r="C811" s="203" t="s">
        <v>1629</v>
      </c>
      <c r="D811" s="91">
        <v>43374</v>
      </c>
      <c r="E811" s="92"/>
      <c r="F811" s="93"/>
      <c r="G811" s="93"/>
      <c r="H811" s="93">
        <v>825.45</v>
      </c>
      <c r="I811" s="93">
        <v>655.45</v>
      </c>
      <c r="J811" s="93"/>
      <c r="K811" s="93">
        <f t="shared" si="200"/>
        <v>0</v>
      </c>
      <c r="L811" s="93">
        <f t="shared" si="201"/>
        <v>0</v>
      </c>
      <c r="M811" s="94">
        <v>28.57</v>
      </c>
      <c r="N811" s="95" t="s">
        <v>289</v>
      </c>
      <c r="O811" s="93">
        <f t="shared" si="202"/>
        <v>0</v>
      </c>
      <c r="P811" s="93">
        <f t="shared" si="203"/>
        <v>0</v>
      </c>
      <c r="Q811" s="93">
        <f t="shared" si="204"/>
        <v>0</v>
      </c>
      <c r="R811" s="93">
        <f t="shared" si="205"/>
        <v>93</v>
      </c>
      <c r="S811" s="93">
        <f t="shared" si="206"/>
        <v>0</v>
      </c>
      <c r="T811" s="93">
        <f t="shared" si="207"/>
        <v>93</v>
      </c>
      <c r="U811" s="312">
        <f t="shared" si="208"/>
        <v>562.45000000000005</v>
      </c>
      <c r="V811" s="93">
        <f t="shared" si="209"/>
        <v>0</v>
      </c>
    </row>
    <row r="812" spans="1:22" ht="18" customHeight="1" x14ac:dyDescent="0.2">
      <c r="A812" s="110" t="s">
        <v>1630</v>
      </c>
      <c r="B812" s="111"/>
      <c r="C812" s="203" t="s">
        <v>1631</v>
      </c>
      <c r="D812" s="91">
        <v>43374</v>
      </c>
      <c r="E812" s="92"/>
      <c r="F812" s="93"/>
      <c r="G812" s="93"/>
      <c r="H812" s="93">
        <v>516.28</v>
      </c>
      <c r="I812" s="93">
        <v>335.28000000000003</v>
      </c>
      <c r="J812" s="93"/>
      <c r="K812" s="93">
        <f t="shared" si="200"/>
        <v>0</v>
      </c>
      <c r="L812" s="93">
        <f t="shared" si="201"/>
        <v>0</v>
      </c>
      <c r="M812" s="94">
        <v>50</v>
      </c>
      <c r="N812" s="95" t="s">
        <v>289</v>
      </c>
      <c r="O812" s="93">
        <f t="shared" si="202"/>
        <v>0</v>
      </c>
      <c r="P812" s="93">
        <f t="shared" si="203"/>
        <v>0</v>
      </c>
      <c r="Q812" s="93">
        <f t="shared" si="204"/>
        <v>0</v>
      </c>
      <c r="R812" s="93">
        <f t="shared" si="205"/>
        <v>83</v>
      </c>
      <c r="S812" s="93">
        <f t="shared" si="206"/>
        <v>0</v>
      </c>
      <c r="T812" s="93">
        <f t="shared" si="207"/>
        <v>83</v>
      </c>
      <c r="U812" s="312">
        <f>+I812+J812-T812-F812+K812-L812</f>
        <v>252.28000000000003</v>
      </c>
      <c r="V812" s="93">
        <f t="shared" si="209"/>
        <v>0</v>
      </c>
    </row>
    <row r="813" spans="1:22" ht="18" customHeight="1" x14ac:dyDescent="0.2">
      <c r="A813" s="110" t="s">
        <v>2085</v>
      </c>
      <c r="B813" s="111"/>
      <c r="C813" s="201" t="s">
        <v>1996</v>
      </c>
      <c r="D813" s="91">
        <v>43536</v>
      </c>
      <c r="E813" s="92"/>
      <c r="F813" s="93"/>
      <c r="G813" s="93"/>
      <c r="H813" s="93">
        <v>2025</v>
      </c>
      <c r="I813" s="93">
        <v>1720.45</v>
      </c>
      <c r="J813" s="93"/>
      <c r="K813" s="93">
        <f t="shared" si="200"/>
        <v>0</v>
      </c>
      <c r="L813" s="93">
        <f t="shared" si="201"/>
        <v>0</v>
      </c>
      <c r="M813" s="94">
        <v>50</v>
      </c>
      <c r="N813" s="95" t="s">
        <v>289</v>
      </c>
      <c r="O813" s="93">
        <f t="shared" si="202"/>
        <v>0</v>
      </c>
      <c r="P813" s="93">
        <f t="shared" si="203"/>
        <v>0</v>
      </c>
      <c r="Q813" s="93">
        <f t="shared" si="204"/>
        <v>0</v>
      </c>
      <c r="R813" s="93">
        <f t="shared" si="205"/>
        <v>430</v>
      </c>
      <c r="S813" s="93">
        <f t="shared" si="206"/>
        <v>0</v>
      </c>
      <c r="T813" s="93">
        <f t="shared" si="207"/>
        <v>430</v>
      </c>
      <c r="U813" s="312">
        <f>+I813+J813-T813-F813+K813-L813</f>
        <v>1290.45</v>
      </c>
      <c r="V813" s="93">
        <f t="shared" si="209"/>
        <v>0</v>
      </c>
    </row>
    <row r="814" spans="1:22" ht="18" customHeight="1" x14ac:dyDescent="0.2">
      <c r="A814" s="110">
        <v>748033</v>
      </c>
      <c r="B814" s="111"/>
      <c r="C814" s="201" t="s">
        <v>2153</v>
      </c>
      <c r="D814" s="91">
        <v>43724</v>
      </c>
      <c r="E814" s="92"/>
      <c r="F814" s="93"/>
      <c r="G814" s="93"/>
      <c r="H814" s="93"/>
      <c r="I814" s="93"/>
      <c r="J814" s="93">
        <v>1828.75</v>
      </c>
      <c r="K814" s="93">
        <f t="shared" ref="K814" si="210">INT(IF($E814&gt;0,IF(+F814-I814+Q814&lt;0,0,+F814-I814+Q814),0))</f>
        <v>0</v>
      </c>
      <c r="L814" s="93">
        <f t="shared" ref="L814" si="211">INT(IF($E814&gt;0,IF(K814=0,-F814+I814-Q814,0),0))</f>
        <v>0</v>
      </c>
      <c r="M814" s="94">
        <v>50</v>
      </c>
      <c r="N814" s="95" t="s">
        <v>289</v>
      </c>
      <c r="O814" s="93">
        <f t="shared" ref="O814" si="212">IF(E814&gt;0,INT(IF($N814="D",IF($D814&lt;$H$3,$I814*($M814/100)*((E814-$H$3)/365),$J814*($M814/100)*($J$3-$D814)/365),0)),0)</f>
        <v>0</v>
      </c>
      <c r="P814" s="93">
        <f t="shared" ref="P814" si="213">IF(E814&gt;0,INT(IF($N814="P",IF($D814&lt;$H$3,$H814*($M814/100)*(E814-$H$3)/365,$J814*($M814/100)*($J$3-$D814)/365),0)),0)</f>
        <v>0</v>
      </c>
      <c r="Q814" s="93">
        <f t="shared" ref="Q814" si="214">+O814+P814</f>
        <v>0</v>
      </c>
      <c r="R814" s="93">
        <f t="shared" si="205"/>
        <v>265</v>
      </c>
      <c r="S814" s="93">
        <f t="shared" si="206"/>
        <v>0</v>
      </c>
      <c r="T814" s="93">
        <f t="shared" ref="T814" si="215">+R814+S814+Q814</f>
        <v>265</v>
      </c>
      <c r="U814" s="312">
        <f>+I814+J814-T814-F814+K814-L814</f>
        <v>1563.75</v>
      </c>
      <c r="V814" s="93">
        <f t="shared" ref="V814" si="216">IF(E814&gt;0,+H814+J814,0)</f>
        <v>0</v>
      </c>
    </row>
    <row r="815" spans="1:22" ht="18" customHeight="1" x14ac:dyDescent="0.2">
      <c r="A815" s="204"/>
      <c r="B815" s="205"/>
      <c r="C815" s="207"/>
      <c r="D815" s="207"/>
      <c r="E815" s="92"/>
      <c r="F815" s="93"/>
      <c r="G815" s="93"/>
      <c r="H815" s="93"/>
      <c r="I815" s="209"/>
      <c r="J815" s="209"/>
      <c r="K815" s="209"/>
      <c r="L815" s="209"/>
      <c r="M815" s="210"/>
      <c r="N815" s="95"/>
      <c r="O815" s="95"/>
      <c r="P815" s="209"/>
      <c r="Q815" s="209"/>
      <c r="R815" s="95"/>
      <c r="S815" s="209"/>
      <c r="T815" s="209"/>
      <c r="U815" s="313"/>
      <c r="V815" s="209"/>
    </row>
    <row r="816" spans="1:22" ht="18" customHeight="1" x14ac:dyDescent="0.2">
      <c r="A816" s="204"/>
      <c r="B816" s="205"/>
      <c r="C816" s="206" t="s">
        <v>2043</v>
      </c>
      <c r="D816" s="207"/>
      <c r="E816" s="92"/>
      <c r="F816" s="93"/>
      <c r="G816" s="93"/>
      <c r="H816" s="208">
        <f>+J817-V817</f>
        <v>1828.75</v>
      </c>
      <c r="I816" s="209"/>
      <c r="J816" s="209"/>
      <c r="K816" s="209"/>
      <c r="L816" s="209"/>
      <c r="M816" s="210"/>
      <c r="N816" s="95"/>
      <c r="O816" s="95"/>
      <c r="P816" s="209"/>
      <c r="Q816" s="209"/>
      <c r="R816" s="95"/>
      <c r="S816" s="209"/>
      <c r="T816" s="209"/>
      <c r="U816" s="313"/>
      <c r="V816" s="209"/>
    </row>
    <row r="817" spans="1:24" s="14" customFormat="1" ht="18" customHeight="1" x14ac:dyDescent="0.2">
      <c r="A817" s="211"/>
      <c r="B817" s="212"/>
      <c r="C817" s="206" t="s">
        <v>1657</v>
      </c>
      <c r="D817" s="206"/>
      <c r="E817" s="219"/>
      <c r="F817" s="208">
        <f t="shared" ref="F817:L817" si="217">SUM(F786:F815)</f>
        <v>0</v>
      </c>
      <c r="G817" s="208">
        <f t="shared" si="217"/>
        <v>0</v>
      </c>
      <c r="H817" s="208">
        <f>SUM(H786:H816)</f>
        <v>55818.979999999996</v>
      </c>
      <c r="I817" s="208">
        <f t="shared" si="217"/>
        <v>31412.14</v>
      </c>
      <c r="J817" s="208">
        <f t="shared" si="217"/>
        <v>1828.75</v>
      </c>
      <c r="K817" s="208">
        <f t="shared" si="217"/>
        <v>0</v>
      </c>
      <c r="L817" s="208">
        <f t="shared" si="217"/>
        <v>0</v>
      </c>
      <c r="M817" s="214"/>
      <c r="N817" s="233"/>
      <c r="O817" s="208">
        <f>SUM(O786:O815)</f>
        <v>0</v>
      </c>
      <c r="P817" s="208">
        <f>SUM(P786:P815)</f>
        <v>0</v>
      </c>
      <c r="Q817" s="208"/>
      <c r="R817" s="208">
        <f>SUM(R786:R815)</f>
        <v>3206</v>
      </c>
      <c r="S817" s="208">
        <f>SUM(S786:S815)</f>
        <v>0</v>
      </c>
      <c r="T817" s="247">
        <f>SUM(T786:T815)</f>
        <v>3206</v>
      </c>
      <c r="U817" s="314">
        <f>SUM(U786:U815)</f>
        <v>30034.89</v>
      </c>
      <c r="V817" s="208">
        <f>SUM(V786:V815)</f>
        <v>0</v>
      </c>
      <c r="X817" s="23">
        <f>55819.06-25784.17</f>
        <v>30034.89</v>
      </c>
    </row>
    <row r="818" spans="1:24" s="14" customFormat="1" ht="18" customHeight="1" x14ac:dyDescent="0.2">
      <c r="A818" s="211"/>
      <c r="B818" s="212"/>
      <c r="C818" s="206"/>
      <c r="D818" s="206"/>
      <c r="E818" s="219"/>
      <c r="F818" s="208"/>
      <c r="G818" s="208"/>
      <c r="H818" s="208"/>
      <c r="I818" s="208"/>
      <c r="J818" s="208"/>
      <c r="K818" s="208"/>
      <c r="L818" s="208"/>
      <c r="M818" s="214"/>
      <c r="N818" s="233"/>
      <c r="O818" s="208"/>
      <c r="P818" s="208"/>
      <c r="Q818" s="208"/>
      <c r="R818" s="208"/>
      <c r="S818" s="208"/>
      <c r="T818" s="208"/>
      <c r="U818" s="314"/>
      <c r="V818" s="208"/>
    </row>
    <row r="819" spans="1:24" s="14" customFormat="1" ht="18" customHeight="1" x14ac:dyDescent="0.2">
      <c r="A819" s="211"/>
      <c r="B819" s="212"/>
      <c r="C819" s="206" t="s">
        <v>2044</v>
      </c>
      <c r="D819" s="206"/>
      <c r="E819" s="219"/>
      <c r="F819" s="208"/>
      <c r="G819" s="208"/>
      <c r="H819" s="208"/>
      <c r="I819" s="208"/>
      <c r="J819" s="208"/>
      <c r="K819" s="208"/>
      <c r="L819" s="208"/>
      <c r="M819" s="214"/>
      <c r="N819" s="233"/>
      <c r="O819" s="208"/>
      <c r="P819" s="208"/>
      <c r="Q819" s="208"/>
      <c r="R819" s="208"/>
      <c r="S819" s="208"/>
      <c r="T819" s="208"/>
      <c r="U819" s="314"/>
      <c r="V819" s="208"/>
    </row>
    <row r="820" spans="1:24" ht="18" customHeight="1" x14ac:dyDescent="0.2">
      <c r="A820" s="204"/>
      <c r="B820" s="205"/>
      <c r="C820" s="207" t="s">
        <v>2088</v>
      </c>
      <c r="D820" s="207"/>
      <c r="E820" s="92"/>
      <c r="F820" s="93"/>
      <c r="G820" s="93"/>
      <c r="H820" s="93"/>
      <c r="I820" s="93">
        <v>12566.17</v>
      </c>
      <c r="J820" s="93"/>
      <c r="K820" s="93">
        <f>INT(IF($E820&gt;0,IF(+F820-I820+Q820&lt;0,0,+F820-I820+Q820),0))</f>
        <v>0</v>
      </c>
      <c r="L820" s="93">
        <f>INT(IF($E820&gt;0,IF(K820=0,-F820+I820-Q820,0),0))</f>
        <v>0</v>
      </c>
      <c r="M820" s="94">
        <v>37.5</v>
      </c>
      <c r="N820" s="95" t="s">
        <v>289</v>
      </c>
      <c r="O820" s="93">
        <f>IF(E820&gt;0,INT(IF($N820="D",IF($D820&lt;$H$3,$I820*($M820/100)*((E820-$H$3)/365),$J820*($M820/100)*($J$3-$D820)/365),0)),0)</f>
        <v>0</v>
      </c>
      <c r="P820" s="93">
        <f>IF(E820&gt;0,INT(IF($N820="P",IF($D820&lt;$H$3,$H820*($M820/100)*(E820-$H$3)/365,$J820*($M820/100)*($J$3-$D820)/365),0)),0)</f>
        <v>0</v>
      </c>
      <c r="Q820" s="93">
        <f>+O820+P820</f>
        <v>0</v>
      </c>
      <c r="R820" s="93">
        <f>INT(IF($E820&gt;0,0,(IF($N820="D",IF($D820&lt;$H$3,$I820*($M820/100)*$U$3/12,$J820*($M820/100)*($J$3-$D820)/365),0))))</f>
        <v>2356</v>
      </c>
      <c r="S820" s="93">
        <f>INT(IF($E820&gt;0,0,(IF($N820="P",IF($D820&lt;$H$3,$H820*($M820/100)*$U$3/12,$J820*($M820/100)*($J$3-$D820)/365),0))))</f>
        <v>0</v>
      </c>
      <c r="T820" s="93">
        <f>+R820+S820+Q820</f>
        <v>2356</v>
      </c>
      <c r="U820" s="312">
        <f>+I820+J820-T820-F820+K820-L820</f>
        <v>10210.17</v>
      </c>
      <c r="V820" s="93">
        <f>IF(E820&gt;0,+H820+J820,0)</f>
        <v>0</v>
      </c>
    </row>
    <row r="821" spans="1:24" ht="18" customHeight="1" x14ac:dyDescent="0.2">
      <c r="A821" s="204"/>
      <c r="B821" s="205"/>
      <c r="C821" s="207" t="s">
        <v>2089</v>
      </c>
      <c r="D821" s="239">
        <v>43435</v>
      </c>
      <c r="E821" s="92"/>
      <c r="F821" s="93"/>
      <c r="G821" s="93"/>
      <c r="H821" s="93"/>
      <c r="I821" s="93">
        <v>7508.91</v>
      </c>
      <c r="J821" s="93"/>
      <c r="K821" s="93">
        <f>INT(IF($E821&gt;0,IF(+F821-I821+Q821&lt;0,0,+F821-I821+Q821),0))</f>
        <v>0</v>
      </c>
      <c r="L821" s="93">
        <f>INT(IF($E821&gt;0,IF(K821=0,-F821+I821-Q821,0),0))</f>
        <v>0</v>
      </c>
      <c r="M821" s="94">
        <v>18.75</v>
      </c>
      <c r="N821" s="95" t="s">
        <v>289</v>
      </c>
      <c r="O821" s="93">
        <f>IF(E821&gt;0,INT(IF($N821="D",IF($D821&lt;$H$3,$I821*($M821/100)*((E821-$H$3)/365),$J821*($M821/100)*($J$3-$D821)/365),0)),0)</f>
        <v>0</v>
      </c>
      <c r="P821" s="93">
        <f>IF(E821&gt;0,INT(IF($N821="P",IF($D821&lt;$H$3,$H821*($M821/100)*(E821-$H$3)/365,$J821*($M821/100)*($J$3-$D821)/365),0)),0)</f>
        <v>0</v>
      </c>
      <c r="Q821" s="93">
        <f>+O821+P821</f>
        <v>0</v>
      </c>
      <c r="R821" s="93">
        <f>INT(IF($E821&gt;0,0,(IF($N821="D",IF($D821&lt;$H$3,$I821*($M821/100)*$U$3/12,$J821*($M821/100)*($J$3-$D821)/365),0))))</f>
        <v>703</v>
      </c>
      <c r="S821" s="93">
        <f>INT(IF($E821&gt;0,0,(IF($N821="P",IF($D821&lt;$H$3,$H821*($M821/100)*$U$3/12,$J821*($M821/100)*($J$3-$D821)/365),0))))</f>
        <v>0</v>
      </c>
      <c r="T821" s="93">
        <f>+R821+S821+Q821</f>
        <v>703</v>
      </c>
      <c r="U821" s="312">
        <f>+I821+J821-T821-F821+K821-L821</f>
        <v>6805.91</v>
      </c>
      <c r="V821" s="93">
        <f>IF(E821&gt;0,+H821+J821,0)</f>
        <v>0</v>
      </c>
    </row>
    <row r="822" spans="1:24" ht="18" customHeight="1" x14ac:dyDescent="0.2">
      <c r="A822" s="204"/>
      <c r="B822" s="205"/>
      <c r="C822" s="207" t="s">
        <v>2154</v>
      </c>
      <c r="D822" s="239">
        <v>43647</v>
      </c>
      <c r="E822" s="92"/>
      <c r="F822" s="93"/>
      <c r="G822" s="93"/>
      <c r="H822" s="93"/>
      <c r="I822" s="93"/>
      <c r="J822" s="93">
        <v>2728.09</v>
      </c>
      <c r="K822" s="93">
        <f>INT(IF($E822&gt;0,IF(+F822-I822+Q822&lt;0,0,+F822-I822+Q822),0))</f>
        <v>0</v>
      </c>
      <c r="L822" s="93">
        <f>INT(IF($E822&gt;0,IF(K822=0,-F822+I822-Q822,0),0))</f>
        <v>0</v>
      </c>
      <c r="M822" s="94">
        <v>18.75</v>
      </c>
      <c r="N822" s="95" t="s">
        <v>289</v>
      </c>
      <c r="O822" s="93">
        <f>IF(E822&gt;0,INT(IF($N822="D",IF($D822&lt;$H$3,$I822*($M822/100)*((E822-$H$3)/365),$J822*($M822/100)*($J$3-$D822)/365),0)),0)</f>
        <v>0</v>
      </c>
      <c r="P822" s="93">
        <f>IF(E822&gt;0,INT(IF($N822="P",IF($D822&lt;$H$3,$H822*($M822/100)*(E822-$H$3)/365,$J822*($M822/100)*($J$3-$D822)/365),0)),0)</f>
        <v>0</v>
      </c>
      <c r="Q822" s="93">
        <f>+O822+P822</f>
        <v>0</v>
      </c>
      <c r="R822" s="93">
        <f>INT(IF($E822&gt;0,0,(IF($N822="D",IF($D822&lt;$H$3,$I822*($M822/100)*$U$3/12,$J822*($M822/100)*($J$3-$D822)/365),0))))</f>
        <v>256</v>
      </c>
      <c r="S822" s="93">
        <f>INT(IF($E822&gt;0,0,(IF($N822="P",IF($D822&lt;$H$3,$H822*($M822/100)*$U$3/12,$J822*($M822/100)*($J$3-$D822)/365),0))))</f>
        <v>0</v>
      </c>
      <c r="T822" s="93">
        <f>+R822+S822+Q822</f>
        <v>256</v>
      </c>
      <c r="U822" s="312">
        <f>+I822+J822-T822-F822+K822-L822</f>
        <v>2472.09</v>
      </c>
      <c r="V822" s="93">
        <f>IF(E822&gt;0,+H822+J822,0)</f>
        <v>0</v>
      </c>
    </row>
    <row r="823" spans="1:24" ht="18" customHeight="1" x14ac:dyDescent="0.2">
      <c r="A823" s="204"/>
      <c r="B823" s="205"/>
      <c r="C823" s="207"/>
      <c r="D823" s="207"/>
      <c r="E823" s="92"/>
      <c r="F823" s="93"/>
      <c r="G823" s="93"/>
      <c r="H823" s="93"/>
      <c r="I823" s="209"/>
      <c r="J823" s="209"/>
      <c r="K823" s="209"/>
      <c r="L823" s="209"/>
      <c r="M823" s="210"/>
      <c r="N823" s="95"/>
      <c r="O823" s="95"/>
      <c r="P823" s="209"/>
      <c r="Q823" s="209"/>
      <c r="R823" s="95"/>
      <c r="S823" s="209"/>
      <c r="T823" s="209"/>
      <c r="U823" s="313"/>
      <c r="V823" s="209"/>
    </row>
    <row r="824" spans="1:24" ht="18" customHeight="1" x14ac:dyDescent="0.2">
      <c r="A824" s="204"/>
      <c r="B824" s="205"/>
      <c r="C824" s="206" t="s">
        <v>2043</v>
      </c>
      <c r="D824" s="207"/>
      <c r="E824" s="92"/>
      <c r="F824" s="93"/>
      <c r="G824" s="93"/>
      <c r="H824" s="208">
        <f>+J825-V825</f>
        <v>2728.09</v>
      </c>
      <c r="I824" s="209"/>
      <c r="J824" s="209"/>
      <c r="K824" s="209"/>
      <c r="L824" s="209"/>
      <c r="M824" s="210"/>
      <c r="N824" s="95"/>
      <c r="O824" s="95"/>
      <c r="P824" s="209"/>
      <c r="Q824" s="209"/>
      <c r="R824" s="95"/>
      <c r="S824" s="209"/>
      <c r="T824" s="209"/>
      <c r="U824" s="313"/>
      <c r="V824" s="209"/>
    </row>
    <row r="825" spans="1:24" s="14" customFormat="1" ht="18" customHeight="1" x14ac:dyDescent="0.2">
      <c r="A825" s="211"/>
      <c r="B825" s="212"/>
      <c r="C825" s="206" t="s">
        <v>2090</v>
      </c>
      <c r="D825" s="206"/>
      <c r="E825" s="219"/>
      <c r="F825" s="208">
        <f t="shared" ref="F825:L825" si="218">SUM(F820:F823)</f>
        <v>0</v>
      </c>
      <c r="G825" s="208">
        <f t="shared" si="218"/>
        <v>0</v>
      </c>
      <c r="H825" s="208">
        <f t="shared" si="218"/>
        <v>0</v>
      </c>
      <c r="I825" s="208">
        <f t="shared" si="218"/>
        <v>20075.080000000002</v>
      </c>
      <c r="J825" s="208">
        <f t="shared" si="218"/>
        <v>2728.09</v>
      </c>
      <c r="K825" s="208">
        <f t="shared" si="218"/>
        <v>0</v>
      </c>
      <c r="L825" s="208">
        <f t="shared" si="218"/>
        <v>0</v>
      </c>
      <c r="M825" s="214"/>
      <c r="N825" s="233"/>
      <c r="O825" s="208">
        <f>SUM(O793:O823)</f>
        <v>0</v>
      </c>
      <c r="P825" s="208">
        <f>SUM(P793:P823)</f>
        <v>0</v>
      </c>
      <c r="Q825" s="208"/>
      <c r="R825" s="208">
        <f>SUM(R793:R823)</f>
        <v>9350</v>
      </c>
      <c r="S825" s="208">
        <f>SUM(S793:S823)</f>
        <v>0</v>
      </c>
      <c r="T825" s="208">
        <f>SUM(T820:T823)</f>
        <v>3315</v>
      </c>
      <c r="U825" s="314">
        <f>SUM(U820:U823)</f>
        <v>19488.170000000002</v>
      </c>
      <c r="V825" s="208">
        <f>SUM(V820:V823)</f>
        <v>0</v>
      </c>
    </row>
    <row r="826" spans="1:24" ht="18" customHeight="1" x14ac:dyDescent="0.2">
      <c r="A826" s="204"/>
      <c r="B826" s="205"/>
      <c r="C826" s="207"/>
      <c r="D826" s="207"/>
      <c r="E826" s="92"/>
      <c r="F826" s="93"/>
      <c r="G826" s="93"/>
      <c r="H826" s="93"/>
      <c r="I826" s="209"/>
      <c r="J826" s="209"/>
      <c r="K826" s="209"/>
      <c r="L826" s="209"/>
      <c r="M826" s="210"/>
      <c r="N826" s="95"/>
      <c r="O826" s="95"/>
      <c r="P826" s="209"/>
      <c r="Q826" s="209"/>
      <c r="R826" s="95"/>
      <c r="S826" s="209"/>
      <c r="T826" s="209"/>
      <c r="U826" s="313"/>
      <c r="V826" s="209"/>
    </row>
    <row r="827" spans="1:24" s="14" customFormat="1" ht="18" customHeight="1" x14ac:dyDescent="0.2">
      <c r="A827" s="240"/>
      <c r="B827" s="241"/>
      <c r="C827" s="242" t="s">
        <v>1658</v>
      </c>
      <c r="D827" s="242"/>
      <c r="E827" s="243"/>
      <c r="F827" s="244">
        <f t="shared" ref="F827:L827" si="219">+F169+F580+F595+F782+F817+F825</f>
        <v>11875</v>
      </c>
      <c r="G827" s="244">
        <f t="shared" si="219"/>
        <v>0</v>
      </c>
      <c r="H827" s="244">
        <f t="shared" si="219"/>
        <v>8987534.5699999966</v>
      </c>
      <c r="I827" s="244">
        <f t="shared" si="219"/>
        <v>5839677.8220000006</v>
      </c>
      <c r="J827" s="244">
        <f t="shared" si="219"/>
        <v>319095.44</v>
      </c>
      <c r="K827" s="244">
        <f t="shared" si="219"/>
        <v>8959</v>
      </c>
      <c r="L827" s="244">
        <f t="shared" si="219"/>
        <v>0</v>
      </c>
      <c r="M827" s="245"/>
      <c r="N827" s="246"/>
      <c r="O827" s="244">
        <f>+O169+O580+O595+O782+O817</f>
        <v>188</v>
      </c>
      <c r="P827" s="244">
        <f>+P169+P580+P595+P782+P817</f>
        <v>0</v>
      </c>
      <c r="Q827" s="244"/>
      <c r="R827" s="244">
        <f>+R169+R580+R595+R782+R817</f>
        <v>333255</v>
      </c>
      <c r="S827" s="244">
        <f>+S169+S580+S595+S782+S817</f>
        <v>26514</v>
      </c>
      <c r="T827" s="244">
        <f>+T169+T580+T595+T782+T817+T825</f>
        <v>389680</v>
      </c>
      <c r="U827" s="315">
        <f>+U169+U580+U595+U782+U817+U825</f>
        <v>5766177.0020000003</v>
      </c>
      <c r="V827" s="244">
        <f>+V169+V580+V595+V782+V817+V825</f>
        <v>82281.8</v>
      </c>
    </row>
    <row r="828" spans="1:24" ht="18" customHeight="1" x14ac:dyDescent="0.2">
      <c r="A828" s="41"/>
      <c r="B828" s="41"/>
      <c r="C828" s="41" t="s">
        <v>1659</v>
      </c>
      <c r="D828" s="42"/>
      <c r="E828" s="43"/>
      <c r="F828" s="9"/>
      <c r="G828" s="9"/>
      <c r="H828" s="162">
        <f>2148436.02+4716235.4+409151.13+1657893.04+55819.06</f>
        <v>8987534.6500000004</v>
      </c>
      <c r="I828" s="259">
        <v>5839677.5499999998</v>
      </c>
      <c r="J828" s="9"/>
      <c r="K828" s="9"/>
      <c r="L828" s="9"/>
      <c r="N828" s="46"/>
      <c r="O828" s="46"/>
      <c r="P828" s="9"/>
      <c r="Q828" s="9"/>
      <c r="R828" s="46"/>
      <c r="S828" s="9"/>
      <c r="T828" s="9"/>
      <c r="U828" s="316">
        <v>5766177</v>
      </c>
      <c r="V828" s="9"/>
    </row>
    <row r="829" spans="1:24" ht="18" hidden="1" customHeight="1" x14ac:dyDescent="0.2">
      <c r="C829" s="42"/>
      <c r="D829" s="42"/>
      <c r="E829" s="43"/>
      <c r="F829" s="9"/>
      <c r="G829" s="9"/>
      <c r="H829" s="9">
        <f>+H827-H828</f>
        <v>-8.0000003799796104E-2</v>
      </c>
      <c r="I829" s="257"/>
      <c r="J829" s="10">
        <f>+J827-J828</f>
        <v>319095.44</v>
      </c>
      <c r="K829" s="10"/>
      <c r="L829" s="10">
        <f>+K827-L827</f>
        <v>8959</v>
      </c>
      <c r="P829" s="10"/>
      <c r="Q829" s="10"/>
      <c r="S829" s="10"/>
      <c r="T829" s="10"/>
      <c r="U829" s="317"/>
      <c r="V829" s="10"/>
    </row>
    <row r="830" spans="1:24" ht="18" customHeight="1" x14ac:dyDescent="0.2">
      <c r="A830" s="41"/>
      <c r="B830" s="41"/>
      <c r="C830" s="41"/>
      <c r="D830" s="41"/>
      <c r="E830" s="47"/>
      <c r="F830" s="48"/>
      <c r="G830" s="48" t="s">
        <v>1648</v>
      </c>
      <c r="H830" s="52" t="s">
        <v>1668</v>
      </c>
      <c r="I830" s="52" t="s">
        <v>1668</v>
      </c>
      <c r="J830" s="163"/>
      <c r="K830" s="10"/>
      <c r="L830" s="10"/>
      <c r="P830" s="10"/>
      <c r="Q830" s="10"/>
      <c r="S830" s="10"/>
      <c r="T830" s="10"/>
      <c r="U830" s="318" t="s">
        <v>1668</v>
      </c>
      <c r="V830" s="10"/>
    </row>
    <row r="831" spans="1:24" ht="18" customHeight="1" x14ac:dyDescent="0.2">
      <c r="C831" s="42"/>
      <c r="D831" s="42"/>
      <c r="E831" s="50"/>
      <c r="F831" s="51"/>
      <c r="G831" s="51"/>
      <c r="H831" s="53" t="s">
        <v>1669</v>
      </c>
      <c r="I831" s="53" t="s">
        <v>1669</v>
      </c>
      <c r="P831" s="10"/>
      <c r="Q831" s="10"/>
      <c r="S831" s="10"/>
      <c r="T831" s="10"/>
      <c r="U831" s="318" t="s">
        <v>1669</v>
      </c>
      <c r="V831" s="12"/>
    </row>
    <row r="832" spans="1:24" ht="18" customHeight="1" x14ac:dyDescent="0.2">
      <c r="C832" s="15" t="s">
        <v>1663</v>
      </c>
      <c r="D832" s="42"/>
      <c r="E832" s="50"/>
      <c r="F832" s="51"/>
      <c r="G832" s="51"/>
      <c r="H832" s="53">
        <v>43830</v>
      </c>
      <c r="I832" s="53">
        <v>43646</v>
      </c>
      <c r="P832" s="10"/>
      <c r="Q832" s="10"/>
      <c r="S832" s="10"/>
      <c r="T832" s="10"/>
      <c r="U832" s="53">
        <v>43830</v>
      </c>
      <c r="V832" s="10"/>
    </row>
    <row r="833" spans="3:22" ht="18" customHeight="1" x14ac:dyDescent="0.2">
      <c r="C833" s="42"/>
      <c r="D833" s="42"/>
      <c r="E833" s="50"/>
      <c r="F833" s="51"/>
      <c r="G833" s="51"/>
      <c r="H833" s="42"/>
      <c r="P833" s="10"/>
      <c r="Q833" s="10"/>
      <c r="S833" s="10"/>
      <c r="T833" s="10"/>
      <c r="U833" s="317">
        <f>+U827-U828</f>
        <v>2.0000003278255463E-3</v>
      </c>
      <c r="V833" s="10"/>
    </row>
    <row r="834" spans="3:22" x14ac:dyDescent="0.2">
      <c r="C834" s="42"/>
      <c r="D834" s="42"/>
      <c r="E834" s="50"/>
      <c r="F834" s="51"/>
      <c r="G834" s="51"/>
      <c r="H834" s="42"/>
      <c r="P834" s="10"/>
      <c r="Q834" s="10"/>
      <c r="S834" s="10"/>
      <c r="T834" s="10"/>
      <c r="U834" s="317"/>
      <c r="V834" s="10"/>
    </row>
    <row r="835" spans="3:22" x14ac:dyDescent="0.2">
      <c r="C835" s="42"/>
      <c r="D835" s="42"/>
      <c r="E835" s="50"/>
      <c r="F835" s="51"/>
      <c r="G835" s="51"/>
      <c r="H835" s="42"/>
      <c r="P835" s="10"/>
      <c r="Q835" s="10"/>
      <c r="S835" s="10"/>
      <c r="T835" s="10"/>
      <c r="U835" s="317"/>
      <c r="V835" s="10"/>
    </row>
    <row r="836" spans="3:22" x14ac:dyDescent="0.2">
      <c r="C836" s="42"/>
      <c r="D836" s="42"/>
      <c r="E836" s="50"/>
      <c r="F836" s="51"/>
      <c r="G836" s="51"/>
      <c r="H836" s="42"/>
      <c r="P836" s="10"/>
      <c r="Q836" s="10"/>
      <c r="S836" s="10"/>
      <c r="T836" s="10"/>
      <c r="U836" s="317"/>
      <c r="V836" s="10"/>
    </row>
    <row r="837" spans="3:22" x14ac:dyDescent="0.2">
      <c r="C837" s="42"/>
      <c r="D837" s="42"/>
      <c r="E837" s="50"/>
      <c r="F837" s="51"/>
      <c r="G837" s="51"/>
      <c r="H837" s="42"/>
      <c r="P837" s="10"/>
      <c r="Q837" s="10"/>
      <c r="S837" s="10"/>
      <c r="T837" s="10"/>
      <c r="U837" s="317"/>
      <c r="V837" s="10"/>
    </row>
    <row r="838" spans="3:22" x14ac:dyDescent="0.2">
      <c r="C838" s="42"/>
      <c r="D838" s="42"/>
      <c r="E838" s="50"/>
      <c r="F838" s="51"/>
      <c r="G838" s="51"/>
      <c r="H838" s="42"/>
      <c r="P838" s="10"/>
      <c r="Q838" s="10"/>
      <c r="S838" s="10"/>
      <c r="T838" s="10"/>
      <c r="U838" s="317"/>
      <c r="V838" s="10"/>
    </row>
    <row r="839" spans="3:22" x14ac:dyDescent="0.2">
      <c r="C839" s="42"/>
      <c r="D839" s="42"/>
      <c r="E839" s="50"/>
      <c r="F839" s="51"/>
      <c r="G839" s="51"/>
      <c r="H839" s="42"/>
      <c r="P839" s="10"/>
      <c r="Q839" s="10"/>
      <c r="S839" s="10"/>
      <c r="T839" s="10"/>
      <c r="U839" s="317"/>
      <c r="V839" s="10"/>
    </row>
    <row r="840" spans="3:22" x14ac:dyDescent="0.2">
      <c r="C840" s="42"/>
      <c r="D840" s="42"/>
      <c r="E840" s="50"/>
      <c r="F840" s="51"/>
      <c r="G840" s="51"/>
      <c r="H840" s="42"/>
      <c r="P840" s="10"/>
      <c r="Q840" s="10"/>
      <c r="S840" s="10"/>
      <c r="T840" s="10"/>
      <c r="U840" s="317"/>
      <c r="V840" s="10"/>
    </row>
    <row r="841" spans="3:22" x14ac:dyDescent="0.2">
      <c r="C841" s="42"/>
      <c r="D841" s="42"/>
      <c r="E841" s="50"/>
      <c r="F841" s="51"/>
      <c r="G841" s="51"/>
      <c r="H841" s="42"/>
      <c r="P841" s="10"/>
      <c r="Q841" s="10"/>
      <c r="S841" s="10"/>
      <c r="T841" s="10"/>
      <c r="U841" s="317"/>
      <c r="V841" s="10"/>
    </row>
    <row r="842" spans="3:22" x14ac:dyDescent="0.2">
      <c r="C842" s="42"/>
      <c r="D842" s="42"/>
      <c r="E842" s="50"/>
      <c r="F842" s="51"/>
      <c r="G842" s="51"/>
      <c r="H842" s="42"/>
      <c r="P842" s="10"/>
      <c r="Q842" s="10"/>
      <c r="S842" s="10"/>
      <c r="T842" s="10"/>
      <c r="U842" s="317"/>
      <c r="V842" s="10"/>
    </row>
    <row r="843" spans="3:22" x14ac:dyDescent="0.2">
      <c r="C843" s="42"/>
      <c r="D843" s="42"/>
      <c r="E843" s="50"/>
      <c r="F843" s="51"/>
      <c r="G843" s="51"/>
      <c r="H843" s="42"/>
      <c r="P843" s="10"/>
      <c r="Q843" s="10"/>
      <c r="S843" s="10"/>
      <c r="T843" s="10"/>
      <c r="U843" s="317"/>
      <c r="V843" s="10"/>
    </row>
    <row r="844" spans="3:22" x14ac:dyDescent="0.2">
      <c r="C844" s="42"/>
      <c r="D844" s="42"/>
      <c r="E844" s="50"/>
      <c r="F844" s="51"/>
      <c r="G844" s="51"/>
      <c r="H844" s="42"/>
      <c r="P844" s="10"/>
      <c r="Q844" s="10"/>
      <c r="S844" s="10"/>
      <c r="T844" s="10"/>
      <c r="U844" s="317"/>
      <c r="V844" s="10"/>
    </row>
    <row r="845" spans="3:22" x14ac:dyDescent="0.2">
      <c r="C845" s="42"/>
      <c r="D845" s="42"/>
      <c r="E845" s="50"/>
      <c r="F845" s="51"/>
      <c r="G845" s="51"/>
      <c r="H845" s="42"/>
      <c r="P845" s="10"/>
      <c r="Q845" s="10"/>
      <c r="S845" s="10"/>
      <c r="T845" s="10"/>
      <c r="U845" s="317"/>
      <c r="V845" s="10"/>
    </row>
    <row r="846" spans="3:22" x14ac:dyDescent="0.2">
      <c r="C846" s="42"/>
      <c r="D846" s="42"/>
      <c r="E846" s="50"/>
      <c r="F846" s="51"/>
      <c r="G846" s="51"/>
      <c r="H846" s="42"/>
      <c r="P846" s="10"/>
      <c r="Q846" s="10"/>
      <c r="S846" s="10"/>
      <c r="T846" s="10"/>
      <c r="U846" s="317"/>
      <c r="V846" s="10"/>
    </row>
    <row r="847" spans="3:22" x14ac:dyDescent="0.2">
      <c r="C847" s="42"/>
      <c r="D847" s="42"/>
      <c r="E847" s="50"/>
      <c r="F847" s="51"/>
      <c r="G847" s="51"/>
      <c r="P847" s="10"/>
      <c r="Q847" s="10"/>
      <c r="S847" s="10"/>
      <c r="T847" s="10"/>
      <c r="U847" s="317"/>
      <c r="V847" s="10"/>
    </row>
    <row r="848" spans="3:22" x14ac:dyDescent="0.2">
      <c r="C848" s="42"/>
      <c r="D848" s="42"/>
      <c r="E848" s="50"/>
      <c r="F848" s="51"/>
      <c r="G848" s="51"/>
      <c r="H848" s="42"/>
      <c r="P848" s="10"/>
      <c r="Q848" s="10"/>
      <c r="S848" s="10"/>
      <c r="T848" s="10"/>
      <c r="U848" s="317"/>
      <c r="V848" s="10"/>
    </row>
    <row r="849" spans="6:22" x14ac:dyDescent="0.2">
      <c r="P849" s="10"/>
      <c r="Q849" s="10"/>
      <c r="S849" s="10"/>
      <c r="T849" s="10"/>
      <c r="U849" s="317"/>
      <c r="V849" s="10"/>
    </row>
    <row r="850" spans="6:22" x14ac:dyDescent="0.2">
      <c r="P850" s="10"/>
      <c r="Q850" s="10"/>
      <c r="S850" s="10"/>
      <c r="T850" s="10"/>
      <c r="U850" s="317"/>
      <c r="V850" s="10"/>
    </row>
    <row r="851" spans="6:22" x14ac:dyDescent="0.2">
      <c r="F851" s="51"/>
      <c r="G851" s="51"/>
      <c r="H851" s="42"/>
      <c r="P851" s="10"/>
      <c r="Q851" s="10"/>
      <c r="S851" s="10"/>
      <c r="T851" s="10"/>
      <c r="U851" s="317"/>
      <c r="V851" s="10"/>
    </row>
    <row r="852" spans="6:22" x14ac:dyDescent="0.2">
      <c r="P852" s="10"/>
      <c r="Q852" s="10"/>
      <c r="S852" s="10"/>
      <c r="T852" s="10"/>
      <c r="U852" s="317"/>
      <c r="V852" s="10"/>
    </row>
    <row r="853" spans="6:22" x14ac:dyDescent="0.2">
      <c r="P853" s="10"/>
      <c r="Q853" s="10"/>
      <c r="S853" s="10"/>
      <c r="T853" s="10"/>
      <c r="U853" s="317"/>
      <c r="V853" s="10"/>
    </row>
    <row r="854" spans="6:22" x14ac:dyDescent="0.2">
      <c r="P854" s="10"/>
      <c r="Q854" s="10"/>
      <c r="S854" s="10"/>
      <c r="T854" s="10"/>
      <c r="U854" s="317"/>
      <c r="V854" s="10"/>
    </row>
    <row r="855" spans="6:22" x14ac:dyDescent="0.2">
      <c r="P855" s="10"/>
      <c r="Q855" s="10"/>
      <c r="S855" s="10"/>
      <c r="T855" s="10"/>
      <c r="U855" s="317"/>
      <c r="V855" s="10"/>
    </row>
    <row r="856" spans="6:22" x14ac:dyDescent="0.2">
      <c r="P856" s="10"/>
      <c r="Q856" s="10"/>
      <c r="S856" s="10"/>
      <c r="T856" s="10"/>
      <c r="U856" s="317"/>
      <c r="V856" s="10"/>
    </row>
    <row r="857" spans="6:22" x14ac:dyDescent="0.2">
      <c r="P857" s="10"/>
      <c r="Q857" s="10"/>
      <c r="S857" s="10"/>
      <c r="T857" s="10"/>
      <c r="U857" s="317"/>
      <c r="V857" s="10"/>
    </row>
    <row r="858" spans="6:22" x14ac:dyDescent="0.2">
      <c r="P858" s="10"/>
      <c r="Q858" s="10"/>
      <c r="S858" s="10"/>
      <c r="T858" s="10"/>
      <c r="U858" s="317"/>
      <c r="V858" s="10"/>
    </row>
    <row r="859" spans="6:22" x14ac:dyDescent="0.2">
      <c r="P859" s="10"/>
      <c r="Q859" s="10"/>
      <c r="S859" s="10"/>
      <c r="T859" s="10"/>
      <c r="U859" s="317"/>
      <c r="V859" s="10"/>
    </row>
    <row r="860" spans="6:22" x14ac:dyDescent="0.2">
      <c r="P860" s="10"/>
      <c r="Q860" s="10"/>
      <c r="S860" s="10"/>
      <c r="T860" s="10"/>
      <c r="U860" s="317"/>
      <c r="V860" s="10"/>
    </row>
    <row r="861" spans="6:22" x14ac:dyDescent="0.2">
      <c r="P861" s="10"/>
      <c r="Q861" s="10"/>
      <c r="S861" s="10"/>
      <c r="T861" s="10"/>
      <c r="U861" s="317"/>
      <c r="V861" s="10"/>
    </row>
    <row r="862" spans="6:22" x14ac:dyDescent="0.2">
      <c r="P862" s="10"/>
      <c r="Q862" s="10"/>
      <c r="S862" s="10"/>
      <c r="T862" s="10"/>
      <c r="U862" s="317"/>
      <c r="V862" s="10"/>
    </row>
    <row r="863" spans="6:22" x14ac:dyDescent="0.2">
      <c r="P863" s="10"/>
      <c r="Q863" s="10"/>
      <c r="S863" s="10"/>
      <c r="T863" s="10"/>
      <c r="U863" s="317"/>
      <c r="V863" s="10"/>
    </row>
    <row r="864" spans="6:22" x14ac:dyDescent="0.2">
      <c r="P864" s="10"/>
      <c r="Q864" s="10"/>
      <c r="S864" s="10"/>
      <c r="T864" s="10"/>
      <c r="U864" s="317"/>
      <c r="V864" s="10"/>
    </row>
    <row r="865" spans="16:22" x14ac:dyDescent="0.2">
      <c r="P865" s="10"/>
      <c r="Q865" s="10"/>
      <c r="S865" s="10"/>
      <c r="T865" s="10"/>
      <c r="U865" s="317"/>
      <c r="V865" s="10"/>
    </row>
    <row r="866" spans="16:22" x14ac:dyDescent="0.2">
      <c r="P866" s="10"/>
      <c r="Q866" s="10"/>
      <c r="S866" s="10"/>
      <c r="T866" s="10"/>
      <c r="U866" s="317"/>
      <c r="V866" s="10"/>
    </row>
    <row r="867" spans="16:22" x14ac:dyDescent="0.2">
      <c r="P867" s="10"/>
      <c r="Q867" s="10"/>
      <c r="S867" s="10"/>
      <c r="T867" s="10"/>
      <c r="U867" s="317"/>
      <c r="V867" s="10"/>
    </row>
    <row r="868" spans="16:22" x14ac:dyDescent="0.2">
      <c r="P868" s="10"/>
      <c r="Q868" s="10"/>
      <c r="S868" s="10"/>
      <c r="T868" s="10"/>
      <c r="U868" s="317"/>
      <c r="V868" s="10"/>
    </row>
    <row r="869" spans="16:22" x14ac:dyDescent="0.2">
      <c r="P869" s="10"/>
      <c r="Q869" s="10"/>
      <c r="S869" s="10"/>
      <c r="T869" s="10"/>
      <c r="U869" s="317"/>
      <c r="V869" s="10"/>
    </row>
    <row r="870" spans="16:22" x14ac:dyDescent="0.2">
      <c r="P870" s="10"/>
      <c r="Q870" s="10"/>
      <c r="S870" s="10"/>
      <c r="T870" s="10"/>
      <c r="U870" s="317"/>
      <c r="V870" s="10"/>
    </row>
    <row r="871" spans="16:22" x14ac:dyDescent="0.2">
      <c r="P871" s="10"/>
      <c r="Q871" s="10"/>
      <c r="S871" s="10"/>
      <c r="T871" s="10"/>
      <c r="U871" s="317"/>
      <c r="V871" s="10"/>
    </row>
    <row r="872" spans="16:22" x14ac:dyDescent="0.2">
      <c r="P872" s="10"/>
      <c r="Q872" s="10"/>
      <c r="S872" s="10"/>
      <c r="T872" s="10"/>
      <c r="U872" s="317"/>
      <c r="V872" s="10"/>
    </row>
    <row r="873" spans="16:22" x14ac:dyDescent="0.2">
      <c r="P873" s="10"/>
      <c r="Q873" s="10"/>
      <c r="S873" s="10"/>
      <c r="T873" s="10"/>
      <c r="U873" s="317"/>
      <c r="V873" s="10"/>
    </row>
    <row r="874" spans="16:22" x14ac:dyDescent="0.2">
      <c r="P874" s="10"/>
      <c r="Q874" s="10"/>
      <c r="S874" s="10"/>
      <c r="T874" s="10"/>
      <c r="U874" s="317"/>
      <c r="V874" s="10"/>
    </row>
    <row r="875" spans="16:22" x14ac:dyDescent="0.2">
      <c r="P875" s="10"/>
      <c r="Q875" s="10"/>
      <c r="S875" s="10"/>
      <c r="T875" s="10"/>
      <c r="U875" s="317"/>
      <c r="V875" s="10"/>
    </row>
    <row r="876" spans="16:22" x14ac:dyDescent="0.2">
      <c r="P876" s="10"/>
      <c r="Q876" s="10"/>
      <c r="S876" s="10"/>
      <c r="T876" s="10"/>
      <c r="U876" s="317"/>
      <c r="V876" s="10"/>
    </row>
    <row r="877" spans="16:22" x14ac:dyDescent="0.2">
      <c r="P877" s="10"/>
      <c r="Q877" s="10"/>
      <c r="S877" s="10"/>
      <c r="T877" s="10"/>
      <c r="U877" s="317"/>
      <c r="V877" s="10"/>
    </row>
    <row r="878" spans="16:22" x14ac:dyDescent="0.2">
      <c r="P878" s="10"/>
      <c r="Q878" s="10"/>
      <c r="S878" s="10"/>
      <c r="T878" s="10"/>
      <c r="U878" s="317"/>
      <c r="V878" s="10"/>
    </row>
    <row r="879" spans="16:22" x14ac:dyDescent="0.2">
      <c r="P879" s="10"/>
      <c r="Q879" s="10"/>
      <c r="S879" s="10"/>
      <c r="T879" s="10"/>
      <c r="U879" s="317"/>
      <c r="V879" s="10"/>
    </row>
    <row r="880" spans="16:22" x14ac:dyDescent="0.2">
      <c r="P880" s="10"/>
      <c r="Q880" s="10"/>
      <c r="S880" s="10"/>
      <c r="T880" s="10"/>
      <c r="U880" s="317"/>
      <c r="V880" s="10"/>
    </row>
    <row r="881" spans="16:22" x14ac:dyDescent="0.2">
      <c r="P881" s="10"/>
      <c r="Q881" s="10"/>
      <c r="S881" s="10"/>
      <c r="T881" s="10"/>
      <c r="U881" s="317"/>
      <c r="V881" s="10"/>
    </row>
  </sheetData>
  <mergeCells count="2">
    <mergeCell ref="D1:U1"/>
    <mergeCell ref="D2:U2"/>
  </mergeCells>
  <phoneticPr fontId="24" type="noConversion"/>
  <pageMargins left="0.23622047244094491" right="0.23622047244094491" top="0.74803149606299213" bottom="0.74803149606299213" header="0.31496062992125984" footer="0.31496062992125984"/>
  <pageSetup paperSize="9" scale="66" fitToHeight="25" orientation="landscape" r:id="rId1"/>
  <headerFooter>
    <oddFooter>&amp;C&amp;Z&amp;F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17</vt:i4>
      </vt:variant>
    </vt:vector>
  </HeadingPairs>
  <TitlesOfParts>
    <vt:vector size="33" baseType="lpstr">
      <vt:lpstr>30-06-21 Teusner</vt:lpstr>
      <vt:lpstr>30-06-21 Mancave</vt:lpstr>
      <vt:lpstr>31-12-2020 Teusner</vt:lpstr>
      <vt:lpstr>31-12-2020 Mancave</vt:lpstr>
      <vt:lpstr>Adds Teusner- Mancave</vt:lpstr>
      <vt:lpstr>30-06-2020 - Teusner</vt:lpstr>
      <vt:lpstr>30-06-2020 - Mancave</vt:lpstr>
      <vt:lpstr>Adds Teusner Mancave - 300620</vt:lpstr>
      <vt:lpstr>31-12-19 - Teusner</vt:lpstr>
      <vt:lpstr>31-12-19 Mancave</vt:lpstr>
      <vt:lpstr>Additions 31-12-19</vt:lpstr>
      <vt:lpstr>30-6-19 - Teusner</vt:lpstr>
      <vt:lpstr>30-6-19 - Mancave</vt:lpstr>
      <vt:lpstr>Additions 30-6-19</vt:lpstr>
      <vt:lpstr>30-11-18 comp accts - Teusner </vt:lpstr>
      <vt:lpstr>30-11-18 comp accts - Mancave</vt:lpstr>
      <vt:lpstr>'30-06-2020 - Mancave'!Print_Area</vt:lpstr>
      <vt:lpstr>'30-06-2020 - Teusner'!Print_Area</vt:lpstr>
      <vt:lpstr>'30-06-21 Mancave'!Print_Area</vt:lpstr>
      <vt:lpstr>'30-06-21 Teusner'!Print_Area</vt:lpstr>
      <vt:lpstr>'30-6-19 - Teusner'!Print_Area</vt:lpstr>
      <vt:lpstr>'31-12-19 - Teusner'!Print_Area</vt:lpstr>
      <vt:lpstr>'31-12-19 Mancave'!Print_Area</vt:lpstr>
      <vt:lpstr>'31-12-2020 Mancave'!Print_Area</vt:lpstr>
      <vt:lpstr>'31-12-2020 Teusner'!Print_Area</vt:lpstr>
      <vt:lpstr>'30-06-2020 - Mancave'!Print_Titles</vt:lpstr>
      <vt:lpstr>'30-06-2020 - Teusner'!Print_Titles</vt:lpstr>
      <vt:lpstr>'30-06-21 Teusner'!Print_Titles</vt:lpstr>
      <vt:lpstr>'30-6-19 - Teusner'!Print_Titles</vt:lpstr>
      <vt:lpstr>'31-12-19 - Teusner'!Print_Titles</vt:lpstr>
      <vt:lpstr>'31-12-19 Mancave'!Print_Titles</vt:lpstr>
      <vt:lpstr>'31-12-2020 Mancave'!Print_Titles</vt:lpstr>
      <vt:lpstr>'31-12-2020 Teusner'!Print_Titles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Crystal Decisions</dc:creator>
  <dc:description>Powered by Crystal</dc:description>
  <cp:lastModifiedBy>User</cp:lastModifiedBy>
  <cp:lastPrinted>2021-07-11T22:50:51Z</cp:lastPrinted>
  <dcterms:created xsi:type="dcterms:W3CDTF">2019-06-06T02:04:09Z</dcterms:created>
  <dcterms:modified xsi:type="dcterms:W3CDTF">2021-09-02T00:29:02Z</dcterms:modified>
</cp:coreProperties>
</file>